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1" documentId="8_{4C5D5DAE-0A69-429F-8836-48A74681E07E}" xr6:coauthVersionLast="46" xr6:coauthVersionMax="46" xr10:uidLastSave="{D18F9A12-0EC7-4EEF-8DFA-C4965528DD25}"/>
  <bookViews>
    <workbookView xWindow="-109" yWindow="-109" windowWidth="26301" windowHeight="14305" xr2:uid="{C03BCAD2-5667-4A4C-BDD9-DA1FE675A5C1}"/>
  </bookViews>
  <sheets>
    <sheet name="Scenario and Data" sheetId="1" r:id="rId1"/>
    <sheet name="Accounting" sheetId="2" r:id="rId2"/>
    <sheet name="Budgeting"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15" l="1"/>
  <c r="L23" i="15"/>
  <c r="K23" i="15"/>
  <c r="J23" i="15"/>
  <c r="M14" i="15"/>
  <c r="K14" i="15"/>
  <c r="J14" i="15"/>
  <c r="D335" i="2"/>
  <c r="B328" i="2"/>
  <c r="B327" i="2" s="1"/>
  <c r="D320" i="2"/>
  <c r="D328" i="2" s="1"/>
  <c r="D330" i="2" s="1"/>
  <c r="D313" i="2"/>
  <c r="B306" i="2"/>
  <c r="B305" i="2" s="1"/>
  <c r="D298" i="2"/>
  <c r="D306" i="2" s="1"/>
  <c r="D308" i="2" s="1"/>
  <c r="D291" i="2"/>
  <c r="B284" i="2"/>
  <c r="B283" i="2" s="1"/>
  <c r="D276" i="2"/>
  <c r="D278" i="2" s="1"/>
  <c r="D269" i="2"/>
  <c r="B262" i="2"/>
  <c r="B261" i="2" s="1"/>
  <c r="D254" i="2"/>
  <c r="D256" i="2" s="1"/>
  <c r="D247" i="2"/>
  <c r="B240" i="2"/>
  <c r="B239" i="2" s="1"/>
  <c r="D232" i="2"/>
  <c r="D240" i="2" s="1"/>
  <c r="D242" i="2" s="1"/>
  <c r="D225" i="2"/>
  <c r="D218" i="2"/>
  <c r="D220" i="2" s="1"/>
  <c r="B218" i="2"/>
  <c r="B217" i="2" s="1"/>
  <c r="D210" i="2"/>
  <c r="D212" i="2" s="1"/>
  <c r="D203" i="2"/>
  <c r="B196" i="2"/>
  <c r="B195" i="2" s="1"/>
  <c r="D188" i="2"/>
  <c r="D190" i="2" s="1"/>
  <c r="D181" i="2"/>
  <c r="B174" i="2"/>
  <c r="B173" i="2" s="1"/>
  <c r="D166" i="2"/>
  <c r="D168" i="2" s="1"/>
  <c r="D159" i="2"/>
  <c r="B152" i="2"/>
  <c r="E13" i="15" s="1"/>
  <c r="D142" i="2"/>
  <c r="B20" i="15" s="1"/>
  <c r="I20" i="15" s="1"/>
  <c r="I23" i="15" s="1"/>
  <c r="D135" i="2"/>
  <c r="D113" i="2"/>
  <c r="D91" i="2"/>
  <c r="D69" i="2"/>
  <c r="D64" i="2"/>
  <c r="D47" i="2"/>
  <c r="D18" i="2"/>
  <c r="D20" i="2" s="1"/>
  <c r="C14" i="2"/>
  <c r="D8" i="2"/>
  <c r="D10" i="2" s="1"/>
  <c r="A230" i="1"/>
  <c r="A231" i="1" s="1"/>
  <c r="A232" i="1" s="1"/>
  <c r="A233" i="1" s="1"/>
  <c r="A234" i="1" s="1"/>
  <c r="A235" i="1" s="1"/>
  <c r="A236" i="1" s="1"/>
  <c r="A237" i="1" s="1"/>
  <c r="A238" i="1" s="1"/>
  <c r="A239" i="1" s="1"/>
  <c r="A240" i="1" s="1"/>
  <c r="A241" i="1" s="1"/>
  <c r="A242" i="1" s="1"/>
  <c r="C221" i="1"/>
  <c r="C220" i="1"/>
  <c r="E321" i="2" s="1"/>
  <c r="C219" i="1"/>
  <c r="E299" i="2" s="1"/>
  <c r="E300" i="2" s="1"/>
  <c r="C218" i="1"/>
  <c r="E277" i="2" s="1"/>
  <c r="C217" i="1"/>
  <c r="E255" i="2" s="1"/>
  <c r="C216" i="1"/>
  <c r="E233" i="2" s="1"/>
  <c r="E238" i="2" s="1"/>
  <c r="E242" i="2" s="1"/>
  <c r="C215" i="1"/>
  <c r="E211" i="2" s="1"/>
  <c r="E212" i="2" s="1"/>
  <c r="C214" i="1"/>
  <c r="E189" i="2" s="1"/>
  <c r="C213" i="1"/>
  <c r="E167" i="2" s="1"/>
  <c r="C212" i="1"/>
  <c r="E143" i="2" s="1"/>
  <c r="C211" i="1"/>
  <c r="E121" i="2" s="1"/>
  <c r="E122" i="2" s="1"/>
  <c r="C210" i="1"/>
  <c r="E77" i="2" s="1"/>
  <c r="C209" i="1"/>
  <c r="E55" i="2" s="1"/>
  <c r="E60" i="2" s="1"/>
  <c r="E64" i="2" s="1"/>
  <c r="C208" i="1"/>
  <c r="E33" i="2" s="1"/>
  <c r="E38" i="2" s="1"/>
  <c r="E42" i="2" s="1"/>
  <c r="C207" i="1"/>
  <c r="E9" i="2" s="1"/>
  <c r="B207" i="1"/>
  <c r="D146" i="1"/>
  <c r="E146" i="1" s="1"/>
  <c r="D145" i="1"/>
  <c r="E145" i="1" s="1"/>
  <c r="D144" i="1"/>
  <c r="E144" i="1" s="1"/>
  <c r="D143" i="1"/>
  <c r="E143" i="1" s="1"/>
  <c r="D142" i="1"/>
  <c r="E142" i="1" s="1"/>
  <c r="D141" i="1"/>
  <c r="E141" i="1" s="1"/>
  <c r="D140" i="1"/>
  <c r="E140" i="1" s="1"/>
  <c r="D139" i="1"/>
  <c r="E139" i="1" s="1"/>
  <c r="D138" i="1"/>
  <c r="E138" i="1" s="1"/>
  <c r="G122" i="1"/>
  <c r="C100" i="1"/>
  <c r="C99" i="1"/>
  <c r="C98" i="1"/>
  <c r="C97" i="1"/>
  <c r="C96" i="1"/>
  <c r="D120" i="2" s="1"/>
  <c r="D128" i="2" s="1"/>
  <c r="D130" i="2" s="1"/>
  <c r="C95" i="1"/>
  <c r="D98" i="2" s="1"/>
  <c r="C94" i="1"/>
  <c r="D76" i="2" s="1"/>
  <c r="C93" i="1"/>
  <c r="D54" i="2" s="1"/>
  <c r="D56" i="2" s="1"/>
  <c r="C92" i="1"/>
  <c r="D32" i="2" s="1"/>
  <c r="D34" i="2" s="1"/>
  <c r="A70" i="1"/>
  <c r="A71" i="1" s="1"/>
  <c r="D69" i="1"/>
  <c r="E69" i="1" s="1"/>
  <c r="D68" i="1"/>
  <c r="E68" i="1" s="1"/>
  <c r="D207" i="1" l="1"/>
  <c r="B208" i="1" s="1"/>
  <c r="B151" i="2"/>
  <c r="F13" i="15" s="1"/>
  <c r="D262" i="2"/>
  <c r="D264" i="2" s="1"/>
  <c r="D284" i="2"/>
  <c r="D286" i="2" s="1"/>
  <c r="D70" i="1"/>
  <c r="E70" i="1" s="1"/>
  <c r="D208" i="1"/>
  <c r="B209" i="1" s="1"/>
  <c r="D209" i="1" s="1"/>
  <c r="B210" i="1" s="1"/>
  <c r="D210" i="1" s="1"/>
  <c r="B211" i="1" s="1"/>
  <c r="D211" i="1" s="1"/>
  <c r="B212" i="1" s="1"/>
  <c r="D212" i="1" s="1"/>
  <c r="B213" i="1" s="1"/>
  <c r="D213" i="1" s="1"/>
  <c r="B214" i="1" s="1"/>
  <c r="D214" i="1" s="1"/>
  <c r="B215" i="1" s="1"/>
  <c r="D215" i="1" s="1"/>
  <c r="B216" i="1" s="1"/>
  <c r="D216" i="1" s="1"/>
  <c r="B217" i="1" s="1"/>
  <c r="D217" i="1" s="1"/>
  <c r="B218" i="1" s="1"/>
  <c r="D218" i="1" s="1"/>
  <c r="B219" i="1" s="1"/>
  <c r="D219" i="1" s="1"/>
  <c r="B220" i="1" s="1"/>
  <c r="D220" i="1" s="1"/>
  <c r="B221" i="1" s="1"/>
  <c r="D221" i="1" s="1"/>
  <c r="D122" i="2"/>
  <c r="D196" i="2"/>
  <c r="D198" i="2" s="1"/>
  <c r="E147" i="1"/>
  <c r="D71" i="1"/>
  <c r="E71" i="1" s="1"/>
  <c r="A72" i="1"/>
  <c r="E326" i="2"/>
  <c r="E330" i="2" s="1"/>
  <c r="E322" i="2"/>
  <c r="D100" i="2"/>
  <c r="D106" i="2"/>
  <c r="D108" i="2" s="1"/>
  <c r="E260" i="2"/>
  <c r="E264" i="2" s="1"/>
  <c r="E256" i="2"/>
  <c r="E56" i="2"/>
  <c r="E70" i="2"/>
  <c r="G187" i="1"/>
  <c r="E144" i="2"/>
  <c r="C21" i="15"/>
  <c r="H21" i="15" s="1"/>
  <c r="H23" i="15" s="1"/>
  <c r="D78" i="2"/>
  <c r="D84" i="2"/>
  <c r="D86" i="2" s="1"/>
  <c r="E17" i="2"/>
  <c r="E10" i="2"/>
  <c r="E82" i="2"/>
  <c r="E86" i="2" s="1"/>
  <c r="E78" i="2"/>
  <c r="E34" i="2"/>
  <c r="E150" i="2"/>
  <c r="E234" i="2"/>
  <c r="E172" i="2"/>
  <c r="E176" i="2" s="1"/>
  <c r="E168" i="2"/>
  <c r="D40" i="2"/>
  <c r="D42" i="2" s="1"/>
  <c r="E99" i="2"/>
  <c r="E216" i="2"/>
  <c r="E220" i="2" s="1"/>
  <c r="E226" i="2" s="1"/>
  <c r="D300" i="2"/>
  <c r="D322" i="2"/>
  <c r="E190" i="2"/>
  <c r="E194" i="2"/>
  <c r="E198" i="2" s="1"/>
  <c r="E278" i="2"/>
  <c r="E282" i="2"/>
  <c r="E286" i="2" s="1"/>
  <c r="E126" i="2"/>
  <c r="E130" i="2" s="1"/>
  <c r="E136" i="2" s="1"/>
  <c r="D234" i="2"/>
  <c r="E304" i="2"/>
  <c r="E308" i="2" s="1"/>
  <c r="D144" i="2"/>
  <c r="D174" i="2"/>
  <c r="D176" i="2" s="1"/>
  <c r="D152" i="2"/>
  <c r="E292" i="2" l="1"/>
  <c r="E204" i="2"/>
  <c r="E336" i="2"/>
  <c r="E248" i="2"/>
  <c r="E182" i="2"/>
  <c r="E48" i="2"/>
  <c r="E270" i="2"/>
  <c r="E314" i="2"/>
  <c r="E92" i="2"/>
  <c r="E154" i="2"/>
  <c r="D21" i="15"/>
  <c r="D154" i="2"/>
  <c r="E22" i="15"/>
  <c r="E100" i="2"/>
  <c r="E104" i="2"/>
  <c r="E108" i="2" s="1"/>
  <c r="E24" i="2"/>
  <c r="E20" i="2"/>
  <c r="E26" i="2" s="1"/>
  <c r="D72" i="1"/>
  <c r="E72" i="1" s="1"/>
  <c r="A73" i="1"/>
  <c r="B154" i="1"/>
  <c r="E160" i="2" l="1"/>
  <c r="E114" i="2"/>
  <c r="G24" i="15"/>
  <c r="D154" i="1"/>
  <c r="E154" i="1" s="1"/>
  <c r="B155" i="1" s="1"/>
  <c r="E46" i="2"/>
  <c r="E25" i="2"/>
  <c r="A74" i="1"/>
  <c r="D73" i="1"/>
  <c r="E73" i="1" s="1"/>
  <c r="D155" i="1" l="1"/>
  <c r="B164" i="2" s="1"/>
  <c r="E68" i="2"/>
  <c r="E47" i="2"/>
  <c r="A75" i="1"/>
  <c r="D74" i="1"/>
  <c r="E74" i="1" s="1"/>
  <c r="B149" i="2"/>
  <c r="B140" i="2"/>
  <c r="C11" i="15" l="1"/>
  <c r="I11" i="15" s="1"/>
  <c r="I14" i="15" s="1"/>
  <c r="B144" i="2"/>
  <c r="F11" i="15"/>
  <c r="B154" i="2"/>
  <c r="E90" i="2"/>
  <c r="E69" i="2"/>
  <c r="B171" i="2"/>
  <c r="B176" i="2" s="1"/>
  <c r="B168" i="2"/>
  <c r="D75" i="1"/>
  <c r="E75" i="1" s="1"/>
  <c r="A76" i="1"/>
  <c r="E155" i="1"/>
  <c r="B156" i="1" s="1"/>
  <c r="A77" i="1" l="1"/>
  <c r="D77" i="1" s="1"/>
  <c r="E77" i="1" s="1"/>
  <c r="D76" i="1"/>
  <c r="E76" i="1" s="1"/>
  <c r="D156" i="1"/>
  <c r="B186" i="2" s="1"/>
  <c r="E91" i="2"/>
  <c r="E112" i="2"/>
  <c r="E78" i="1" l="1"/>
  <c r="A113" i="1" s="1"/>
  <c r="A88" i="1"/>
  <c r="E113" i="2"/>
  <c r="E134" i="2"/>
  <c r="B190" i="2"/>
  <c r="B193" i="2"/>
  <c r="B198" i="2" s="1"/>
  <c r="E156" i="1"/>
  <c r="B157" i="1" s="1"/>
  <c r="D157" i="1" l="1"/>
  <c r="B208" i="2" s="1"/>
  <c r="E158" i="2"/>
  <c r="E135" i="2"/>
  <c r="B91" i="1"/>
  <c r="B15" i="2"/>
  <c r="C123" i="1"/>
  <c r="C125" i="1"/>
  <c r="B116" i="1"/>
  <c r="C122" i="1"/>
  <c r="C121" i="1"/>
  <c r="C120" i="1"/>
  <c r="C119" i="1"/>
  <c r="C118" i="1"/>
  <c r="C117" i="1"/>
  <c r="C116" i="1"/>
  <c r="C124" i="1"/>
  <c r="C126" i="2" l="1"/>
  <c r="C130" i="2" s="1"/>
  <c r="C119" i="2"/>
  <c r="C122" i="2" s="1"/>
  <c r="C60" i="2"/>
  <c r="C64" i="2" s="1"/>
  <c r="C53" i="2"/>
  <c r="C56" i="2" s="1"/>
  <c r="E159" i="2"/>
  <c r="E180" i="2"/>
  <c r="C82" i="2"/>
  <c r="C86" i="2" s="1"/>
  <c r="C75" i="2"/>
  <c r="C78" i="2" s="1"/>
  <c r="D116" i="1"/>
  <c r="C13" i="2"/>
  <c r="B215" i="2"/>
  <c r="B220" i="2" s="1"/>
  <c r="B212" i="2"/>
  <c r="C33" i="2"/>
  <c r="C34" i="2" s="1"/>
  <c r="C38" i="2"/>
  <c r="C42" i="2" s="1"/>
  <c r="C17" i="2"/>
  <c r="G123" i="1"/>
  <c r="C9" i="2"/>
  <c r="C10" i="2" s="1"/>
  <c r="C104" i="2"/>
  <c r="C108" i="2" s="1"/>
  <c r="C97" i="2"/>
  <c r="C100" i="2" s="1"/>
  <c r="D91" i="1"/>
  <c r="E157" i="1"/>
  <c r="B158" i="1" s="1"/>
  <c r="B7" i="2" l="1"/>
  <c r="E91" i="1"/>
  <c r="B92" i="1" s="1"/>
  <c r="C20" i="2"/>
  <c r="C23" i="2" s="1"/>
  <c r="E202" i="2"/>
  <c r="E181" i="2"/>
  <c r="D158" i="1"/>
  <c r="B230" i="2" s="1"/>
  <c r="B117" i="1"/>
  <c r="D117" i="1" s="1"/>
  <c r="E158" i="1" l="1"/>
  <c r="B159" i="1" s="1"/>
  <c r="D92" i="1"/>
  <c r="C45" i="2"/>
  <c r="C25" i="2"/>
  <c r="E224" i="2"/>
  <c r="E203" i="2"/>
  <c r="B237" i="2"/>
  <c r="B242" i="2" s="1"/>
  <c r="B234" i="2"/>
  <c r="B118" i="1"/>
  <c r="D118" i="1" s="1"/>
  <c r="D159" i="1"/>
  <c r="B252" i="2" s="1"/>
  <c r="E116" i="1"/>
  <c r="B10" i="2"/>
  <c r="B16" i="2"/>
  <c r="B256" i="2" l="1"/>
  <c r="B259" i="2"/>
  <c r="B264" i="2" s="1"/>
  <c r="B22" i="2"/>
  <c r="B20" i="2"/>
  <c r="C26" i="2" s="1"/>
  <c r="C67" i="2"/>
  <c r="C47" i="2"/>
  <c r="E159" i="1"/>
  <c r="B160" i="1" s="1"/>
  <c r="B119" i="1"/>
  <c r="D119" i="1" s="1"/>
  <c r="B31" i="2"/>
  <c r="E225" i="2"/>
  <c r="E246" i="2"/>
  <c r="E92" i="1"/>
  <c r="D160" i="1" l="1"/>
  <c r="B274" i="2" s="1"/>
  <c r="B37" i="2"/>
  <c r="B42" i="2" s="1"/>
  <c r="B34" i="2"/>
  <c r="C48" i="2" s="1"/>
  <c r="B25" i="2"/>
  <c r="E247" i="2"/>
  <c r="E268" i="2"/>
  <c r="B93" i="1"/>
  <c r="E117" i="1"/>
  <c r="B120" i="1"/>
  <c r="D120" i="1" s="1"/>
  <c r="C89" i="2"/>
  <c r="C69" i="2"/>
  <c r="B44" i="2" l="1"/>
  <c r="B47" i="2" s="1"/>
  <c r="E160" i="1"/>
  <c r="B161" i="1" s="1"/>
  <c r="D161" i="1" s="1"/>
  <c r="B296" i="2" s="1"/>
  <c r="E290" i="2"/>
  <c r="E269" i="2"/>
  <c r="B281" i="2"/>
  <c r="B286" i="2" s="1"/>
  <c r="B278" i="2"/>
  <c r="B121" i="1"/>
  <c r="D121" i="1" s="1"/>
  <c r="C111" i="2"/>
  <c r="C91" i="2"/>
  <c r="D93" i="1"/>
  <c r="E161" i="1" l="1"/>
  <c r="B162" i="1" s="1"/>
  <c r="C113" i="2"/>
  <c r="C133" i="2"/>
  <c r="B303" i="2"/>
  <c r="B308" i="2" s="1"/>
  <c r="B300" i="2"/>
  <c r="B52" i="2"/>
  <c r="E93" i="1"/>
  <c r="B122" i="1"/>
  <c r="D122" i="1" s="1"/>
  <c r="E312" i="2"/>
  <c r="E291" i="2"/>
  <c r="C135" i="2" l="1"/>
  <c r="B123" i="1"/>
  <c r="D123" i="1" s="1"/>
  <c r="B56" i="2"/>
  <c r="B59" i="2"/>
  <c r="E313" i="2"/>
  <c r="E334" i="2"/>
  <c r="E335" i="2" s="1"/>
  <c r="B94" i="1"/>
  <c r="E118" i="1"/>
  <c r="D162" i="1"/>
  <c r="B318" i="2" s="1"/>
  <c r="B325" i="2" l="1"/>
  <c r="B330" i="2" s="1"/>
  <c r="B322" i="2"/>
  <c r="B124" i="1"/>
  <c r="D124" i="1" s="1"/>
  <c r="E162" i="1"/>
  <c r="B64" i="2"/>
  <c r="C70" i="2" s="1"/>
  <c r="B66" i="2"/>
  <c r="D94" i="1"/>
  <c r="E94" i="1" s="1"/>
  <c r="B95" i="1" l="1"/>
  <c r="E119" i="1"/>
  <c r="B69" i="2"/>
  <c r="B125" i="1"/>
  <c r="D125" i="1" s="1"/>
  <c r="B74" i="2"/>
  <c r="B81" i="2" l="1"/>
  <c r="B78" i="2"/>
  <c r="D95" i="1"/>
  <c r="E95" i="1" s="1"/>
  <c r="B96" i="1" l="1"/>
  <c r="E120" i="1"/>
  <c r="B96" i="2"/>
  <c r="B86" i="2"/>
  <c r="C92" i="2" s="1"/>
  <c r="B88" i="2"/>
  <c r="B103" i="2" l="1"/>
  <c r="B108" i="2" s="1"/>
  <c r="B100" i="2"/>
  <c r="B110" i="2"/>
  <c r="B91" i="2"/>
  <c r="D96" i="1"/>
  <c r="E96" i="1" s="1"/>
  <c r="B113" i="2" l="1"/>
  <c r="B118" i="2"/>
  <c r="G189" i="1"/>
  <c r="C114" i="2"/>
  <c r="B97" i="1"/>
  <c r="E121" i="1"/>
  <c r="B125" i="2" l="1"/>
  <c r="B122" i="2"/>
  <c r="D97" i="1"/>
  <c r="E97" i="1" s="1"/>
  <c r="A172" i="1"/>
  <c r="B98" i="1" l="1"/>
  <c r="E122" i="1"/>
  <c r="C147" i="2"/>
  <c r="D9" i="15" s="1"/>
  <c r="B173" i="1"/>
  <c r="B148" i="2" s="1"/>
  <c r="F10" i="15" s="1"/>
  <c r="A179" i="1"/>
  <c r="B130" i="2"/>
  <c r="C136" i="2" s="1"/>
  <c r="B132" i="2"/>
  <c r="L9" i="15" l="1"/>
  <c r="L14" i="15" s="1"/>
  <c r="B135" i="2"/>
  <c r="B156" i="2"/>
  <c r="C189" i="1"/>
  <c r="C188" i="1"/>
  <c r="C187" i="1"/>
  <c r="C186" i="1"/>
  <c r="C185" i="1"/>
  <c r="C209" i="2" s="1"/>
  <c r="C184" i="1"/>
  <c r="C187" i="2" s="1"/>
  <c r="C183" i="1"/>
  <c r="C182" i="1"/>
  <c r="B182" i="1"/>
  <c r="C190" i="1"/>
  <c r="D98" i="1"/>
  <c r="E98" i="1" s="1"/>
  <c r="B99" i="1" l="1"/>
  <c r="E123" i="1"/>
  <c r="B178" i="2"/>
  <c r="B159" i="2"/>
  <c r="C172" i="2"/>
  <c r="C176" i="2" s="1"/>
  <c r="C165" i="2"/>
  <c r="C168" i="2" s="1"/>
  <c r="C260" i="2"/>
  <c r="C264" i="2" s="1"/>
  <c r="C253" i="2"/>
  <c r="C256" i="2" s="1"/>
  <c r="C270" i="2" s="1"/>
  <c r="C150" i="2"/>
  <c r="C141" i="2"/>
  <c r="G188" i="1"/>
  <c r="G190" i="1" s="1"/>
  <c r="C238" i="2"/>
  <c r="C242" i="2" s="1"/>
  <c r="C231" i="2"/>
  <c r="C234" i="2" s="1"/>
  <c r="C326" i="2"/>
  <c r="C330" i="2" s="1"/>
  <c r="C319" i="2"/>
  <c r="C322" i="2" s="1"/>
  <c r="C336" i="2" s="1"/>
  <c r="C194" i="2"/>
  <c r="C198" i="2" s="1"/>
  <c r="C190" i="2"/>
  <c r="C275" i="2"/>
  <c r="C278" i="2" s="1"/>
  <c r="C282" i="2"/>
  <c r="C286" i="2" s="1"/>
  <c r="D182" i="1"/>
  <c r="C212" i="2"/>
  <c r="C216" i="2"/>
  <c r="C220" i="2" s="1"/>
  <c r="C304" i="2"/>
  <c r="C308" i="2" s="1"/>
  <c r="C297" i="2"/>
  <c r="C300" i="2" s="1"/>
  <c r="C314" i="2" s="1"/>
  <c r="C226" i="2" l="1"/>
  <c r="E182" i="1"/>
  <c r="B183" i="1"/>
  <c r="D183" i="1" s="1"/>
  <c r="B200" i="2"/>
  <c r="B181" i="2"/>
  <c r="C292" i="2"/>
  <c r="C12" i="15"/>
  <c r="C144" i="2"/>
  <c r="C182" i="2"/>
  <c r="C204" i="2"/>
  <c r="C248" i="2"/>
  <c r="D12" i="15"/>
  <c r="C154" i="2"/>
  <c r="C157" i="2"/>
  <c r="D99" i="1"/>
  <c r="E99" i="1" s="1"/>
  <c r="B100" i="1" l="1"/>
  <c r="E124" i="1"/>
  <c r="B222" i="2"/>
  <c r="B203" i="2"/>
  <c r="H12" i="15"/>
  <c r="H14" i="15" s="1"/>
  <c r="G15" i="15"/>
  <c r="E183" i="1"/>
  <c r="B184" i="1"/>
  <c r="D184" i="1" s="1"/>
  <c r="C160" i="2"/>
  <c r="C159" i="2"/>
  <c r="C179" i="2"/>
  <c r="E184" i="1" l="1"/>
  <c r="B185" i="1"/>
  <c r="D185" i="1" s="1"/>
  <c r="B244" i="2"/>
  <c r="B225" i="2"/>
  <c r="C201" i="2"/>
  <c r="C181" i="2"/>
  <c r="D100" i="1"/>
  <c r="G124" i="1" s="1"/>
  <c r="G125" i="1" s="1"/>
  <c r="B266" i="2" l="1"/>
  <c r="B247" i="2"/>
  <c r="E185" i="1"/>
  <c r="B186" i="1"/>
  <c r="D186" i="1" s="1"/>
  <c r="E100" i="1"/>
  <c r="E125" i="1" s="1"/>
  <c r="C223" i="2"/>
  <c r="C203" i="2"/>
  <c r="E186" i="1" l="1"/>
  <c r="B187" i="1"/>
  <c r="D187" i="1" s="1"/>
  <c r="C245" i="2"/>
  <c r="C225" i="2"/>
  <c r="B288" i="2"/>
  <c r="B269" i="2"/>
  <c r="C267" i="2" l="1"/>
  <c r="C247" i="2"/>
  <c r="E187" i="1"/>
  <c r="B188" i="1"/>
  <c r="D188" i="1" s="1"/>
  <c r="B291" i="2"/>
  <c r="B310" i="2"/>
  <c r="B189" i="1" l="1"/>
  <c r="D189" i="1" s="1"/>
  <c r="E188" i="1"/>
  <c r="B313" i="2"/>
  <c r="B332" i="2"/>
  <c r="B335" i="2" s="1"/>
  <c r="C289" i="2"/>
  <c r="C269" i="2"/>
  <c r="C311" i="2" l="1"/>
  <c r="C291" i="2"/>
  <c r="B190" i="1"/>
  <c r="D190" i="1" s="1"/>
  <c r="E190" i="1" s="1"/>
  <c r="E189" i="1"/>
  <c r="C313" i="2" l="1"/>
  <c r="C333" i="2"/>
  <c r="C335" i="2" s="1"/>
</calcChain>
</file>

<file path=xl/sharedStrings.xml><?xml version="1.0" encoding="utf-8"?>
<sst xmlns="http://schemas.openxmlformats.org/spreadsheetml/2006/main" count="616" uniqueCount="217">
  <si>
    <t>Total payments</t>
  </si>
  <si>
    <t>Depreciation expense</t>
  </si>
  <si>
    <t>Total expense</t>
  </si>
  <si>
    <t>Depreciation</t>
  </si>
  <si>
    <t>I &amp; E</t>
  </si>
  <si>
    <t>Accumulated Depreciation</t>
  </si>
  <si>
    <t>Lease Interest</t>
  </si>
  <si>
    <t>TOTAL</t>
  </si>
  <si>
    <t>Lessee (Lease)</t>
  </si>
  <si>
    <t>Lessor (Lease)</t>
  </si>
  <si>
    <t>payment (1 Apr)</t>
  </si>
  <si>
    <t>NBV opening (1 Apr)</t>
  </si>
  <si>
    <t>LESSOR</t>
  </si>
  <si>
    <t>LESSEE</t>
  </si>
  <si>
    <t>Lessor (Asset)</t>
  </si>
  <si>
    <t xml:space="preserve">Closing </t>
  </si>
  <si>
    <t>Lease liability</t>
  </si>
  <si>
    <t>Lease Liability C/F</t>
  </si>
  <si>
    <t>Right of Use of Asset NBV C/F</t>
  </si>
  <si>
    <t>Lease liability discounted 5%</t>
  </si>
  <si>
    <t>Payment</t>
  </si>
  <si>
    <t>Date of payment</t>
  </si>
  <si>
    <t>Discount Factor</t>
  </si>
  <si>
    <t>Discounted Amount</t>
  </si>
  <si>
    <t>Year</t>
  </si>
  <si>
    <t>Opening (1 Apr)</t>
  </si>
  <si>
    <t>BALANCE SHEET Movements</t>
  </si>
  <si>
    <t>Gross book value of the right-of use asset at initial recognition</t>
  </si>
  <si>
    <t>Lease Unwinding of Discount</t>
  </si>
  <si>
    <t>At the commencement of the lease:</t>
  </si>
  <si>
    <t>Underlying Asset</t>
  </si>
  <si>
    <t>Cost Value</t>
  </si>
  <si>
    <t>NBV Closing (31 Mar)</t>
  </si>
  <si>
    <t>Annual Depreciation (50 years - straight line)</t>
  </si>
  <si>
    <t>Scenario details</t>
  </si>
  <si>
    <t>ACCOUNTS</t>
  </si>
  <si>
    <t>BUDGETS</t>
  </si>
  <si>
    <t>NATIONAL ACCOUNTS</t>
  </si>
  <si>
    <t>OSCAR coding</t>
  </si>
  <si>
    <t>SOCNE
("I&amp;E")</t>
  </si>
  <si>
    <t>SOFP
("Bal sheet")</t>
  </si>
  <si>
    <t>RDEL RF</t>
  </si>
  <si>
    <t>RDEL NRF</t>
  </si>
  <si>
    <t>RDEL Total</t>
  </si>
  <si>
    <t>RAME</t>
  </si>
  <si>
    <t>CDEL</t>
  </si>
  <si>
    <t>CAME</t>
  </si>
  <si>
    <t>PSNB</t>
  </si>
  <si>
    <t>PSND</t>
  </si>
  <si>
    <t>Check Accounting DR/CR</t>
  </si>
  <si>
    <t>Notes and Relevant Guidance</t>
  </si>
  <si>
    <t>Worked Example</t>
  </si>
  <si>
    <t>Commencement date</t>
  </si>
  <si>
    <t>Calculation of the PV of future payments</t>
  </si>
  <si>
    <t xml:space="preserve">Lease liability at initial recognition: </t>
  </si>
  <si>
    <t>Diff to liability</t>
  </si>
  <si>
    <t>closing (31 Mar)</t>
  </si>
  <si>
    <t>NBV closing (31 Mar)</t>
  </si>
  <si>
    <t>ROU Asset</t>
  </si>
  <si>
    <t>Lease Liability</t>
  </si>
  <si>
    <t>Interest</t>
  </si>
  <si>
    <t>Cash Paid</t>
  </si>
  <si>
    <t>Lease Income</t>
  </si>
  <si>
    <t xml:space="preserve">Cash </t>
  </si>
  <si>
    <t xml:space="preserve">Total budgeting </t>
  </si>
  <si>
    <t>LESSEE - Liability (IFRS 16.26) - before lease modification</t>
  </si>
  <si>
    <t>LESSEE - ROU Asset (IFRS 16.23) - before lease modification</t>
  </si>
  <si>
    <t>payment</t>
  </si>
  <si>
    <t>date of payment</t>
  </si>
  <si>
    <t>discount factor</t>
  </si>
  <si>
    <t>discounted amount</t>
  </si>
  <si>
    <t>DR</t>
  </si>
  <si>
    <t>CR</t>
  </si>
  <si>
    <t>LESSEE - ROU Asset (IFRS 16.23) - after lease modification</t>
  </si>
  <si>
    <t>LESSEE - reconciliation</t>
  </si>
  <si>
    <t>Lessee (ROU Asset)</t>
  </si>
  <si>
    <t>Income</t>
  </si>
  <si>
    <t>Expense</t>
  </si>
  <si>
    <t>Assets</t>
  </si>
  <si>
    <t>Cash</t>
  </si>
  <si>
    <t>Liability</t>
  </si>
  <si>
    <t>Equity</t>
  </si>
  <si>
    <t>LESSEE - Yr 7</t>
  </si>
  <si>
    <t>LESSOR - Yr 7</t>
  </si>
  <si>
    <t>IFRS16 Worked Example - Operating Lease - Reassessment of the liability - Change in discount rate - Accounting Entries</t>
  </si>
  <si>
    <t>For budgeting impact in years 1 - 6 please refer to :</t>
  </si>
  <si>
    <t>"IFRS 16 Worked Example - Operating Lease"</t>
  </si>
  <si>
    <t>IFRS16 Worked Example - Operating Lease - Reassessment of the lease liability - Change in discount rate - Scenario and Data</t>
  </si>
  <si>
    <t>IFRS16 Worked Example - Operating Lease - Reassessment of the liability - Change in discount rate - Budgeting</t>
  </si>
  <si>
    <t>YEAR 10 (31/03/2032)</t>
  </si>
  <si>
    <t>YEAR 10 (31/03/2033)</t>
  </si>
  <si>
    <t>YEAR 10 (31/03/2034)</t>
  </si>
  <si>
    <t>YEAR 10 (31/03/2035)</t>
  </si>
  <si>
    <t xml:space="preserve">Discount rate </t>
  </si>
  <si>
    <t>Note 3</t>
  </si>
  <si>
    <t>implicit in the lease cannot be readily determined (IFRS16.41)</t>
  </si>
  <si>
    <t>* Depreciation scores to NRF RDEL for Providers</t>
  </si>
  <si>
    <t>Income - Lease payment</t>
  </si>
  <si>
    <t>Underlying Asset NBV C/F</t>
  </si>
  <si>
    <t xml:space="preserve">Income - Lease payment </t>
  </si>
  <si>
    <t>Depreciation - RoU Asset</t>
  </si>
  <si>
    <t>Depreciation - Underlying Asset</t>
  </si>
  <si>
    <t xml:space="preserve">The underlying asset is depreciated by the lessor on a straight line basis over 50 years. </t>
  </si>
  <si>
    <t>Difference between closing value of the RoU asset and lease liability is shown in column E</t>
  </si>
  <si>
    <t>Lease Interest (5%) recognised by the lessee</t>
  </si>
  <si>
    <t>Dep'n - lessee (£405,391 / 10 years)</t>
  </si>
  <si>
    <t>Total value of the asset on lessee's BS £405,391 (355,391 + 50,000)</t>
  </si>
  <si>
    <t>Lease liability at initial recognition</t>
  </si>
  <si>
    <t>Interest cost in year 1</t>
  </si>
  <si>
    <t>Lessor recognises increased lease payments</t>
  </si>
  <si>
    <t>Remeasurement of the RoU Asset</t>
  </si>
  <si>
    <t>Remeasurement of the Lease liability</t>
  </si>
  <si>
    <t>Revised depreciation charge</t>
  </si>
  <si>
    <t>Revaluation of the RoU asset scores to CDEL</t>
  </si>
  <si>
    <t>Objectives</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</si>
  <si>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</si>
  <si>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</si>
  <si>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</si>
  <si>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</si>
  <si>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</si>
  <si>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</si>
  <si>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</si>
  <si>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</si>
  <si>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</si>
  <si>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</si>
  <si>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</si>
  <si>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</si>
  <si>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</si>
  <si>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</si>
  <si>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</si>
  <si>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Lessor:</t>
  </si>
  <si>
    <t>Step 6</t>
  </si>
  <si>
    <t>Step 7</t>
  </si>
  <si>
    <t>Step 8</t>
  </si>
  <si>
    <t xml:space="preserve">To note: This is an operating lease. The lessor does not recognise lease receivable on the balance sheet and therefore is not required to calculate the rate implicit in the lease. </t>
  </si>
  <si>
    <t>No exemptions apply in this scenario. The asset is not considered to be low value and the contract does not meet definition of a short-term lease (IFRS16.5-8) (IFRS16 B3-B8)</t>
  </si>
  <si>
    <t>The lease payments made at or before the commencement date are not included in the lease liability, but they are included in the measurement of the right-of-use assets. (ifrs Community)</t>
  </si>
  <si>
    <t xml:space="preserve">The underlying asset is depreciated by the lessor in line with the lessor's policy (IFRS16.84). </t>
  </si>
  <si>
    <t>The lessee presents interest expense in  the P&amp;L separately from depreciation expense of the ROU asset (IFRS16.49) (IFRS16 BC209)</t>
  </si>
  <si>
    <t xml:space="preserve">The lessee determines that the increase in scope of the lease does not meet the criteria set out in paragraph IFRS 16.44 and therefore the increase in scope is not accounted for as a separate lease. </t>
  </si>
  <si>
    <t>The lessee recognises the amount of the remeasurement as an adjustment to the cost of the right-of-use asset. (IFRS16 BC192)</t>
  </si>
  <si>
    <t>Future payments for the lease are listed  in the table below. For each payment, the discount factor is calculated in order to determine the total present value</t>
  </si>
  <si>
    <t>of the lease liability. Initial measurement of a lease liability amounts to £355,391 and is calculated as follows:</t>
  </si>
  <si>
    <t>Using the present value of the lease payments We can establish lease liability.</t>
  </si>
  <si>
    <t>The lessee is required to present finance cost of the lease in  the P&amp;L separately from depreciation expense of the ROU asset.</t>
  </si>
  <si>
    <t>Below calculation also provides closing balance of the lease liability recognised by the lessee every year over the term of the contract.</t>
  </si>
  <si>
    <t>Step 4 and 5</t>
  </si>
  <si>
    <t xml:space="preserve">The right-of-use asset is depreciated under IAS 16 requirements (IFRS 16.31). </t>
  </si>
  <si>
    <t>The upfront payment made before commencement of the lease is included in the value of RoU asset at recognition</t>
  </si>
  <si>
    <t>Reassessment of the lease liability</t>
  </si>
  <si>
    <t>Calculate PV of remaining future lease payments using the revised discount rate</t>
  </si>
  <si>
    <t>LESSEE - PV of future payments after lease modification</t>
  </si>
  <si>
    <t xml:space="preserve">Calculate the revised lease liability  </t>
  </si>
  <si>
    <t xml:space="preserve">Following change to the lease terms the lessee calculates the revised lease liability by discounting the future lease payments using the new discount rate.  </t>
  </si>
  <si>
    <t>LESSEE - Lease liability after reassessment</t>
  </si>
  <si>
    <t xml:space="preserve">Calculate the revised value of the RoU </t>
  </si>
  <si>
    <t>This adjustment needs be reflected in the value of RoU asset:</t>
  </si>
  <si>
    <t>The lessee recognises the amount of the remeasurement as an adjustment to the cost of the right-of-use asset</t>
  </si>
  <si>
    <t>Step 9</t>
  </si>
  <si>
    <t>The lease is accounted for by the lessor as an operating lease which means that the underlying asset remains on the Lessor's balance sheet.</t>
  </si>
  <si>
    <t xml:space="preserve">LESSOR - depreciation of the underlying asset </t>
  </si>
  <si>
    <t>Calculate depreciation cost of the underlying asset</t>
  </si>
  <si>
    <t>Net Book Value at the lease commencement</t>
  </si>
  <si>
    <t>Step 10</t>
  </si>
  <si>
    <t>Calculate lessor's lease income</t>
  </si>
  <si>
    <t>Lessor - lease income</t>
  </si>
  <si>
    <t>Lease Interest cost</t>
  </si>
  <si>
    <t>Depreciation - RoU asset / underlying asset</t>
  </si>
  <si>
    <t xml:space="preserve">Right of use of asset </t>
  </si>
  <si>
    <t>Right of use of Assets - upfront payment</t>
  </si>
  <si>
    <t>Cash Lease (payment) / receipt</t>
  </si>
  <si>
    <t xml:space="preserve">Lease liability </t>
  </si>
  <si>
    <t>ROU Asset - adjustment to carrying value</t>
  </si>
  <si>
    <t xml:space="preserve">The lessee determines the revised discount rate at the interest rate implicit in the lease for the reminder of the lease term or the incremental borrowing rate if the rate </t>
  </si>
  <si>
    <t>TOTAL MOVEMENTS</t>
  </si>
  <si>
    <t>2022-23</t>
  </si>
  <si>
    <t>2023-24</t>
  </si>
  <si>
    <t>2024-25</t>
  </si>
  <si>
    <t>2025-26</t>
  </si>
  <si>
    <t>2026-27</t>
  </si>
  <si>
    <t>2027-28</t>
  </si>
  <si>
    <t>2028-29</t>
  </si>
  <si>
    <t>2029-30</t>
  </si>
  <si>
    <t>2030-31</t>
  </si>
  <si>
    <t>2031-32</t>
  </si>
  <si>
    <t>2032-33</t>
  </si>
  <si>
    <t>2033-34</t>
  </si>
  <si>
    <t>2034-35</t>
  </si>
  <si>
    <t>Interest expense</t>
  </si>
  <si>
    <t>2035-36</t>
  </si>
  <si>
    <t>The lessee remeasures the lease liability by discounting the revised lease payments using a revised discount rate if there is a change in the lease term. IFRS16.40(a)</t>
  </si>
  <si>
    <t>Entries made at the lease modification date per IFRS 16.46(b)</t>
  </si>
  <si>
    <r>
      <t xml:space="preserve">Revised  Discount rate - </t>
    </r>
    <r>
      <rPr>
        <sz val="11"/>
        <color rgb="FFFF0000"/>
        <rFont val="Calibri"/>
        <family val="2"/>
        <scheme val="minor"/>
      </rPr>
      <t>note 5</t>
    </r>
  </si>
  <si>
    <r>
      <t xml:space="preserve">Interest Expense - </t>
    </r>
    <r>
      <rPr>
        <sz val="11"/>
        <color rgb="FFFF0000"/>
        <rFont val="Calibri"/>
        <family val="2"/>
        <scheme val="minor"/>
      </rPr>
      <t>note 4</t>
    </r>
  </si>
  <si>
    <t xml:space="preserve">Interest Expense </t>
  </si>
  <si>
    <r>
      <t xml:space="preserve">Right-of-use asset - </t>
    </r>
    <r>
      <rPr>
        <sz val="11"/>
        <color rgb="FFFF0000"/>
        <rFont val="Calibri"/>
        <family val="2"/>
        <scheme val="minor"/>
      </rPr>
      <t>note 7</t>
    </r>
  </si>
  <si>
    <t xml:space="preserve">Depreciation </t>
  </si>
  <si>
    <t xml:space="preserve">In this scenario the revised discount rate has been provided (6.2%). Should this rate not be readily available, the lessee will be required to use rate published by HMT. </t>
  </si>
  <si>
    <t>After lease modification, lease liability increased by £243,494 (revised lease liability of 429,656 less carrying value of the lease liability of 186,162)</t>
  </si>
  <si>
    <t>The purpose of this example is to show accounting entries and budgeting impact of the operating lease arrangement between two entities where there is a modification to the lease terms.</t>
  </si>
  <si>
    <t>There are three tabs in this workbook:</t>
  </si>
  <si>
    <t>Two entities, entity A (Lessee) and entity B (Lessor) enter into a lease agreement on the 1st of April 2022. The agreement term is for 10 years. There is no option to purchase the asset by the lessee. The lessor classifies the lease as an operating lease. The interest rate implicit in the contract is 5%. In April 2028 both parties agree to extend the contract term for another 5 years as well as increase the annual payments to £60,000 payments. The lessee determines that the discount rate at the modification date increases to 6.2%. The lease payments are made at the beginning of each year.</t>
  </si>
  <si>
    <t>Contract starts on 1st April 2022.</t>
  </si>
  <si>
    <t>Upfront lease payment for year 2022/23 paid by lessee</t>
  </si>
  <si>
    <t>2036-37</t>
  </si>
  <si>
    <t>The new value of the RoU asset after lease modification is £405,650. This represents carrying value on 1st of April 2028 of £162,156 plus adjustment of £243,494 as explained earlier.</t>
  </si>
  <si>
    <t>YEAR 1 (31/03/2023)</t>
  </si>
  <si>
    <t>YEAR 2 (31/03/2024)</t>
  </si>
  <si>
    <t>YEAR 3 (31/03/2025)</t>
  </si>
  <si>
    <t>YEAR 4 (31/03/2026)</t>
  </si>
  <si>
    <t>YEAR 5 (31/03/2027)</t>
  </si>
  <si>
    <t>YEAR 6 (31/03/2028)</t>
  </si>
  <si>
    <t>YEAR 7 (31/03/2029)</t>
  </si>
  <si>
    <t>YEAR 8 (31/03/2030)</t>
  </si>
  <si>
    <t>YEAR 9 (31/03/2031)</t>
  </si>
  <si>
    <t>YEAR 10 (31/03/2036)</t>
  </si>
  <si>
    <t>YEAR 10 (31/03/2037)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</si>
</sst>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
    <numFmt numFmtId="165" formatCode="#,##0;\(#,##0\);&quot;-&quot;"/>
    <numFmt numFmtId="166" formatCode="#,##0;[Red]\(#,##0\)"/>
    <numFmt numFmtId="167" formatCode="_-* #,##0_-;\-* #,##0_-;_-* &quot;-&quot;??_-;_-@_-"/>
    <numFmt numFmtId="168" formatCode="0.0%"/>
  </numFmts>
  <fonts count="21" x14ac:knownFonts="1">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i/>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i/>
      <sz val="10"/>
      <color theme="1"/>
      <name val="Calibri"/>
      <family val="2"/>
      <scheme val="minor"/>
    </font>
    <font>
      <i/>
      <sz val="10"/>
      <color theme="1"/>
      <name val="Calibri"/>
      <family val="2"/>
      <scheme val="minor"/>
    </font>
    <font>
      <i/>
      <sz val="8"/>
      <color rgb="FFFF0000"/>
      <name val="Calibri"/>
      <family val="2"/>
      <scheme val="minor"/>
    </font>
    <font>
      <i/>
      <sz val="9"/>
      <color rgb="FFFF0000"/>
      <name val="Calibri"/>
      <family val="2"/>
      <scheme val="minor"/>
    </font>
    <font>
      <b/>
      <sz val="12"/>
      <color theme="1"/>
      <name val="Calibri"/>
      <family val="2"/>
      <scheme val="minor"/>
    </font>
    <font>
      <sz val="10"/>
      <color rgb="FFFF0000"/>
      <name val="Calibri"/>
      <family val="2"/>
      <scheme val="minor"/>
    </font>
    <font>
      <sz val="1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3" fontId="8" fillId="0" borderId="0" applyFont="0" applyFill="0" applyBorder="0" applyAlignment="0" applyProtection="0"/>
  </cellStyleXfs>
  <cellXfs count="3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166" fontId="0" fillId="0" borderId="0" xfId="0" applyNumberFormat="1"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2" borderId="0" xfId="0" applyNumberFormat="1" applyFill="1" applyAlignment="1">
      <alignment horizontal="left"/>
    </xf>
    <xf numFmtId="0" fontId="0" fillId="0" borderId="0" xfId="0" applyFont="1" applyAlignment="1">
      <alignment horizontal="left"/>
    </xf>
    <xf numFmtId="0" fontId="0" fillId="0" borderId="0" xfId="0" applyNumberFormat="1" applyFont="1" applyAlignment="1">
      <alignment horizontal="left" wrapText="1"/>
    </xf>
    <xf numFmtId="0" fontId="0" fillId="0" borderId="6" xfId="0" applyBorder="1" applyAlignment="1">
      <alignment horizontal="center"/>
    </xf>
    <xf numFmtId="0" fontId="0" fillId="0" borderId="7" xfId="0" applyFont="1"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10" xfId="0" applyNumberFormat="1" applyBorder="1" applyAlignment="1">
      <alignment horizontal="center"/>
    </xf>
    <xf numFmtId="166" fontId="0" fillId="0" borderId="11" xfId="0" applyNumberFormat="1" applyBorder="1" applyAlignment="1">
      <alignment horizontal="center"/>
    </xf>
    <xf numFmtId="166" fontId="0" fillId="0" borderId="7" xfId="0" applyNumberFormat="1" applyFont="1" applyBorder="1" applyAlignment="1">
      <alignment horizontal="center"/>
    </xf>
    <xf numFmtId="166" fontId="0" fillId="0" borderId="6" xfId="0" applyNumberFormat="1" applyFill="1" applyBorder="1" applyAlignment="1">
      <alignment horizontal="center"/>
    </xf>
    <xf numFmtId="0" fontId="0" fillId="0" borderId="7" xfId="0" applyFont="1" applyFill="1" applyBorder="1" applyAlignment="1">
      <alignment horizontal="center"/>
    </xf>
    <xf numFmtId="0" fontId="0" fillId="0" borderId="6" xfId="0" applyFill="1" applyBorder="1" applyAlignment="1">
      <alignment horizontal="center"/>
    </xf>
    <xf numFmtId="166" fontId="0" fillId="0" borderId="7" xfId="0" applyNumberFormat="1" applyFill="1" applyBorder="1" applyAlignment="1">
      <alignment horizontal="center"/>
    </xf>
    <xf numFmtId="166" fontId="0" fillId="0" borderId="8" xfId="0" applyNumberFormat="1" applyBorder="1" applyAlignment="1">
      <alignment horizontal="center"/>
    </xf>
    <xf numFmtId="166" fontId="0" fillId="0" borderId="12" xfId="0" applyNumberFormat="1" applyBorder="1" applyAlignment="1">
      <alignment horizontal="center"/>
    </xf>
    <xf numFmtId="0" fontId="0" fillId="0" borderId="7" xfId="0" applyBorder="1" applyAlignment="1">
      <alignment horizontal="center"/>
    </xf>
    <xf numFmtId="166" fontId="0" fillId="0" borderId="14" xfId="0" applyNumberFormat="1" applyBorder="1" applyAlignment="1">
      <alignment horizontal="center"/>
    </xf>
    <xf numFmtId="3" fontId="0" fillId="0" borderId="7" xfId="0" applyNumberFormat="1" applyFont="1" applyFill="1" applyBorder="1" applyAlignment="1">
      <alignment horizontal="center"/>
    </xf>
    <xf numFmtId="0" fontId="5" fillId="0" borderId="0" xfId="0" applyFont="1" applyAlignment="1">
      <alignment horizontal="left"/>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5" fontId="0" fillId="2" borderId="0" xfId="0" applyNumberFormat="1" applyFill="1" applyAlignment="1">
      <alignment horizontal="center"/>
    </xf>
    <xf numFmtId="14" fontId="0" fillId="2" borderId="0" xfId="0" applyNumberFormat="1" applyFill="1" applyAlignment="1">
      <alignment horizontal="center"/>
    </xf>
    <xf numFmtId="4" fontId="1" fillId="2" borderId="0" xfId="0" applyNumberFormat="1" applyFont="1" applyFill="1" applyAlignment="1">
      <alignment horizontal="center"/>
    </xf>
    <xf numFmtId="166" fontId="0" fillId="0" borderId="14" xfId="0" applyNumberFormat="1" applyFill="1" applyBorder="1" applyAlignment="1">
      <alignment horizontal="center"/>
    </xf>
    <xf numFmtId="0" fontId="0" fillId="0" borderId="4" xfId="0" applyBorder="1" applyAlignment="1">
      <alignment horizontal="center"/>
    </xf>
    <xf numFmtId="0" fontId="0" fillId="0" borderId="5" xfId="0" applyFont="1" applyBorder="1" applyAlignment="1">
      <alignment horizontal="center"/>
    </xf>
    <xf numFmtId="166" fontId="0" fillId="0" borderId="5" xfId="0" applyNumberFormat="1" applyBorder="1" applyAlignment="1">
      <alignment horizontal="center"/>
    </xf>
    <xf numFmtId="166" fontId="0" fillId="0" borderId="15" xfId="0" applyNumberFormat="1" applyBorder="1" applyAlignment="1">
      <alignment horizontal="center"/>
    </xf>
    <xf numFmtId="166" fontId="0" fillId="0" borderId="15" xfId="0" applyNumberFormat="1" applyFill="1" applyBorder="1" applyAlignment="1">
      <alignment horizontal="center"/>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166" fontId="0" fillId="0" borderId="10" xfId="0" applyNumberFormat="1" applyFill="1" applyBorder="1" applyAlignment="1">
      <alignment horizontal="center"/>
    </xf>
    <xf numFmtId="166" fontId="0" fillId="0" borderId="11" xfId="0" applyNumberFormat="1" applyFill="1" applyBorder="1" applyAlignment="1">
      <alignment horizontal="center"/>
    </xf>
    <xf numFmtId="166" fontId="0" fillId="0" borderId="7" xfId="0" applyNumberFormat="1" applyFont="1" applyFill="1" applyBorder="1" applyAlignment="1">
      <alignment horizontal="center"/>
    </xf>
    <xf numFmtId="0" fontId="0" fillId="0" borderId="14" xfId="0" applyFill="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xf numFmtId="0" fontId="0" fillId="0" borderId="6" xfId="0" applyFont="1" applyFill="1" applyBorder="1" applyAlignment="1">
      <alignment horizontal="center"/>
    </xf>
    <xf numFmtId="166" fontId="0" fillId="0" borderId="6" xfId="0" applyNumberFormat="1" applyFont="1" applyFill="1" applyBorder="1" applyAlignment="1">
      <alignment horizontal="center"/>
    </xf>
    <xf numFmtId="0" fontId="0" fillId="0" borderId="0" xfId="0" applyFont="1" applyFill="1" applyAlignment="1">
      <alignment horizontal="center"/>
    </xf>
    <xf numFmtId="0" fontId="1" fillId="0" borderId="0" xfId="0" applyFont="1" applyFill="1" applyBorder="1" applyAlignment="1">
      <alignment horizontal="left"/>
    </xf>
    <xf numFmtId="0" fontId="0" fillId="0" borderId="4" xfId="0" applyFont="1" applyFill="1" applyBorder="1" applyAlignment="1">
      <alignment horizontal="center"/>
    </xf>
    <xf numFmtId="166" fontId="0" fillId="0" borderId="8" xfId="0" applyNumberFormat="1" applyFill="1"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0" xfId="0" applyFont="1" applyFill="1" applyAlignment="1">
      <alignment horizontal="center"/>
    </xf>
    <xf numFmtId="0" fontId="3" fillId="2" borderId="0" xfId="0" applyFont="1" applyFill="1" applyAlignment="1">
      <alignment horizontal="left"/>
    </xf>
    <xf numFmtId="3" fontId="10" fillId="0" borderId="21" xfId="0" applyNumberFormat="1" applyFont="1" applyBorder="1" applyAlignment="1">
      <alignment horizontal="center" vertical="top" wrapText="1"/>
    </xf>
    <xf numFmtId="3" fontId="10" fillId="0" borderId="22" xfId="0" applyNumberFormat="1" applyFont="1" applyBorder="1" applyAlignment="1">
      <alignment horizontal="center" vertical="top" wrapText="1"/>
    </xf>
    <xf numFmtId="3" fontId="10" fillId="0" borderId="21" xfId="0" applyNumberFormat="1" applyFont="1" applyFill="1" applyBorder="1" applyAlignment="1">
      <alignment horizontal="center" vertical="top" wrapText="1"/>
    </xf>
    <xf numFmtId="3" fontId="10" fillId="0" borderId="23" xfId="0" applyNumberFormat="1" applyFont="1" applyFill="1" applyBorder="1" applyAlignment="1">
      <alignment horizontal="center" vertical="top" wrapText="1"/>
    </xf>
    <xf numFmtId="3" fontId="10" fillId="0" borderId="22" xfId="0" applyNumberFormat="1" applyFont="1" applyFill="1" applyBorder="1" applyAlignment="1">
      <alignment horizontal="center" vertical="top" wrapText="1"/>
    </xf>
    <xf numFmtId="3" fontId="9" fillId="0" borderId="26" xfId="0" applyNumberFormat="1" applyFont="1" applyBorder="1" applyAlignment="1">
      <alignment horizontal="right" vertical="top" wrapText="1"/>
    </xf>
    <xf numFmtId="3" fontId="9" fillId="0" borderId="27" xfId="0" applyNumberFormat="1" applyFont="1" applyBorder="1" applyAlignment="1">
      <alignment horizontal="right" vertical="top" wrapText="1"/>
    </xf>
    <xf numFmtId="0" fontId="0" fillId="0" borderId="25" xfId="0" applyBorder="1" applyAlignment="1">
      <alignment vertical="top"/>
    </xf>
    <xf numFmtId="3" fontId="9" fillId="0" borderId="25" xfId="0" applyNumberFormat="1" applyFont="1" applyBorder="1" applyAlignment="1">
      <alignment vertical="top" wrapText="1"/>
    </xf>
    <xf numFmtId="3" fontId="11" fillId="0" borderId="1" xfId="0" applyNumberFormat="1" applyFont="1" applyBorder="1" applyAlignment="1">
      <alignment vertical="top" wrapText="1"/>
    </xf>
    <xf numFmtId="3" fontId="11" fillId="4" borderId="1" xfId="0" applyNumberFormat="1" applyFont="1" applyFill="1" applyBorder="1" applyAlignment="1">
      <alignment horizontal="right" vertical="top" wrapText="1"/>
    </xf>
    <xf numFmtId="3" fontId="11" fillId="4" borderId="3" xfId="0" applyNumberFormat="1" applyFont="1" applyFill="1" applyBorder="1" applyAlignment="1">
      <alignment horizontal="right" vertical="top" wrapText="1"/>
    </xf>
    <xf numFmtId="3" fontId="11" fillId="4" borderId="2" xfId="0" applyNumberFormat="1" applyFont="1" applyFill="1" applyBorder="1" applyAlignment="1">
      <alignment horizontal="right" vertical="top" wrapText="1"/>
    </xf>
    <xf numFmtId="0" fontId="12" fillId="4" borderId="3" xfId="0" applyFont="1" applyFill="1" applyBorder="1" applyAlignment="1">
      <alignment vertical="top"/>
    </xf>
    <xf numFmtId="3" fontId="6" fillId="0" borderId="0" xfId="0" applyNumberFormat="1" applyFont="1" applyAlignment="1">
      <alignment vertical="top"/>
    </xf>
    <xf numFmtId="3" fontId="7" fillId="0" borderId="33" xfId="0" applyNumberFormat="1" applyFont="1" applyBorder="1" applyAlignment="1">
      <alignment vertical="top"/>
    </xf>
    <xf numFmtId="0" fontId="0" fillId="0" borderId="0" xfId="0" applyFill="1" applyAlignment="1">
      <alignment vertical="top"/>
    </xf>
    <xf numFmtId="0" fontId="0" fillId="0" borderId="0" xfId="0" applyAlignment="1">
      <alignment vertical="top"/>
    </xf>
    <xf numFmtId="0" fontId="0" fillId="2" borderId="0" xfId="0" applyFill="1" applyBorder="1" applyAlignment="1">
      <alignment horizontal="center"/>
    </xf>
    <xf numFmtId="164" fontId="0" fillId="2" borderId="0" xfId="0" applyNumberFormat="1" applyFill="1" applyBorder="1" applyAlignment="1">
      <alignment horizontal="center"/>
    </xf>
    <xf numFmtId="0" fontId="0" fillId="2" borderId="0" xfId="0" applyFill="1" applyBorder="1"/>
    <xf numFmtId="3" fontId="10" fillId="3" borderId="16" xfId="0" applyNumberFormat="1" applyFont="1" applyFill="1" applyBorder="1" applyAlignment="1">
      <alignment horizontal="center" vertical="top"/>
    </xf>
    <xf numFmtId="3" fontId="10" fillId="0" borderId="20" xfId="0" applyNumberFormat="1" applyFont="1" applyBorder="1" applyAlignment="1">
      <alignment vertical="center" wrapText="1"/>
    </xf>
    <xf numFmtId="0" fontId="0" fillId="2" borderId="0" xfId="0" applyFill="1" applyBorder="1" applyAlignment="1">
      <alignment horizontal="left"/>
    </xf>
    <xf numFmtId="0" fontId="1" fillId="0" borderId="0" xfId="0" applyFont="1" applyFill="1"/>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0" fontId="0" fillId="0" borderId="0" xfId="0" applyNumberFormat="1" applyFill="1" applyAlignment="1">
      <alignment horizontal="left"/>
    </xf>
    <xf numFmtId="0" fontId="0" fillId="0" borderId="0" xfId="0" applyFill="1" applyBorder="1"/>
    <xf numFmtId="164" fontId="0" fillId="0" borderId="0" xfId="0" applyNumberFormat="1" applyFill="1" applyBorder="1" applyAlignment="1">
      <alignment horizontal="center"/>
    </xf>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16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Fill="1"/>
    <xf numFmtId="165" fontId="0" fillId="0" borderId="0" xfId="0" applyNumberFormat="1" applyFill="1" applyBorder="1"/>
    <xf numFmtId="165" fontId="0" fillId="0" borderId="0" xfId="0" applyNumberFormat="1" applyFill="1" applyAlignment="1">
      <alignment horizontal="center"/>
    </xf>
    <xf numFmtId="0" fontId="0" fillId="0" borderId="0" xfId="0" applyNumberFormat="1" applyFill="1" applyBorder="1" applyAlignment="1">
      <alignment horizontal="left"/>
    </xf>
    <xf numFmtId="3" fontId="1" fillId="0" borderId="0" xfId="0" applyNumberFormat="1" applyFont="1" applyFill="1" applyAlignment="1">
      <alignment horizontal="left"/>
    </xf>
    <xf numFmtId="3" fontId="1" fillId="0" borderId="0" xfId="0" applyNumberFormat="1" applyFont="1" applyFill="1"/>
    <xf numFmtId="3" fontId="0" fillId="0" borderId="0" xfId="0" applyNumberFormat="1" applyFill="1"/>
    <xf numFmtId="3" fontId="0" fillId="0" borderId="0" xfId="0" applyNumberFormat="1" applyFill="1" applyAlignment="1">
      <alignment horizontal="left"/>
    </xf>
    <xf numFmtId="49" fontId="0" fillId="0" borderId="0" xfId="1" applyNumberFormat="1" applyFont="1" applyFill="1"/>
    <xf numFmtId="165" fontId="0" fillId="0" borderId="0" xfId="0" applyNumberFormat="1" applyFill="1" applyAlignment="1">
      <alignment horizontal="left"/>
    </xf>
    <xf numFmtId="165" fontId="0" fillId="2" borderId="0" xfId="0" applyNumberFormat="1" applyFill="1" applyBorder="1" applyAlignment="1">
      <alignment horizontal="center"/>
    </xf>
    <xf numFmtId="14" fontId="0" fillId="2" borderId="0" xfId="0" applyNumberFormat="1" applyFill="1" applyBorder="1" applyAlignment="1">
      <alignment horizontal="center"/>
    </xf>
    <xf numFmtId="14" fontId="0" fillId="2" borderId="0" xfId="0" applyNumberFormat="1" applyFill="1" applyBorder="1" applyAlignment="1">
      <alignment horizontal="left"/>
    </xf>
    <xf numFmtId="167" fontId="0" fillId="0" borderId="0" xfId="0" applyNumberFormat="1" applyFill="1" applyBorder="1" applyAlignment="1">
      <alignment horizontal="center"/>
    </xf>
    <xf numFmtId="165" fontId="0" fillId="0" borderId="0" xfId="0" applyNumberFormat="1" applyFill="1" applyBorder="1" applyAlignment="1">
      <alignment horizontal="center"/>
    </xf>
    <xf numFmtId="165" fontId="9" fillId="0" borderId="27" xfId="0" applyNumberFormat="1" applyFont="1" applyBorder="1" applyAlignment="1">
      <alignment horizontal="right" vertical="top" wrapText="1"/>
    </xf>
    <xf numFmtId="165" fontId="9" fillId="0" borderId="26" xfId="0" applyNumberFormat="1" applyFont="1" applyFill="1" applyBorder="1" applyAlignment="1">
      <alignment horizontal="right" vertical="top" wrapText="1"/>
    </xf>
    <xf numFmtId="165" fontId="9" fillId="0" borderId="27" xfId="0" applyNumberFormat="1" applyFont="1" applyFill="1" applyBorder="1" applyAlignment="1">
      <alignment horizontal="right" vertical="top" wrapText="1"/>
    </xf>
    <xf numFmtId="165" fontId="9" fillId="0" borderId="29" xfId="0" applyNumberFormat="1" applyFont="1" applyFill="1" applyBorder="1" applyAlignment="1">
      <alignment horizontal="right" vertical="top" wrapText="1"/>
    </xf>
    <xf numFmtId="0" fontId="1" fillId="0" borderId="24" xfId="0" applyFont="1" applyBorder="1" applyAlignment="1">
      <alignment horizontal="center" vertical="top" wrapText="1"/>
    </xf>
    <xf numFmtId="167" fontId="0" fillId="0" borderId="0" xfId="1" applyNumberFormat="1" applyFont="1" applyFill="1" applyBorder="1" applyAlignment="1">
      <alignment horizontal="center"/>
    </xf>
    <xf numFmtId="0" fontId="1" fillId="0" borderId="0" xfId="0" applyFont="1" applyFill="1" applyBorder="1" applyAlignment="1">
      <alignment horizontal="center"/>
    </xf>
    <xf numFmtId="164" fontId="1" fillId="0" borderId="0" xfId="0" applyNumberFormat="1" applyFont="1" applyFill="1" applyBorder="1" applyAlignment="1">
      <alignment horizontal="center"/>
    </xf>
    <xf numFmtId="165" fontId="0" fillId="2" borderId="0" xfId="0" applyNumberFormat="1" applyFill="1"/>
    <xf numFmtId="165" fontId="0" fillId="2" borderId="0" xfId="0" applyNumberFormat="1" applyFill="1" applyBorder="1"/>
    <xf numFmtId="0" fontId="13" fillId="0" borderId="0" xfId="0" applyFont="1" applyFill="1" applyAlignment="1">
      <alignment horizontal="left"/>
    </xf>
    <xf numFmtId="164" fontId="14" fillId="0" borderId="0" xfId="0" applyNumberFormat="1" applyFont="1" applyFill="1" applyAlignment="1">
      <alignment horizontal="center"/>
    </xf>
    <xf numFmtId="165" fontId="14" fillId="0" borderId="0" xfId="0" applyNumberFormat="1" applyFont="1" applyFill="1" applyAlignment="1">
      <alignment horizontal="center"/>
    </xf>
    <xf numFmtId="0" fontId="14" fillId="0" borderId="0" xfId="0" applyFont="1" applyFill="1" applyBorder="1"/>
    <xf numFmtId="3" fontId="10" fillId="0" borderId="24" xfId="0" applyNumberFormat="1" applyFont="1" applyBorder="1" applyAlignment="1">
      <alignment vertical="center" wrapText="1"/>
    </xf>
    <xf numFmtId="3" fontId="10" fillId="0" borderId="39" xfId="0" applyNumberFormat="1" applyFont="1" applyBorder="1" applyAlignment="1">
      <alignment horizontal="center" vertical="center" wrapText="1"/>
    </xf>
    <xf numFmtId="3" fontId="10" fillId="0" borderId="29" xfId="0" applyNumberFormat="1" applyFont="1" applyBorder="1" applyAlignment="1">
      <alignment horizontal="center" vertical="center" wrapText="1"/>
    </xf>
    <xf numFmtId="3" fontId="10" fillId="0" borderId="40" xfId="0" applyNumberFormat="1" applyFont="1" applyBorder="1" applyAlignment="1">
      <alignment horizontal="center" vertical="center" wrapText="1"/>
    </xf>
    <xf numFmtId="3" fontId="10" fillId="0" borderId="27" xfId="0" applyNumberFormat="1" applyFont="1" applyBorder="1" applyAlignment="1">
      <alignment horizontal="center" vertical="top" wrapText="1"/>
    </xf>
    <xf numFmtId="3" fontId="10" fillId="0" borderId="26" xfId="0" applyNumberFormat="1" applyFont="1" applyFill="1" applyBorder="1" applyAlignment="1">
      <alignment horizontal="center" vertical="top" wrapText="1"/>
    </xf>
    <xf numFmtId="3" fontId="10" fillId="0" borderId="41" xfId="0" applyNumberFormat="1" applyFont="1" applyFill="1" applyBorder="1" applyAlignment="1">
      <alignment horizontal="center" vertical="top" wrapText="1"/>
    </xf>
    <xf numFmtId="3" fontId="10" fillId="0" borderId="27" xfId="0" applyNumberFormat="1" applyFont="1" applyFill="1" applyBorder="1" applyAlignment="1">
      <alignment horizontal="center" vertical="top" wrapText="1"/>
    </xf>
    <xf numFmtId="3" fontId="10" fillId="0" borderId="26" xfId="0" applyNumberFormat="1" applyFont="1" applyBorder="1" applyAlignment="1">
      <alignment horizontal="center" vertical="top" wrapText="1"/>
    </xf>
    <xf numFmtId="165" fontId="9" fillId="0" borderId="39" xfId="0" applyNumberFormat="1" applyFont="1" applyBorder="1" applyAlignment="1">
      <alignment horizontal="right" vertical="top" wrapText="1"/>
    </xf>
    <xf numFmtId="165" fontId="9" fillId="0" borderId="41" xfId="0" applyNumberFormat="1" applyFont="1" applyBorder="1" applyAlignment="1">
      <alignment horizontal="right" vertical="top" wrapText="1"/>
    </xf>
    <xf numFmtId="165" fontId="9" fillId="0" borderId="42" xfId="0" applyNumberFormat="1" applyFont="1" applyBorder="1" applyAlignment="1">
      <alignment horizontal="right" vertical="top" wrapText="1"/>
    </xf>
    <xf numFmtId="165" fontId="9" fillId="0" borderId="28" xfId="0" applyNumberFormat="1" applyFont="1" applyFill="1" applyBorder="1" applyAlignment="1">
      <alignment horizontal="right" vertical="top" wrapText="1"/>
    </xf>
    <xf numFmtId="165" fontId="10" fillId="0" borderId="29" xfId="0" applyNumberFormat="1" applyFont="1" applyFill="1" applyBorder="1" applyAlignment="1">
      <alignment horizontal="right" vertical="top" wrapText="1"/>
    </xf>
    <xf numFmtId="165" fontId="9" fillId="0" borderId="30" xfId="0" applyNumberFormat="1" applyFont="1" applyFill="1" applyBorder="1" applyAlignment="1">
      <alignment horizontal="right" vertical="top" wrapText="1"/>
    </xf>
    <xf numFmtId="165" fontId="9" fillId="0" borderId="39" xfId="0" applyNumberFormat="1" applyFont="1" applyFill="1" applyBorder="1" applyAlignment="1">
      <alignment horizontal="right" vertical="top" wrapText="1"/>
    </xf>
    <xf numFmtId="165" fontId="9" fillId="0" borderId="41" xfId="0" applyNumberFormat="1" applyFont="1" applyFill="1" applyBorder="1" applyAlignment="1">
      <alignment horizontal="right" vertical="top" wrapText="1"/>
    </xf>
    <xf numFmtId="165" fontId="9" fillId="0" borderId="42" xfId="0" applyNumberFormat="1" applyFont="1" applyFill="1" applyBorder="1" applyAlignment="1">
      <alignment horizontal="right" vertical="top" wrapText="1"/>
    </xf>
    <xf numFmtId="165" fontId="9" fillId="0" borderId="43" xfId="0" applyNumberFormat="1" applyFont="1" applyFill="1" applyBorder="1" applyAlignment="1">
      <alignment horizontal="right" vertical="top" wrapText="1"/>
    </xf>
    <xf numFmtId="165" fontId="9" fillId="0" borderId="44" xfId="0" applyNumberFormat="1" applyFont="1" applyFill="1" applyBorder="1" applyAlignment="1">
      <alignment horizontal="right" vertical="top" wrapText="1"/>
    </xf>
    <xf numFmtId="165" fontId="11" fillId="0" borderId="32" xfId="0" applyNumberFormat="1" applyFont="1" applyFill="1" applyBorder="1" applyAlignment="1">
      <alignment horizontal="right" vertical="top" wrapText="1"/>
    </xf>
    <xf numFmtId="165" fontId="10" fillId="0" borderId="26" xfId="0" applyNumberFormat="1" applyFont="1" applyFill="1" applyBorder="1" applyAlignment="1">
      <alignment horizontal="center" vertical="top" wrapText="1"/>
    </xf>
    <xf numFmtId="165" fontId="10" fillId="0" borderId="41" xfId="0" applyNumberFormat="1" applyFont="1" applyFill="1" applyBorder="1" applyAlignment="1">
      <alignment horizontal="center" vertical="top" wrapText="1"/>
    </xf>
    <xf numFmtId="165" fontId="10" fillId="0" borderId="27" xfId="0" applyNumberFormat="1" applyFont="1" applyFill="1" applyBorder="1" applyAlignment="1">
      <alignment horizontal="center" vertical="top" wrapText="1"/>
    </xf>
    <xf numFmtId="165" fontId="9" fillId="0" borderId="45" xfId="0" applyNumberFormat="1" applyFont="1" applyFill="1" applyBorder="1" applyAlignment="1">
      <alignment horizontal="right" vertical="top" wrapText="1"/>
    </xf>
    <xf numFmtId="165" fontId="9" fillId="0" borderId="46" xfId="0" applyNumberFormat="1" applyFont="1" applyFill="1" applyBorder="1" applyAlignment="1">
      <alignment horizontal="right" vertical="top" wrapText="1"/>
    </xf>
    <xf numFmtId="165" fontId="11" fillId="0" borderId="31" xfId="0" applyNumberFormat="1" applyFont="1" applyFill="1" applyBorder="1" applyAlignment="1">
      <alignment horizontal="right" vertical="top" wrapText="1"/>
    </xf>
    <xf numFmtId="0" fontId="0" fillId="0" borderId="0" xfId="0" applyFont="1"/>
    <xf numFmtId="0" fontId="1" fillId="2" borderId="0" xfId="0" applyFont="1" applyFill="1" applyAlignment="1">
      <alignment horizontal="left"/>
    </xf>
    <xf numFmtId="0" fontId="0" fillId="0" borderId="0" xfId="0" applyFont="1" applyFill="1" applyBorder="1" applyAlignment="1">
      <alignment horizontal="left" vertical="top" wrapText="1"/>
    </xf>
    <xf numFmtId="166" fontId="15" fillId="0" borderId="0" xfId="0" applyNumberFormat="1" applyFont="1"/>
    <xf numFmtId="166" fontId="16" fillId="0" borderId="0" xfId="0" applyNumberFormat="1" applyFont="1"/>
    <xf numFmtId="0" fontId="3" fillId="2" borderId="0" xfId="0" applyFont="1" applyFill="1" applyBorder="1" applyAlignment="1">
      <alignment horizontal="left" vertical="top" wrapText="1"/>
    </xf>
    <xf numFmtId="0" fontId="17" fillId="0" borderId="0" xfId="0" applyFont="1" applyAlignment="1">
      <alignment horizontal="left"/>
    </xf>
    <xf numFmtId="0" fontId="1" fillId="5" borderId="40" xfId="0" applyFont="1" applyFill="1" applyBorder="1" applyAlignment="1">
      <alignment horizontal="left"/>
    </xf>
    <xf numFmtId="0" fontId="0" fillId="5" borderId="47" xfId="0" applyFill="1" applyBorder="1" applyAlignment="1">
      <alignment horizontal="center"/>
    </xf>
    <xf numFmtId="164" fontId="0" fillId="5" borderId="47" xfId="0" applyNumberFormat="1" applyFill="1" applyBorder="1" applyAlignment="1">
      <alignment horizontal="center"/>
    </xf>
    <xf numFmtId="0" fontId="0" fillId="5" borderId="47" xfId="0" applyFill="1" applyBorder="1"/>
    <xf numFmtId="0" fontId="0" fillId="5" borderId="48" xfId="0" applyNumberFormat="1" applyFill="1" applyBorder="1" applyAlignment="1">
      <alignment horizontal="left"/>
    </xf>
    <xf numFmtId="0" fontId="0" fillId="2" borderId="50" xfId="0" applyFill="1" applyBorder="1"/>
    <xf numFmtId="0" fontId="3" fillId="2" borderId="53" xfId="0" applyFont="1" applyFill="1" applyBorder="1" applyAlignment="1">
      <alignment horizontal="left" vertical="top" wrapText="1"/>
    </xf>
    <xf numFmtId="0" fontId="0" fillId="2" borderId="53" xfId="0" applyNumberFormat="1" applyFill="1" applyBorder="1" applyAlignment="1">
      <alignment horizontal="left"/>
    </xf>
    <xf numFmtId="0" fontId="0" fillId="0" borderId="53" xfId="0" applyFont="1" applyFill="1" applyBorder="1" applyAlignment="1">
      <alignment horizontal="left" vertical="top" wrapText="1"/>
    </xf>
    <xf numFmtId="0" fontId="3" fillId="2" borderId="42" xfId="0" applyFont="1" applyFill="1" applyBorder="1" applyAlignment="1">
      <alignment horizontal="left"/>
    </xf>
    <xf numFmtId="0" fontId="0" fillId="2" borderId="45" xfId="0" applyFill="1" applyBorder="1" applyAlignment="1">
      <alignment horizontal="left"/>
    </xf>
    <xf numFmtId="0" fontId="0" fillId="2" borderId="45" xfId="0" applyFill="1" applyBorder="1" applyAlignment="1">
      <alignment horizontal="center"/>
    </xf>
    <xf numFmtId="164" fontId="0" fillId="2" borderId="45" xfId="0" applyNumberFormat="1" applyFill="1" applyBorder="1" applyAlignment="1">
      <alignment horizontal="center"/>
    </xf>
    <xf numFmtId="0" fontId="0" fillId="2" borderId="45" xfId="0" applyFill="1" applyBorder="1"/>
    <xf numFmtId="0" fontId="0" fillId="2" borderId="54" xfId="0" applyNumberFormat="1" applyFill="1" applyBorder="1" applyAlignment="1">
      <alignment horizontal="left"/>
    </xf>
    <xf numFmtId="0" fontId="0" fillId="2" borderId="47" xfId="0" applyFill="1" applyBorder="1" applyAlignment="1">
      <alignment horizontal="left"/>
    </xf>
    <xf numFmtId="0" fontId="0" fillId="2" borderId="49" xfId="0" applyFill="1" applyBorder="1" applyAlignment="1">
      <alignment horizontal="left"/>
    </xf>
    <xf numFmtId="0" fontId="0" fillId="2" borderId="50" xfId="0" applyFill="1" applyBorder="1" applyAlignment="1">
      <alignment horizontal="left"/>
    </xf>
    <xf numFmtId="0" fontId="0" fillId="2" borderId="42" xfId="0" applyFill="1" applyBorder="1" applyAlignment="1">
      <alignment horizontal="left"/>
    </xf>
    <xf numFmtId="168" fontId="0" fillId="2" borderId="54" xfId="0" applyNumberFormat="1" applyFill="1" applyBorder="1" applyAlignment="1">
      <alignment horizontal="center" vertical="top"/>
    </xf>
    <xf numFmtId="164" fontId="0" fillId="5" borderId="48" xfId="0" applyNumberFormat="1" applyFill="1" applyBorder="1" applyAlignment="1">
      <alignment horizontal="center"/>
    </xf>
    <xf numFmtId="167" fontId="0" fillId="2" borderId="49" xfId="1" applyNumberFormat="1" applyFont="1" applyFill="1" applyBorder="1" applyAlignment="1">
      <alignment horizontal="right"/>
    </xf>
    <xf numFmtId="164" fontId="0" fillId="2" borderId="51" xfId="0" applyNumberFormat="1" applyFill="1" applyBorder="1" applyAlignment="1">
      <alignment horizontal="center"/>
    </xf>
    <xf numFmtId="165" fontId="0" fillId="2" borderId="52" xfId="1" applyNumberFormat="1" applyFont="1" applyFill="1" applyBorder="1" applyAlignment="1">
      <alignment horizontal="right"/>
    </xf>
    <xf numFmtId="164" fontId="0" fillId="2" borderId="53" xfId="0" applyNumberFormat="1" applyFill="1" applyBorder="1" applyAlignment="1">
      <alignment horizontal="center"/>
    </xf>
    <xf numFmtId="167" fontId="0" fillId="2" borderId="52" xfId="1" applyNumberFormat="1" applyFont="1" applyFill="1" applyBorder="1" applyAlignment="1">
      <alignment horizontal="right"/>
    </xf>
    <xf numFmtId="167" fontId="0" fillId="2" borderId="42" xfId="1" applyNumberFormat="1" applyFont="1" applyFill="1" applyBorder="1" applyAlignment="1">
      <alignment horizontal="right"/>
    </xf>
    <xf numFmtId="164" fontId="0" fillId="2" borderId="54" xfId="0" applyNumberFormat="1" applyFill="1" applyBorder="1" applyAlignment="1">
      <alignment horizontal="center"/>
    </xf>
    <xf numFmtId="165" fontId="0" fillId="2" borderId="40" xfId="0" applyNumberFormat="1" applyFill="1" applyBorder="1" applyAlignment="1">
      <alignment horizontal="right"/>
    </xf>
    <xf numFmtId="164" fontId="0" fillId="2" borderId="48" xfId="0" applyNumberFormat="1" applyFill="1" applyBorder="1" applyAlignment="1">
      <alignment horizontal="center"/>
    </xf>
    <xf numFmtId="0" fontId="0" fillId="5" borderId="48" xfId="0" applyFill="1" applyBorder="1" applyAlignment="1">
      <alignment horizontal="center"/>
    </xf>
    <xf numFmtId="0" fontId="0" fillId="2" borderId="49" xfId="0" applyFill="1" applyBorder="1"/>
    <xf numFmtId="0" fontId="1" fillId="2" borderId="50" xfId="0" applyFont="1" applyFill="1" applyBorder="1" applyAlignment="1">
      <alignment horizontal="center"/>
    </xf>
    <xf numFmtId="164" fontId="1" fillId="2" borderId="50" xfId="0" applyNumberFormat="1" applyFont="1" applyFill="1" applyBorder="1" applyAlignment="1">
      <alignment horizontal="center"/>
    </xf>
    <xf numFmtId="0" fontId="1" fillId="2" borderId="51" xfId="0" applyFont="1" applyFill="1" applyBorder="1" applyAlignment="1">
      <alignment horizontal="center"/>
    </xf>
    <xf numFmtId="0" fontId="0" fillId="2" borderId="52" xfId="0" applyFill="1" applyBorder="1"/>
    <xf numFmtId="3" fontId="0" fillId="2" borderId="53" xfId="0" applyNumberFormat="1" applyFill="1" applyBorder="1" applyAlignment="1">
      <alignment horizontal="center"/>
    </xf>
    <xf numFmtId="3" fontId="0" fillId="2" borderId="54" xfId="0" applyNumberFormat="1" applyFill="1" applyBorder="1" applyAlignment="1">
      <alignment horizontal="center"/>
    </xf>
    <xf numFmtId="0" fontId="0" fillId="2" borderId="42" xfId="0" applyFill="1" applyBorder="1"/>
    <xf numFmtId="165" fontId="0" fillId="2" borderId="45" xfId="0" applyNumberFormat="1" applyFill="1" applyBorder="1" applyAlignment="1">
      <alignment horizontal="center"/>
    </xf>
    <xf numFmtId="14" fontId="0" fillId="2" borderId="45" xfId="0" applyNumberFormat="1" applyFill="1" applyBorder="1" applyAlignment="1">
      <alignment horizontal="center"/>
    </xf>
    <xf numFmtId="3" fontId="1" fillId="2" borderId="54" xfId="0" applyNumberFormat="1" applyFont="1" applyFill="1" applyBorder="1" applyAlignment="1">
      <alignment horizontal="center"/>
    </xf>
    <xf numFmtId="0" fontId="2" fillId="5" borderId="40" xfId="0" applyFont="1" applyFill="1" applyBorder="1"/>
    <xf numFmtId="0" fontId="1" fillId="0" borderId="49" xfId="0" applyFont="1" applyFill="1" applyBorder="1" applyAlignment="1">
      <alignment horizontal="left"/>
    </xf>
    <xf numFmtId="0" fontId="0" fillId="0" borderId="50" xfId="0" applyFill="1" applyBorder="1"/>
    <xf numFmtId="0" fontId="0" fillId="0" borderId="51" xfId="0" applyFill="1" applyBorder="1"/>
    <xf numFmtId="3" fontId="1" fillId="0" borderId="52" xfId="0" applyNumberFormat="1" applyFont="1" applyFill="1" applyBorder="1" applyAlignment="1">
      <alignment horizontal="left"/>
    </xf>
    <xf numFmtId="0" fontId="0" fillId="0" borderId="53" xfId="0" applyFill="1" applyBorder="1"/>
    <xf numFmtId="0" fontId="0" fillId="0" borderId="52" xfId="0" applyFill="1" applyBorder="1" applyAlignment="1">
      <alignment horizontal="center"/>
    </xf>
    <xf numFmtId="0" fontId="1" fillId="0" borderId="52" xfId="0" applyFont="1" applyFill="1" applyBorder="1" applyAlignment="1">
      <alignment horizontal="right"/>
    </xf>
    <xf numFmtId="0" fontId="1" fillId="0" borderId="53" xfId="0" applyFont="1" applyFill="1" applyBorder="1" applyAlignment="1">
      <alignment horizontal="right"/>
    </xf>
    <xf numFmtId="0" fontId="0" fillId="0" borderId="52" xfId="0" applyNumberFormat="1" applyFill="1" applyBorder="1" applyAlignment="1">
      <alignment horizontal="right"/>
    </xf>
    <xf numFmtId="165" fontId="0" fillId="0" borderId="53" xfId="0" applyNumberFormat="1" applyFill="1" applyBorder="1" applyAlignment="1">
      <alignment horizontal="right"/>
    </xf>
    <xf numFmtId="0" fontId="0" fillId="0" borderId="42" xfId="0" applyNumberFormat="1" applyFill="1" applyBorder="1" applyAlignment="1">
      <alignment horizontal="right"/>
    </xf>
    <xf numFmtId="165" fontId="0" fillId="0" borderId="45" xfId="0" applyNumberFormat="1" applyFill="1" applyBorder="1" applyAlignment="1">
      <alignment horizontal="right"/>
    </xf>
    <xf numFmtId="165" fontId="0" fillId="0" borderId="54" xfId="0" applyNumberFormat="1" applyFill="1" applyBorder="1" applyAlignment="1">
      <alignment horizontal="right"/>
    </xf>
    <xf numFmtId="0" fontId="2" fillId="5" borderId="40" xfId="0" applyNumberFormat="1" applyFont="1" applyFill="1" applyBorder="1" applyAlignment="1">
      <alignment horizontal="left"/>
    </xf>
    <xf numFmtId="0" fontId="0" fillId="5" borderId="47" xfId="0" applyNumberFormat="1" applyFill="1" applyBorder="1" applyAlignment="1">
      <alignment horizontal="left"/>
    </xf>
    <xf numFmtId="0" fontId="0" fillId="5" borderId="48" xfId="0" applyFill="1" applyBorder="1"/>
    <xf numFmtId="4" fontId="1" fillId="0" borderId="49" xfId="0" applyNumberFormat="1" applyFont="1" applyFill="1" applyBorder="1" applyAlignment="1">
      <alignment horizontal="left"/>
    </xf>
    <xf numFmtId="0" fontId="1" fillId="0" borderId="50" xfId="0" applyFont="1" applyFill="1" applyBorder="1"/>
    <xf numFmtId="0" fontId="0" fillId="0" borderId="52" xfId="0" applyNumberFormat="1" applyFill="1" applyBorder="1" applyAlignment="1">
      <alignment horizontal="left"/>
    </xf>
    <xf numFmtId="0" fontId="4" fillId="0" borderId="53" xfId="0" applyFont="1" applyFill="1" applyBorder="1"/>
    <xf numFmtId="165" fontId="4" fillId="0" borderId="53" xfId="0" applyNumberFormat="1" applyFont="1" applyFill="1" applyBorder="1"/>
    <xf numFmtId="165" fontId="0" fillId="0" borderId="45" xfId="0" applyNumberFormat="1" applyFill="1" applyBorder="1"/>
    <xf numFmtId="165" fontId="4" fillId="0" borderId="54" xfId="0" applyNumberFormat="1" applyFont="1" applyFill="1" applyBorder="1"/>
    <xf numFmtId="165" fontId="14" fillId="0" borderId="40" xfId="0" applyNumberFormat="1" applyFont="1" applyFill="1" applyBorder="1"/>
    <xf numFmtId="0" fontId="14" fillId="0" borderId="47" xfId="0" applyFont="1" applyFill="1" applyBorder="1"/>
    <xf numFmtId="0" fontId="14" fillId="0" borderId="48" xfId="0" applyFont="1" applyFill="1" applyBorder="1"/>
    <xf numFmtId="165" fontId="14" fillId="0" borderId="52" xfId="0" applyNumberFormat="1" applyFont="1" applyFill="1" applyBorder="1"/>
    <xf numFmtId="0" fontId="14" fillId="0" borderId="53" xfId="0" applyFont="1" applyFill="1" applyBorder="1"/>
    <xf numFmtId="0" fontId="14" fillId="0" borderId="45" xfId="0" applyFont="1" applyFill="1" applyBorder="1"/>
    <xf numFmtId="0" fontId="14" fillId="0" borderId="54" xfId="0" applyFont="1" applyFill="1" applyBorder="1"/>
    <xf numFmtId="0" fontId="1" fillId="5" borderId="40" xfId="0" applyFont="1" applyFill="1" applyBorder="1"/>
    <xf numFmtId="165" fontId="0" fillId="5" borderId="48" xfId="0" applyNumberFormat="1" applyFill="1" applyBorder="1" applyAlignment="1">
      <alignment horizontal="center"/>
    </xf>
    <xf numFmtId="0" fontId="0" fillId="0" borderId="52" xfId="0" applyFill="1" applyBorder="1"/>
    <xf numFmtId="165" fontId="0" fillId="0" borderId="53" xfId="0" applyNumberFormat="1" applyFill="1" applyBorder="1" applyAlignment="1">
      <alignment horizontal="center"/>
    </xf>
    <xf numFmtId="165" fontId="1" fillId="0" borderId="53" xfId="0" applyNumberFormat="1" applyFont="1" applyFill="1" applyBorder="1" applyAlignment="1">
      <alignment horizontal="center"/>
    </xf>
    <xf numFmtId="165" fontId="0" fillId="0" borderId="54" xfId="0" applyNumberFormat="1" applyFill="1" applyBorder="1" applyAlignment="1">
      <alignment horizontal="center"/>
    </xf>
    <xf numFmtId="0" fontId="0" fillId="0" borderId="42" xfId="0" applyFill="1" applyBorder="1"/>
    <xf numFmtId="0" fontId="0" fillId="0" borderId="45" xfId="0" applyFill="1" applyBorder="1" applyAlignment="1">
      <alignment horizontal="center"/>
    </xf>
    <xf numFmtId="164" fontId="0" fillId="0" borderId="45" xfId="0" applyNumberFormat="1" applyFill="1" applyBorder="1" applyAlignment="1">
      <alignment horizontal="center"/>
    </xf>
    <xf numFmtId="165" fontId="1" fillId="0" borderId="54" xfId="0" applyNumberFormat="1" applyFont="1" applyFill="1" applyBorder="1" applyAlignment="1">
      <alignment horizontal="center"/>
    </xf>
    <xf numFmtId="164" fontId="0" fillId="5" borderId="47" xfId="0" applyNumberFormat="1" applyFill="1" applyBorder="1"/>
    <xf numFmtId="0" fontId="0" fillId="2" borderId="51" xfId="0" applyFill="1" applyBorder="1"/>
    <xf numFmtId="165" fontId="0" fillId="2" borderId="53" xfId="0" applyNumberFormat="1" applyFill="1" applyBorder="1"/>
    <xf numFmtId="0" fontId="0" fillId="2" borderId="45" xfId="0" applyNumberFormat="1" applyFill="1" applyBorder="1"/>
    <xf numFmtId="165" fontId="0" fillId="2" borderId="45" xfId="0" applyNumberFormat="1" applyFill="1" applyBorder="1"/>
    <xf numFmtId="165" fontId="0" fillId="2" borderId="54" xfId="0" applyNumberFormat="1" applyFill="1" applyBorder="1"/>
    <xf numFmtId="3" fontId="1" fillId="0" borderId="49" xfId="0" applyNumberFormat="1" applyFont="1" applyFill="1" applyBorder="1" applyAlignment="1">
      <alignment horizontal="left"/>
    </xf>
    <xf numFmtId="0" fontId="1" fillId="0" borderId="49" xfId="0" applyFont="1" applyFill="1" applyBorder="1" applyAlignment="1">
      <alignment horizontal="right"/>
    </xf>
    <xf numFmtId="0" fontId="1" fillId="0" borderId="50" xfId="0" applyFont="1" applyFill="1" applyBorder="1" applyAlignment="1">
      <alignment horizontal="center"/>
    </xf>
    <xf numFmtId="0" fontId="1" fillId="0" borderId="51" xfId="0" applyFont="1" applyFill="1" applyBorder="1" applyAlignment="1">
      <alignment horizontal="left"/>
    </xf>
    <xf numFmtId="167" fontId="0" fillId="0" borderId="53" xfId="0" applyNumberFormat="1" applyFill="1" applyBorder="1" applyAlignment="1">
      <alignment horizontal="center"/>
    </xf>
    <xf numFmtId="167" fontId="0" fillId="0" borderId="45" xfId="0" applyNumberFormat="1" applyFill="1" applyBorder="1" applyAlignment="1">
      <alignment horizontal="center"/>
    </xf>
    <xf numFmtId="165" fontId="0" fillId="0" borderId="45" xfId="0" applyNumberFormat="1" applyFill="1" applyBorder="1" applyAlignment="1">
      <alignment horizontal="center"/>
    </xf>
    <xf numFmtId="167" fontId="0" fillId="0" borderId="54" xfId="0" applyNumberFormat="1" applyFill="1" applyBorder="1" applyAlignment="1">
      <alignment horizontal="center"/>
    </xf>
    <xf numFmtId="0" fontId="0" fillId="2" borderId="52" xfId="0" applyFont="1" applyFill="1" applyBorder="1" applyAlignment="1">
      <alignment horizontal="center"/>
    </xf>
    <xf numFmtId="0" fontId="0" fillId="2" borderId="52" xfId="0" applyFont="1" applyFill="1" applyBorder="1" applyAlignment="1">
      <alignment horizontal="center" vertical="top" wrapText="1"/>
    </xf>
    <xf numFmtId="9" fontId="18" fillId="2" borderId="0" xfId="0" applyNumberFormat="1" applyFont="1" applyFill="1" applyAlignment="1">
      <alignment horizontal="left"/>
    </xf>
    <xf numFmtId="0" fontId="0" fillId="2" borderId="0" xfId="0" applyFont="1" applyFill="1" applyAlignment="1">
      <alignment horizontal="left"/>
    </xf>
    <xf numFmtId="0" fontId="0" fillId="0" borderId="0" xfId="0" applyFill="1" applyAlignment="1">
      <alignment horizontal="left"/>
    </xf>
    <xf numFmtId="0" fontId="19" fillId="0" borderId="0" xfId="0" applyFont="1"/>
    <xf numFmtId="0" fontId="19" fillId="0" borderId="0" xfId="0" applyFont="1" applyAlignment="1">
      <alignment horizontal="left"/>
    </xf>
    <xf numFmtId="0" fontId="0" fillId="2" borderId="0" xfId="0" applyFont="1" applyFill="1" applyBorder="1" applyAlignment="1">
      <alignment horizontal="left"/>
    </xf>
    <xf numFmtId="0" fontId="0" fillId="2" borderId="0" xfId="0" applyFont="1" applyFill="1" applyBorder="1"/>
    <xf numFmtId="164" fontId="0" fillId="2" borderId="0" xfId="0" applyNumberFormat="1" applyFont="1" applyFill="1" applyBorder="1" applyAlignment="1">
      <alignment horizontal="center"/>
    </xf>
    <xf numFmtId="0" fontId="0" fillId="2" borderId="0" xfId="0" applyFont="1" applyFill="1" applyBorder="1" applyAlignment="1">
      <alignment horizontal="center"/>
    </xf>
    <xf numFmtId="0" fontId="0" fillId="2" borderId="53" xfId="0" applyNumberFormat="1" applyFont="1" applyFill="1" applyBorder="1" applyAlignment="1">
      <alignment horizontal="left"/>
    </xf>
    <xf numFmtId="0" fontId="0" fillId="2" borderId="0" xfId="0" applyFont="1" applyFill="1"/>
    <xf numFmtId="0" fontId="0" fillId="0" borderId="0" xfId="0" applyFont="1" applyFill="1" applyBorder="1" applyAlignment="1">
      <alignment horizontal="left" vertical="top"/>
    </xf>
    <xf numFmtId="0" fontId="1" fillId="0" borderId="52" xfId="0" applyFont="1" applyFill="1" applyBorder="1" applyAlignment="1">
      <alignment horizontal="left"/>
    </xf>
    <xf numFmtId="0" fontId="0" fillId="0" borderId="53" xfId="0" applyNumberFormat="1" applyFill="1" applyBorder="1" applyAlignment="1">
      <alignment horizontal="left"/>
    </xf>
    <xf numFmtId="0" fontId="0" fillId="0" borderId="52" xfId="0" applyFont="1" applyFill="1" applyBorder="1" applyAlignment="1">
      <alignment horizontal="left"/>
    </xf>
    <xf numFmtId="164" fontId="0" fillId="0" borderId="0" xfId="0" applyNumberFormat="1" applyFont="1" applyFill="1" applyBorder="1" applyAlignment="1">
      <alignment horizontal="center"/>
    </xf>
    <xf numFmtId="0" fontId="0" fillId="0" borderId="0" xfId="0" applyFont="1" applyFill="1" applyBorder="1"/>
    <xf numFmtId="0" fontId="0" fillId="0" borderId="53" xfId="0" applyNumberFormat="1" applyFont="1" applyFill="1" applyBorder="1" applyAlignment="1">
      <alignment horizontal="left"/>
    </xf>
    <xf numFmtId="0" fontId="20" fillId="0" borderId="52" xfId="0" applyFont="1" applyFill="1" applyBorder="1" applyAlignment="1">
      <alignment horizontal="left"/>
    </xf>
    <xf numFmtId="0" fontId="0" fillId="0" borderId="52" xfId="0" applyFont="1" applyFill="1" applyBorder="1" applyAlignment="1">
      <alignment horizontal="center"/>
    </xf>
    <xf numFmtId="0" fontId="0" fillId="0" borderId="0" xfId="0" applyFill="1" applyBorder="1" applyAlignment="1">
      <alignment horizontal="left"/>
    </xf>
    <xf numFmtId="0" fontId="4" fillId="0" borderId="52" xfId="0" applyFont="1" applyFill="1" applyBorder="1" applyAlignment="1">
      <alignment horizontal="left"/>
    </xf>
    <xf numFmtId="0" fontId="20" fillId="2" borderId="0" xfId="0" applyFont="1" applyFill="1" applyBorder="1" applyAlignment="1">
      <alignment horizontal="center"/>
    </xf>
    <xf numFmtId="14" fontId="0" fillId="2" borderId="51" xfId="0" applyNumberFormat="1" applyFill="1" applyBorder="1" applyAlignment="1">
      <alignment horizontal="center"/>
    </xf>
    <xf numFmtId="0" fontId="0" fillId="2" borderId="52" xfId="0" applyFill="1" applyBorder="1" applyAlignment="1">
      <alignment horizontal="left"/>
    </xf>
    <xf numFmtId="168" fontId="0" fillId="2" borderId="53" xfId="0" applyNumberFormat="1" applyFill="1" applyBorder="1" applyAlignment="1">
      <alignment horizontal="center" vertical="top"/>
    </xf>
    <xf numFmtId="0" fontId="0" fillId="2" borderId="0" xfId="1" applyNumberFormat="1" applyFont="1" applyFill="1" applyBorder="1" applyAlignment="1">
      <alignment horizontal="left"/>
    </xf>
    <xf numFmtId="14" fontId="0" fillId="2" borderId="0" xfId="0" applyNumberFormat="1" applyFont="1" applyFill="1" applyBorder="1" applyAlignment="1">
      <alignment horizontal="center"/>
    </xf>
    <xf numFmtId="3" fontId="1" fillId="2" borderId="0" xfId="0" applyNumberFormat="1" applyFont="1" applyFill="1" applyBorder="1" applyAlignment="1">
      <alignment horizontal="center"/>
    </xf>
    <xf numFmtId="0" fontId="20" fillId="6" borderId="52" xfId="0" applyFont="1" applyFill="1" applyBorder="1" applyAlignment="1">
      <alignment horizontal="left"/>
    </xf>
    <xf numFmtId="0" fontId="0" fillId="6" borderId="0" xfId="0" applyFill="1" applyBorder="1" applyAlignment="1">
      <alignment horizontal="left"/>
    </xf>
    <xf numFmtId="14" fontId="0" fillId="2" borderId="53" xfId="0" applyNumberFormat="1" applyFont="1" applyFill="1" applyBorder="1" applyAlignment="1">
      <alignment horizontal="center"/>
    </xf>
    <xf numFmtId="14" fontId="0" fillId="2" borderId="53" xfId="0" applyNumberFormat="1" applyFill="1" applyBorder="1" applyAlignment="1">
      <alignment horizontal="center"/>
    </xf>
    <xf numFmtId="0" fontId="0" fillId="0" borderId="54" xfId="0" applyFill="1" applyBorder="1" applyAlignment="1">
      <alignment horizontal="center"/>
    </xf>
    <xf numFmtId="165" fontId="0" fillId="2" borderId="50" xfId="0" applyNumberFormat="1" applyFill="1" applyBorder="1" applyAlignment="1">
      <alignment horizontal="center"/>
    </xf>
    <xf numFmtId="14" fontId="0" fillId="2" borderId="50" xfId="0" applyNumberFormat="1" applyFill="1" applyBorder="1" applyAlignment="1">
      <alignment horizontal="center"/>
    </xf>
    <xf numFmtId="164" fontId="0" fillId="2" borderId="50" xfId="0" applyNumberFormat="1" applyFill="1" applyBorder="1" applyAlignment="1">
      <alignment horizontal="center"/>
    </xf>
    <xf numFmtId="3" fontId="0" fillId="2" borderId="51" xfId="0" applyNumberFormat="1" applyFill="1" applyBorder="1" applyAlignment="1">
      <alignment horizontal="center"/>
    </xf>
    <xf numFmtId="0" fontId="0" fillId="0" borderId="6" xfId="0" applyFont="1" applyBorder="1" applyAlignment="1">
      <alignment horizontal="center"/>
    </xf>
    <xf numFmtId="0" fontId="3" fillId="2" borderId="5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3" xfId="0" applyFont="1" applyFill="1" applyBorder="1" applyAlignment="1">
      <alignment horizontal="left" vertical="top" wrapText="1"/>
    </xf>
    <xf numFmtId="0" fontId="0" fillId="2" borderId="40"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8" xfId="0" applyFont="1" applyFill="1" applyBorder="1" applyAlignment="1">
      <alignment horizontal="left" vertical="top" wrapText="1"/>
    </xf>
    <xf numFmtId="0" fontId="0" fillId="0" borderId="42"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54" xfId="0" applyFont="1" applyFill="1" applyBorder="1" applyAlignment="1">
      <alignment horizontal="left" vertical="top" wrapText="1"/>
    </xf>
    <xf numFmtId="0" fontId="1" fillId="0" borderId="9" xfId="0" applyFont="1" applyFill="1" applyBorder="1" applyAlignment="1">
      <alignment horizontal="left"/>
    </xf>
    <xf numFmtId="0" fontId="0" fillId="0" borderId="9" xfId="0" applyFill="1" applyBorder="1" applyAlignment="1">
      <alignment horizontal="left"/>
    </xf>
    <xf numFmtId="0" fontId="1" fillId="0" borderId="9" xfId="0" applyFont="1" applyBorder="1" applyAlignment="1">
      <alignment horizontal="left"/>
    </xf>
    <xf numFmtId="0" fontId="0" fillId="0" borderId="9" xfId="0" applyBorder="1" applyAlignment="1">
      <alignment horizontal="left"/>
    </xf>
    <xf numFmtId="3" fontId="10" fillId="0" borderId="2" xfId="0" applyNumberFormat="1" applyFont="1" applyBorder="1" applyAlignment="1">
      <alignment horizontal="center" vertical="top"/>
    </xf>
    <xf numFmtId="0" fontId="1" fillId="0" borderId="13" xfId="0" applyFont="1" applyBorder="1" applyAlignment="1">
      <alignment horizontal="center" vertical="top" wrapText="1"/>
    </xf>
    <xf numFmtId="0" fontId="1" fillId="0" borderId="24" xfId="0" applyFont="1" applyBorder="1" applyAlignment="1">
      <alignment horizontal="center" vertical="top" wrapText="1"/>
    </xf>
    <xf numFmtId="3" fontId="10" fillId="0" borderId="34" xfId="0" applyNumberFormat="1" applyFont="1" applyBorder="1" applyAlignment="1">
      <alignment horizontal="center" vertical="top" wrapText="1"/>
    </xf>
    <xf numFmtId="3" fontId="10" fillId="0" borderId="35" xfId="0" applyNumberFormat="1" applyFont="1" applyBorder="1" applyAlignment="1">
      <alignment horizontal="center" vertical="top" wrapText="1"/>
    </xf>
    <xf numFmtId="3" fontId="10" fillId="0" borderId="36" xfId="0" applyNumberFormat="1" applyFont="1" applyBorder="1" applyAlignment="1">
      <alignment horizontal="center" vertical="top" wrapText="1"/>
    </xf>
    <xf numFmtId="3" fontId="10" fillId="0" borderId="37" xfId="0" applyNumberFormat="1" applyFont="1" applyBorder="1" applyAlignment="1">
      <alignment horizontal="center" vertical="top" wrapText="1"/>
    </xf>
    <xf numFmtId="3" fontId="10" fillId="0" borderId="38" xfId="0" applyNumberFormat="1" applyFont="1" applyBorder="1" applyAlignment="1">
      <alignment horizontal="center" vertical="top" wrapText="1"/>
    </xf>
    <xf numFmtId="3" fontId="10" fillId="0" borderId="1" xfId="0" applyNumberFormat="1" applyFont="1" applyBorder="1" applyAlignment="1">
      <alignment horizontal="center" vertical="top"/>
    </xf>
    <xf numFmtId="3" fontId="10" fillId="0" borderId="3" xfId="0" applyNumberFormat="1" applyFont="1" applyBorder="1" applyAlignment="1">
      <alignment horizontal="center" vertical="top"/>
    </xf>
    <xf numFmtId="3" fontId="10" fillId="0" borderId="17" xfId="0" applyNumberFormat="1" applyFont="1" applyFill="1" applyBorder="1" applyAlignment="1">
      <alignment horizontal="center" vertical="top"/>
    </xf>
    <xf numFmtId="3" fontId="10" fillId="0" borderId="18" xfId="0" applyNumberFormat="1" applyFont="1" applyFill="1" applyBorder="1" applyAlignment="1">
      <alignment horizontal="center" vertical="top"/>
    </xf>
    <xf numFmtId="3" fontId="10" fillId="0" borderId="19" xfId="0" applyNumberFormat="1" applyFont="1" applyFill="1" applyBorder="1" applyAlignment="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7"/>
  <sheetViews>
    <sheetView showGridLines="0" tabSelected="1" workbookViewId="0">
      <selection activeCell="C5" sqref="C5"/>
    </sheetView>
  </sheetViews>
  <sheetFormatPr defaultColWidth="8.875" defaultRowHeight="14.3" x14ac:dyDescent="0.25"/>
  <cols>
    <col min="1" max="1" width="12.75" style="1" customWidth="1"/>
    <col min="2" max="2" width="19.875" style="29" customWidth="1"/>
    <col min="3" max="3" width="49.25" style="29" customWidth="1"/>
    <col min="4" max="4" width="22.25" style="30" bestFit="1" customWidth="1"/>
    <col min="5" max="5" width="18.375" style="29" bestFit="1" customWidth="1"/>
    <col min="6" max="6" width="15" style="29" bestFit="1" customWidth="1"/>
    <col min="7" max="7" width="15.125" style="1" bestFit="1" customWidth="1"/>
    <col min="8" max="8" width="11.875" style="1" customWidth="1"/>
    <col min="9" max="9" width="14.25" style="1" customWidth="1"/>
    <col min="10" max="10" width="12.125" style="9" customWidth="1"/>
    <col min="11" max="11" width="20.625" style="1" customWidth="1"/>
    <col min="12" max="12" width="15.375" style="1" customWidth="1"/>
    <col min="13" max="13" width="19.25" style="1" bestFit="1" customWidth="1"/>
    <col min="14" max="16384" width="8.875" style="1"/>
  </cols>
  <sheetData>
    <row r="1" spans="1:10" ht="14.95" x14ac:dyDescent="0.25">
      <c r="A1" s="61" t="s">
        <v>87</v>
      </c>
    </row>
    <row r="2" spans="1:10" ht="14.95" x14ac:dyDescent="0.25">
      <c r="A2" s="61"/>
    </row>
    <row r="3" spans="1:10" ht="14.95" x14ac:dyDescent="0.25">
      <c r="A3" s="160" t="s">
        <v>34</v>
      </c>
      <c r="B3" s="161"/>
      <c r="C3" s="161"/>
      <c r="D3" s="162"/>
      <c r="E3" s="161"/>
      <c r="F3" s="161"/>
      <c r="G3" s="163"/>
      <c r="H3" s="163"/>
      <c r="I3" s="163"/>
      <c r="J3" s="164"/>
    </row>
    <row r="4" spans="1:10" ht="47.4" customHeight="1" x14ac:dyDescent="0.25">
      <c r="A4" s="301" t="s">
        <v>201</v>
      </c>
      <c r="B4" s="302"/>
      <c r="C4" s="302"/>
      <c r="D4" s="302"/>
      <c r="E4" s="302"/>
      <c r="F4" s="302"/>
      <c r="G4" s="302"/>
      <c r="H4" s="302"/>
      <c r="I4" s="302"/>
      <c r="J4" s="303"/>
    </row>
    <row r="5" spans="1:10" ht="14.95" x14ac:dyDescent="0.25">
      <c r="A5" s="61"/>
    </row>
    <row r="6" spans="1:10" ht="15.65" customHeight="1" x14ac:dyDescent="0.25">
      <c r="A6" s="160" t="s">
        <v>114</v>
      </c>
      <c r="B6" s="161"/>
      <c r="C6" s="161"/>
      <c r="D6" s="162"/>
      <c r="E6" s="161"/>
      <c r="F6" s="161"/>
      <c r="G6" s="163"/>
      <c r="H6" s="163"/>
      <c r="I6" s="163"/>
      <c r="J6" s="164"/>
    </row>
    <row r="7" spans="1:10" ht="15.65" customHeight="1" x14ac:dyDescent="0.25">
      <c r="A7" s="271"/>
      <c r="B7" s="49"/>
      <c r="C7" s="49"/>
      <c r="D7" s="92"/>
      <c r="E7" s="49"/>
      <c r="F7" s="49"/>
      <c r="G7" s="91"/>
      <c r="H7" s="91"/>
      <c r="I7" s="91"/>
      <c r="J7" s="272"/>
    </row>
    <row r="8" spans="1:10" ht="15.65" customHeight="1" x14ac:dyDescent="0.25">
      <c r="A8" s="273" t="s">
        <v>199</v>
      </c>
      <c r="B8" s="50"/>
      <c r="C8" s="50"/>
      <c r="D8" s="274"/>
      <c r="E8" s="50"/>
      <c r="F8" s="50"/>
      <c r="G8" s="275"/>
      <c r="H8" s="275"/>
      <c r="I8" s="275"/>
      <c r="J8" s="276"/>
    </row>
    <row r="9" spans="1:10" ht="15.65" customHeight="1" x14ac:dyDescent="0.25">
      <c r="A9" s="273" t="s">
        <v>200</v>
      </c>
      <c r="B9" s="50"/>
      <c r="C9" s="50"/>
      <c r="D9" s="274"/>
      <c r="E9" s="50"/>
      <c r="F9" s="50"/>
      <c r="G9" s="275"/>
      <c r="H9" s="275"/>
      <c r="I9" s="275"/>
      <c r="J9" s="276"/>
    </row>
    <row r="10" spans="1:10" ht="15.65" customHeight="1" x14ac:dyDescent="0.25">
      <c r="A10" s="273"/>
      <c r="B10" s="50"/>
      <c r="C10" s="50"/>
      <c r="D10" s="274"/>
      <c r="E10" s="50"/>
      <c r="F10" s="50"/>
      <c r="G10" s="275"/>
      <c r="H10" s="275"/>
      <c r="I10" s="275"/>
      <c r="J10" s="276"/>
    </row>
    <row r="11" spans="1:10" ht="15.65" customHeight="1" x14ac:dyDescent="0.25">
      <c r="A11" s="273" t="s">
        <v>115</v>
      </c>
      <c r="B11" s="50"/>
      <c r="C11" s="50"/>
      <c r="D11" s="274"/>
      <c r="E11" s="50"/>
      <c r="F11" s="50"/>
      <c r="G11" s="275"/>
      <c r="H11" s="275"/>
      <c r="I11" s="275"/>
      <c r="J11" s="276"/>
    </row>
    <row r="12" spans="1:10" ht="15.65" customHeight="1" x14ac:dyDescent="0.25">
      <c r="A12" s="273" t="s">
        <v>116</v>
      </c>
      <c r="B12" s="50"/>
      <c r="C12" s="50"/>
      <c r="D12" s="274"/>
      <c r="E12" s="50"/>
      <c r="F12" s="50"/>
      <c r="G12" s="275"/>
      <c r="H12" s="275"/>
      <c r="I12" s="275"/>
      <c r="J12" s="276"/>
    </row>
    <row r="13" spans="1:10" ht="15.65" customHeight="1" x14ac:dyDescent="0.25">
      <c r="A13" s="273" t="s">
        <v>117</v>
      </c>
      <c r="B13" s="50"/>
      <c r="C13" s="50"/>
      <c r="D13" s="274"/>
      <c r="E13" s="50"/>
      <c r="F13" s="50"/>
      <c r="G13" s="275"/>
      <c r="H13" s="275"/>
      <c r="I13" s="275"/>
      <c r="J13" s="276"/>
    </row>
    <row r="14" spans="1:10" ht="15.65" customHeight="1" x14ac:dyDescent="0.25">
      <c r="A14" s="273"/>
      <c r="B14" s="50"/>
      <c r="C14" s="50"/>
      <c r="D14" s="274"/>
      <c r="E14" s="50"/>
      <c r="F14" s="50"/>
      <c r="G14" s="275"/>
      <c r="H14" s="275"/>
      <c r="I14" s="275"/>
      <c r="J14" s="276"/>
    </row>
    <row r="15" spans="1:10" ht="15.65" customHeight="1" x14ac:dyDescent="0.25">
      <c r="A15" s="271"/>
      <c r="B15" s="49"/>
      <c r="C15" s="49"/>
      <c r="D15" s="92"/>
      <c r="E15" s="49"/>
      <c r="F15" s="49"/>
      <c r="G15" s="91"/>
      <c r="H15" s="91"/>
      <c r="I15" s="91"/>
      <c r="J15" s="272"/>
    </row>
    <row r="16" spans="1:10" ht="15.65" customHeight="1" x14ac:dyDescent="0.25">
      <c r="A16" s="273" t="s">
        <v>118</v>
      </c>
      <c r="B16" s="49"/>
      <c r="C16" s="49"/>
      <c r="D16" s="92"/>
      <c r="E16" s="49"/>
      <c r="F16" s="49"/>
      <c r="G16" s="91"/>
      <c r="H16" s="91"/>
      <c r="I16" s="91"/>
      <c r="J16" s="272"/>
    </row>
    <row r="17" spans="1:10" ht="15.65" customHeight="1" x14ac:dyDescent="0.25">
      <c r="A17" s="277" t="s">
        <v>119</v>
      </c>
      <c r="B17" s="49"/>
      <c r="C17" s="49"/>
      <c r="D17" s="92"/>
      <c r="E17" s="49"/>
      <c r="F17" s="49"/>
      <c r="G17" s="91"/>
      <c r="H17" s="91"/>
      <c r="I17" s="91"/>
      <c r="J17" s="272"/>
    </row>
    <row r="18" spans="1:10" ht="15.65" customHeight="1" x14ac:dyDescent="0.25">
      <c r="A18" s="277"/>
      <c r="B18" s="49"/>
      <c r="C18" s="49"/>
      <c r="D18" s="92"/>
      <c r="E18" s="49"/>
      <c r="F18" s="49"/>
      <c r="G18" s="91"/>
      <c r="H18" s="91"/>
      <c r="I18" s="91"/>
      <c r="J18" s="272"/>
    </row>
    <row r="19" spans="1:10" ht="15.65" customHeight="1" x14ac:dyDescent="0.25">
      <c r="A19" s="278" t="s">
        <v>120</v>
      </c>
      <c r="B19" s="279" t="s">
        <v>121</v>
      </c>
      <c r="C19" s="49"/>
      <c r="D19" s="92"/>
      <c r="E19" s="49"/>
      <c r="F19" s="49"/>
      <c r="G19" s="91"/>
      <c r="H19" s="91"/>
      <c r="I19" s="91"/>
      <c r="J19" s="272"/>
    </row>
    <row r="20" spans="1:10" ht="15.65" customHeight="1" x14ac:dyDescent="0.25">
      <c r="A20" s="278" t="s">
        <v>122</v>
      </c>
      <c r="B20" s="279" t="s">
        <v>123</v>
      </c>
      <c r="C20" s="49"/>
      <c r="D20" s="92"/>
      <c r="E20" s="49"/>
      <c r="F20" s="49"/>
      <c r="G20" s="91"/>
      <c r="H20" s="91"/>
      <c r="I20" s="91"/>
      <c r="J20" s="272"/>
    </row>
    <row r="21" spans="1:10" ht="15.65" customHeight="1" x14ac:dyDescent="0.25">
      <c r="A21" s="278" t="s">
        <v>124</v>
      </c>
      <c r="B21" s="279" t="s">
        <v>125</v>
      </c>
      <c r="C21" s="49"/>
      <c r="D21" s="92"/>
      <c r="E21" s="49"/>
      <c r="F21" s="49"/>
      <c r="G21" s="91"/>
      <c r="H21" s="91"/>
      <c r="I21" s="91"/>
      <c r="J21" s="272"/>
    </row>
    <row r="22" spans="1:10" ht="15.65" customHeight="1" x14ac:dyDescent="0.25">
      <c r="A22" s="278" t="s">
        <v>126</v>
      </c>
      <c r="B22" s="279" t="s">
        <v>127</v>
      </c>
      <c r="C22" s="49"/>
      <c r="D22" s="92"/>
      <c r="E22" s="49"/>
      <c r="F22" s="49"/>
      <c r="G22" s="91"/>
      <c r="H22" s="91"/>
      <c r="I22" s="91"/>
      <c r="J22" s="272"/>
    </row>
    <row r="23" spans="1:10" ht="15.65" customHeight="1" x14ac:dyDescent="0.25">
      <c r="A23" s="278" t="s">
        <v>128</v>
      </c>
      <c r="B23" s="279" t="s">
        <v>129</v>
      </c>
      <c r="C23" s="49"/>
      <c r="D23" s="92"/>
      <c r="E23" s="49"/>
      <c r="F23" s="49"/>
      <c r="G23" s="91"/>
      <c r="H23" s="91"/>
      <c r="I23" s="91"/>
      <c r="J23" s="272"/>
    </row>
    <row r="24" spans="1:10" ht="15.65" customHeight="1" x14ac:dyDescent="0.25">
      <c r="A24" s="278"/>
      <c r="B24" s="279"/>
      <c r="C24" s="49"/>
      <c r="D24" s="92"/>
      <c r="E24" s="49"/>
      <c r="F24" s="49"/>
      <c r="G24" s="91"/>
      <c r="H24" s="91"/>
      <c r="I24" s="91"/>
      <c r="J24" s="272"/>
    </row>
    <row r="25" spans="1:10" ht="15.65" customHeight="1" x14ac:dyDescent="0.25">
      <c r="A25" s="288" t="s">
        <v>149</v>
      </c>
      <c r="B25" s="289"/>
      <c r="C25" s="49"/>
      <c r="D25" s="92"/>
      <c r="E25" s="49"/>
      <c r="F25" s="49"/>
      <c r="G25" s="91"/>
      <c r="H25" s="91"/>
      <c r="I25" s="91"/>
      <c r="J25" s="272"/>
    </row>
    <row r="26" spans="1:10" s="89" customFormat="1" ht="15.65" customHeight="1" x14ac:dyDescent="0.25">
      <c r="A26" s="277"/>
      <c r="B26" s="279"/>
      <c r="C26" s="49"/>
      <c r="D26" s="92"/>
      <c r="E26" s="49"/>
      <c r="F26" s="49"/>
      <c r="G26" s="91"/>
      <c r="H26" s="91"/>
      <c r="I26" s="91"/>
      <c r="J26" s="272"/>
    </row>
    <row r="27" spans="1:10" ht="15.65" customHeight="1" x14ac:dyDescent="0.25">
      <c r="A27" s="278" t="s">
        <v>131</v>
      </c>
      <c r="B27" s="279" t="s">
        <v>150</v>
      </c>
      <c r="C27" s="49"/>
      <c r="D27" s="92"/>
      <c r="E27" s="49"/>
      <c r="F27" s="49"/>
      <c r="G27" s="91"/>
      <c r="H27" s="91"/>
      <c r="I27" s="91"/>
      <c r="J27" s="272"/>
    </row>
    <row r="28" spans="1:10" ht="15.65" customHeight="1" x14ac:dyDescent="0.25">
      <c r="A28" s="278" t="s">
        <v>132</v>
      </c>
      <c r="B28" s="279" t="s">
        <v>152</v>
      </c>
      <c r="C28" s="49"/>
      <c r="D28" s="92"/>
      <c r="E28" s="49"/>
      <c r="F28" s="49"/>
      <c r="G28" s="91"/>
      <c r="H28" s="91"/>
      <c r="I28" s="91"/>
      <c r="J28" s="272"/>
    </row>
    <row r="29" spans="1:10" ht="15.65" customHeight="1" x14ac:dyDescent="0.25">
      <c r="A29" s="278" t="s">
        <v>133</v>
      </c>
      <c r="B29" s="279" t="s">
        <v>155</v>
      </c>
      <c r="C29" s="49"/>
      <c r="D29" s="92"/>
      <c r="E29" s="49"/>
      <c r="F29" s="49"/>
      <c r="G29" s="91"/>
      <c r="H29" s="91"/>
      <c r="I29" s="91"/>
      <c r="J29" s="272"/>
    </row>
    <row r="30" spans="1:10" ht="15.65" customHeight="1" x14ac:dyDescent="0.25">
      <c r="A30" s="278"/>
      <c r="B30" s="279"/>
      <c r="C30" s="49"/>
      <c r="D30" s="92"/>
      <c r="E30" s="49"/>
      <c r="F30" s="49"/>
      <c r="G30" s="91"/>
      <c r="H30" s="91"/>
      <c r="I30" s="91"/>
      <c r="J30" s="272"/>
    </row>
    <row r="31" spans="1:10" ht="15.65" customHeight="1" x14ac:dyDescent="0.25">
      <c r="A31" s="277" t="s">
        <v>130</v>
      </c>
      <c r="B31" s="49"/>
      <c r="C31" s="49"/>
      <c r="D31" s="92"/>
      <c r="E31" s="49"/>
      <c r="F31" s="49"/>
      <c r="G31" s="91"/>
      <c r="H31" s="91"/>
      <c r="I31" s="91"/>
      <c r="J31" s="272"/>
    </row>
    <row r="32" spans="1:10" ht="15.65" customHeight="1" x14ac:dyDescent="0.25">
      <c r="A32" s="277"/>
      <c r="B32" s="49"/>
      <c r="C32" s="49"/>
      <c r="D32" s="92"/>
      <c r="E32" s="49"/>
      <c r="F32" s="49"/>
      <c r="G32" s="91"/>
      <c r="H32" s="91"/>
      <c r="I32" s="91"/>
      <c r="J32" s="272"/>
    </row>
    <row r="33" spans="1:10" ht="15.65" customHeight="1" x14ac:dyDescent="0.25">
      <c r="A33" s="278" t="s">
        <v>158</v>
      </c>
      <c r="B33" s="279" t="s">
        <v>161</v>
      </c>
      <c r="C33" s="49"/>
      <c r="D33" s="92"/>
      <c r="E33" s="49"/>
      <c r="F33" s="49"/>
      <c r="G33" s="91"/>
      <c r="H33" s="91"/>
      <c r="I33" s="91"/>
      <c r="J33" s="272"/>
    </row>
    <row r="34" spans="1:10" ht="15.65" customHeight="1" x14ac:dyDescent="0.25">
      <c r="A34" s="278" t="s">
        <v>163</v>
      </c>
      <c r="B34" s="279" t="s">
        <v>164</v>
      </c>
      <c r="C34" s="49"/>
      <c r="D34" s="92"/>
      <c r="E34" s="49"/>
      <c r="F34" s="49"/>
      <c r="G34" s="91"/>
      <c r="H34" s="91"/>
      <c r="I34" s="91"/>
      <c r="J34" s="272"/>
    </row>
    <row r="35" spans="1:10" ht="15.65" customHeight="1" x14ac:dyDescent="0.25">
      <c r="A35" s="271"/>
      <c r="B35" s="49"/>
      <c r="C35" s="49"/>
      <c r="D35" s="92"/>
      <c r="E35" s="49"/>
      <c r="F35" s="49"/>
      <c r="G35" s="91"/>
      <c r="H35" s="91"/>
      <c r="I35" s="91"/>
      <c r="J35" s="272"/>
    </row>
    <row r="36" spans="1:10" ht="15.65" customHeight="1" x14ac:dyDescent="0.25">
      <c r="A36" s="280" t="s">
        <v>134</v>
      </c>
      <c r="B36" s="49"/>
      <c r="C36" s="49"/>
      <c r="D36" s="92"/>
      <c r="E36" s="49"/>
      <c r="F36" s="49"/>
      <c r="G36" s="91"/>
      <c r="H36" s="91"/>
      <c r="I36" s="91"/>
      <c r="J36" s="272"/>
    </row>
    <row r="37" spans="1:10" ht="15.65" customHeight="1" x14ac:dyDescent="0.25">
      <c r="A37" s="304"/>
      <c r="B37" s="305"/>
      <c r="C37" s="305"/>
      <c r="D37" s="305"/>
      <c r="E37" s="305"/>
      <c r="F37" s="305"/>
      <c r="G37" s="305"/>
      <c r="H37" s="305"/>
      <c r="I37" s="305"/>
      <c r="J37" s="306"/>
    </row>
    <row r="38" spans="1:10" x14ac:dyDescent="0.25">
      <c r="A38" s="61"/>
    </row>
    <row r="39" spans="1:10" x14ac:dyDescent="0.25">
      <c r="A39" s="61"/>
    </row>
    <row r="40" spans="1:10" ht="14.95" customHeight="1" x14ac:dyDescent="0.25">
      <c r="A40" s="160" t="s">
        <v>50</v>
      </c>
      <c r="B40" s="161"/>
      <c r="C40" s="161"/>
      <c r="D40" s="162"/>
      <c r="E40" s="161"/>
      <c r="F40" s="161"/>
      <c r="G40" s="163"/>
      <c r="H40" s="163"/>
      <c r="I40" s="163"/>
      <c r="J40" s="164"/>
    </row>
    <row r="41" spans="1:10" ht="12.1" customHeight="1" x14ac:dyDescent="0.25">
      <c r="A41" s="298"/>
      <c r="B41" s="299"/>
      <c r="C41" s="299"/>
      <c r="D41" s="299"/>
      <c r="E41" s="299"/>
      <c r="F41" s="299"/>
      <c r="G41" s="299"/>
      <c r="H41" s="299"/>
      <c r="I41" s="299"/>
      <c r="J41" s="300"/>
    </row>
    <row r="42" spans="1:10" ht="12.1" customHeight="1" x14ac:dyDescent="0.25">
      <c r="A42" s="257">
        <v>1</v>
      </c>
      <c r="B42" s="85" t="s">
        <v>135</v>
      </c>
      <c r="C42" s="158"/>
      <c r="D42" s="158"/>
      <c r="E42" s="158"/>
      <c r="F42" s="158"/>
      <c r="G42" s="158"/>
      <c r="H42" s="158"/>
      <c r="I42" s="158"/>
      <c r="J42" s="166"/>
    </row>
    <row r="43" spans="1:10" ht="16.149999999999999" customHeight="1" x14ac:dyDescent="0.25">
      <c r="A43" s="257">
        <v>2</v>
      </c>
      <c r="B43" s="85" t="s">
        <v>137</v>
      </c>
      <c r="C43" s="80"/>
      <c r="D43" s="81"/>
      <c r="E43" s="80"/>
      <c r="F43" s="80"/>
      <c r="G43" s="82"/>
      <c r="H43" s="82"/>
      <c r="I43" s="82"/>
      <c r="J43" s="167"/>
    </row>
    <row r="44" spans="1:10" ht="16.149999999999999" customHeight="1" x14ac:dyDescent="0.25">
      <c r="A44" s="257">
        <v>3</v>
      </c>
      <c r="B44" s="85" t="s">
        <v>136</v>
      </c>
      <c r="C44" s="80"/>
      <c r="D44" s="81"/>
      <c r="E44" s="80"/>
      <c r="F44" s="80"/>
      <c r="G44" s="82"/>
      <c r="H44" s="82"/>
      <c r="I44" s="82"/>
      <c r="J44" s="167"/>
    </row>
    <row r="45" spans="1:10" ht="16.149999999999999" customHeight="1" x14ac:dyDescent="0.25">
      <c r="A45" s="257">
        <v>4</v>
      </c>
      <c r="B45" s="85" t="s">
        <v>138</v>
      </c>
      <c r="C45" s="80"/>
      <c r="D45" s="81"/>
      <c r="E45" s="80"/>
      <c r="F45" s="80"/>
      <c r="G45" s="82"/>
      <c r="H45" s="82"/>
      <c r="I45" s="82"/>
      <c r="J45" s="167"/>
    </row>
    <row r="46" spans="1:10" s="269" customFormat="1" ht="16.149999999999999" customHeight="1" x14ac:dyDescent="0.25">
      <c r="A46" s="257">
        <v>5</v>
      </c>
      <c r="B46" s="264" t="s">
        <v>190</v>
      </c>
      <c r="C46" s="265"/>
      <c r="D46" s="266"/>
      <c r="E46" s="267"/>
      <c r="F46" s="267"/>
      <c r="G46" s="265"/>
      <c r="H46" s="265"/>
      <c r="I46" s="265"/>
      <c r="J46" s="268"/>
    </row>
    <row r="47" spans="1:10" s="269" customFormat="1" ht="16.149999999999999" customHeight="1" x14ac:dyDescent="0.25">
      <c r="A47" s="257"/>
      <c r="B47" s="264" t="s">
        <v>173</v>
      </c>
      <c r="C47" s="267"/>
      <c r="D47" s="266"/>
      <c r="E47" s="267"/>
      <c r="F47" s="267"/>
      <c r="G47" s="265"/>
      <c r="H47" s="265"/>
      <c r="I47" s="265"/>
      <c r="J47" s="268"/>
    </row>
    <row r="48" spans="1:10" s="269" customFormat="1" ht="16.149999999999999" customHeight="1" x14ac:dyDescent="0.25">
      <c r="A48" s="257"/>
      <c r="B48" s="264" t="s">
        <v>95</v>
      </c>
      <c r="C48" s="267"/>
      <c r="D48" s="266"/>
      <c r="E48" s="267"/>
      <c r="F48" s="267"/>
      <c r="G48" s="265"/>
      <c r="H48" s="265"/>
      <c r="I48" s="265"/>
      <c r="J48" s="268"/>
    </row>
    <row r="49" spans="1:10" s="269" customFormat="1" ht="16.149999999999999" customHeight="1" x14ac:dyDescent="0.25">
      <c r="A49" s="258">
        <v>6</v>
      </c>
      <c r="B49" s="270" t="s">
        <v>139</v>
      </c>
      <c r="C49" s="155"/>
      <c r="D49" s="155"/>
      <c r="E49" s="155"/>
      <c r="F49" s="155"/>
      <c r="G49" s="155"/>
      <c r="H49" s="155"/>
      <c r="I49" s="155"/>
      <c r="J49" s="168"/>
    </row>
    <row r="50" spans="1:10" s="269" customFormat="1" ht="16.149999999999999" customHeight="1" x14ac:dyDescent="0.25">
      <c r="A50" s="257">
        <v>7</v>
      </c>
      <c r="B50" s="264" t="s">
        <v>140</v>
      </c>
      <c r="C50" s="267"/>
      <c r="D50" s="266"/>
      <c r="E50" s="267"/>
      <c r="F50" s="267"/>
      <c r="G50" s="265"/>
      <c r="H50" s="265"/>
      <c r="I50" s="265"/>
      <c r="J50" s="268"/>
    </row>
    <row r="51" spans="1:10" ht="9.6999999999999993" customHeight="1" x14ac:dyDescent="0.25">
      <c r="A51" s="169"/>
      <c r="B51" s="170"/>
      <c r="C51" s="171"/>
      <c r="D51" s="172"/>
      <c r="E51" s="171"/>
      <c r="F51" s="171"/>
      <c r="G51" s="173"/>
      <c r="H51" s="173"/>
      <c r="I51" s="173"/>
      <c r="J51" s="174"/>
    </row>
    <row r="52" spans="1:10" x14ac:dyDescent="0.25">
      <c r="A52" s="61"/>
    </row>
    <row r="53" spans="1:10" x14ac:dyDescent="0.25">
      <c r="A53" s="281" t="s">
        <v>120</v>
      </c>
    </row>
    <row r="54" spans="1:10" x14ac:dyDescent="0.25">
      <c r="A54" s="61"/>
      <c r="E54" s="1"/>
    </row>
    <row r="55" spans="1:10" x14ac:dyDescent="0.25">
      <c r="A55" s="260" t="s">
        <v>202</v>
      </c>
    </row>
    <row r="56" spans="1:10" x14ac:dyDescent="0.25">
      <c r="A56" s="260"/>
    </row>
    <row r="57" spans="1:10" x14ac:dyDescent="0.25">
      <c r="A57" s="176" t="s">
        <v>52</v>
      </c>
      <c r="B57" s="165"/>
      <c r="C57" s="282">
        <v>44652</v>
      </c>
      <c r="E57" s="1"/>
    </row>
    <row r="58" spans="1:10" x14ac:dyDescent="0.25">
      <c r="A58" s="283" t="s">
        <v>93</v>
      </c>
      <c r="B58" s="85"/>
      <c r="C58" s="284">
        <v>0.05</v>
      </c>
    </row>
    <row r="59" spans="1:10" x14ac:dyDescent="0.25">
      <c r="A59" s="178" t="s">
        <v>192</v>
      </c>
      <c r="B59" s="170"/>
      <c r="C59" s="179">
        <v>6.2E-2</v>
      </c>
    </row>
    <row r="60" spans="1:10" x14ac:dyDescent="0.25">
      <c r="A60" s="109"/>
      <c r="B60" s="85"/>
      <c r="C60" s="80"/>
    </row>
    <row r="61" spans="1:10" x14ac:dyDescent="0.25">
      <c r="A61" s="281" t="s">
        <v>122</v>
      </c>
      <c r="B61" s="85"/>
      <c r="C61" s="80"/>
    </row>
    <row r="62" spans="1:10" x14ac:dyDescent="0.25">
      <c r="A62" s="281"/>
      <c r="B62" s="85"/>
      <c r="C62" s="80"/>
    </row>
    <row r="63" spans="1:10" x14ac:dyDescent="0.25">
      <c r="A63" s="285" t="s">
        <v>141</v>
      </c>
      <c r="E63" s="1"/>
    </row>
    <row r="64" spans="1:10" x14ac:dyDescent="0.25">
      <c r="A64" s="285" t="s">
        <v>142</v>
      </c>
      <c r="E64" s="1"/>
    </row>
    <row r="65" spans="1:5" x14ac:dyDescent="0.25">
      <c r="A65" s="285"/>
      <c r="E65" s="1"/>
    </row>
    <row r="66" spans="1:5" x14ac:dyDescent="0.25">
      <c r="A66" s="160" t="s">
        <v>53</v>
      </c>
      <c r="B66" s="163"/>
      <c r="C66" s="161"/>
      <c r="D66" s="162"/>
      <c r="E66" s="190"/>
    </row>
    <row r="67" spans="1:5" x14ac:dyDescent="0.25">
      <c r="A67" s="191"/>
      <c r="B67" s="192" t="s">
        <v>20</v>
      </c>
      <c r="C67" s="192" t="s">
        <v>21</v>
      </c>
      <c r="D67" s="193" t="s">
        <v>22</v>
      </c>
      <c r="E67" s="194" t="s">
        <v>23</v>
      </c>
    </row>
    <row r="68" spans="1:5" x14ac:dyDescent="0.25">
      <c r="A68" s="195">
        <v>0</v>
      </c>
      <c r="B68" s="107">
        <v>50000</v>
      </c>
      <c r="C68" s="286">
        <v>44652</v>
      </c>
      <c r="D68" s="81">
        <f t="shared" ref="D68:D77" si="0">1/(1+$C$58)^A68</f>
        <v>1</v>
      </c>
      <c r="E68" s="196">
        <f>B68*D68</f>
        <v>50000</v>
      </c>
    </row>
    <row r="69" spans="1:5" x14ac:dyDescent="0.25">
      <c r="A69" s="191">
        <v>1</v>
      </c>
      <c r="B69" s="293">
        <v>50000</v>
      </c>
      <c r="C69" s="294">
        <v>45017</v>
      </c>
      <c r="D69" s="295">
        <f t="shared" si="0"/>
        <v>0.95238095238095233</v>
      </c>
      <c r="E69" s="296">
        <f>B69*D69</f>
        <v>47619.047619047618</v>
      </c>
    </row>
    <row r="70" spans="1:5" x14ac:dyDescent="0.25">
      <c r="A70" s="195">
        <f>A69+1</f>
        <v>2</v>
      </c>
      <c r="B70" s="107">
        <v>50000</v>
      </c>
      <c r="C70" s="108">
        <v>45383</v>
      </c>
      <c r="D70" s="81">
        <f t="shared" si="0"/>
        <v>0.90702947845804982</v>
      </c>
      <c r="E70" s="196">
        <f t="shared" ref="E70:E77" si="1">B70*D70</f>
        <v>45351.473922902493</v>
      </c>
    </row>
    <row r="71" spans="1:5" x14ac:dyDescent="0.25">
      <c r="A71" s="195">
        <f t="shared" ref="A71:A77" si="2">A70+1</f>
        <v>3</v>
      </c>
      <c r="B71" s="107">
        <v>50000</v>
      </c>
      <c r="C71" s="108">
        <v>45748</v>
      </c>
      <c r="D71" s="81">
        <f t="shared" si="0"/>
        <v>0.86383759853147601</v>
      </c>
      <c r="E71" s="196">
        <f t="shared" si="1"/>
        <v>43191.879926573798</v>
      </c>
    </row>
    <row r="72" spans="1:5" x14ac:dyDescent="0.25">
      <c r="A72" s="195">
        <f t="shared" si="2"/>
        <v>4</v>
      </c>
      <c r="B72" s="107">
        <v>50000</v>
      </c>
      <c r="C72" s="108">
        <v>46113</v>
      </c>
      <c r="D72" s="81">
        <f t="shared" si="0"/>
        <v>0.82270247479188197</v>
      </c>
      <c r="E72" s="196">
        <f t="shared" si="1"/>
        <v>41135.123739594099</v>
      </c>
    </row>
    <row r="73" spans="1:5" x14ac:dyDescent="0.25">
      <c r="A73" s="195">
        <f t="shared" si="2"/>
        <v>5</v>
      </c>
      <c r="B73" s="107">
        <v>50000</v>
      </c>
      <c r="C73" s="108">
        <v>46478</v>
      </c>
      <c r="D73" s="81">
        <f t="shared" si="0"/>
        <v>0.78352616646845896</v>
      </c>
      <c r="E73" s="196">
        <f t="shared" si="1"/>
        <v>39176.308323422949</v>
      </c>
    </row>
    <row r="74" spans="1:5" x14ac:dyDescent="0.25">
      <c r="A74" s="195">
        <f t="shared" si="2"/>
        <v>6</v>
      </c>
      <c r="B74" s="107">
        <v>50000</v>
      </c>
      <c r="C74" s="108">
        <v>46844</v>
      </c>
      <c r="D74" s="81">
        <f t="shared" si="0"/>
        <v>0.74621539663662761</v>
      </c>
      <c r="E74" s="196">
        <f t="shared" si="1"/>
        <v>37310.769831831378</v>
      </c>
    </row>
    <row r="75" spans="1:5" x14ac:dyDescent="0.25">
      <c r="A75" s="195">
        <f t="shared" si="2"/>
        <v>7</v>
      </c>
      <c r="B75" s="107">
        <v>50000</v>
      </c>
      <c r="C75" s="108">
        <v>47209</v>
      </c>
      <c r="D75" s="81">
        <f t="shared" si="0"/>
        <v>0.71068133013012147</v>
      </c>
      <c r="E75" s="196">
        <f t="shared" si="1"/>
        <v>35534.066506506075</v>
      </c>
    </row>
    <row r="76" spans="1:5" x14ac:dyDescent="0.25">
      <c r="A76" s="195">
        <f t="shared" si="2"/>
        <v>8</v>
      </c>
      <c r="B76" s="107">
        <v>50000</v>
      </c>
      <c r="C76" s="108">
        <v>47574</v>
      </c>
      <c r="D76" s="81">
        <f t="shared" si="0"/>
        <v>0.67683936202868722</v>
      </c>
      <c r="E76" s="196">
        <f t="shared" si="1"/>
        <v>33841.968101434359</v>
      </c>
    </row>
    <row r="77" spans="1:5" x14ac:dyDescent="0.25">
      <c r="A77" s="198">
        <f t="shared" si="2"/>
        <v>9</v>
      </c>
      <c r="B77" s="199">
        <v>50000</v>
      </c>
      <c r="C77" s="200">
        <v>47939</v>
      </c>
      <c r="D77" s="172">
        <f t="shared" si="0"/>
        <v>0.64460891621779726</v>
      </c>
      <c r="E77" s="197">
        <f t="shared" si="1"/>
        <v>32230.445810889862</v>
      </c>
    </row>
    <row r="78" spans="1:5" x14ac:dyDescent="0.25">
      <c r="A78" s="198"/>
      <c r="B78" s="199"/>
      <c r="C78" s="200"/>
      <c r="D78" s="172"/>
      <c r="E78" s="201">
        <f>SUM(E69:E77)</f>
        <v>355391.08378220262</v>
      </c>
    </row>
    <row r="79" spans="1:5" x14ac:dyDescent="0.25">
      <c r="A79" s="281"/>
      <c r="B79" s="85"/>
      <c r="C79" s="80"/>
    </row>
    <row r="80" spans="1:5" x14ac:dyDescent="0.25">
      <c r="A80" s="281" t="s">
        <v>124</v>
      </c>
      <c r="B80" s="85"/>
      <c r="C80" s="80"/>
    </row>
    <row r="81" spans="1:6" x14ac:dyDescent="0.25">
      <c r="A81" s="281"/>
      <c r="B81" s="85"/>
      <c r="C81" s="80"/>
    </row>
    <row r="82" spans="1:6" x14ac:dyDescent="0.25">
      <c r="A82" s="82" t="s">
        <v>143</v>
      </c>
      <c r="E82" s="1"/>
    </row>
    <row r="83" spans="1:6" x14ac:dyDescent="0.25">
      <c r="A83" s="82" t="s">
        <v>144</v>
      </c>
      <c r="B83" s="107"/>
      <c r="C83" s="108"/>
      <c r="D83" s="81"/>
      <c r="E83" s="287"/>
    </row>
    <row r="84" spans="1:6" x14ac:dyDescent="0.25">
      <c r="A84" s="82" t="s">
        <v>145</v>
      </c>
      <c r="B84" s="107"/>
      <c r="C84" s="108"/>
      <c r="D84" s="81"/>
      <c r="E84" s="287"/>
    </row>
    <row r="85" spans="1:6" x14ac:dyDescent="0.25">
      <c r="A85" s="281"/>
      <c r="B85" s="85"/>
      <c r="C85" s="80"/>
    </row>
    <row r="86" spans="1:6" s="89" customFormat="1" x14ac:dyDescent="0.25">
      <c r="A86" s="202" t="s">
        <v>65</v>
      </c>
      <c r="B86" s="161"/>
      <c r="C86" s="161"/>
      <c r="D86" s="162"/>
      <c r="E86" s="190"/>
      <c r="F86" s="87"/>
    </row>
    <row r="87" spans="1:6" s="89" customFormat="1" x14ac:dyDescent="0.25">
      <c r="A87" s="203" t="s">
        <v>54</v>
      </c>
      <c r="B87" s="204"/>
      <c r="C87" s="204"/>
      <c r="D87" s="204"/>
      <c r="E87" s="205"/>
    </row>
    <row r="88" spans="1:6" s="89" customFormat="1" x14ac:dyDescent="0.25">
      <c r="A88" s="206">
        <f>SUM(E69:E77)</f>
        <v>355391.08378220262</v>
      </c>
      <c r="B88" s="91"/>
      <c r="C88" s="49"/>
      <c r="D88" s="49"/>
      <c r="E88" s="207"/>
    </row>
    <row r="89" spans="1:6" s="89" customFormat="1" x14ac:dyDescent="0.25">
      <c r="A89" s="208"/>
      <c r="B89" s="92"/>
      <c r="C89" s="49"/>
      <c r="D89" s="49"/>
      <c r="E89" s="207"/>
    </row>
    <row r="90" spans="1:6" s="89" customFormat="1" x14ac:dyDescent="0.25">
      <c r="A90" s="209" t="s">
        <v>24</v>
      </c>
      <c r="B90" s="93" t="s">
        <v>25</v>
      </c>
      <c r="C90" s="94" t="s">
        <v>10</v>
      </c>
      <c r="D90" s="94" t="s">
        <v>193</v>
      </c>
      <c r="E90" s="210" t="s">
        <v>56</v>
      </c>
    </row>
    <row r="91" spans="1:6" s="89" customFormat="1" x14ac:dyDescent="0.25">
      <c r="A91" s="211" t="s">
        <v>175</v>
      </c>
      <c r="B91" s="96">
        <f>A88</f>
        <v>355391.08378220262</v>
      </c>
      <c r="C91" s="96">
        <v>0</v>
      </c>
      <c r="D91" s="96">
        <f t="shared" ref="D91:D100" si="3">SUM(B91:C91)*$C$58</f>
        <v>17769.554189110131</v>
      </c>
      <c r="E91" s="212">
        <f t="shared" ref="E91:E100" si="4">B91+D91+C91</f>
        <v>373160.63797131274</v>
      </c>
    </row>
    <row r="92" spans="1:6" s="89" customFormat="1" x14ac:dyDescent="0.25">
      <c r="A92" s="211" t="s">
        <v>176</v>
      </c>
      <c r="B92" s="96">
        <f>E91</f>
        <v>373160.63797131274</v>
      </c>
      <c r="C92" s="96">
        <f t="shared" ref="C92:C100" si="5">-B69</f>
        <v>-50000</v>
      </c>
      <c r="D92" s="96">
        <f t="shared" si="3"/>
        <v>16158.031898565638</v>
      </c>
      <c r="E92" s="212">
        <f t="shared" si="4"/>
        <v>339318.66986987839</v>
      </c>
    </row>
    <row r="93" spans="1:6" s="89" customFormat="1" x14ac:dyDescent="0.25">
      <c r="A93" s="211" t="s">
        <v>177</v>
      </c>
      <c r="B93" s="96">
        <f>E92</f>
        <v>339318.66986987839</v>
      </c>
      <c r="C93" s="96">
        <f t="shared" si="5"/>
        <v>-50000</v>
      </c>
      <c r="D93" s="96">
        <f t="shared" si="3"/>
        <v>14465.93349349392</v>
      </c>
      <c r="E93" s="212">
        <f t="shared" si="4"/>
        <v>303784.60336337233</v>
      </c>
    </row>
    <row r="94" spans="1:6" s="89" customFormat="1" x14ac:dyDescent="0.25">
      <c r="A94" s="211" t="s">
        <v>178</v>
      </c>
      <c r="B94" s="96">
        <f t="shared" ref="B94:B100" si="6">E93</f>
        <v>303784.60336337233</v>
      </c>
      <c r="C94" s="96">
        <f t="shared" si="5"/>
        <v>-50000</v>
      </c>
      <c r="D94" s="96">
        <f t="shared" si="3"/>
        <v>12689.230168168617</v>
      </c>
      <c r="E94" s="212">
        <f t="shared" si="4"/>
        <v>266473.83353154093</v>
      </c>
    </row>
    <row r="95" spans="1:6" s="89" customFormat="1" x14ac:dyDescent="0.25">
      <c r="A95" s="211" t="s">
        <v>179</v>
      </c>
      <c r="B95" s="96">
        <f t="shared" si="6"/>
        <v>266473.83353154093</v>
      </c>
      <c r="C95" s="96">
        <f t="shared" si="5"/>
        <v>-50000</v>
      </c>
      <c r="D95" s="96">
        <f t="shared" si="3"/>
        <v>10823.691676577047</v>
      </c>
      <c r="E95" s="212">
        <f t="shared" si="4"/>
        <v>227297.52520811796</v>
      </c>
    </row>
    <row r="96" spans="1:6" s="89" customFormat="1" x14ac:dyDescent="0.25">
      <c r="A96" s="211" t="s">
        <v>180</v>
      </c>
      <c r="B96" s="96">
        <f t="shared" si="6"/>
        <v>227297.52520811796</v>
      </c>
      <c r="C96" s="96">
        <f t="shared" si="5"/>
        <v>-50000</v>
      </c>
      <c r="D96" s="96">
        <f t="shared" si="3"/>
        <v>8864.8762604058993</v>
      </c>
      <c r="E96" s="212">
        <f t="shared" si="4"/>
        <v>186162.40146852387</v>
      </c>
      <c r="F96" s="97"/>
    </row>
    <row r="97" spans="1:8" s="89" customFormat="1" x14ac:dyDescent="0.25">
      <c r="A97" s="211" t="s">
        <v>181</v>
      </c>
      <c r="B97" s="96">
        <f t="shared" si="6"/>
        <v>186162.40146852387</v>
      </c>
      <c r="C97" s="96">
        <f t="shared" si="5"/>
        <v>-50000</v>
      </c>
      <c r="D97" s="96">
        <f t="shared" si="3"/>
        <v>6808.1200734261938</v>
      </c>
      <c r="E97" s="212">
        <f t="shared" si="4"/>
        <v>142970.52154195006</v>
      </c>
    </row>
    <row r="98" spans="1:8" s="89" customFormat="1" x14ac:dyDescent="0.25">
      <c r="A98" s="211" t="s">
        <v>182</v>
      </c>
      <c r="B98" s="96">
        <f t="shared" si="6"/>
        <v>142970.52154195006</v>
      </c>
      <c r="C98" s="96">
        <f t="shared" si="5"/>
        <v>-50000</v>
      </c>
      <c r="D98" s="96">
        <f t="shared" si="3"/>
        <v>4648.5260770975028</v>
      </c>
      <c r="E98" s="212">
        <f t="shared" si="4"/>
        <v>97619.047619047575</v>
      </c>
    </row>
    <row r="99" spans="1:8" s="89" customFormat="1" x14ac:dyDescent="0.25">
      <c r="A99" s="211" t="s">
        <v>183</v>
      </c>
      <c r="B99" s="96">
        <f t="shared" si="6"/>
        <v>97619.047619047575</v>
      </c>
      <c r="C99" s="96">
        <f t="shared" si="5"/>
        <v>-50000</v>
      </c>
      <c r="D99" s="96">
        <f t="shared" si="3"/>
        <v>2380.9523809523789</v>
      </c>
      <c r="E99" s="212">
        <f t="shared" si="4"/>
        <v>49999.999999999956</v>
      </c>
    </row>
    <row r="100" spans="1:8" s="89" customFormat="1" x14ac:dyDescent="0.25">
      <c r="A100" s="213" t="s">
        <v>184</v>
      </c>
      <c r="B100" s="214">
        <f t="shared" si="6"/>
        <v>49999.999999999956</v>
      </c>
      <c r="C100" s="214">
        <f t="shared" si="5"/>
        <v>-50000</v>
      </c>
      <c r="D100" s="214">
        <f t="shared" si="3"/>
        <v>0</v>
      </c>
      <c r="E100" s="215">
        <f t="shared" si="4"/>
        <v>0</v>
      </c>
    </row>
    <row r="101" spans="1:8" x14ac:dyDescent="0.25">
      <c r="A101" s="281"/>
      <c r="B101" s="85"/>
      <c r="C101" s="80"/>
    </row>
    <row r="102" spans="1:8" x14ac:dyDescent="0.25">
      <c r="A102" s="281" t="s">
        <v>146</v>
      </c>
      <c r="B102" s="85"/>
      <c r="C102" s="80"/>
    </row>
    <row r="103" spans="1:8" x14ac:dyDescent="0.25">
      <c r="A103" s="281"/>
      <c r="B103" s="85"/>
      <c r="C103" s="80"/>
    </row>
    <row r="104" spans="1:8" x14ac:dyDescent="0.25">
      <c r="A104" s="264" t="s">
        <v>148</v>
      </c>
      <c r="B104" s="85"/>
      <c r="C104" s="80"/>
    </row>
    <row r="105" spans="1:8" x14ac:dyDescent="0.25">
      <c r="A105" s="264"/>
      <c r="B105" s="85"/>
      <c r="C105" s="80"/>
    </row>
    <row r="106" spans="1:8" x14ac:dyDescent="0.25">
      <c r="A106" s="160" t="s">
        <v>29</v>
      </c>
      <c r="B106" s="161"/>
      <c r="C106" s="180"/>
      <c r="D106" s="32"/>
      <c r="E106" s="1"/>
    </row>
    <row r="107" spans="1:8" x14ac:dyDescent="0.25">
      <c r="A107" s="188">
        <v>50000</v>
      </c>
      <c r="B107" s="175" t="s">
        <v>203</v>
      </c>
      <c r="C107" s="189"/>
      <c r="D107" s="259" t="s">
        <v>94</v>
      </c>
      <c r="E107" s="1"/>
    </row>
    <row r="108" spans="1:8" x14ac:dyDescent="0.25">
      <c r="A108" s="264"/>
      <c r="B108" s="85"/>
      <c r="C108" s="80"/>
    </row>
    <row r="109" spans="1:8" s="89" customFormat="1" x14ac:dyDescent="0.25">
      <c r="A109" s="100" t="s">
        <v>147</v>
      </c>
      <c r="B109" s="88"/>
      <c r="C109" s="99"/>
      <c r="D109" s="87"/>
      <c r="H109" s="90"/>
    </row>
    <row r="110" spans="1:8" s="89" customFormat="1" x14ac:dyDescent="0.25">
      <c r="A110" s="261" t="s">
        <v>103</v>
      </c>
      <c r="B110" s="88"/>
      <c r="C110" s="99"/>
      <c r="D110" s="87"/>
      <c r="H110" s="90"/>
    </row>
    <row r="111" spans="1:8" s="89" customFormat="1" x14ac:dyDescent="0.25">
      <c r="A111" s="87"/>
      <c r="B111" s="88"/>
      <c r="C111" s="99"/>
      <c r="D111" s="87"/>
      <c r="H111" s="90"/>
    </row>
    <row r="112" spans="1:8" s="89" customFormat="1" x14ac:dyDescent="0.25">
      <c r="A112" s="216" t="s">
        <v>66</v>
      </c>
      <c r="B112" s="163"/>
      <c r="C112" s="217"/>
      <c r="D112" s="163"/>
      <c r="E112" s="218"/>
      <c r="H112" s="90"/>
    </row>
    <row r="113" spans="1:9" s="89" customFormat="1" x14ac:dyDescent="0.25">
      <c r="A113" s="219">
        <f>E78+A107</f>
        <v>405391.08378220262</v>
      </c>
      <c r="B113" s="220" t="s">
        <v>27</v>
      </c>
      <c r="C113" s="204"/>
      <c r="D113" s="204"/>
      <c r="E113" s="205"/>
      <c r="H113" s="90"/>
    </row>
    <row r="114" spans="1:9" s="89" customFormat="1" x14ac:dyDescent="0.25">
      <c r="A114" s="221"/>
      <c r="B114" s="91"/>
      <c r="C114" s="91"/>
      <c r="D114" s="91"/>
      <c r="E114" s="207"/>
      <c r="H114" s="90"/>
    </row>
    <row r="115" spans="1:9" s="89" customFormat="1" x14ac:dyDescent="0.25">
      <c r="A115" s="221" t="s">
        <v>24</v>
      </c>
      <c r="B115" s="95" t="s">
        <v>11</v>
      </c>
      <c r="C115" s="91" t="s">
        <v>3</v>
      </c>
      <c r="D115" s="91" t="s">
        <v>57</v>
      </c>
      <c r="E115" s="222" t="s">
        <v>55</v>
      </c>
      <c r="H115" s="90"/>
    </row>
    <row r="116" spans="1:9" s="89" customFormat="1" x14ac:dyDescent="0.25">
      <c r="A116" s="211" t="s">
        <v>175</v>
      </c>
      <c r="B116" s="98">
        <f>A113</f>
        <v>405391.08378220262</v>
      </c>
      <c r="C116" s="98">
        <f t="shared" ref="C116:C125" si="7">-$A$113*10%</f>
        <v>-40539.108378220262</v>
      </c>
      <c r="D116" s="98">
        <f t="shared" ref="D116:D125" si="8">SUM(B116:C116)</f>
        <v>364851.97540398233</v>
      </c>
      <c r="E116" s="223">
        <f t="shared" ref="E116:E125" si="9">D116-E91</f>
        <v>-8308.6625673304079</v>
      </c>
      <c r="H116" s="90"/>
    </row>
    <row r="117" spans="1:9" s="89" customFormat="1" x14ac:dyDescent="0.25">
      <c r="A117" s="211" t="s">
        <v>176</v>
      </c>
      <c r="B117" s="98">
        <f t="shared" ref="B117:B125" si="10">D116</f>
        <v>364851.97540398233</v>
      </c>
      <c r="C117" s="98">
        <f t="shared" si="7"/>
        <v>-40539.108378220262</v>
      </c>
      <c r="D117" s="98">
        <f t="shared" si="8"/>
        <v>324312.8670257621</v>
      </c>
      <c r="E117" s="223">
        <f t="shared" si="9"/>
        <v>-15005.80284411629</v>
      </c>
      <c r="H117" s="90"/>
    </row>
    <row r="118" spans="1:9" s="89" customFormat="1" x14ac:dyDescent="0.25">
      <c r="A118" s="211" t="s">
        <v>177</v>
      </c>
      <c r="B118" s="98">
        <f t="shared" si="10"/>
        <v>324312.8670257621</v>
      </c>
      <c r="C118" s="98">
        <f t="shared" si="7"/>
        <v>-40539.108378220262</v>
      </c>
      <c r="D118" s="98">
        <f t="shared" si="8"/>
        <v>283773.75864754186</v>
      </c>
      <c r="E118" s="223">
        <f t="shared" si="9"/>
        <v>-20010.844715830463</v>
      </c>
      <c r="H118" s="90"/>
    </row>
    <row r="119" spans="1:9" s="89" customFormat="1" x14ac:dyDescent="0.25">
      <c r="A119" s="211" t="s">
        <v>178</v>
      </c>
      <c r="B119" s="98">
        <f t="shared" si="10"/>
        <v>283773.75864754186</v>
      </c>
      <c r="C119" s="98">
        <f t="shared" si="7"/>
        <v>-40539.108378220262</v>
      </c>
      <c r="D119" s="98">
        <f t="shared" si="8"/>
        <v>243234.6502693216</v>
      </c>
      <c r="E119" s="223">
        <f t="shared" si="9"/>
        <v>-23239.183262219332</v>
      </c>
      <c r="H119" s="90"/>
    </row>
    <row r="120" spans="1:9" s="89" customFormat="1" x14ac:dyDescent="0.25">
      <c r="A120" s="211" t="s">
        <v>179</v>
      </c>
      <c r="B120" s="98">
        <f t="shared" si="10"/>
        <v>243234.6502693216</v>
      </c>
      <c r="C120" s="98">
        <f t="shared" si="7"/>
        <v>-40539.108378220262</v>
      </c>
      <c r="D120" s="98">
        <f t="shared" si="8"/>
        <v>202695.54189110134</v>
      </c>
      <c r="E120" s="223">
        <f t="shared" si="9"/>
        <v>-24601.983317016624</v>
      </c>
      <c r="H120" s="90"/>
    </row>
    <row r="121" spans="1:9" s="89" customFormat="1" x14ac:dyDescent="0.25">
      <c r="A121" s="211" t="s">
        <v>180</v>
      </c>
      <c r="B121" s="98">
        <f t="shared" si="10"/>
        <v>202695.54189110134</v>
      </c>
      <c r="C121" s="98">
        <f t="shared" si="7"/>
        <v>-40539.108378220262</v>
      </c>
      <c r="D121" s="98">
        <f t="shared" si="8"/>
        <v>162156.43351288108</v>
      </c>
      <c r="E121" s="223">
        <f t="shared" si="9"/>
        <v>-24005.967955642787</v>
      </c>
      <c r="G121" s="122" t="s">
        <v>74</v>
      </c>
      <c r="H121" s="123"/>
      <c r="I121" s="124"/>
    </row>
    <row r="122" spans="1:9" s="89" customFormat="1" x14ac:dyDescent="0.25">
      <c r="A122" s="211" t="s">
        <v>181</v>
      </c>
      <c r="B122" s="98">
        <f t="shared" si="10"/>
        <v>162156.43351288108</v>
      </c>
      <c r="C122" s="98">
        <f t="shared" si="7"/>
        <v>-40539.108378220262</v>
      </c>
      <c r="D122" s="98">
        <f t="shared" si="8"/>
        <v>121617.32513466082</v>
      </c>
      <c r="E122" s="223">
        <f t="shared" si="9"/>
        <v>-21353.196407289244</v>
      </c>
      <c r="G122" s="226">
        <f>SUM(B69:B77)+A107</f>
        <v>500000</v>
      </c>
      <c r="H122" s="227" t="s">
        <v>0</v>
      </c>
      <c r="I122" s="228"/>
    </row>
    <row r="123" spans="1:9" s="89" customFormat="1" x14ac:dyDescent="0.25">
      <c r="A123" s="211" t="s">
        <v>182</v>
      </c>
      <c r="B123" s="98">
        <f t="shared" si="10"/>
        <v>121617.32513466082</v>
      </c>
      <c r="C123" s="98">
        <f t="shared" si="7"/>
        <v>-40539.108378220262</v>
      </c>
      <c r="D123" s="98">
        <f t="shared" si="8"/>
        <v>81078.216756440554</v>
      </c>
      <c r="E123" s="223">
        <f t="shared" si="9"/>
        <v>-16540.830862607021</v>
      </c>
      <c r="G123" s="229">
        <f>-SUM(C116:C125)</f>
        <v>405391.08378220256</v>
      </c>
      <c r="H123" s="125" t="s">
        <v>1</v>
      </c>
      <c r="I123" s="230"/>
    </row>
    <row r="124" spans="1:9" s="89" customFormat="1" x14ac:dyDescent="0.25">
      <c r="A124" s="211" t="s">
        <v>183</v>
      </c>
      <c r="B124" s="98">
        <f t="shared" si="10"/>
        <v>81078.216756440554</v>
      </c>
      <c r="C124" s="98">
        <f t="shared" si="7"/>
        <v>-40539.108378220262</v>
      </c>
      <c r="D124" s="98">
        <f t="shared" si="8"/>
        <v>40539.108378220291</v>
      </c>
      <c r="E124" s="223">
        <f t="shared" si="9"/>
        <v>-9460.891621779665</v>
      </c>
      <c r="G124" s="229">
        <f>SUM(D91:D100)</f>
        <v>94608.916217797319</v>
      </c>
      <c r="H124" s="125" t="s">
        <v>188</v>
      </c>
      <c r="I124" s="230"/>
    </row>
    <row r="125" spans="1:9" s="89" customFormat="1" x14ac:dyDescent="0.25">
      <c r="A125" s="213" t="s">
        <v>184</v>
      </c>
      <c r="B125" s="224">
        <f t="shared" si="10"/>
        <v>40539.108378220291</v>
      </c>
      <c r="C125" s="224">
        <f t="shared" si="7"/>
        <v>-40539.108378220262</v>
      </c>
      <c r="D125" s="224">
        <f t="shared" si="8"/>
        <v>0</v>
      </c>
      <c r="E125" s="225">
        <f t="shared" si="9"/>
        <v>0</v>
      </c>
      <c r="G125" s="226">
        <f>SUM(G123:G124)</f>
        <v>499999.99999999988</v>
      </c>
      <c r="H125" s="231" t="s">
        <v>2</v>
      </c>
      <c r="I125" s="232"/>
    </row>
    <row r="126" spans="1:9" x14ac:dyDescent="0.25">
      <c r="A126" s="281"/>
      <c r="B126" s="85"/>
      <c r="C126" s="80"/>
    </row>
    <row r="127" spans="1:9" x14ac:dyDescent="0.25">
      <c r="A127" s="281"/>
      <c r="B127" s="85"/>
      <c r="C127" s="80"/>
    </row>
    <row r="128" spans="1:9" x14ac:dyDescent="0.25">
      <c r="A128" s="288" t="s">
        <v>149</v>
      </c>
      <c r="B128" s="289"/>
      <c r="C128" s="80"/>
    </row>
    <row r="129" spans="1:10" x14ac:dyDescent="0.25">
      <c r="A129" s="281"/>
      <c r="B129" s="85"/>
      <c r="C129" s="80"/>
    </row>
    <row r="130" spans="1:10" x14ac:dyDescent="0.25">
      <c r="A130" s="281" t="s">
        <v>131</v>
      </c>
      <c r="B130" s="85"/>
      <c r="C130" s="80"/>
    </row>
    <row r="131" spans="1:10" x14ac:dyDescent="0.25">
      <c r="A131" s="109"/>
      <c r="B131" s="85"/>
      <c r="C131" s="80"/>
    </row>
    <row r="132" spans="1:10" s="89" customFormat="1" x14ac:dyDescent="0.25">
      <c r="A132" s="261" t="s">
        <v>153</v>
      </c>
      <c r="B132" s="88"/>
      <c r="C132" s="99"/>
      <c r="D132" s="87"/>
      <c r="H132" s="90"/>
    </row>
    <row r="133" spans="1:10" s="89" customFormat="1" x14ac:dyDescent="0.25">
      <c r="A133" s="261" t="s">
        <v>197</v>
      </c>
      <c r="B133" s="88"/>
      <c r="C133" s="99"/>
      <c r="D133" s="87"/>
      <c r="H133" s="90"/>
    </row>
    <row r="134" spans="1:10" s="89" customFormat="1" x14ac:dyDescent="0.25">
      <c r="B134" s="87"/>
      <c r="C134" s="87"/>
      <c r="D134" s="88"/>
      <c r="E134" s="99"/>
      <c r="F134" s="87"/>
      <c r="G134" s="97"/>
      <c r="J134" s="90"/>
    </row>
    <row r="135" spans="1:10" s="89" customFormat="1" x14ac:dyDescent="0.25">
      <c r="A135" s="233" t="s">
        <v>151</v>
      </c>
      <c r="B135" s="161"/>
      <c r="C135" s="161"/>
      <c r="D135" s="162"/>
      <c r="E135" s="234"/>
      <c r="F135" s="87"/>
      <c r="G135" s="97"/>
      <c r="J135" s="90"/>
    </row>
    <row r="136" spans="1:10" s="89" customFormat="1" x14ac:dyDescent="0.25">
      <c r="A136" s="235"/>
      <c r="B136" s="49"/>
      <c r="C136" s="49"/>
      <c r="D136" s="92"/>
      <c r="E136" s="236"/>
      <c r="F136" s="87"/>
      <c r="G136" s="97"/>
      <c r="J136" s="90"/>
    </row>
    <row r="137" spans="1:10" s="89" customFormat="1" x14ac:dyDescent="0.25">
      <c r="A137" s="235"/>
      <c r="B137" s="118" t="s">
        <v>67</v>
      </c>
      <c r="C137" s="118" t="s">
        <v>68</v>
      </c>
      <c r="D137" s="119" t="s">
        <v>69</v>
      </c>
      <c r="E137" s="237" t="s">
        <v>70</v>
      </c>
      <c r="F137" s="87"/>
      <c r="G137" s="97"/>
      <c r="J137" s="90"/>
    </row>
    <row r="138" spans="1:10" s="89" customFormat="1" x14ac:dyDescent="0.25">
      <c r="A138" s="235">
        <v>0</v>
      </c>
      <c r="B138" s="117">
        <v>60000</v>
      </c>
      <c r="C138" s="108">
        <v>46844</v>
      </c>
      <c r="D138" s="81">
        <f>1/(1+$C$59)^A138</f>
        <v>1</v>
      </c>
      <c r="E138" s="236">
        <f>B138*D138</f>
        <v>60000</v>
      </c>
      <c r="F138" s="87"/>
      <c r="G138" s="97"/>
      <c r="J138" s="90"/>
    </row>
    <row r="139" spans="1:10" s="89" customFormat="1" x14ac:dyDescent="0.25">
      <c r="A139" s="235">
        <v>1</v>
      </c>
      <c r="B139" s="117">
        <v>60000</v>
      </c>
      <c r="C139" s="108">
        <v>47209</v>
      </c>
      <c r="D139" s="81">
        <f t="shared" ref="D139:D146" si="11">1/(1+$C$59)^A139</f>
        <v>0.94161958568738224</v>
      </c>
      <c r="E139" s="236">
        <f t="shared" ref="E139:E146" si="12">B139*D139</f>
        <v>56497.175141242937</v>
      </c>
      <c r="F139" s="87"/>
      <c r="G139" s="97"/>
      <c r="J139" s="90"/>
    </row>
    <row r="140" spans="1:10" s="89" customFormat="1" x14ac:dyDescent="0.25">
      <c r="A140" s="235">
        <v>2</v>
      </c>
      <c r="B140" s="117">
        <v>60000</v>
      </c>
      <c r="C140" s="108">
        <v>47574</v>
      </c>
      <c r="D140" s="81">
        <f t="shared" si="11"/>
        <v>0.88664744415007746</v>
      </c>
      <c r="E140" s="236">
        <f t="shared" si="12"/>
        <v>53198.846649004648</v>
      </c>
      <c r="F140" s="87"/>
      <c r="G140" s="97"/>
      <c r="J140" s="90"/>
    </row>
    <row r="141" spans="1:10" s="89" customFormat="1" x14ac:dyDescent="0.25">
      <c r="A141" s="235">
        <v>3</v>
      </c>
      <c r="B141" s="117">
        <v>60000</v>
      </c>
      <c r="C141" s="108">
        <v>47939</v>
      </c>
      <c r="D141" s="81">
        <f t="shared" si="11"/>
        <v>0.83488459901137235</v>
      </c>
      <c r="E141" s="236">
        <f t="shared" si="12"/>
        <v>50093.075940682342</v>
      </c>
      <c r="F141" s="87"/>
      <c r="G141" s="97"/>
      <c r="J141" s="90"/>
    </row>
    <row r="142" spans="1:10" s="89" customFormat="1" x14ac:dyDescent="0.25">
      <c r="A142" s="235">
        <v>4</v>
      </c>
      <c r="B142" s="117">
        <v>60000</v>
      </c>
      <c r="C142" s="108">
        <v>48305</v>
      </c>
      <c r="D142" s="81">
        <f t="shared" si="11"/>
        <v>0.78614369021786468</v>
      </c>
      <c r="E142" s="236">
        <f t="shared" si="12"/>
        <v>47168.62141307188</v>
      </c>
      <c r="F142" s="87"/>
      <c r="G142" s="97"/>
      <c r="J142" s="90"/>
    </row>
    <row r="143" spans="1:10" s="89" customFormat="1" x14ac:dyDescent="0.25">
      <c r="A143" s="235">
        <v>5</v>
      </c>
      <c r="B143" s="117">
        <v>60000</v>
      </c>
      <c r="C143" s="108">
        <v>48670</v>
      </c>
      <c r="D143" s="81">
        <f t="shared" si="11"/>
        <v>0.74024829587369556</v>
      </c>
      <c r="E143" s="236">
        <f t="shared" si="12"/>
        <v>44414.897752421733</v>
      </c>
      <c r="F143" s="87"/>
      <c r="G143" s="97"/>
      <c r="J143" s="90"/>
    </row>
    <row r="144" spans="1:10" s="89" customFormat="1" x14ac:dyDescent="0.25">
      <c r="A144" s="235">
        <v>6</v>
      </c>
      <c r="B144" s="117">
        <v>60000</v>
      </c>
      <c r="C144" s="108">
        <v>49035</v>
      </c>
      <c r="D144" s="81">
        <f t="shared" si="11"/>
        <v>0.69703229366637998</v>
      </c>
      <c r="E144" s="236">
        <f t="shared" si="12"/>
        <v>41821.937619982797</v>
      </c>
      <c r="F144" s="87"/>
      <c r="G144" s="97"/>
      <c r="J144" s="90"/>
    </row>
    <row r="145" spans="1:10" s="89" customFormat="1" x14ac:dyDescent="0.25">
      <c r="A145" s="235">
        <v>7</v>
      </c>
      <c r="B145" s="117">
        <v>60000</v>
      </c>
      <c r="C145" s="108">
        <v>49400</v>
      </c>
      <c r="D145" s="81">
        <f>1/(1+$C$59)^A145</f>
        <v>0.65633925957286254</v>
      </c>
      <c r="E145" s="236">
        <f t="shared" si="12"/>
        <v>39380.355574371752</v>
      </c>
      <c r="F145" s="87"/>
      <c r="G145" s="97"/>
      <c r="J145" s="90"/>
    </row>
    <row r="146" spans="1:10" s="89" customFormat="1" x14ac:dyDescent="0.25">
      <c r="A146" s="235">
        <v>8</v>
      </c>
      <c r="B146" s="117">
        <v>60000</v>
      </c>
      <c r="C146" s="108">
        <v>49766</v>
      </c>
      <c r="D146" s="81">
        <f t="shared" si="11"/>
        <v>0.61802190166936199</v>
      </c>
      <c r="E146" s="238">
        <f t="shared" si="12"/>
        <v>37081.314100161719</v>
      </c>
      <c r="F146" s="87"/>
      <c r="G146" s="97"/>
      <c r="J146" s="90"/>
    </row>
    <row r="147" spans="1:10" s="89" customFormat="1" x14ac:dyDescent="0.25">
      <c r="A147" s="239"/>
      <c r="B147" s="240"/>
      <c r="C147" s="240"/>
      <c r="D147" s="241"/>
      <c r="E147" s="242">
        <f>SUM(E138:E146)</f>
        <v>429656.22419093986</v>
      </c>
      <c r="F147" s="87"/>
      <c r="G147" s="97"/>
      <c r="J147" s="90"/>
    </row>
    <row r="148" spans="1:10" x14ac:dyDescent="0.25">
      <c r="A148" s="109"/>
      <c r="B148" s="85"/>
      <c r="C148" s="80"/>
    </row>
    <row r="149" spans="1:10" x14ac:dyDescent="0.25">
      <c r="A149" s="281" t="s">
        <v>132</v>
      </c>
      <c r="B149" s="85"/>
      <c r="C149" s="80"/>
    </row>
    <row r="150" spans="1:10" x14ac:dyDescent="0.25">
      <c r="A150" s="109"/>
      <c r="B150" s="85"/>
      <c r="C150" s="80"/>
    </row>
    <row r="151" spans="1:10" s="89" customFormat="1" x14ac:dyDescent="0.25">
      <c r="A151" s="202" t="s">
        <v>154</v>
      </c>
      <c r="B151" s="163"/>
      <c r="C151" s="163"/>
      <c r="D151" s="243"/>
      <c r="E151" s="218"/>
      <c r="F151" s="1"/>
      <c r="G151" s="97"/>
      <c r="J151" s="90"/>
    </row>
    <row r="152" spans="1:10" s="89" customFormat="1" x14ac:dyDescent="0.25">
      <c r="A152" s="191"/>
      <c r="B152" s="165"/>
      <c r="C152" s="165"/>
      <c r="D152" s="165"/>
      <c r="E152" s="244"/>
      <c r="F152" s="1"/>
      <c r="G152" s="97"/>
      <c r="J152" s="90"/>
    </row>
    <row r="153" spans="1:10" s="89" customFormat="1" x14ac:dyDescent="0.25">
      <c r="A153" s="209" t="s">
        <v>24</v>
      </c>
      <c r="B153" s="93" t="s">
        <v>25</v>
      </c>
      <c r="C153" s="94" t="s">
        <v>10</v>
      </c>
      <c r="D153" s="94" t="s">
        <v>194</v>
      </c>
      <c r="E153" s="210" t="s">
        <v>56</v>
      </c>
      <c r="F153" s="1"/>
      <c r="G153" s="97"/>
      <c r="J153" s="90"/>
    </row>
    <row r="154" spans="1:10" s="89" customFormat="1" x14ac:dyDescent="0.25">
      <c r="A154" s="195" t="s">
        <v>181</v>
      </c>
      <c r="B154" s="121">
        <f>E147</f>
        <v>429656.22419093986</v>
      </c>
      <c r="C154" s="121">
        <v>-60000</v>
      </c>
      <c r="D154" s="98">
        <f>(B154+C154)*$C$59</f>
        <v>22918.68589983827</v>
      </c>
      <c r="E154" s="245">
        <f>B154+C154+D154</f>
        <v>392574.91009077814</v>
      </c>
      <c r="F154" s="120"/>
      <c r="G154" s="97"/>
      <c r="J154" s="90"/>
    </row>
    <row r="155" spans="1:10" s="89" customFormat="1" x14ac:dyDescent="0.25">
      <c r="A155" s="195" t="s">
        <v>182</v>
      </c>
      <c r="B155" s="121">
        <f>E154</f>
        <v>392574.91009077814</v>
      </c>
      <c r="C155" s="121">
        <v>-60000</v>
      </c>
      <c r="D155" s="98">
        <f t="shared" ref="D155:D162" si="13">(B155+C155)*$C$59</f>
        <v>20619.644425628245</v>
      </c>
      <c r="E155" s="245">
        <f t="shared" ref="E155:E162" si="14">B155+C155+D155</f>
        <v>353194.55451640638</v>
      </c>
      <c r="F155" s="120"/>
      <c r="G155" s="97"/>
      <c r="J155" s="90"/>
    </row>
    <row r="156" spans="1:10" s="89" customFormat="1" x14ac:dyDescent="0.25">
      <c r="A156" s="195" t="s">
        <v>183</v>
      </c>
      <c r="B156" s="121">
        <f>E155</f>
        <v>353194.55451640638</v>
      </c>
      <c r="C156" s="121">
        <v>-60000</v>
      </c>
      <c r="D156" s="98">
        <f t="shared" si="13"/>
        <v>18178.062380017196</v>
      </c>
      <c r="E156" s="245">
        <f t="shared" si="14"/>
        <v>311372.61689642357</v>
      </c>
      <c r="F156" s="120"/>
      <c r="G156" s="97"/>
      <c r="J156" s="90"/>
    </row>
    <row r="157" spans="1:10" s="89" customFormat="1" x14ac:dyDescent="0.25">
      <c r="A157" s="195" t="s">
        <v>184</v>
      </c>
      <c r="B157" s="121">
        <f>E156</f>
        <v>311372.61689642357</v>
      </c>
      <c r="C157" s="121">
        <v>-60000</v>
      </c>
      <c r="D157" s="98">
        <f t="shared" si="13"/>
        <v>15585.102247578261</v>
      </c>
      <c r="E157" s="245">
        <f t="shared" si="14"/>
        <v>266957.71914400184</v>
      </c>
      <c r="F157" s="120"/>
      <c r="G157" s="97"/>
      <c r="J157" s="90"/>
    </row>
    <row r="158" spans="1:10" s="89" customFormat="1" x14ac:dyDescent="0.25">
      <c r="A158" s="195" t="s">
        <v>185</v>
      </c>
      <c r="B158" s="121">
        <f t="shared" ref="B158:B162" si="15">E157</f>
        <v>266957.71914400184</v>
      </c>
      <c r="C158" s="121">
        <v>-60000</v>
      </c>
      <c r="D158" s="98">
        <f t="shared" si="13"/>
        <v>12831.378586928115</v>
      </c>
      <c r="E158" s="245">
        <f t="shared" si="14"/>
        <v>219789.09773092996</v>
      </c>
      <c r="F158" s="120"/>
      <c r="G158" s="97"/>
      <c r="J158" s="90"/>
    </row>
    <row r="159" spans="1:10" s="89" customFormat="1" x14ac:dyDescent="0.25">
      <c r="A159" s="195" t="s">
        <v>186</v>
      </c>
      <c r="B159" s="121">
        <f t="shared" si="15"/>
        <v>219789.09773092996</v>
      </c>
      <c r="C159" s="121">
        <v>-60000</v>
      </c>
      <c r="D159" s="98">
        <f t="shared" si="13"/>
        <v>9906.9240593176582</v>
      </c>
      <c r="E159" s="245">
        <f t="shared" si="14"/>
        <v>169696.02179024761</v>
      </c>
      <c r="F159" s="120"/>
      <c r="G159" s="97"/>
      <c r="J159" s="90"/>
    </row>
    <row r="160" spans="1:10" s="89" customFormat="1" x14ac:dyDescent="0.25">
      <c r="A160" s="195" t="s">
        <v>187</v>
      </c>
      <c r="B160" s="121">
        <f t="shared" si="15"/>
        <v>169696.02179024761</v>
      </c>
      <c r="C160" s="121">
        <v>-60000</v>
      </c>
      <c r="D160" s="98">
        <f t="shared" si="13"/>
        <v>6801.1533509953524</v>
      </c>
      <c r="E160" s="245">
        <f t="shared" si="14"/>
        <v>116497.17514124297</v>
      </c>
      <c r="F160" s="120"/>
      <c r="G160" s="97"/>
      <c r="J160" s="90"/>
    </row>
    <row r="161" spans="1:10" s="89" customFormat="1" x14ac:dyDescent="0.25">
      <c r="A161" s="195" t="s">
        <v>189</v>
      </c>
      <c r="B161" s="121">
        <f t="shared" si="15"/>
        <v>116497.17514124297</v>
      </c>
      <c r="C161" s="121">
        <v>-60000</v>
      </c>
      <c r="D161" s="98">
        <f t="shared" si="13"/>
        <v>3502.8248587570642</v>
      </c>
      <c r="E161" s="245">
        <f t="shared" si="14"/>
        <v>60000.000000000036</v>
      </c>
      <c r="F161" s="120"/>
      <c r="G161" s="97"/>
      <c r="J161" s="90"/>
    </row>
    <row r="162" spans="1:10" s="89" customFormat="1" x14ac:dyDescent="0.25">
      <c r="A162" s="195" t="s">
        <v>204</v>
      </c>
      <c r="B162" s="121">
        <f t="shared" si="15"/>
        <v>60000.000000000036</v>
      </c>
      <c r="C162" s="121">
        <v>-60000</v>
      </c>
      <c r="D162" s="98">
        <f t="shared" si="13"/>
        <v>2.255546860396862E-12</v>
      </c>
      <c r="E162" s="245">
        <f t="shared" si="14"/>
        <v>3.8635334931313989E-11</v>
      </c>
      <c r="F162" s="120"/>
      <c r="G162" s="97"/>
      <c r="J162" s="90"/>
    </row>
    <row r="163" spans="1:10" s="89" customFormat="1" x14ac:dyDescent="0.25">
      <c r="A163" s="198"/>
      <c r="B163" s="246"/>
      <c r="C163" s="247"/>
      <c r="D163" s="247"/>
      <c r="E163" s="248"/>
      <c r="F163" s="120"/>
      <c r="J163" s="90"/>
    </row>
    <row r="164" spans="1:10" x14ac:dyDescent="0.25">
      <c r="A164" s="109"/>
      <c r="B164" s="85"/>
      <c r="C164" s="80"/>
    </row>
    <row r="165" spans="1:10" x14ac:dyDescent="0.25">
      <c r="A165" s="281" t="s">
        <v>133</v>
      </c>
      <c r="B165" s="85"/>
      <c r="C165" s="80"/>
    </row>
    <row r="166" spans="1:10" x14ac:dyDescent="0.25">
      <c r="A166" s="109"/>
      <c r="B166" s="85"/>
      <c r="C166" s="80"/>
    </row>
    <row r="167" spans="1:10" x14ac:dyDescent="0.25">
      <c r="A167" s="109" t="s">
        <v>198</v>
      </c>
      <c r="B167" s="85"/>
      <c r="C167" s="80"/>
    </row>
    <row r="168" spans="1:10" x14ac:dyDescent="0.25">
      <c r="A168" s="109" t="s">
        <v>156</v>
      </c>
      <c r="B168" s="85"/>
      <c r="C168" s="80"/>
    </row>
    <row r="169" spans="1:10" x14ac:dyDescent="0.25">
      <c r="A169" s="109"/>
      <c r="B169" s="85"/>
      <c r="C169" s="80"/>
    </row>
    <row r="170" spans="1:10" s="89" customFormat="1" x14ac:dyDescent="0.25">
      <c r="A170" s="86" t="s">
        <v>191</v>
      </c>
      <c r="B170" s="87"/>
      <c r="C170" s="87"/>
      <c r="D170" s="88"/>
      <c r="E170" s="99"/>
      <c r="F170" s="87"/>
      <c r="G170" s="97"/>
      <c r="H170" s="97"/>
      <c r="J170" s="90"/>
    </row>
    <row r="171" spans="1:10" s="89" customFormat="1" x14ac:dyDescent="0.25">
      <c r="A171" s="89" t="s">
        <v>71</v>
      </c>
      <c r="B171" s="87" t="s">
        <v>72</v>
      </c>
      <c r="C171" s="87"/>
      <c r="D171" s="88"/>
      <c r="E171" s="99"/>
      <c r="F171" s="87"/>
      <c r="G171" s="97"/>
      <c r="J171" s="90"/>
    </row>
    <row r="172" spans="1:10" s="89" customFormat="1" x14ac:dyDescent="0.25">
      <c r="A172" s="99">
        <f>E147-B97</f>
        <v>243493.82272241599</v>
      </c>
      <c r="C172" s="87" t="s">
        <v>195</v>
      </c>
      <c r="D172" s="88"/>
      <c r="E172" s="99"/>
      <c r="F172" s="87"/>
      <c r="G172" s="97"/>
      <c r="J172" s="90"/>
    </row>
    <row r="173" spans="1:10" s="89" customFormat="1" x14ac:dyDescent="0.25">
      <c r="B173" s="97">
        <f>A172</f>
        <v>243493.82272241599</v>
      </c>
      <c r="C173" s="87" t="s">
        <v>16</v>
      </c>
      <c r="D173" s="88"/>
      <c r="E173" s="99"/>
      <c r="F173" s="87"/>
      <c r="G173" s="97"/>
      <c r="J173" s="90"/>
    </row>
    <row r="174" spans="1:10" s="89" customFormat="1" x14ac:dyDescent="0.25">
      <c r="B174" s="97"/>
      <c r="C174" s="87"/>
      <c r="D174" s="88"/>
      <c r="E174" s="99"/>
      <c r="F174" s="87"/>
      <c r="G174" s="97"/>
      <c r="J174" s="90"/>
    </row>
    <row r="175" spans="1:10" s="89" customFormat="1" x14ac:dyDescent="0.25">
      <c r="A175" s="89" t="s">
        <v>157</v>
      </c>
      <c r="B175" s="97"/>
      <c r="C175" s="87"/>
      <c r="D175" s="88"/>
      <c r="E175" s="99"/>
      <c r="F175" s="87"/>
      <c r="G175" s="97"/>
      <c r="J175" s="90"/>
    </row>
    <row r="176" spans="1:10" s="89" customFormat="1" x14ac:dyDescent="0.25">
      <c r="A176" s="89" t="s">
        <v>205</v>
      </c>
      <c r="B176" s="97"/>
      <c r="C176" s="87"/>
      <c r="D176" s="88"/>
      <c r="E176" s="99"/>
      <c r="F176" s="87"/>
      <c r="G176" s="97"/>
      <c r="J176" s="90"/>
    </row>
    <row r="177" spans="1:10" s="89" customFormat="1" x14ac:dyDescent="0.25">
      <c r="B177" s="97"/>
      <c r="C177" s="87"/>
      <c r="D177" s="88"/>
      <c r="E177" s="99"/>
      <c r="F177" s="87"/>
      <c r="G177" s="97"/>
      <c r="J177" s="90"/>
    </row>
    <row r="178" spans="1:10" s="89" customFormat="1" x14ac:dyDescent="0.25">
      <c r="A178" s="216" t="s">
        <v>73</v>
      </c>
      <c r="B178" s="163"/>
      <c r="C178" s="217"/>
      <c r="D178" s="163"/>
      <c r="E178" s="218"/>
      <c r="F178" s="87"/>
      <c r="J178" s="90"/>
    </row>
    <row r="179" spans="1:10" s="89" customFormat="1" x14ac:dyDescent="0.25">
      <c r="A179" s="249">
        <f>D121+A172</f>
        <v>405650.25623529707</v>
      </c>
      <c r="B179" s="220"/>
      <c r="C179" s="204"/>
      <c r="D179" s="204"/>
      <c r="E179" s="205"/>
      <c r="F179" s="87"/>
      <c r="G179" s="97"/>
      <c r="J179" s="90"/>
    </row>
    <row r="180" spans="1:10" s="89" customFormat="1" x14ac:dyDescent="0.25">
      <c r="A180" s="221"/>
      <c r="B180" s="91"/>
      <c r="C180" s="91"/>
      <c r="D180" s="91"/>
      <c r="E180" s="207"/>
      <c r="F180" s="87"/>
      <c r="G180" s="97"/>
      <c r="J180" s="90"/>
    </row>
    <row r="181" spans="1:10" s="89" customFormat="1" x14ac:dyDescent="0.25">
      <c r="A181" s="221" t="s">
        <v>24</v>
      </c>
      <c r="B181" s="95" t="s">
        <v>11</v>
      </c>
      <c r="C181" s="91" t="s">
        <v>3</v>
      </c>
      <c r="D181" s="91" t="s">
        <v>57</v>
      </c>
      <c r="E181" s="222" t="s">
        <v>55</v>
      </c>
      <c r="F181" s="87"/>
      <c r="J181" s="90"/>
    </row>
    <row r="182" spans="1:10" s="89" customFormat="1" x14ac:dyDescent="0.25">
      <c r="A182" s="195" t="s">
        <v>181</v>
      </c>
      <c r="B182" s="98">
        <f>A179</f>
        <v>405650.25623529707</v>
      </c>
      <c r="C182" s="98">
        <f t="shared" ref="C182:C190" si="16">-$A$179/9</f>
        <v>-45072.250692810783</v>
      </c>
      <c r="D182" s="98">
        <f t="shared" ref="D182:D190" si="17">SUM(B182:C182)</f>
        <v>360578.00554248627</v>
      </c>
      <c r="E182" s="223">
        <f t="shared" ref="E182:E190" si="18">D182-E154</f>
        <v>-31996.904548291874</v>
      </c>
      <c r="F182" s="87"/>
      <c r="J182" s="90"/>
    </row>
    <row r="183" spans="1:10" s="89" customFormat="1" x14ac:dyDescent="0.25">
      <c r="A183" s="195" t="s">
        <v>182</v>
      </c>
      <c r="B183" s="98">
        <f t="shared" ref="B183:B190" si="19">D182</f>
        <v>360578.00554248627</v>
      </c>
      <c r="C183" s="98">
        <f t="shared" si="16"/>
        <v>-45072.250692810783</v>
      </c>
      <c r="D183" s="98">
        <f t="shared" si="17"/>
        <v>315505.75484967546</v>
      </c>
      <c r="E183" s="223">
        <f t="shared" si="18"/>
        <v>-37688.79966673092</v>
      </c>
      <c r="F183" s="87"/>
      <c r="J183" s="90"/>
    </row>
    <row r="184" spans="1:10" s="89" customFormat="1" x14ac:dyDescent="0.25">
      <c r="A184" s="195" t="s">
        <v>183</v>
      </c>
      <c r="B184" s="98">
        <f t="shared" si="19"/>
        <v>315505.75484967546</v>
      </c>
      <c r="C184" s="98">
        <f t="shared" si="16"/>
        <v>-45072.250692810783</v>
      </c>
      <c r="D184" s="98">
        <f t="shared" si="17"/>
        <v>270433.50415686466</v>
      </c>
      <c r="E184" s="223">
        <f t="shared" si="18"/>
        <v>-40939.112739558914</v>
      </c>
      <c r="F184" s="87"/>
      <c r="J184" s="90"/>
    </row>
    <row r="185" spans="1:10" s="89" customFormat="1" x14ac:dyDescent="0.25">
      <c r="A185" s="195" t="s">
        <v>184</v>
      </c>
      <c r="B185" s="98">
        <f t="shared" si="19"/>
        <v>270433.50415686466</v>
      </c>
      <c r="C185" s="98">
        <f t="shared" si="16"/>
        <v>-45072.250692810783</v>
      </c>
      <c r="D185" s="98">
        <f t="shared" si="17"/>
        <v>225361.25346405388</v>
      </c>
      <c r="E185" s="223">
        <f t="shared" si="18"/>
        <v>-41596.465679947956</v>
      </c>
      <c r="F185" s="87"/>
      <c r="J185" s="90"/>
    </row>
    <row r="186" spans="1:10" s="89" customFormat="1" x14ac:dyDescent="0.25">
      <c r="A186" s="195" t="s">
        <v>185</v>
      </c>
      <c r="B186" s="98">
        <f t="shared" si="19"/>
        <v>225361.25346405388</v>
      </c>
      <c r="C186" s="98">
        <f t="shared" si="16"/>
        <v>-45072.250692810783</v>
      </c>
      <c r="D186" s="98">
        <f t="shared" si="17"/>
        <v>180289.0027712431</v>
      </c>
      <c r="E186" s="223">
        <f t="shared" si="18"/>
        <v>-39500.09495968686</v>
      </c>
      <c r="F186" s="87"/>
      <c r="G186" s="122" t="s">
        <v>74</v>
      </c>
      <c r="H186" s="123"/>
      <c r="I186" s="124"/>
      <c r="J186" s="90"/>
    </row>
    <row r="187" spans="1:10" s="89" customFormat="1" x14ac:dyDescent="0.25">
      <c r="A187" s="195" t="s">
        <v>186</v>
      </c>
      <c r="B187" s="98">
        <f t="shared" si="19"/>
        <v>180289.0027712431</v>
      </c>
      <c r="C187" s="98">
        <f t="shared" si="16"/>
        <v>-45072.250692810783</v>
      </c>
      <c r="D187" s="98">
        <f t="shared" si="17"/>
        <v>135216.75207843233</v>
      </c>
      <c r="E187" s="223">
        <f t="shared" si="18"/>
        <v>-34479.269711815286</v>
      </c>
      <c r="F187" s="87"/>
      <c r="G187" s="226">
        <f>-SUM(C92:C96,C154:C162)+A107</f>
        <v>840000</v>
      </c>
      <c r="H187" s="227" t="s">
        <v>0</v>
      </c>
      <c r="I187" s="228"/>
      <c r="J187" s="90"/>
    </row>
    <row r="188" spans="1:10" s="89" customFormat="1" x14ac:dyDescent="0.25">
      <c r="A188" s="195" t="s">
        <v>187</v>
      </c>
      <c r="B188" s="98">
        <f t="shared" si="19"/>
        <v>135216.75207843233</v>
      </c>
      <c r="C188" s="98">
        <f t="shared" si="16"/>
        <v>-45072.250692810783</v>
      </c>
      <c r="D188" s="98">
        <f t="shared" si="17"/>
        <v>90144.501385621552</v>
      </c>
      <c r="E188" s="223">
        <f t="shared" si="18"/>
        <v>-26352.673755621421</v>
      </c>
      <c r="F188" s="87"/>
      <c r="G188" s="229">
        <f>-SUM(C116:C121,C182:C190)</f>
        <v>648884.9065046187</v>
      </c>
      <c r="H188" s="125" t="s">
        <v>1</v>
      </c>
      <c r="I188" s="230"/>
      <c r="J188" s="90"/>
    </row>
    <row r="189" spans="1:10" s="89" customFormat="1" x14ac:dyDescent="0.25">
      <c r="A189" s="195" t="s">
        <v>189</v>
      </c>
      <c r="B189" s="98">
        <f t="shared" si="19"/>
        <v>90144.501385621552</v>
      </c>
      <c r="C189" s="98">
        <f t="shared" si="16"/>
        <v>-45072.250692810783</v>
      </c>
      <c r="D189" s="98">
        <f t="shared" si="17"/>
        <v>45072.250692810769</v>
      </c>
      <c r="E189" s="223">
        <f t="shared" si="18"/>
        <v>-14927.749307189268</v>
      </c>
      <c r="F189" s="87"/>
      <c r="G189" s="229">
        <f>SUM(D91:D96,D154:D162)</f>
        <v>191115.09349538141</v>
      </c>
      <c r="H189" s="125" t="s">
        <v>188</v>
      </c>
      <c r="I189" s="230"/>
      <c r="J189" s="90"/>
    </row>
    <row r="190" spans="1:10" s="89" customFormat="1" x14ac:dyDescent="0.25">
      <c r="A190" s="198" t="s">
        <v>204</v>
      </c>
      <c r="B190" s="224">
        <f t="shared" si="19"/>
        <v>45072.250692810769</v>
      </c>
      <c r="C190" s="224">
        <f t="shared" si="16"/>
        <v>-45072.250692810783</v>
      </c>
      <c r="D190" s="224">
        <f t="shared" si="17"/>
        <v>0</v>
      </c>
      <c r="E190" s="225">
        <f t="shared" si="18"/>
        <v>-3.8635334931313989E-11</v>
      </c>
      <c r="F190" s="87"/>
      <c r="G190" s="226">
        <f>SUM(G188:G189)</f>
        <v>840000.00000000012</v>
      </c>
      <c r="H190" s="231" t="s">
        <v>2</v>
      </c>
      <c r="I190" s="232"/>
      <c r="J190" s="90"/>
    </row>
    <row r="191" spans="1:10" x14ac:dyDescent="0.25">
      <c r="A191" s="109"/>
      <c r="B191" s="85"/>
      <c r="C191" s="80"/>
    </row>
    <row r="192" spans="1:10" x14ac:dyDescent="0.25">
      <c r="A192" s="109"/>
      <c r="B192" s="85"/>
      <c r="C192" s="80"/>
    </row>
    <row r="193" spans="1:9" x14ac:dyDescent="0.25">
      <c r="A193" s="281" t="s">
        <v>158</v>
      </c>
      <c r="B193" s="85"/>
      <c r="C193" s="80"/>
    </row>
    <row r="194" spans="1:9" x14ac:dyDescent="0.25">
      <c r="A194" s="109"/>
      <c r="B194" s="85"/>
      <c r="C194" s="80"/>
    </row>
    <row r="195" spans="1:9" x14ac:dyDescent="0.25">
      <c r="A195" s="1" t="s">
        <v>159</v>
      </c>
      <c r="E195" s="1"/>
    </row>
    <row r="196" spans="1:9" x14ac:dyDescent="0.25">
      <c r="A196" s="1" t="s">
        <v>102</v>
      </c>
      <c r="E196" s="1"/>
    </row>
    <row r="197" spans="1:9" x14ac:dyDescent="0.25">
      <c r="E197" s="1"/>
    </row>
    <row r="198" spans="1:9" x14ac:dyDescent="0.25">
      <c r="A198" s="160" t="s">
        <v>30</v>
      </c>
      <c r="B198" s="161"/>
      <c r="C198" s="180"/>
      <c r="D198" s="31"/>
      <c r="E198" s="1"/>
    </row>
    <row r="199" spans="1:9" x14ac:dyDescent="0.25">
      <c r="A199" s="181">
        <v>5000000</v>
      </c>
      <c r="B199" s="177" t="s">
        <v>31</v>
      </c>
      <c r="C199" s="182"/>
      <c r="D199" s="31"/>
      <c r="E199" s="1"/>
    </row>
    <row r="200" spans="1:9" x14ac:dyDescent="0.25">
      <c r="A200" s="183">
        <v>-2000000</v>
      </c>
      <c r="B200" s="85" t="s">
        <v>5</v>
      </c>
      <c r="C200" s="184"/>
      <c r="D200" s="31"/>
      <c r="E200" s="1"/>
    </row>
    <row r="201" spans="1:9" x14ac:dyDescent="0.25">
      <c r="A201" s="185">
        <v>3000000</v>
      </c>
      <c r="B201" s="85" t="s">
        <v>162</v>
      </c>
      <c r="C201" s="184"/>
      <c r="D201" s="31"/>
      <c r="E201" s="1"/>
    </row>
    <row r="202" spans="1:9" x14ac:dyDescent="0.25">
      <c r="A202" s="186">
        <v>100000</v>
      </c>
      <c r="B202" s="170" t="s">
        <v>33</v>
      </c>
      <c r="C202" s="187"/>
      <c r="D202" s="31"/>
      <c r="E202" s="1"/>
    </row>
    <row r="203" spans="1:9" x14ac:dyDescent="0.25">
      <c r="A203" s="29"/>
      <c r="C203" s="30"/>
      <c r="D203" s="31"/>
      <c r="E203" s="1"/>
    </row>
    <row r="205" spans="1:9" s="89" customFormat="1" x14ac:dyDescent="0.25">
      <c r="A205" s="202" t="s">
        <v>160</v>
      </c>
      <c r="B205" s="161"/>
      <c r="C205" s="161"/>
      <c r="D205" s="190"/>
      <c r="E205" s="101"/>
      <c r="F205" s="102"/>
      <c r="G205" s="101"/>
      <c r="H205" s="102"/>
      <c r="I205" s="103"/>
    </row>
    <row r="206" spans="1:9" s="89" customFormat="1" x14ac:dyDescent="0.25">
      <c r="A206" s="250" t="s">
        <v>24</v>
      </c>
      <c r="B206" s="251" t="s">
        <v>25</v>
      </c>
      <c r="C206" s="251" t="s">
        <v>196</v>
      </c>
      <c r="D206" s="252" t="s">
        <v>32</v>
      </c>
      <c r="E206" s="103"/>
      <c r="F206" s="103"/>
      <c r="G206" s="104"/>
      <c r="H206" s="103"/>
      <c r="I206" s="103"/>
    </row>
    <row r="207" spans="1:9" s="89" customFormat="1" x14ac:dyDescent="0.25">
      <c r="A207" s="221" t="s">
        <v>175</v>
      </c>
      <c r="B207" s="110">
        <f>A201</f>
        <v>3000000</v>
      </c>
      <c r="C207" s="111">
        <f t="shared" ref="C207:C221" si="20">-$A$202</f>
        <v>-100000</v>
      </c>
      <c r="D207" s="253">
        <f>B207+C207</f>
        <v>2900000</v>
      </c>
      <c r="E207" s="103"/>
      <c r="F207" s="103"/>
      <c r="G207" s="104"/>
      <c r="H207" s="103"/>
      <c r="I207" s="103"/>
    </row>
    <row r="208" spans="1:9" s="89" customFormat="1" x14ac:dyDescent="0.25">
      <c r="A208" s="221" t="s">
        <v>176</v>
      </c>
      <c r="B208" s="110">
        <f t="shared" ref="B208:B216" si="21">D207</f>
        <v>2900000</v>
      </c>
      <c r="C208" s="111">
        <f t="shared" si="20"/>
        <v>-100000</v>
      </c>
      <c r="D208" s="253">
        <f t="shared" ref="D208:D221" si="22">B208+C208</f>
        <v>2800000</v>
      </c>
      <c r="E208" s="105"/>
      <c r="F208" s="103"/>
      <c r="G208" s="106"/>
      <c r="H208" s="103"/>
      <c r="I208" s="103"/>
    </row>
    <row r="209" spans="1:9" s="89" customFormat="1" x14ac:dyDescent="0.25">
      <c r="A209" s="221" t="s">
        <v>177</v>
      </c>
      <c r="B209" s="110">
        <f t="shared" si="21"/>
        <v>2800000</v>
      </c>
      <c r="C209" s="111">
        <f t="shared" si="20"/>
        <v>-100000</v>
      </c>
      <c r="D209" s="253">
        <f t="shared" si="22"/>
        <v>2700000</v>
      </c>
      <c r="E209" s="105"/>
      <c r="F209" s="103"/>
      <c r="G209" s="106"/>
      <c r="H209" s="103"/>
      <c r="I209" s="103"/>
    </row>
    <row r="210" spans="1:9" s="89" customFormat="1" x14ac:dyDescent="0.25">
      <c r="A210" s="221" t="s">
        <v>178</v>
      </c>
      <c r="B210" s="110">
        <f t="shared" si="21"/>
        <v>2700000</v>
      </c>
      <c r="C210" s="111">
        <f t="shared" si="20"/>
        <v>-100000</v>
      </c>
      <c r="D210" s="253">
        <f t="shared" si="22"/>
        <v>2600000</v>
      </c>
      <c r="E210" s="105"/>
      <c r="F210" s="103"/>
      <c r="G210" s="106"/>
      <c r="H210" s="103"/>
      <c r="I210" s="103"/>
    </row>
    <row r="211" spans="1:9" s="89" customFormat="1" x14ac:dyDescent="0.25">
      <c r="A211" s="221" t="s">
        <v>179</v>
      </c>
      <c r="B211" s="110">
        <f t="shared" si="21"/>
        <v>2600000</v>
      </c>
      <c r="C211" s="111">
        <f t="shared" si="20"/>
        <v>-100000</v>
      </c>
      <c r="D211" s="253">
        <f t="shared" si="22"/>
        <v>2500000</v>
      </c>
      <c r="E211" s="105"/>
      <c r="F211" s="103"/>
      <c r="G211" s="106"/>
      <c r="H211" s="103"/>
      <c r="I211" s="103"/>
    </row>
    <row r="212" spans="1:9" s="89" customFormat="1" x14ac:dyDescent="0.25">
      <c r="A212" s="221" t="s">
        <v>180</v>
      </c>
      <c r="B212" s="110">
        <f t="shared" si="21"/>
        <v>2500000</v>
      </c>
      <c r="C212" s="111">
        <f t="shared" si="20"/>
        <v>-100000</v>
      </c>
      <c r="D212" s="253">
        <f t="shared" si="22"/>
        <v>2400000</v>
      </c>
      <c r="E212" s="105"/>
      <c r="F212" s="103"/>
      <c r="G212" s="106"/>
      <c r="H212" s="103"/>
      <c r="I212" s="103"/>
    </row>
    <row r="213" spans="1:9" s="89" customFormat="1" x14ac:dyDescent="0.25">
      <c r="A213" s="195" t="s">
        <v>181</v>
      </c>
      <c r="B213" s="110">
        <f>D212</f>
        <v>2400000</v>
      </c>
      <c r="C213" s="111">
        <f t="shared" si="20"/>
        <v>-100000</v>
      </c>
      <c r="D213" s="253">
        <f t="shared" si="22"/>
        <v>2300000</v>
      </c>
      <c r="E213" s="105"/>
      <c r="F213" s="103"/>
      <c r="G213" s="106"/>
      <c r="H213" s="103"/>
      <c r="I213" s="103"/>
    </row>
    <row r="214" spans="1:9" s="89" customFormat="1" x14ac:dyDescent="0.25">
      <c r="A214" s="195" t="s">
        <v>182</v>
      </c>
      <c r="B214" s="110">
        <f t="shared" si="21"/>
        <v>2300000</v>
      </c>
      <c r="C214" s="111">
        <f t="shared" si="20"/>
        <v>-100000</v>
      </c>
      <c r="D214" s="253">
        <f t="shared" si="22"/>
        <v>2200000</v>
      </c>
      <c r="E214" s="105"/>
      <c r="F214" s="103"/>
      <c r="G214" s="106"/>
      <c r="H214" s="103"/>
      <c r="I214" s="103"/>
    </row>
    <row r="215" spans="1:9" s="89" customFormat="1" x14ac:dyDescent="0.25">
      <c r="A215" s="195" t="s">
        <v>183</v>
      </c>
      <c r="B215" s="110">
        <f t="shared" si="21"/>
        <v>2200000</v>
      </c>
      <c r="C215" s="111">
        <f t="shared" si="20"/>
        <v>-100000</v>
      </c>
      <c r="D215" s="253">
        <f t="shared" si="22"/>
        <v>2100000</v>
      </c>
      <c r="E215" s="105"/>
      <c r="F215" s="103"/>
      <c r="G215" s="106"/>
      <c r="H215" s="103"/>
      <c r="I215" s="103"/>
    </row>
    <row r="216" spans="1:9" s="89" customFormat="1" x14ac:dyDescent="0.25">
      <c r="A216" s="195" t="s">
        <v>184</v>
      </c>
      <c r="B216" s="110">
        <f t="shared" si="21"/>
        <v>2100000</v>
      </c>
      <c r="C216" s="111">
        <f t="shared" si="20"/>
        <v>-100000</v>
      </c>
      <c r="D216" s="253">
        <f t="shared" si="22"/>
        <v>2000000</v>
      </c>
      <c r="E216" s="105"/>
      <c r="F216" s="103"/>
      <c r="G216" s="106"/>
      <c r="H216" s="103"/>
      <c r="I216" s="103"/>
    </row>
    <row r="217" spans="1:9" s="89" customFormat="1" x14ac:dyDescent="0.25">
      <c r="A217" s="195" t="s">
        <v>185</v>
      </c>
      <c r="B217" s="110">
        <f t="shared" ref="B217:B221" si="23">D216</f>
        <v>2000000</v>
      </c>
      <c r="C217" s="111">
        <f t="shared" si="20"/>
        <v>-100000</v>
      </c>
      <c r="D217" s="253">
        <f t="shared" si="22"/>
        <v>1900000</v>
      </c>
      <c r="E217" s="105"/>
      <c r="F217" s="103"/>
      <c r="G217" s="106"/>
      <c r="H217" s="103"/>
      <c r="I217" s="103"/>
    </row>
    <row r="218" spans="1:9" s="89" customFormat="1" x14ac:dyDescent="0.25">
      <c r="A218" s="195" t="s">
        <v>186</v>
      </c>
      <c r="B218" s="110">
        <f t="shared" si="23"/>
        <v>1900000</v>
      </c>
      <c r="C218" s="111">
        <f t="shared" si="20"/>
        <v>-100000</v>
      </c>
      <c r="D218" s="253">
        <f t="shared" si="22"/>
        <v>1800000</v>
      </c>
      <c r="E218" s="105"/>
      <c r="F218" s="103"/>
      <c r="G218" s="106"/>
      <c r="H218" s="103"/>
      <c r="I218" s="103"/>
    </row>
    <row r="219" spans="1:9" s="89" customFormat="1" x14ac:dyDescent="0.25">
      <c r="A219" s="195" t="s">
        <v>187</v>
      </c>
      <c r="B219" s="110">
        <f t="shared" si="23"/>
        <v>1800000</v>
      </c>
      <c r="C219" s="111">
        <f t="shared" si="20"/>
        <v>-100000</v>
      </c>
      <c r="D219" s="253">
        <f t="shared" si="22"/>
        <v>1700000</v>
      </c>
      <c r="E219" s="105"/>
      <c r="F219" s="103"/>
      <c r="G219" s="106"/>
      <c r="H219" s="103"/>
      <c r="I219" s="103"/>
    </row>
    <row r="220" spans="1:9" s="89" customFormat="1" x14ac:dyDescent="0.25">
      <c r="A220" s="195" t="s">
        <v>189</v>
      </c>
      <c r="B220" s="110">
        <f t="shared" si="23"/>
        <v>1700000</v>
      </c>
      <c r="C220" s="111">
        <f t="shared" si="20"/>
        <v>-100000</v>
      </c>
      <c r="D220" s="253">
        <f t="shared" si="22"/>
        <v>1600000</v>
      </c>
      <c r="E220" s="105"/>
      <c r="F220" s="103"/>
      <c r="G220" s="106"/>
      <c r="H220" s="103"/>
      <c r="I220" s="103"/>
    </row>
    <row r="221" spans="1:9" s="89" customFormat="1" x14ac:dyDescent="0.25">
      <c r="A221" s="239" t="s">
        <v>204</v>
      </c>
      <c r="B221" s="254">
        <f t="shared" si="23"/>
        <v>1600000</v>
      </c>
      <c r="C221" s="255">
        <f t="shared" si="20"/>
        <v>-100000</v>
      </c>
      <c r="D221" s="256">
        <f t="shared" si="22"/>
        <v>1500000</v>
      </c>
      <c r="E221" s="105"/>
      <c r="F221" s="103"/>
      <c r="G221" s="106"/>
      <c r="H221" s="103"/>
      <c r="I221" s="103"/>
    </row>
    <row r="222" spans="1:9" x14ac:dyDescent="0.25">
      <c r="B222" s="33"/>
      <c r="C222" s="34"/>
      <c r="E222" s="35"/>
    </row>
    <row r="223" spans="1:9" x14ac:dyDescent="0.25">
      <c r="B223" s="33"/>
      <c r="C223" s="34"/>
      <c r="E223" s="35"/>
    </row>
    <row r="224" spans="1:9" x14ac:dyDescent="0.25">
      <c r="A224" s="281" t="s">
        <v>163</v>
      </c>
      <c r="B224" s="33"/>
      <c r="C224" s="34"/>
      <c r="E224" s="35"/>
    </row>
    <row r="225" spans="1:10" s="89" customFormat="1" x14ac:dyDescent="0.25">
      <c r="A225" s="86"/>
      <c r="B225" s="87"/>
      <c r="C225" s="87"/>
      <c r="D225" s="88"/>
      <c r="E225" s="87"/>
      <c r="F225" s="87"/>
      <c r="J225" s="90"/>
    </row>
    <row r="226" spans="1:10" x14ac:dyDescent="0.25">
      <c r="A226" s="160" t="s">
        <v>165</v>
      </c>
      <c r="B226" s="163"/>
      <c r="C226" s="190"/>
      <c r="D226" s="29"/>
      <c r="E226" s="1"/>
      <c r="F226" s="1"/>
      <c r="H226" s="9"/>
      <c r="J226" s="1"/>
    </row>
    <row r="227" spans="1:10" x14ac:dyDescent="0.25">
      <c r="A227" s="191"/>
      <c r="B227" s="192" t="s">
        <v>20</v>
      </c>
      <c r="C227" s="194" t="s">
        <v>21</v>
      </c>
      <c r="D227" s="29"/>
      <c r="E227" s="1"/>
      <c r="F227" s="1"/>
      <c r="H227" s="9"/>
      <c r="J227" s="1"/>
    </row>
    <row r="228" spans="1:10" x14ac:dyDescent="0.25">
      <c r="A228" s="195">
        <v>0</v>
      </c>
      <c r="B228" s="107">
        <v>50000</v>
      </c>
      <c r="C228" s="290">
        <v>44652</v>
      </c>
      <c r="D228" s="29"/>
      <c r="E228" s="1"/>
      <c r="F228" s="1"/>
      <c r="H228" s="9"/>
      <c r="J228" s="1"/>
    </row>
    <row r="229" spans="1:10" x14ac:dyDescent="0.25">
      <c r="A229" s="195">
        <v>1</v>
      </c>
      <c r="B229" s="107">
        <v>50000</v>
      </c>
      <c r="C229" s="291">
        <v>45017</v>
      </c>
      <c r="D229" s="29"/>
      <c r="E229" s="1"/>
      <c r="F229" s="1"/>
      <c r="H229" s="9"/>
      <c r="J229" s="1"/>
    </row>
    <row r="230" spans="1:10" x14ac:dyDescent="0.25">
      <c r="A230" s="195">
        <f>A229+1</f>
        <v>2</v>
      </c>
      <c r="B230" s="107">
        <v>50000</v>
      </c>
      <c r="C230" s="290">
        <v>45383</v>
      </c>
      <c r="D230" s="29"/>
      <c r="E230" s="1"/>
      <c r="F230" s="1"/>
      <c r="H230" s="9"/>
      <c r="J230" s="1"/>
    </row>
    <row r="231" spans="1:10" x14ac:dyDescent="0.25">
      <c r="A231" s="195">
        <f t="shared" ref="A231:A242" si="24">A230+1</f>
        <v>3</v>
      </c>
      <c r="B231" s="107">
        <v>50000</v>
      </c>
      <c r="C231" s="291">
        <v>45748</v>
      </c>
      <c r="D231" s="29"/>
      <c r="E231" s="1"/>
      <c r="F231" s="1"/>
      <c r="H231" s="9"/>
      <c r="J231" s="1"/>
    </row>
    <row r="232" spans="1:10" x14ac:dyDescent="0.25">
      <c r="A232" s="195">
        <f t="shared" si="24"/>
        <v>4</v>
      </c>
      <c r="B232" s="107">
        <v>50000</v>
      </c>
      <c r="C232" s="290">
        <v>46113</v>
      </c>
      <c r="D232" s="29"/>
      <c r="E232" s="1"/>
      <c r="F232" s="1"/>
      <c r="H232" s="9"/>
      <c r="J232" s="1"/>
    </row>
    <row r="233" spans="1:10" x14ac:dyDescent="0.25">
      <c r="A233" s="195">
        <f t="shared" si="24"/>
        <v>5</v>
      </c>
      <c r="B233" s="107">
        <v>50000</v>
      </c>
      <c r="C233" s="291">
        <v>46478</v>
      </c>
      <c r="D233" s="29"/>
      <c r="E233" s="1"/>
      <c r="F233" s="1"/>
      <c r="H233" s="9"/>
      <c r="J233" s="1"/>
    </row>
    <row r="234" spans="1:10" s="89" customFormat="1" x14ac:dyDescent="0.25">
      <c r="A234" s="195">
        <f t="shared" si="24"/>
        <v>6</v>
      </c>
      <c r="B234" s="107">
        <v>60000</v>
      </c>
      <c r="C234" s="290">
        <v>46844</v>
      </c>
      <c r="D234" s="87"/>
      <c r="E234" s="97"/>
      <c r="H234" s="90"/>
    </row>
    <row r="235" spans="1:10" s="89" customFormat="1" x14ac:dyDescent="0.25">
      <c r="A235" s="195">
        <f t="shared" si="24"/>
        <v>7</v>
      </c>
      <c r="B235" s="107">
        <v>60000</v>
      </c>
      <c r="C235" s="291">
        <v>47209</v>
      </c>
      <c r="D235" s="87"/>
      <c r="E235" s="97"/>
      <c r="H235" s="90"/>
    </row>
    <row r="236" spans="1:10" s="89" customFormat="1" x14ac:dyDescent="0.25">
      <c r="A236" s="195">
        <f t="shared" si="24"/>
        <v>8</v>
      </c>
      <c r="B236" s="107">
        <v>60000</v>
      </c>
      <c r="C236" s="290">
        <v>47574</v>
      </c>
      <c r="D236" s="87"/>
      <c r="E236" s="97"/>
      <c r="H236" s="90"/>
    </row>
    <row r="237" spans="1:10" s="89" customFormat="1" x14ac:dyDescent="0.25">
      <c r="A237" s="195">
        <f t="shared" si="24"/>
        <v>9</v>
      </c>
      <c r="B237" s="107">
        <v>60000</v>
      </c>
      <c r="C237" s="291">
        <v>47939</v>
      </c>
      <c r="D237" s="87"/>
      <c r="E237" s="97"/>
      <c r="H237" s="90"/>
    </row>
    <row r="238" spans="1:10" s="89" customFormat="1" x14ac:dyDescent="0.25">
      <c r="A238" s="195">
        <f t="shared" si="24"/>
        <v>10</v>
      </c>
      <c r="B238" s="107">
        <v>60000</v>
      </c>
      <c r="C238" s="290">
        <v>48305</v>
      </c>
      <c r="D238" s="87"/>
      <c r="E238" s="97"/>
      <c r="H238" s="90"/>
    </row>
    <row r="239" spans="1:10" s="89" customFormat="1" x14ac:dyDescent="0.25">
      <c r="A239" s="195">
        <f t="shared" si="24"/>
        <v>11</v>
      </c>
      <c r="B239" s="107">
        <v>60000</v>
      </c>
      <c r="C239" s="291">
        <v>48670</v>
      </c>
      <c r="D239" s="87"/>
      <c r="E239" s="97"/>
      <c r="H239" s="90"/>
    </row>
    <row r="240" spans="1:10" s="89" customFormat="1" x14ac:dyDescent="0.25">
      <c r="A240" s="195">
        <f t="shared" si="24"/>
        <v>12</v>
      </c>
      <c r="B240" s="107">
        <v>60000</v>
      </c>
      <c r="C240" s="290">
        <v>49035</v>
      </c>
      <c r="D240" s="87"/>
      <c r="E240" s="97"/>
      <c r="H240" s="90"/>
    </row>
    <row r="241" spans="1:12" s="89" customFormat="1" x14ac:dyDescent="0.25">
      <c r="A241" s="195">
        <f t="shared" si="24"/>
        <v>13</v>
      </c>
      <c r="B241" s="107">
        <v>60000</v>
      </c>
      <c r="C241" s="291">
        <v>49400</v>
      </c>
      <c r="D241" s="87"/>
      <c r="E241" s="97"/>
      <c r="H241" s="90"/>
    </row>
    <row r="242" spans="1:12" s="89" customFormat="1" x14ac:dyDescent="0.25">
      <c r="A242" s="195">
        <f t="shared" si="24"/>
        <v>14</v>
      </c>
      <c r="B242" s="107">
        <v>60000</v>
      </c>
      <c r="C242" s="290">
        <v>49766</v>
      </c>
      <c r="D242" s="87"/>
      <c r="E242" s="97"/>
      <c r="H242" s="90"/>
    </row>
    <row r="243" spans="1:12" s="89" customFormat="1" x14ac:dyDescent="0.25">
      <c r="A243" s="239"/>
      <c r="B243" s="240"/>
      <c r="C243" s="292"/>
      <c r="D243" s="87"/>
      <c r="E243" s="97"/>
      <c r="H243" s="90"/>
    </row>
    <row r="244" spans="1:12" x14ac:dyDescent="0.25">
      <c r="D244" s="29"/>
      <c r="E244" s="1"/>
      <c r="F244" s="1"/>
      <c r="H244" s="9"/>
      <c r="J244" s="1"/>
    </row>
    <row r="256" spans="1:12" s="89" customFormat="1" x14ac:dyDescent="0.25">
      <c r="B256" s="87"/>
      <c r="C256" s="87"/>
      <c r="D256" s="88"/>
      <c r="E256" s="87"/>
      <c r="F256" s="87"/>
      <c r="H256" s="105"/>
      <c r="I256" s="103"/>
      <c r="J256" s="106"/>
      <c r="K256" s="103"/>
      <c r="L256" s="103"/>
    </row>
    <row r="257" spans="2:10" s="89" customFormat="1" x14ac:dyDescent="0.25">
      <c r="B257" s="87"/>
      <c r="C257" s="87"/>
      <c r="D257" s="88"/>
      <c r="E257" s="87"/>
      <c r="F257" s="87"/>
      <c r="J257" s="90"/>
    </row>
  </sheetData>
  <mergeCells count="3">
    <mergeCell ref="A41:J41"/>
    <mergeCell ref="A4:J4"/>
    <mergeCell ref="A37: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6"/>
  <sheetViews>
    <sheetView showGridLines="0" workbookViewId="0">
      <selection activeCell="A341" sqref="A341"/>
    </sheetView>
  </sheetViews>
  <sheetFormatPr defaultRowHeight="14.3" outlineLevelCol="1" x14ac:dyDescent="0.25"/>
  <cols>
    <col min="1" max="1" width="39.625" style="2" customWidth="1"/>
    <col min="2" max="2" width="15.125" style="4" customWidth="1"/>
    <col min="3" max="3" width="24.75" style="8" customWidth="1"/>
    <col min="4" max="4" width="15.75" style="53" customWidth="1"/>
    <col min="5" max="5" width="26.375" style="4" customWidth="1"/>
    <col min="6" max="6" width="15.875" style="4" hidden="1" customWidth="1" outlineLevel="1"/>
    <col min="7" max="7" width="8.875" style="2" hidden="1" customWidth="1" outlineLevel="1"/>
    <col min="8" max="8" width="8.875" customWidth="1" collapsed="1"/>
    <col min="9" max="11" width="8.875" customWidth="1"/>
  </cols>
  <sheetData>
    <row r="1" spans="1:8" ht="14.95" x14ac:dyDescent="0.25">
      <c r="A1" s="61" t="s">
        <v>84</v>
      </c>
    </row>
    <row r="3" spans="1:8" ht="14.95" x14ac:dyDescent="0.25">
      <c r="B3" s="42"/>
    </row>
    <row r="4" spans="1:8" ht="15.8" thickBot="1" x14ac:dyDescent="0.3">
      <c r="A4" s="3"/>
      <c r="B4" s="309" t="s">
        <v>13</v>
      </c>
      <c r="C4" s="310"/>
      <c r="D4" s="54" t="s">
        <v>12</v>
      </c>
    </row>
    <row r="5" spans="1:8" ht="18.7" customHeight="1" thickBot="1" x14ac:dyDescent="0.3">
      <c r="A5" s="60" t="s">
        <v>206</v>
      </c>
      <c r="B5" s="57" t="s">
        <v>8</v>
      </c>
      <c r="C5" s="59" t="s">
        <v>75</v>
      </c>
      <c r="D5" s="57" t="s">
        <v>9</v>
      </c>
      <c r="E5" s="58" t="s">
        <v>14</v>
      </c>
      <c r="F5" s="5"/>
    </row>
    <row r="6" spans="1:8" ht="15.8" x14ac:dyDescent="0.25">
      <c r="A6" s="159" t="s">
        <v>4</v>
      </c>
      <c r="B6" s="12"/>
      <c r="C6" s="13"/>
      <c r="D6" s="51"/>
      <c r="E6" s="25"/>
    </row>
    <row r="7" spans="1:8" ht="14.95" x14ac:dyDescent="0.25">
      <c r="A7" s="2" t="s">
        <v>166</v>
      </c>
      <c r="B7" s="19">
        <f>'Scenario and Data'!D91</f>
        <v>17769.554189110131</v>
      </c>
      <c r="C7" s="20"/>
      <c r="D7" s="19"/>
      <c r="E7" s="25"/>
      <c r="G7" s="262" t="s">
        <v>104</v>
      </c>
    </row>
    <row r="8" spans="1:8" ht="14.95" x14ac:dyDescent="0.25">
      <c r="A8" s="2" t="s">
        <v>97</v>
      </c>
      <c r="B8" s="21"/>
      <c r="C8" s="20"/>
      <c r="D8" s="19">
        <f>-'Scenario and Data'!A107</f>
        <v>-50000</v>
      </c>
      <c r="E8" s="25"/>
    </row>
    <row r="9" spans="1:8" x14ac:dyDescent="0.25">
      <c r="A9" s="2" t="s">
        <v>167</v>
      </c>
      <c r="B9" s="21"/>
      <c r="C9" s="22">
        <f>-'Scenario and Data'!C116</f>
        <v>40539.108378220262</v>
      </c>
      <c r="D9" s="51"/>
      <c r="E9" s="15">
        <f>-'Scenario and Data'!C207</f>
        <v>100000</v>
      </c>
      <c r="G9" s="262" t="s">
        <v>105</v>
      </c>
    </row>
    <row r="10" spans="1:8" ht="15.8" thickBot="1" x14ac:dyDescent="0.3">
      <c r="A10" s="3" t="s">
        <v>7</v>
      </c>
      <c r="B10" s="45">
        <f>SUM(B7:B9)</f>
        <v>17769.554189110131</v>
      </c>
      <c r="C10" s="46">
        <f>SUM(C7:C9)</f>
        <v>40539.108378220262</v>
      </c>
      <c r="D10" s="45">
        <f>SUM(D7:D9)</f>
        <v>-50000</v>
      </c>
      <c r="E10" s="17">
        <f>SUM(E7:E9)</f>
        <v>100000</v>
      </c>
      <c r="F10" s="6"/>
    </row>
    <row r="11" spans="1:8" ht="16.5" thickTop="1" thickBot="1" x14ac:dyDescent="0.3">
      <c r="A11" s="3"/>
      <c r="B11" s="36"/>
      <c r="C11" s="36"/>
      <c r="D11" s="36"/>
      <c r="E11" s="26"/>
      <c r="F11" s="6"/>
    </row>
    <row r="12" spans="1:8" ht="16.5" thickBot="1" x14ac:dyDescent="0.3">
      <c r="A12" s="159" t="s">
        <v>26</v>
      </c>
      <c r="B12" s="57" t="s">
        <v>8</v>
      </c>
      <c r="C12" s="59" t="s">
        <v>75</v>
      </c>
      <c r="D12" s="57" t="s">
        <v>9</v>
      </c>
      <c r="E12" s="58" t="s">
        <v>14</v>
      </c>
    </row>
    <row r="13" spans="1:8" x14ac:dyDescent="0.25">
      <c r="A13" s="11" t="s">
        <v>168</v>
      </c>
      <c r="B13" s="21"/>
      <c r="C13" s="27">
        <f>-B15</f>
        <v>355391.08378220262</v>
      </c>
      <c r="D13" s="51"/>
      <c r="E13" s="15"/>
      <c r="G13" s="263" t="s">
        <v>106</v>
      </c>
      <c r="H13" s="43"/>
    </row>
    <row r="14" spans="1:8" ht="14.95" x14ac:dyDescent="0.25">
      <c r="A14" s="11" t="s">
        <v>169</v>
      </c>
      <c r="B14" s="21"/>
      <c r="C14" s="27">
        <f>-B18</f>
        <v>50000</v>
      </c>
      <c r="D14" s="51"/>
      <c r="E14" s="15"/>
      <c r="H14" s="43"/>
    </row>
    <row r="15" spans="1:8" ht="14.95" x14ac:dyDescent="0.25">
      <c r="A15" s="10" t="s">
        <v>19</v>
      </c>
      <c r="B15" s="19">
        <f>-'Scenario and Data'!A88</f>
        <v>-355391.08378220262</v>
      </c>
      <c r="C15" s="20"/>
      <c r="D15" s="51"/>
      <c r="E15" s="15"/>
      <c r="G15" s="2" t="s">
        <v>107</v>
      </c>
      <c r="H15" s="43"/>
    </row>
    <row r="16" spans="1:8" ht="14.95" x14ac:dyDescent="0.25">
      <c r="A16" s="2" t="s">
        <v>28</v>
      </c>
      <c r="B16" s="19">
        <f>-B7</f>
        <v>-17769.554189110131</v>
      </c>
      <c r="C16" s="20"/>
      <c r="D16" s="52"/>
      <c r="E16" s="15"/>
      <c r="G16" s="2" t="s">
        <v>108</v>
      </c>
      <c r="H16" s="43"/>
    </row>
    <row r="17" spans="1:8" ht="14.95" x14ac:dyDescent="0.25">
      <c r="A17" s="2" t="s">
        <v>5</v>
      </c>
      <c r="B17" s="21"/>
      <c r="C17" s="22">
        <f>'Scenario and Data'!C116</f>
        <v>-40539.108378220262</v>
      </c>
      <c r="D17" s="19"/>
      <c r="E17" s="15">
        <f>-E9</f>
        <v>-100000</v>
      </c>
      <c r="H17" s="43"/>
    </row>
    <row r="18" spans="1:8" ht="14.95" x14ac:dyDescent="0.25">
      <c r="A18" s="2" t="s">
        <v>170</v>
      </c>
      <c r="B18" s="19">
        <v>-50000</v>
      </c>
      <c r="C18" s="47"/>
      <c r="D18" s="19">
        <f>'Scenario and Data'!A107</f>
        <v>50000</v>
      </c>
      <c r="E18" s="25"/>
      <c r="H18" s="2"/>
    </row>
    <row r="19" spans="1:8" ht="14.95" x14ac:dyDescent="0.25">
      <c r="B19" s="19"/>
      <c r="C19" s="20"/>
      <c r="D19" s="51"/>
      <c r="E19" s="15"/>
      <c r="H19" s="2"/>
    </row>
    <row r="20" spans="1:8" ht="15.8" thickBot="1" x14ac:dyDescent="0.3">
      <c r="A20" s="3" t="s">
        <v>174</v>
      </c>
      <c r="B20" s="45">
        <f>SUM(B13:B19)</f>
        <v>-423160.63797131274</v>
      </c>
      <c r="C20" s="46">
        <f>SUM(C13:C19)</f>
        <v>364851.97540398233</v>
      </c>
      <c r="D20" s="45">
        <f>SUM(D13:D19)</f>
        <v>50000</v>
      </c>
      <c r="E20" s="17">
        <f>SUM(E13:E19)</f>
        <v>-100000</v>
      </c>
      <c r="F20" s="6"/>
      <c r="H20" s="2"/>
    </row>
    <row r="21" spans="1:8" ht="15.8" thickTop="1" x14ac:dyDescent="0.25">
      <c r="B21" s="21"/>
      <c r="C21" s="20"/>
      <c r="D21" s="51"/>
      <c r="E21" s="15"/>
      <c r="H21" s="2"/>
    </row>
    <row r="22" spans="1:8" ht="14.95" x14ac:dyDescent="0.25">
      <c r="A22" s="2" t="s">
        <v>17</v>
      </c>
      <c r="B22" s="19">
        <f>B15+B16</f>
        <v>-373160.63797131274</v>
      </c>
      <c r="C22" s="20"/>
      <c r="D22" s="51"/>
      <c r="E22" s="15"/>
      <c r="H22" s="2"/>
    </row>
    <row r="23" spans="1:8" ht="14.95" x14ac:dyDescent="0.25">
      <c r="A23" s="2" t="s">
        <v>18</v>
      </c>
      <c r="B23" s="19"/>
      <c r="C23" s="47">
        <f>C20</f>
        <v>364851.97540398233</v>
      </c>
      <c r="D23" s="51"/>
      <c r="E23" s="15"/>
      <c r="H23" s="2"/>
    </row>
    <row r="24" spans="1:8" ht="14.95" x14ac:dyDescent="0.25">
      <c r="A24" s="2" t="s">
        <v>98</v>
      </c>
      <c r="B24" s="21"/>
      <c r="C24" s="22"/>
      <c r="D24" s="19"/>
      <c r="E24" s="15">
        <f>'Scenario and Data'!A201+Accounting!E17</f>
        <v>2900000</v>
      </c>
      <c r="H24" s="2"/>
    </row>
    <row r="25" spans="1:8" ht="15.8" thickBot="1" x14ac:dyDescent="0.3">
      <c r="A25" s="3" t="s">
        <v>15</v>
      </c>
      <c r="B25" s="45">
        <f>SUM(B22:B24)</f>
        <v>-373160.63797131274</v>
      </c>
      <c r="C25" s="46">
        <f t="shared" ref="C25:E25" si="0">SUM(C22:C24)</f>
        <v>364851.97540398233</v>
      </c>
      <c r="D25" s="45"/>
      <c r="E25" s="17">
        <f t="shared" si="0"/>
        <v>2900000</v>
      </c>
      <c r="F25" s="6"/>
      <c r="H25" s="2"/>
    </row>
    <row r="26" spans="1:8" ht="15.8" thickTop="1" x14ac:dyDescent="0.25">
      <c r="B26" s="48"/>
      <c r="C26" s="157">
        <f>SUM(B10:C10)+SUM(B20:C20)</f>
        <v>0</v>
      </c>
      <c r="D26" s="157"/>
      <c r="E26" s="157">
        <f>SUM(D10:E10)+SUM(D20:E20)</f>
        <v>0</v>
      </c>
      <c r="H26" s="2"/>
    </row>
    <row r="27" spans="1:8" ht="14.95" x14ac:dyDescent="0.25">
      <c r="B27" s="49"/>
      <c r="C27" s="50"/>
      <c r="D27" s="50"/>
      <c r="E27" s="7"/>
      <c r="H27" s="2"/>
    </row>
    <row r="28" spans="1:8" ht="15.8" thickBot="1" x14ac:dyDescent="0.3">
      <c r="B28" s="307" t="s">
        <v>13</v>
      </c>
      <c r="C28" s="308"/>
      <c r="D28" s="54" t="s">
        <v>12</v>
      </c>
      <c r="E28" s="7"/>
      <c r="H28" s="2"/>
    </row>
    <row r="29" spans="1:8" ht="17" customHeight="1" thickBot="1" x14ac:dyDescent="0.3">
      <c r="A29" s="60" t="s">
        <v>207</v>
      </c>
      <c r="B29" s="57" t="s">
        <v>8</v>
      </c>
      <c r="C29" s="59" t="s">
        <v>75</v>
      </c>
      <c r="D29" s="57" t="s">
        <v>9</v>
      </c>
      <c r="E29" s="58" t="s">
        <v>14</v>
      </c>
      <c r="F29" s="5"/>
      <c r="H29" s="2"/>
    </row>
    <row r="30" spans="1:8" ht="15.8" x14ac:dyDescent="0.25">
      <c r="A30" s="159" t="s">
        <v>4</v>
      </c>
      <c r="B30" s="21"/>
      <c r="C30" s="50"/>
      <c r="D30" s="51"/>
      <c r="E30" s="25"/>
      <c r="H30" s="2"/>
    </row>
    <row r="31" spans="1:8" x14ac:dyDescent="0.25">
      <c r="A31" s="2" t="s">
        <v>166</v>
      </c>
      <c r="B31" s="19">
        <f>'Scenario and Data'!D92</f>
        <v>16158.031898565638</v>
      </c>
      <c r="C31" s="20"/>
      <c r="D31" s="19"/>
      <c r="E31" s="25"/>
      <c r="H31" s="44"/>
    </row>
    <row r="32" spans="1:8" x14ac:dyDescent="0.25">
      <c r="A32" s="2" t="s">
        <v>97</v>
      </c>
      <c r="B32" s="12"/>
      <c r="C32" s="13"/>
      <c r="D32" s="19">
        <f>'Scenario and Data'!C92</f>
        <v>-50000</v>
      </c>
      <c r="E32" s="25"/>
      <c r="H32" s="2"/>
    </row>
    <row r="33" spans="1:8" x14ac:dyDescent="0.25">
      <c r="A33" s="2" t="s">
        <v>167</v>
      </c>
      <c r="B33" s="12"/>
      <c r="C33" s="22">
        <f>-'Scenario and Data'!C117</f>
        <v>40539.108378220262</v>
      </c>
      <c r="D33" s="51"/>
      <c r="E33" s="15">
        <f>-'Scenario and Data'!C208</f>
        <v>100000</v>
      </c>
      <c r="H33" s="2"/>
    </row>
    <row r="34" spans="1:8" ht="14.95" thickBot="1" x14ac:dyDescent="0.3">
      <c r="A34" s="3" t="s">
        <v>7</v>
      </c>
      <c r="B34" s="16">
        <f>SUM(B31:B33)</f>
        <v>16158.031898565638</v>
      </c>
      <c r="C34" s="17">
        <f>SUM(C31:C33)</f>
        <v>40539.108378220262</v>
      </c>
      <c r="D34" s="45">
        <f>SUM(D31:D33)</f>
        <v>-50000</v>
      </c>
      <c r="E34" s="17">
        <f>SUM(E31:E33)</f>
        <v>100000</v>
      </c>
      <c r="F34" s="6"/>
      <c r="H34" s="2"/>
    </row>
    <row r="35" spans="1:8" ht="15.65" thickTop="1" thickBot="1" x14ac:dyDescent="0.3">
      <c r="A35" s="3"/>
      <c r="B35" s="40"/>
      <c r="C35" s="40"/>
      <c r="D35" s="41"/>
      <c r="E35" s="40"/>
      <c r="F35" s="6"/>
      <c r="H35" s="2"/>
    </row>
    <row r="36" spans="1:8" ht="16.3" x14ac:dyDescent="0.3">
      <c r="A36" s="159" t="s">
        <v>26</v>
      </c>
      <c r="B36" s="37"/>
      <c r="C36" s="38"/>
      <c r="D36" s="55"/>
      <c r="E36" s="39"/>
      <c r="H36" s="2"/>
    </row>
    <row r="37" spans="1:8" x14ac:dyDescent="0.25">
      <c r="A37" s="2" t="s">
        <v>28</v>
      </c>
      <c r="B37" s="19">
        <f>-B31</f>
        <v>-16158.031898565638</v>
      </c>
      <c r="C37" s="20"/>
      <c r="D37" s="52"/>
      <c r="E37" s="15"/>
      <c r="H37" s="2"/>
    </row>
    <row r="38" spans="1:8" x14ac:dyDescent="0.25">
      <c r="A38" s="2" t="s">
        <v>5</v>
      </c>
      <c r="B38" s="21"/>
      <c r="C38" s="22">
        <f>'Scenario and Data'!C117</f>
        <v>-40539.108378220262</v>
      </c>
      <c r="D38" s="19"/>
      <c r="E38" s="15">
        <f>-E33</f>
        <v>-100000</v>
      </c>
      <c r="H38" s="2"/>
    </row>
    <row r="39" spans="1:8" x14ac:dyDescent="0.25">
      <c r="A39" s="2" t="s">
        <v>171</v>
      </c>
      <c r="B39" s="19">
        <v>50000</v>
      </c>
      <c r="C39" s="22"/>
      <c r="D39" s="19"/>
      <c r="E39" s="15"/>
      <c r="H39" s="2"/>
    </row>
    <row r="40" spans="1:8" x14ac:dyDescent="0.25">
      <c r="A40" s="2" t="s">
        <v>170</v>
      </c>
      <c r="B40" s="14">
        <v>-50000</v>
      </c>
      <c r="C40" s="18"/>
      <c r="D40" s="19">
        <f>-D32</f>
        <v>50000</v>
      </c>
      <c r="E40" s="25"/>
      <c r="H40" s="2"/>
    </row>
    <row r="41" spans="1:8" x14ac:dyDescent="0.25">
      <c r="B41" s="14"/>
      <c r="C41" s="13"/>
      <c r="D41" s="51"/>
      <c r="E41" s="15"/>
      <c r="H41" s="2"/>
    </row>
    <row r="42" spans="1:8" ht="14.95" thickBot="1" x14ac:dyDescent="0.3">
      <c r="A42" s="3" t="s">
        <v>174</v>
      </c>
      <c r="B42" s="16">
        <f>SUM(B37:B40)</f>
        <v>-16158.031898565634</v>
      </c>
      <c r="C42" s="17">
        <f>SUM(C37:C40)</f>
        <v>-40539.108378220262</v>
      </c>
      <c r="D42" s="45">
        <f>SUM(D37:D40)</f>
        <v>50000</v>
      </c>
      <c r="E42" s="17">
        <f>SUM(E37:E40)</f>
        <v>-100000</v>
      </c>
      <c r="F42" s="6"/>
      <c r="H42" s="2"/>
    </row>
    <row r="43" spans="1:8" ht="14.95" thickTop="1" x14ac:dyDescent="0.25">
      <c r="B43" s="12"/>
      <c r="C43" s="13"/>
      <c r="D43" s="51"/>
      <c r="E43" s="15"/>
      <c r="H43" s="2"/>
    </row>
    <row r="44" spans="1:8" x14ac:dyDescent="0.25">
      <c r="A44" s="2" t="s">
        <v>17</v>
      </c>
      <c r="B44" s="14">
        <f>B22+B37+B39</f>
        <v>-339318.66986987839</v>
      </c>
      <c r="C44" s="13"/>
      <c r="D44" s="51"/>
      <c r="E44" s="15"/>
      <c r="H44" s="2"/>
    </row>
    <row r="45" spans="1:8" x14ac:dyDescent="0.25">
      <c r="A45" s="2" t="s">
        <v>18</v>
      </c>
      <c r="B45" s="14"/>
      <c r="C45" s="18">
        <f>C23+C38</f>
        <v>324312.8670257621</v>
      </c>
      <c r="D45" s="51"/>
      <c r="E45" s="15"/>
      <c r="H45" s="2"/>
    </row>
    <row r="46" spans="1:8" x14ac:dyDescent="0.25">
      <c r="A46" s="2" t="s">
        <v>98</v>
      </c>
      <c r="B46" s="12"/>
      <c r="C46" s="15"/>
      <c r="D46" s="19"/>
      <c r="E46" s="15">
        <f>E24+E38</f>
        <v>2800000</v>
      </c>
      <c r="H46" s="2"/>
    </row>
    <row r="47" spans="1:8" ht="14.95" thickBot="1" x14ac:dyDescent="0.3">
      <c r="A47" s="3" t="s">
        <v>15</v>
      </c>
      <c r="B47" s="23">
        <f>SUM(B44:B46)</f>
        <v>-339318.66986987839</v>
      </c>
      <c r="C47" s="24">
        <f t="shared" ref="C47:E47" si="1">SUM(C44:C46)</f>
        <v>324312.8670257621</v>
      </c>
      <c r="D47" s="56">
        <f t="shared" si="1"/>
        <v>0</v>
      </c>
      <c r="E47" s="24">
        <f t="shared" si="1"/>
        <v>2800000</v>
      </c>
      <c r="F47" s="6"/>
      <c r="H47" s="2"/>
    </row>
    <row r="48" spans="1:8" x14ac:dyDescent="0.25">
      <c r="C48" s="157">
        <f>SUM(B34:C34)+SUM(B42:C42)</f>
        <v>0</v>
      </c>
      <c r="D48" s="157"/>
      <c r="E48" s="157">
        <f>SUM(D34:E34)+SUM(D42:E42)</f>
        <v>0</v>
      </c>
      <c r="H48" s="2"/>
    </row>
    <row r="49" spans="1:8" ht="14.95" thickBot="1" x14ac:dyDescent="0.3">
      <c r="B49" s="307" t="s">
        <v>13</v>
      </c>
      <c r="C49" s="308"/>
      <c r="D49" s="54" t="s">
        <v>12</v>
      </c>
      <c r="E49" s="7"/>
      <c r="H49" s="2"/>
    </row>
    <row r="50" spans="1:8" ht="16.149999999999999" customHeight="1" thickBot="1" x14ac:dyDescent="0.3">
      <c r="A50" s="60" t="s">
        <v>208</v>
      </c>
      <c r="B50" s="57" t="s">
        <v>8</v>
      </c>
      <c r="C50" s="59" t="s">
        <v>75</v>
      </c>
      <c r="D50" s="57" t="s">
        <v>9</v>
      </c>
      <c r="E50" s="58" t="s">
        <v>14</v>
      </c>
      <c r="F50" s="5"/>
      <c r="H50" s="2"/>
    </row>
    <row r="51" spans="1:8" ht="16.3" x14ac:dyDescent="0.3">
      <c r="A51" s="159" t="s">
        <v>4</v>
      </c>
      <c r="B51" s="21"/>
      <c r="C51" s="50"/>
      <c r="D51" s="51"/>
      <c r="E51" s="25"/>
      <c r="H51" s="2"/>
    </row>
    <row r="52" spans="1:8" x14ac:dyDescent="0.25">
      <c r="A52" s="2" t="s">
        <v>6</v>
      </c>
      <c r="B52" s="19">
        <f>'Scenario and Data'!D93</f>
        <v>14465.93349349392</v>
      </c>
      <c r="C52" s="20"/>
      <c r="D52" s="19"/>
      <c r="E52" s="25"/>
      <c r="H52" s="44"/>
    </row>
    <row r="53" spans="1:8" x14ac:dyDescent="0.25">
      <c r="A53" s="2" t="s">
        <v>100</v>
      </c>
      <c r="B53" s="21"/>
      <c r="C53" s="22">
        <f>-'Scenario and Data'!C118</f>
        <v>40539.108378220262</v>
      </c>
      <c r="D53" s="19"/>
      <c r="E53" s="15"/>
      <c r="H53" s="2"/>
    </row>
    <row r="54" spans="1:8" x14ac:dyDescent="0.25">
      <c r="A54" s="2" t="s">
        <v>99</v>
      </c>
      <c r="B54" s="12"/>
      <c r="C54" s="13"/>
      <c r="D54" s="19">
        <f>'Scenario and Data'!C93</f>
        <v>-50000</v>
      </c>
      <c r="E54" s="25"/>
      <c r="H54" s="2"/>
    </row>
    <row r="55" spans="1:8" x14ac:dyDescent="0.25">
      <c r="A55" s="2" t="s">
        <v>101</v>
      </c>
      <c r="B55" s="12"/>
      <c r="C55" s="13"/>
      <c r="D55" s="51"/>
      <c r="E55" s="15">
        <f>-'Scenario and Data'!C209</f>
        <v>100000</v>
      </c>
      <c r="H55" s="2"/>
    </row>
    <row r="56" spans="1:8" ht="14.95" thickBot="1" x14ac:dyDescent="0.3">
      <c r="A56" s="3" t="s">
        <v>7</v>
      </c>
      <c r="B56" s="16">
        <f>SUM(B52:B55)</f>
        <v>14465.93349349392</v>
      </c>
      <c r="C56" s="17">
        <f>SUM(C52:C55)</f>
        <v>40539.108378220262</v>
      </c>
      <c r="D56" s="45">
        <f>SUM(D52:D55)</f>
        <v>-50000</v>
      </c>
      <c r="E56" s="17">
        <f>SUM(E52:E55)</f>
        <v>100000</v>
      </c>
      <c r="F56" s="6"/>
      <c r="H56" s="2"/>
    </row>
    <row r="57" spans="1:8" ht="15.65" thickTop="1" thickBot="1" x14ac:dyDescent="0.3">
      <c r="A57" s="3"/>
      <c r="B57" s="40"/>
      <c r="C57" s="40"/>
      <c r="D57" s="41"/>
      <c r="E57" s="40"/>
      <c r="F57" s="6"/>
      <c r="H57" s="2"/>
    </row>
    <row r="58" spans="1:8" ht="16.3" x14ac:dyDescent="0.3">
      <c r="A58" s="159" t="s">
        <v>26</v>
      </c>
      <c r="B58" s="37"/>
      <c r="C58" s="38"/>
      <c r="D58" s="55"/>
      <c r="E58" s="39"/>
      <c r="H58" s="2"/>
    </row>
    <row r="59" spans="1:8" x14ac:dyDescent="0.25">
      <c r="A59" s="2" t="s">
        <v>28</v>
      </c>
      <c r="B59" s="19">
        <f>-B52</f>
        <v>-14465.93349349392</v>
      </c>
      <c r="C59" s="20"/>
      <c r="D59" s="52"/>
      <c r="E59" s="15"/>
      <c r="H59" s="2"/>
    </row>
    <row r="60" spans="1:8" x14ac:dyDescent="0.25">
      <c r="A60" s="2" t="s">
        <v>5</v>
      </c>
      <c r="B60" s="21"/>
      <c r="C60" s="22">
        <f>'Scenario and Data'!C118</f>
        <v>-40539.108378220262</v>
      </c>
      <c r="D60" s="19"/>
      <c r="E60" s="15">
        <f>-E55</f>
        <v>-100000</v>
      </c>
      <c r="H60" s="2"/>
    </row>
    <row r="61" spans="1:8" x14ac:dyDescent="0.25">
      <c r="A61" s="2" t="s">
        <v>16</v>
      </c>
      <c r="B61" s="19">
        <v>50000</v>
      </c>
      <c r="C61" s="22"/>
      <c r="D61" s="19"/>
      <c r="E61" s="15"/>
      <c r="H61" s="2"/>
    </row>
    <row r="62" spans="1:8" x14ac:dyDescent="0.25">
      <c r="A62" s="2" t="s">
        <v>170</v>
      </c>
      <c r="B62" s="14">
        <v>-50000</v>
      </c>
      <c r="C62" s="18"/>
      <c r="D62" s="19">
        <v>50000</v>
      </c>
      <c r="E62" s="25"/>
      <c r="H62" s="2"/>
    </row>
    <row r="63" spans="1:8" x14ac:dyDescent="0.25">
      <c r="B63" s="14"/>
      <c r="C63" s="13"/>
      <c r="D63" s="51"/>
      <c r="E63" s="15"/>
      <c r="H63" s="2"/>
    </row>
    <row r="64" spans="1:8" ht="14.95" thickBot="1" x14ac:dyDescent="0.3">
      <c r="A64" s="3" t="s">
        <v>174</v>
      </c>
      <c r="B64" s="16">
        <f>SUM(B59:B62)</f>
        <v>-14465.933493493918</v>
      </c>
      <c r="C64" s="17">
        <f>SUM(C59:C62)</f>
        <v>-40539.108378220262</v>
      </c>
      <c r="D64" s="45">
        <f>SUM(D59:D62)</f>
        <v>50000</v>
      </c>
      <c r="E64" s="17">
        <f>SUM(E59:E62)</f>
        <v>-100000</v>
      </c>
      <c r="F64" s="6"/>
      <c r="H64" s="2"/>
    </row>
    <row r="65" spans="1:8" ht="14.95" thickTop="1" x14ac:dyDescent="0.25">
      <c r="B65" s="12"/>
      <c r="C65" s="13"/>
      <c r="D65" s="51"/>
      <c r="E65" s="15"/>
      <c r="H65" s="2"/>
    </row>
    <row r="66" spans="1:8" x14ac:dyDescent="0.25">
      <c r="A66" s="2" t="s">
        <v>17</v>
      </c>
      <c r="B66" s="14">
        <f>B44+B59+B61</f>
        <v>-303784.60336337233</v>
      </c>
      <c r="C66" s="13"/>
      <c r="D66" s="51"/>
      <c r="E66" s="15"/>
      <c r="H66" s="2"/>
    </row>
    <row r="67" spans="1:8" x14ac:dyDescent="0.25">
      <c r="A67" s="2" t="s">
        <v>18</v>
      </c>
      <c r="B67" s="14"/>
      <c r="C67" s="18">
        <f>C45+C60</f>
        <v>283773.75864754186</v>
      </c>
      <c r="D67" s="51"/>
      <c r="E67" s="15"/>
      <c r="H67" s="2"/>
    </row>
    <row r="68" spans="1:8" x14ac:dyDescent="0.25">
      <c r="A68" s="2" t="s">
        <v>98</v>
      </c>
      <c r="B68" s="12"/>
      <c r="C68" s="15"/>
      <c r="D68" s="19"/>
      <c r="E68" s="15">
        <f>E46+E60</f>
        <v>2700000</v>
      </c>
      <c r="H68" s="2"/>
    </row>
    <row r="69" spans="1:8" ht="14.95" thickBot="1" x14ac:dyDescent="0.3">
      <c r="A69" s="3" t="s">
        <v>15</v>
      </c>
      <c r="B69" s="23">
        <f>SUM(B66:B68)</f>
        <v>-303784.60336337233</v>
      </c>
      <c r="C69" s="24">
        <f t="shared" ref="C69:E69" si="2">SUM(C66:C68)</f>
        <v>283773.75864754186</v>
      </c>
      <c r="D69" s="56">
        <f t="shared" si="2"/>
        <v>0</v>
      </c>
      <c r="E69" s="24">
        <f t="shared" si="2"/>
        <v>2700000</v>
      </c>
      <c r="F69" s="6"/>
      <c r="H69" s="2"/>
    </row>
    <row r="70" spans="1:8" x14ac:dyDescent="0.25">
      <c r="C70" s="157">
        <f>SUM(B56:C56)+SUM(B64:C64)</f>
        <v>0</v>
      </c>
      <c r="D70" s="157"/>
      <c r="E70" s="157">
        <f>SUM(D56:E56)+SUM(D64:E64)</f>
        <v>0</v>
      </c>
      <c r="H70" s="2"/>
    </row>
    <row r="71" spans="1:8" ht="14.95" thickBot="1" x14ac:dyDescent="0.3">
      <c r="B71" s="307" t="s">
        <v>13</v>
      </c>
      <c r="C71" s="308"/>
      <c r="D71" s="54" t="s">
        <v>12</v>
      </c>
      <c r="E71" s="7"/>
      <c r="H71" s="2"/>
    </row>
    <row r="72" spans="1:8" ht="14.95" thickBot="1" x14ac:dyDescent="0.3">
      <c r="A72" s="60" t="s">
        <v>209</v>
      </c>
      <c r="B72" s="57" t="s">
        <v>8</v>
      </c>
      <c r="C72" s="59" t="s">
        <v>75</v>
      </c>
      <c r="D72" s="57" t="s">
        <v>9</v>
      </c>
      <c r="E72" s="58" t="s">
        <v>14</v>
      </c>
      <c r="F72" s="5"/>
      <c r="H72" s="2"/>
    </row>
    <row r="73" spans="1:8" ht="16.3" x14ac:dyDescent="0.3">
      <c r="A73" s="159" t="s">
        <v>4</v>
      </c>
      <c r="B73" s="21"/>
      <c r="C73" s="50"/>
      <c r="D73" s="51"/>
      <c r="E73" s="25"/>
      <c r="H73" s="2"/>
    </row>
    <row r="74" spans="1:8" x14ac:dyDescent="0.25">
      <c r="A74" s="2" t="s">
        <v>6</v>
      </c>
      <c r="B74" s="19">
        <f>'Scenario and Data'!D94</f>
        <v>12689.230168168617</v>
      </c>
      <c r="C74" s="20"/>
      <c r="D74" s="52"/>
      <c r="E74" s="25"/>
      <c r="H74" s="2"/>
    </row>
    <row r="75" spans="1:8" x14ac:dyDescent="0.25">
      <c r="A75" s="2" t="s">
        <v>100</v>
      </c>
      <c r="B75" s="21"/>
      <c r="C75" s="22">
        <f>-'Scenario and Data'!C119</f>
        <v>40539.108378220262</v>
      </c>
      <c r="D75" s="19"/>
      <c r="E75" s="15"/>
      <c r="H75" s="2"/>
    </row>
    <row r="76" spans="1:8" x14ac:dyDescent="0.25">
      <c r="A76" s="2" t="s">
        <v>99</v>
      </c>
      <c r="B76" s="12"/>
      <c r="C76" s="13"/>
      <c r="D76" s="19">
        <f>'Scenario and Data'!C94</f>
        <v>-50000</v>
      </c>
      <c r="E76" s="25"/>
      <c r="H76" s="2"/>
    </row>
    <row r="77" spans="1:8" x14ac:dyDescent="0.25">
      <c r="A77" s="2" t="s">
        <v>101</v>
      </c>
      <c r="B77" s="12"/>
      <c r="C77" s="13"/>
      <c r="D77" s="51"/>
      <c r="E77" s="15">
        <f>-'Scenario and Data'!C210</f>
        <v>100000</v>
      </c>
      <c r="H77" s="2"/>
    </row>
    <row r="78" spans="1:8" ht="14.95" thickBot="1" x14ac:dyDescent="0.3">
      <c r="A78" s="3" t="s">
        <v>7</v>
      </c>
      <c r="B78" s="16">
        <f>SUM(B74:B77)</f>
        <v>12689.230168168617</v>
      </c>
      <c r="C78" s="17">
        <f>SUM(C74:C77)</f>
        <v>40539.108378220262</v>
      </c>
      <c r="D78" s="45">
        <f>SUM(D74:D77)</f>
        <v>-50000</v>
      </c>
      <c r="E78" s="17">
        <f>SUM(E74:E77)</f>
        <v>100000</v>
      </c>
      <c r="F78" s="6"/>
      <c r="H78" s="2"/>
    </row>
    <row r="79" spans="1:8" ht="15.65" thickTop="1" thickBot="1" x14ac:dyDescent="0.3">
      <c r="A79" s="3"/>
      <c r="B79" s="40"/>
      <c r="C79" s="40"/>
      <c r="D79" s="41"/>
      <c r="E79" s="40"/>
      <c r="F79" s="6"/>
      <c r="H79" s="2"/>
    </row>
    <row r="80" spans="1:8" ht="16.3" x14ac:dyDescent="0.3">
      <c r="A80" s="159" t="s">
        <v>26</v>
      </c>
      <c r="B80" s="37"/>
      <c r="C80" s="38"/>
      <c r="D80" s="55"/>
      <c r="E80" s="39"/>
      <c r="H80" s="2"/>
    </row>
    <row r="81" spans="1:8" x14ac:dyDescent="0.25">
      <c r="A81" s="2" t="s">
        <v>28</v>
      </c>
      <c r="B81" s="19">
        <f>-B74</f>
        <v>-12689.230168168617</v>
      </c>
      <c r="C81" s="20"/>
      <c r="D81" s="52"/>
      <c r="E81" s="15"/>
      <c r="H81" s="2"/>
    </row>
    <row r="82" spans="1:8" x14ac:dyDescent="0.25">
      <c r="A82" s="2" t="s">
        <v>5</v>
      </c>
      <c r="B82" s="21"/>
      <c r="C82" s="22">
        <f>'Scenario and Data'!C119</f>
        <v>-40539.108378220262</v>
      </c>
      <c r="D82" s="19"/>
      <c r="E82" s="15">
        <f>-E77</f>
        <v>-100000</v>
      </c>
      <c r="H82" s="2"/>
    </row>
    <row r="83" spans="1:8" x14ac:dyDescent="0.25">
      <c r="A83" s="2" t="s">
        <v>16</v>
      </c>
      <c r="B83" s="19">
        <v>50000</v>
      </c>
      <c r="C83" s="22"/>
      <c r="D83" s="19"/>
      <c r="E83" s="15"/>
      <c r="H83" s="2"/>
    </row>
    <row r="84" spans="1:8" x14ac:dyDescent="0.25">
      <c r="A84" s="2" t="s">
        <v>170</v>
      </c>
      <c r="B84" s="14">
        <v>-50000</v>
      </c>
      <c r="C84" s="18"/>
      <c r="D84" s="19">
        <f>-D76</f>
        <v>50000</v>
      </c>
      <c r="E84" s="25"/>
      <c r="H84" s="2"/>
    </row>
    <row r="85" spans="1:8" x14ac:dyDescent="0.25">
      <c r="B85" s="14"/>
      <c r="C85" s="13"/>
      <c r="D85" s="51"/>
      <c r="E85" s="15"/>
      <c r="H85" s="2"/>
    </row>
    <row r="86" spans="1:8" ht="14.95" thickBot="1" x14ac:dyDescent="0.3">
      <c r="A86" s="3" t="s">
        <v>174</v>
      </c>
      <c r="B86" s="16">
        <f>SUM(B81:B84)</f>
        <v>-12689.230168168615</v>
      </c>
      <c r="C86" s="17">
        <f>SUM(C81:C84)</f>
        <v>-40539.108378220262</v>
      </c>
      <c r="D86" s="45">
        <f>SUM(D81:D84)</f>
        <v>50000</v>
      </c>
      <c r="E86" s="17">
        <f>SUM(E81:E84)</f>
        <v>-100000</v>
      </c>
      <c r="F86" s="6"/>
      <c r="H86" s="2"/>
    </row>
    <row r="87" spans="1:8" ht="14.95" thickTop="1" x14ac:dyDescent="0.25">
      <c r="B87" s="12"/>
      <c r="C87" s="13"/>
      <c r="D87" s="51"/>
      <c r="E87" s="15"/>
      <c r="H87" s="2"/>
    </row>
    <row r="88" spans="1:8" x14ac:dyDescent="0.25">
      <c r="A88" s="2" t="s">
        <v>17</v>
      </c>
      <c r="B88" s="14">
        <f>B66+B81+B83</f>
        <v>-266473.83353154093</v>
      </c>
      <c r="C88" s="13"/>
      <c r="D88" s="51"/>
      <c r="E88" s="15"/>
      <c r="H88" s="2"/>
    </row>
    <row r="89" spans="1:8" x14ac:dyDescent="0.25">
      <c r="A89" s="2" t="s">
        <v>18</v>
      </c>
      <c r="B89" s="14"/>
      <c r="C89" s="18">
        <f>C67+C82</f>
        <v>243234.6502693216</v>
      </c>
      <c r="D89" s="51"/>
      <c r="E89" s="15"/>
      <c r="H89" s="2"/>
    </row>
    <row r="90" spans="1:8" x14ac:dyDescent="0.25">
      <c r="A90" s="2" t="s">
        <v>98</v>
      </c>
      <c r="B90" s="12"/>
      <c r="C90" s="15"/>
      <c r="D90" s="19"/>
      <c r="E90" s="15">
        <f>E68+E82</f>
        <v>2600000</v>
      </c>
      <c r="H90" s="2"/>
    </row>
    <row r="91" spans="1:8" ht="14.95" thickBot="1" x14ac:dyDescent="0.3">
      <c r="A91" s="3" t="s">
        <v>15</v>
      </c>
      <c r="B91" s="23">
        <f>SUM(B88:B90)</f>
        <v>-266473.83353154093</v>
      </c>
      <c r="C91" s="24">
        <f t="shared" ref="C91:E91" si="3">SUM(C88:C90)</f>
        <v>243234.6502693216</v>
      </c>
      <c r="D91" s="56">
        <f t="shared" si="3"/>
        <v>0</v>
      </c>
      <c r="E91" s="24">
        <f t="shared" si="3"/>
        <v>2600000</v>
      </c>
      <c r="F91" s="6"/>
      <c r="H91" s="2"/>
    </row>
    <row r="92" spans="1:8" x14ac:dyDescent="0.25">
      <c r="C92" s="157">
        <f>SUM(B78:C78)+SUM(B86:C86)</f>
        <v>0</v>
      </c>
      <c r="D92" s="157"/>
      <c r="E92" s="157">
        <f>SUM(D78:E78)+SUM(D86:E86)</f>
        <v>0</v>
      </c>
      <c r="H92" s="2"/>
    </row>
    <row r="93" spans="1:8" ht="14.95" thickBot="1" x14ac:dyDescent="0.3">
      <c r="B93" s="307" t="s">
        <v>13</v>
      </c>
      <c r="C93" s="308"/>
      <c r="D93" s="54" t="s">
        <v>12</v>
      </c>
      <c r="E93" s="7"/>
      <c r="H93" s="2"/>
    </row>
    <row r="94" spans="1:8" ht="18.7" customHeight="1" thickBot="1" x14ac:dyDescent="0.3">
      <c r="A94" s="60" t="s">
        <v>210</v>
      </c>
      <c r="B94" s="57" t="s">
        <v>8</v>
      </c>
      <c r="C94" s="59" t="s">
        <v>75</v>
      </c>
      <c r="D94" s="57" t="s">
        <v>9</v>
      </c>
      <c r="E94" s="58" t="s">
        <v>14</v>
      </c>
      <c r="F94" s="5"/>
      <c r="H94" s="2"/>
    </row>
    <row r="95" spans="1:8" ht="16.3" x14ac:dyDescent="0.3">
      <c r="A95" s="159" t="s">
        <v>4</v>
      </c>
      <c r="B95" s="21"/>
      <c r="C95" s="50"/>
      <c r="D95" s="51"/>
      <c r="E95" s="25"/>
      <c r="H95" s="2"/>
    </row>
    <row r="96" spans="1:8" x14ac:dyDescent="0.25">
      <c r="A96" s="2" t="s">
        <v>6</v>
      </c>
      <c r="B96" s="19">
        <f>'Scenario and Data'!D95</f>
        <v>10823.691676577047</v>
      </c>
      <c r="C96" s="20"/>
      <c r="D96" s="19"/>
      <c r="E96" s="25"/>
      <c r="H96" s="2"/>
    </row>
    <row r="97" spans="1:8" x14ac:dyDescent="0.25">
      <c r="A97" s="2" t="s">
        <v>100</v>
      </c>
      <c r="B97" s="21"/>
      <c r="C97" s="22">
        <f>-'Scenario and Data'!C120</f>
        <v>40539.108378220262</v>
      </c>
      <c r="D97" s="19"/>
      <c r="E97" s="15"/>
      <c r="H97" s="2"/>
    </row>
    <row r="98" spans="1:8" x14ac:dyDescent="0.25">
      <c r="A98" s="2" t="s">
        <v>99</v>
      </c>
      <c r="B98" s="12"/>
      <c r="C98" s="13"/>
      <c r="D98" s="19">
        <f>'Scenario and Data'!C95</f>
        <v>-50000</v>
      </c>
      <c r="E98" s="25"/>
      <c r="H98" s="2"/>
    </row>
    <row r="99" spans="1:8" x14ac:dyDescent="0.25">
      <c r="A99" s="2" t="s">
        <v>101</v>
      </c>
      <c r="B99" s="12"/>
      <c r="C99" s="13"/>
      <c r="D99" s="51"/>
      <c r="E99" s="15">
        <f>-'Scenario and Data'!C210</f>
        <v>100000</v>
      </c>
      <c r="H99" s="2"/>
    </row>
    <row r="100" spans="1:8" ht="14.95" thickBot="1" x14ac:dyDescent="0.3">
      <c r="A100" s="3" t="s">
        <v>7</v>
      </c>
      <c r="B100" s="16">
        <f>SUM(B96:B99)</f>
        <v>10823.691676577047</v>
      </c>
      <c r="C100" s="17">
        <f>SUM(C96:C99)</f>
        <v>40539.108378220262</v>
      </c>
      <c r="D100" s="45">
        <f>SUM(D96:D99)</f>
        <v>-50000</v>
      </c>
      <c r="E100" s="17">
        <f>SUM(E96:E99)</f>
        <v>100000</v>
      </c>
      <c r="F100" s="6"/>
    </row>
    <row r="101" spans="1:8" ht="15.65" thickTop="1" thickBot="1" x14ac:dyDescent="0.3">
      <c r="A101" s="3"/>
      <c r="B101" s="40"/>
      <c r="C101" s="40"/>
      <c r="D101" s="41"/>
      <c r="E101" s="40"/>
      <c r="F101" s="6"/>
    </row>
    <row r="102" spans="1:8" ht="16.3" x14ac:dyDescent="0.3">
      <c r="A102" s="159" t="s">
        <v>26</v>
      </c>
      <c r="B102" s="37"/>
      <c r="C102" s="38"/>
      <c r="D102" s="55"/>
      <c r="E102" s="39"/>
    </row>
    <row r="103" spans="1:8" x14ac:dyDescent="0.25">
      <c r="A103" s="2" t="s">
        <v>28</v>
      </c>
      <c r="B103" s="19">
        <f>-B96</f>
        <v>-10823.691676577047</v>
      </c>
      <c r="C103" s="20"/>
      <c r="D103" s="52"/>
      <c r="E103" s="15"/>
    </row>
    <row r="104" spans="1:8" x14ac:dyDescent="0.25">
      <c r="A104" s="2" t="s">
        <v>5</v>
      </c>
      <c r="B104" s="21"/>
      <c r="C104" s="22">
        <f>'Scenario and Data'!C120</f>
        <v>-40539.108378220262</v>
      </c>
      <c r="D104" s="19"/>
      <c r="E104" s="15">
        <f>-E99</f>
        <v>-100000</v>
      </c>
    </row>
    <row r="105" spans="1:8" x14ac:dyDescent="0.25">
      <c r="A105" s="2" t="s">
        <v>16</v>
      </c>
      <c r="B105" s="19">
        <v>50000</v>
      </c>
      <c r="C105" s="22"/>
      <c r="D105" s="19"/>
      <c r="E105" s="15"/>
    </row>
    <row r="106" spans="1:8" x14ac:dyDescent="0.25">
      <c r="A106" s="2" t="s">
        <v>170</v>
      </c>
      <c r="B106" s="14">
        <v>-50000</v>
      </c>
      <c r="C106" s="18"/>
      <c r="D106" s="19">
        <f>-D98</f>
        <v>50000</v>
      </c>
      <c r="E106" s="25"/>
    </row>
    <row r="107" spans="1:8" x14ac:dyDescent="0.25">
      <c r="B107" s="14"/>
      <c r="C107" s="13"/>
      <c r="D107" s="51"/>
      <c r="E107" s="15"/>
    </row>
    <row r="108" spans="1:8" ht="14.95" thickBot="1" x14ac:dyDescent="0.3">
      <c r="A108" s="3" t="s">
        <v>174</v>
      </c>
      <c r="B108" s="16">
        <f>SUM(B103:B106)</f>
        <v>-10823.691676577044</v>
      </c>
      <c r="C108" s="17">
        <f>SUM(C103:C106)</f>
        <v>-40539.108378220262</v>
      </c>
      <c r="D108" s="45">
        <f>SUM(D103:D106)</f>
        <v>50000</v>
      </c>
      <c r="E108" s="17">
        <f>SUM(E103:E106)</f>
        <v>-100000</v>
      </c>
      <c r="F108" s="6"/>
    </row>
    <row r="109" spans="1:8" ht="14.95" thickTop="1" x14ac:dyDescent="0.25">
      <c r="B109" s="12"/>
      <c r="C109" s="13"/>
      <c r="D109" s="51"/>
      <c r="E109" s="15"/>
    </row>
    <row r="110" spans="1:8" x14ac:dyDescent="0.25">
      <c r="A110" s="2" t="s">
        <v>17</v>
      </c>
      <c r="B110" s="14">
        <f>B88+B103+B105</f>
        <v>-227297.52520811796</v>
      </c>
      <c r="C110" s="13"/>
      <c r="D110" s="51"/>
      <c r="E110" s="15"/>
    </row>
    <row r="111" spans="1:8" x14ac:dyDescent="0.25">
      <c r="A111" s="2" t="s">
        <v>18</v>
      </c>
      <c r="B111" s="14"/>
      <c r="C111" s="18">
        <f>C89+C104</f>
        <v>202695.54189110134</v>
      </c>
      <c r="D111" s="51"/>
      <c r="E111" s="15"/>
    </row>
    <row r="112" spans="1:8" x14ac:dyDescent="0.25">
      <c r="A112" s="2" t="s">
        <v>98</v>
      </c>
      <c r="B112" s="12"/>
      <c r="C112" s="15"/>
      <c r="D112" s="19"/>
      <c r="E112" s="15">
        <f>E90+E104</f>
        <v>2500000</v>
      </c>
    </row>
    <row r="113" spans="1:6" ht="14.95" thickBot="1" x14ac:dyDescent="0.3">
      <c r="A113" s="3" t="s">
        <v>15</v>
      </c>
      <c r="B113" s="23">
        <f>SUM(B110:B112)</f>
        <v>-227297.52520811796</v>
      </c>
      <c r="C113" s="24">
        <f t="shared" ref="C113:E113" si="4">SUM(C110:C112)</f>
        <v>202695.54189110134</v>
      </c>
      <c r="D113" s="56">
        <f t="shared" si="4"/>
        <v>0</v>
      </c>
      <c r="E113" s="24">
        <f t="shared" si="4"/>
        <v>2500000</v>
      </c>
      <c r="F113" s="6"/>
    </row>
    <row r="114" spans="1:6" x14ac:dyDescent="0.25">
      <c r="C114" s="157">
        <f>SUM(B100:C100)+SUM(B108:C108)</f>
        <v>0</v>
      </c>
      <c r="D114" s="157"/>
      <c r="E114" s="157">
        <f>SUM(D100:E100)+SUM(D108:E108)</f>
        <v>0</v>
      </c>
    </row>
    <row r="115" spans="1:6" ht="14.95" thickBot="1" x14ac:dyDescent="0.3">
      <c r="B115" s="307" t="s">
        <v>13</v>
      </c>
      <c r="C115" s="308"/>
      <c r="D115" s="54" t="s">
        <v>12</v>
      </c>
      <c r="E115" s="7"/>
    </row>
    <row r="116" spans="1:6" ht="19.2" customHeight="1" thickBot="1" x14ac:dyDescent="0.3">
      <c r="A116" s="60" t="s">
        <v>211</v>
      </c>
      <c r="B116" s="57" t="s">
        <v>8</v>
      </c>
      <c r="C116" s="59" t="s">
        <v>75</v>
      </c>
      <c r="D116" s="57" t="s">
        <v>9</v>
      </c>
      <c r="E116" s="58" t="s">
        <v>14</v>
      </c>
      <c r="F116" s="5"/>
    </row>
    <row r="117" spans="1:6" ht="16.3" x14ac:dyDescent="0.3">
      <c r="A117" s="159" t="s">
        <v>4</v>
      </c>
      <c r="B117" s="21"/>
      <c r="C117" s="50"/>
      <c r="D117" s="51"/>
      <c r="E117" s="25"/>
    </row>
    <row r="118" spans="1:6" x14ac:dyDescent="0.25">
      <c r="A118" s="2" t="s">
        <v>6</v>
      </c>
      <c r="B118" s="19">
        <f>'Scenario and Data'!D96</f>
        <v>8864.8762604058993</v>
      </c>
      <c r="C118" s="20"/>
      <c r="D118" s="19"/>
      <c r="E118" s="25"/>
    </row>
    <row r="119" spans="1:6" x14ac:dyDescent="0.25">
      <c r="A119" s="2" t="s">
        <v>100</v>
      </c>
      <c r="B119" s="21"/>
      <c r="C119" s="22">
        <f>-'Scenario and Data'!C121</f>
        <v>40539.108378220262</v>
      </c>
      <c r="D119" s="19"/>
      <c r="E119" s="15"/>
    </row>
    <row r="120" spans="1:6" x14ac:dyDescent="0.25">
      <c r="A120" s="2" t="s">
        <v>99</v>
      </c>
      <c r="B120" s="12"/>
      <c r="C120" s="13"/>
      <c r="D120" s="19">
        <f>'Scenario and Data'!C96</f>
        <v>-50000</v>
      </c>
      <c r="E120" s="25"/>
    </row>
    <row r="121" spans="1:6" x14ac:dyDescent="0.25">
      <c r="A121" s="2" t="s">
        <v>101</v>
      </c>
      <c r="B121" s="12"/>
      <c r="C121" s="13"/>
      <c r="D121" s="51"/>
      <c r="E121" s="15">
        <f>-'Scenario and Data'!C211</f>
        <v>100000</v>
      </c>
    </row>
    <row r="122" spans="1:6" ht="14.95" thickBot="1" x14ac:dyDescent="0.3">
      <c r="A122" s="3" t="s">
        <v>7</v>
      </c>
      <c r="B122" s="16">
        <f>SUM(B118:B121)</f>
        <v>8864.8762604058993</v>
      </c>
      <c r="C122" s="17">
        <f>SUM(C118:C121)</f>
        <v>40539.108378220262</v>
      </c>
      <c r="D122" s="45">
        <f>SUM(D118:D121)</f>
        <v>-50000</v>
      </c>
      <c r="E122" s="17">
        <f>SUM(E118:E121)</f>
        <v>100000</v>
      </c>
      <c r="F122" s="6"/>
    </row>
    <row r="123" spans="1:6" ht="15.65" thickTop="1" thickBot="1" x14ac:dyDescent="0.3">
      <c r="A123" s="3"/>
      <c r="B123" s="40"/>
      <c r="C123" s="40"/>
      <c r="D123" s="41"/>
      <c r="E123" s="40"/>
      <c r="F123" s="6"/>
    </row>
    <row r="124" spans="1:6" ht="16.3" x14ac:dyDescent="0.3">
      <c r="A124" s="159" t="s">
        <v>26</v>
      </c>
      <c r="B124" s="37"/>
      <c r="C124" s="38"/>
      <c r="D124" s="55"/>
      <c r="E124" s="39"/>
    </row>
    <row r="125" spans="1:6" x14ac:dyDescent="0.25">
      <c r="A125" s="2" t="s">
        <v>28</v>
      </c>
      <c r="B125" s="19">
        <f>-B118</f>
        <v>-8864.8762604058993</v>
      </c>
      <c r="C125" s="20"/>
      <c r="D125" s="52"/>
      <c r="E125" s="15"/>
    </row>
    <row r="126" spans="1:6" x14ac:dyDescent="0.25">
      <c r="A126" s="2" t="s">
        <v>5</v>
      </c>
      <c r="B126" s="21"/>
      <c r="C126" s="22">
        <f>'Scenario and Data'!C121</f>
        <v>-40539.108378220262</v>
      </c>
      <c r="D126" s="19"/>
      <c r="E126" s="15">
        <f>-E121</f>
        <v>-100000</v>
      </c>
    </row>
    <row r="127" spans="1:6" x14ac:dyDescent="0.25">
      <c r="A127" s="2" t="s">
        <v>16</v>
      </c>
      <c r="B127" s="19">
        <v>50000</v>
      </c>
      <c r="C127" s="22"/>
      <c r="D127" s="19"/>
      <c r="E127" s="15"/>
    </row>
    <row r="128" spans="1:6" x14ac:dyDescent="0.25">
      <c r="A128" s="2" t="s">
        <v>170</v>
      </c>
      <c r="B128" s="14">
        <v>-50000</v>
      </c>
      <c r="C128" s="18"/>
      <c r="D128" s="19">
        <f>-D120</f>
        <v>50000</v>
      </c>
      <c r="E128" s="25"/>
    </row>
    <row r="129" spans="1:7" x14ac:dyDescent="0.25">
      <c r="B129" s="14"/>
      <c r="C129" s="13"/>
      <c r="D129" s="51"/>
      <c r="E129" s="15"/>
    </row>
    <row r="130" spans="1:7" ht="14.95" thickBot="1" x14ac:dyDescent="0.3">
      <c r="A130" s="3" t="s">
        <v>174</v>
      </c>
      <c r="B130" s="16">
        <f>SUM(B125:B128)</f>
        <v>-8864.8762604059011</v>
      </c>
      <c r="C130" s="17">
        <f>SUM(C125:C128)</f>
        <v>-40539.108378220262</v>
      </c>
      <c r="D130" s="45">
        <f>SUM(D125:D128)</f>
        <v>50000</v>
      </c>
      <c r="E130" s="17">
        <f>SUM(E125:E128)</f>
        <v>-100000</v>
      </c>
      <c r="F130" s="6"/>
    </row>
    <row r="131" spans="1:7" ht="14.95" thickTop="1" x14ac:dyDescent="0.25">
      <c r="B131" s="12"/>
      <c r="C131" s="13"/>
      <c r="D131" s="51"/>
      <c r="E131" s="15"/>
    </row>
    <row r="132" spans="1:7" x14ac:dyDescent="0.25">
      <c r="A132" s="2" t="s">
        <v>17</v>
      </c>
      <c r="B132" s="14">
        <f>B110+B125+B127</f>
        <v>-186162.40146852387</v>
      </c>
      <c r="C132" s="13"/>
      <c r="D132" s="51"/>
      <c r="E132" s="15"/>
    </row>
    <row r="133" spans="1:7" x14ac:dyDescent="0.25">
      <c r="A133" s="2" t="s">
        <v>18</v>
      </c>
      <c r="B133" s="14"/>
      <c r="C133" s="18">
        <f>C111+C126</f>
        <v>162156.43351288108</v>
      </c>
      <c r="D133" s="51"/>
      <c r="E133" s="15"/>
    </row>
    <row r="134" spans="1:7" x14ac:dyDescent="0.25">
      <c r="A134" s="2" t="s">
        <v>98</v>
      </c>
      <c r="B134" s="12"/>
      <c r="C134" s="15"/>
      <c r="D134" s="19"/>
      <c r="E134" s="15">
        <f>E112+E126</f>
        <v>2400000</v>
      </c>
    </row>
    <row r="135" spans="1:7" ht="14.95" thickBot="1" x14ac:dyDescent="0.3">
      <c r="A135" s="3" t="s">
        <v>15</v>
      </c>
      <c r="B135" s="23">
        <f>SUM(B132:B134)</f>
        <v>-186162.40146852387</v>
      </c>
      <c r="C135" s="24">
        <f t="shared" ref="C135:E135" si="5">SUM(C132:C134)</f>
        <v>162156.43351288108</v>
      </c>
      <c r="D135" s="56">
        <f t="shared" si="5"/>
        <v>0</v>
      </c>
      <c r="E135" s="24">
        <f t="shared" si="5"/>
        <v>2400000</v>
      </c>
      <c r="F135" s="6"/>
    </row>
    <row r="136" spans="1:7" x14ac:dyDescent="0.25">
      <c r="C136" s="157">
        <f>SUM(B122:C122)+SUM(B130:C130)</f>
        <v>0</v>
      </c>
      <c r="D136" s="157"/>
      <c r="E136" s="157">
        <f>SUM(D122:E122)+SUM(D130:E130)</f>
        <v>0</v>
      </c>
    </row>
    <row r="137" spans="1:7" ht="14.95" thickBot="1" x14ac:dyDescent="0.3">
      <c r="B137" s="307" t="s">
        <v>13</v>
      </c>
      <c r="C137" s="308"/>
      <c r="D137" s="54" t="s">
        <v>12</v>
      </c>
      <c r="E137" s="7"/>
    </row>
    <row r="138" spans="1:7" ht="17" customHeight="1" thickBot="1" x14ac:dyDescent="0.3">
      <c r="A138" s="60" t="s">
        <v>212</v>
      </c>
      <c r="B138" s="57" t="s">
        <v>8</v>
      </c>
      <c r="C138" s="59" t="s">
        <v>75</v>
      </c>
      <c r="D138" s="57" t="s">
        <v>9</v>
      </c>
      <c r="E138" s="58" t="s">
        <v>14</v>
      </c>
      <c r="F138" s="5"/>
    </row>
    <row r="139" spans="1:7" ht="16.3" x14ac:dyDescent="0.3">
      <c r="A139" s="159" t="s">
        <v>4</v>
      </c>
      <c r="B139" s="21"/>
      <c r="C139" s="50"/>
      <c r="D139" s="51"/>
      <c r="E139" s="25"/>
    </row>
    <row r="140" spans="1:7" x14ac:dyDescent="0.25">
      <c r="A140" s="2" t="s">
        <v>6</v>
      </c>
      <c r="B140" s="19">
        <f>'Scenario and Data'!D154</f>
        <v>22918.68589983827</v>
      </c>
      <c r="C140" s="20"/>
      <c r="D140" s="19"/>
      <c r="E140" s="25"/>
    </row>
    <row r="141" spans="1:7" x14ac:dyDescent="0.25">
      <c r="A141" s="2" t="s">
        <v>100</v>
      </c>
      <c r="B141" s="21"/>
      <c r="C141" s="22">
        <f>-'Scenario and Data'!C182</f>
        <v>45072.250692810783</v>
      </c>
      <c r="D141" s="19"/>
      <c r="E141" s="15"/>
    </row>
    <row r="142" spans="1:7" x14ac:dyDescent="0.25">
      <c r="A142" s="2" t="s">
        <v>99</v>
      </c>
      <c r="B142" s="12"/>
      <c r="C142" s="13"/>
      <c r="D142" s="52">
        <f>'Scenario and Data'!C154</f>
        <v>-60000</v>
      </c>
      <c r="E142" s="25"/>
      <c r="G142" s="2" t="s">
        <v>109</v>
      </c>
    </row>
    <row r="143" spans="1:7" x14ac:dyDescent="0.25">
      <c r="A143" s="2" t="s">
        <v>101</v>
      </c>
      <c r="B143" s="12"/>
      <c r="C143" s="13"/>
      <c r="D143" s="51"/>
      <c r="E143" s="15">
        <f>-'Scenario and Data'!C212</f>
        <v>100000</v>
      </c>
    </row>
    <row r="144" spans="1:7" ht="14.95" thickBot="1" x14ac:dyDescent="0.3">
      <c r="A144" s="3" t="s">
        <v>7</v>
      </c>
      <c r="B144" s="16">
        <f>SUM(B140:B143)</f>
        <v>22918.68589983827</v>
      </c>
      <c r="C144" s="17">
        <f>SUM(C140:C143)</f>
        <v>45072.250692810783</v>
      </c>
      <c r="D144" s="45">
        <f>SUM(D140:D143)</f>
        <v>-60000</v>
      </c>
      <c r="E144" s="17">
        <f>SUM(E140:E143)</f>
        <v>100000</v>
      </c>
      <c r="F144" s="6"/>
    </row>
    <row r="145" spans="1:7" ht="15.65" thickTop="1" thickBot="1" x14ac:dyDescent="0.3">
      <c r="A145" s="3"/>
      <c r="B145" s="40"/>
      <c r="C145" s="40"/>
      <c r="D145" s="41"/>
      <c r="E145" s="40"/>
      <c r="F145" s="6"/>
    </row>
    <row r="146" spans="1:7" ht="16.3" x14ac:dyDescent="0.3">
      <c r="A146" s="159" t="s">
        <v>26</v>
      </c>
      <c r="B146" s="37"/>
      <c r="C146" s="38"/>
      <c r="D146" s="55"/>
      <c r="E146" s="39"/>
    </row>
    <row r="147" spans="1:7" x14ac:dyDescent="0.25">
      <c r="A147" s="2" t="s">
        <v>172</v>
      </c>
      <c r="B147" s="297"/>
      <c r="C147" s="22">
        <f>'Scenario and Data'!A172</f>
        <v>243493.82272241599</v>
      </c>
      <c r="D147" s="51"/>
      <c r="E147" s="15"/>
      <c r="G147" s="2" t="s">
        <v>110</v>
      </c>
    </row>
    <row r="148" spans="1:7" x14ac:dyDescent="0.25">
      <c r="A148" s="2" t="s">
        <v>149</v>
      </c>
      <c r="B148" s="52">
        <f>-'Scenario and Data'!B173</f>
        <v>-243493.82272241599</v>
      </c>
      <c r="C148" s="13"/>
      <c r="D148" s="51"/>
      <c r="E148" s="15"/>
      <c r="G148" s="2" t="s">
        <v>111</v>
      </c>
    </row>
    <row r="149" spans="1:7" x14ac:dyDescent="0.25">
      <c r="A149" s="2" t="s">
        <v>28</v>
      </c>
      <c r="B149" s="52">
        <f>-'Scenario and Data'!D154</f>
        <v>-22918.68589983827</v>
      </c>
      <c r="C149" s="20"/>
      <c r="D149" s="52"/>
      <c r="E149" s="15"/>
    </row>
    <row r="150" spans="1:7" x14ac:dyDescent="0.25">
      <c r="A150" s="2" t="s">
        <v>5</v>
      </c>
      <c r="B150" s="51"/>
      <c r="C150" s="22">
        <f>'Scenario and Data'!C182</f>
        <v>-45072.250692810783</v>
      </c>
      <c r="D150" s="19"/>
      <c r="E150" s="15">
        <f>-E143</f>
        <v>-100000</v>
      </c>
      <c r="G150" s="2" t="s">
        <v>112</v>
      </c>
    </row>
    <row r="151" spans="1:7" x14ac:dyDescent="0.25">
      <c r="A151" s="2" t="s">
        <v>16</v>
      </c>
      <c r="B151" s="52">
        <f>-B152</f>
        <v>60000</v>
      </c>
      <c r="C151" s="22"/>
      <c r="D151" s="19"/>
      <c r="E151" s="15"/>
    </row>
    <row r="152" spans="1:7" x14ac:dyDescent="0.25">
      <c r="A152" s="2" t="s">
        <v>170</v>
      </c>
      <c r="B152" s="52">
        <f>-'Scenario and Data'!B138</f>
        <v>-60000</v>
      </c>
      <c r="C152" s="18"/>
      <c r="D152" s="19">
        <f>-D142</f>
        <v>60000</v>
      </c>
      <c r="E152" s="25"/>
    </row>
    <row r="153" spans="1:7" x14ac:dyDescent="0.25">
      <c r="B153" s="14"/>
      <c r="C153" s="13"/>
      <c r="D153" s="51"/>
      <c r="E153" s="15"/>
    </row>
    <row r="154" spans="1:7" ht="14.95" thickBot="1" x14ac:dyDescent="0.3">
      <c r="A154" s="3" t="s">
        <v>174</v>
      </c>
      <c r="B154" s="16">
        <f>SUM(B149:B152)</f>
        <v>-22918.685899838267</v>
      </c>
      <c r="C154" s="17">
        <f>SUM(C149:C152)</f>
        <v>-45072.250692810783</v>
      </c>
      <c r="D154" s="45">
        <f>SUM(D149:D152)</f>
        <v>60000</v>
      </c>
      <c r="E154" s="17">
        <f>SUM(E149:E152)</f>
        <v>-100000</v>
      </c>
      <c r="F154" s="6"/>
    </row>
    <row r="155" spans="1:7" ht="14.95" thickTop="1" x14ac:dyDescent="0.25">
      <c r="B155" s="12"/>
      <c r="C155" s="13"/>
      <c r="D155" s="51"/>
      <c r="E155" s="15"/>
    </row>
    <row r="156" spans="1:7" x14ac:dyDescent="0.25">
      <c r="A156" s="2" t="s">
        <v>17</v>
      </c>
      <c r="B156" s="14">
        <f>B132+B149+B151+B148</f>
        <v>-392574.91009077814</v>
      </c>
      <c r="C156" s="13"/>
      <c r="D156" s="51"/>
      <c r="E156" s="15"/>
    </row>
    <row r="157" spans="1:7" x14ac:dyDescent="0.25">
      <c r="A157" s="2" t="s">
        <v>18</v>
      </c>
      <c r="B157" s="14"/>
      <c r="C157" s="18">
        <f>C133+C150+C147</f>
        <v>360578.00554248632</v>
      </c>
      <c r="D157" s="51"/>
      <c r="E157" s="15"/>
    </row>
    <row r="158" spans="1:7" x14ac:dyDescent="0.25">
      <c r="A158" s="2" t="s">
        <v>98</v>
      </c>
      <c r="B158" s="12"/>
      <c r="C158" s="15"/>
      <c r="D158" s="19"/>
      <c r="E158" s="15">
        <f>E134+E150</f>
        <v>2300000</v>
      </c>
    </row>
    <row r="159" spans="1:7" ht="14.95" thickBot="1" x14ac:dyDescent="0.3">
      <c r="A159" s="3" t="s">
        <v>15</v>
      </c>
      <c r="B159" s="23">
        <f>SUM(B156:B158)</f>
        <v>-392574.91009077814</v>
      </c>
      <c r="C159" s="24">
        <f t="shared" ref="C159:E159" si="6">SUM(C156:C158)</f>
        <v>360578.00554248632</v>
      </c>
      <c r="D159" s="56">
        <f t="shared" si="6"/>
        <v>0</v>
      </c>
      <c r="E159" s="24">
        <f t="shared" si="6"/>
        <v>2300000</v>
      </c>
      <c r="F159" s="6"/>
    </row>
    <row r="160" spans="1:7" x14ac:dyDescent="0.25">
      <c r="C160" s="157">
        <f>SUM(B144:C144)+SUM(B154:C154)</f>
        <v>0</v>
      </c>
      <c r="D160" s="157"/>
      <c r="E160" s="157">
        <f>SUM(D144:E144)+SUM(D154:E154)</f>
        <v>0</v>
      </c>
    </row>
    <row r="161" spans="1:6" ht="14.95" thickBot="1" x14ac:dyDescent="0.3">
      <c r="B161" s="307" t="s">
        <v>13</v>
      </c>
      <c r="C161" s="308"/>
      <c r="D161" s="54" t="s">
        <v>12</v>
      </c>
      <c r="E161" s="7"/>
    </row>
    <row r="162" spans="1:6" ht="14.95" thickBot="1" x14ac:dyDescent="0.3">
      <c r="A162" s="60" t="s">
        <v>213</v>
      </c>
      <c r="B162" s="57" t="s">
        <v>8</v>
      </c>
      <c r="C162" s="59" t="s">
        <v>75</v>
      </c>
      <c r="D162" s="57" t="s">
        <v>9</v>
      </c>
      <c r="E162" s="58" t="s">
        <v>14</v>
      </c>
      <c r="F162" s="5"/>
    </row>
    <row r="163" spans="1:6" ht="16.3" x14ac:dyDescent="0.3">
      <c r="A163" s="159" t="s">
        <v>4</v>
      </c>
      <c r="B163" s="21"/>
      <c r="C163" s="50"/>
      <c r="D163" s="51"/>
      <c r="E163" s="25"/>
    </row>
    <row r="164" spans="1:6" x14ac:dyDescent="0.25">
      <c r="A164" s="2" t="s">
        <v>6</v>
      </c>
      <c r="B164" s="19">
        <f>'Scenario and Data'!D155</f>
        <v>20619.644425628245</v>
      </c>
      <c r="C164" s="20"/>
      <c r="D164" s="19"/>
      <c r="E164" s="25"/>
    </row>
    <row r="165" spans="1:6" x14ac:dyDescent="0.25">
      <c r="A165" s="2" t="s">
        <v>100</v>
      </c>
      <c r="B165" s="21"/>
      <c r="C165" s="22">
        <f>-'Scenario and Data'!C183</f>
        <v>45072.250692810783</v>
      </c>
      <c r="D165" s="19"/>
      <c r="E165" s="15"/>
    </row>
    <row r="166" spans="1:6" x14ac:dyDescent="0.25">
      <c r="A166" s="2" t="s">
        <v>99</v>
      </c>
      <c r="B166" s="12"/>
      <c r="C166" s="13"/>
      <c r="D166" s="19">
        <f>'Scenario and Data'!C155</f>
        <v>-60000</v>
      </c>
      <c r="E166" s="25"/>
    </row>
    <row r="167" spans="1:6" x14ac:dyDescent="0.25">
      <c r="A167" s="2" t="s">
        <v>101</v>
      </c>
      <c r="B167" s="12"/>
      <c r="C167" s="13"/>
      <c r="D167" s="51"/>
      <c r="E167" s="15">
        <f>-'Scenario and Data'!C213</f>
        <v>100000</v>
      </c>
    </row>
    <row r="168" spans="1:6" ht="14.95" thickBot="1" x14ac:dyDescent="0.3">
      <c r="A168" s="3" t="s">
        <v>7</v>
      </c>
      <c r="B168" s="16">
        <f>SUM(B164:B167)</f>
        <v>20619.644425628245</v>
      </c>
      <c r="C168" s="17">
        <f>SUM(C164:C167)</f>
        <v>45072.250692810783</v>
      </c>
      <c r="D168" s="45">
        <f>SUM(D164:D167)</f>
        <v>-60000</v>
      </c>
      <c r="E168" s="17">
        <f>SUM(E164:E167)</f>
        <v>100000</v>
      </c>
      <c r="F168" s="6"/>
    </row>
    <row r="169" spans="1:6" ht="15.65" thickTop="1" thickBot="1" x14ac:dyDescent="0.3">
      <c r="A169" s="3"/>
      <c r="B169" s="40"/>
      <c r="C169" s="40"/>
      <c r="D169" s="41"/>
      <c r="E169" s="40"/>
      <c r="F169" s="6"/>
    </row>
    <row r="170" spans="1:6" ht="16.3" x14ac:dyDescent="0.3">
      <c r="A170" s="159" t="s">
        <v>26</v>
      </c>
      <c r="B170" s="37"/>
      <c r="C170" s="38"/>
      <c r="D170" s="55"/>
      <c r="E170" s="39"/>
    </row>
    <row r="171" spans="1:6" x14ac:dyDescent="0.25">
      <c r="A171" s="2" t="s">
        <v>28</v>
      </c>
      <c r="B171" s="19">
        <f>-B164</f>
        <v>-20619.644425628245</v>
      </c>
      <c r="C171" s="20"/>
      <c r="D171" s="52"/>
      <c r="E171" s="15"/>
    </row>
    <row r="172" spans="1:6" x14ac:dyDescent="0.25">
      <c r="A172" s="2" t="s">
        <v>5</v>
      </c>
      <c r="B172" s="21"/>
      <c r="C172" s="22">
        <f>'Scenario and Data'!C183</f>
        <v>-45072.250692810783</v>
      </c>
      <c r="D172" s="19"/>
      <c r="E172" s="15">
        <f>-E167</f>
        <v>-100000</v>
      </c>
    </row>
    <row r="173" spans="1:6" x14ac:dyDescent="0.25">
      <c r="A173" s="2" t="s">
        <v>16</v>
      </c>
      <c r="B173" s="19">
        <f>-B174</f>
        <v>60000</v>
      </c>
      <c r="C173" s="22"/>
      <c r="D173" s="19"/>
      <c r="E173" s="15"/>
    </row>
    <row r="174" spans="1:6" x14ac:dyDescent="0.25">
      <c r="A174" s="2" t="s">
        <v>170</v>
      </c>
      <c r="B174" s="14">
        <f>-'Scenario and Data'!B139</f>
        <v>-60000</v>
      </c>
      <c r="C174" s="18"/>
      <c r="D174" s="19">
        <f>-D166</f>
        <v>60000</v>
      </c>
      <c r="E174" s="25"/>
    </row>
    <row r="175" spans="1:6" x14ac:dyDescent="0.25">
      <c r="B175" s="14"/>
      <c r="C175" s="13"/>
      <c r="D175" s="51"/>
      <c r="E175" s="15"/>
    </row>
    <row r="176" spans="1:6" ht="14.95" thickBot="1" x14ac:dyDescent="0.3">
      <c r="A176" s="3" t="s">
        <v>174</v>
      </c>
      <c r="B176" s="16">
        <f>SUM(B171:B174)</f>
        <v>-20619.644425628241</v>
      </c>
      <c r="C176" s="17">
        <f>SUM(C171:C174)</f>
        <v>-45072.250692810783</v>
      </c>
      <c r="D176" s="45">
        <f>SUM(D171:D174)</f>
        <v>60000</v>
      </c>
      <c r="E176" s="17">
        <f>SUM(E171:E174)</f>
        <v>-100000</v>
      </c>
      <c r="F176" s="6"/>
    </row>
    <row r="177" spans="1:6" ht="14.95" thickTop="1" x14ac:dyDescent="0.25">
      <c r="B177" s="12"/>
      <c r="C177" s="13"/>
      <c r="D177" s="51"/>
      <c r="E177" s="15"/>
    </row>
    <row r="178" spans="1:6" x14ac:dyDescent="0.25">
      <c r="A178" s="2" t="s">
        <v>17</v>
      </c>
      <c r="B178" s="14">
        <f>B156+B171+B173</f>
        <v>-353194.55451640638</v>
      </c>
      <c r="C178" s="13"/>
      <c r="D178" s="51"/>
      <c r="E178" s="15"/>
    </row>
    <row r="179" spans="1:6" x14ac:dyDescent="0.25">
      <c r="A179" s="2" t="s">
        <v>18</v>
      </c>
      <c r="B179" s="14"/>
      <c r="C179" s="18">
        <f>C157+C172</f>
        <v>315505.75484967552</v>
      </c>
      <c r="D179" s="51"/>
      <c r="E179" s="15"/>
    </row>
    <row r="180" spans="1:6" x14ac:dyDescent="0.25">
      <c r="A180" s="2" t="s">
        <v>98</v>
      </c>
      <c r="B180" s="12"/>
      <c r="C180" s="15"/>
      <c r="D180" s="19"/>
      <c r="E180" s="15">
        <f>E158+E172</f>
        <v>2200000</v>
      </c>
    </row>
    <row r="181" spans="1:6" ht="14.95" thickBot="1" x14ac:dyDescent="0.3">
      <c r="A181" s="3" t="s">
        <v>15</v>
      </c>
      <c r="B181" s="23">
        <f>SUM(B178:B180)</f>
        <v>-353194.55451640638</v>
      </c>
      <c r="C181" s="24">
        <f t="shared" ref="C181:E181" si="7">SUM(C178:C180)</f>
        <v>315505.75484967552</v>
      </c>
      <c r="D181" s="56">
        <f t="shared" si="7"/>
        <v>0</v>
      </c>
      <c r="E181" s="24">
        <f t="shared" si="7"/>
        <v>2200000</v>
      </c>
      <c r="F181" s="6"/>
    </row>
    <row r="182" spans="1:6" x14ac:dyDescent="0.25">
      <c r="C182" s="156">
        <f>SUM(B168:C168)+SUM(B176:C176)</f>
        <v>0</v>
      </c>
      <c r="D182" s="156"/>
      <c r="E182" s="156">
        <f>SUM(D168:E168)+SUM(D176:E176)</f>
        <v>0</v>
      </c>
    </row>
    <row r="183" spans="1:6" ht="14.95" thickBot="1" x14ac:dyDescent="0.3">
      <c r="B183" s="307" t="s">
        <v>13</v>
      </c>
      <c r="C183" s="308"/>
      <c r="D183" s="54" t="s">
        <v>12</v>
      </c>
      <c r="E183" s="7"/>
    </row>
    <row r="184" spans="1:6" ht="14.95" thickBot="1" x14ac:dyDescent="0.3">
      <c r="A184" s="60" t="s">
        <v>214</v>
      </c>
      <c r="B184" s="57" t="s">
        <v>8</v>
      </c>
      <c r="C184" s="59" t="s">
        <v>75</v>
      </c>
      <c r="D184" s="57" t="s">
        <v>9</v>
      </c>
      <c r="E184" s="58" t="s">
        <v>14</v>
      </c>
      <c r="F184" s="5"/>
    </row>
    <row r="185" spans="1:6" ht="16.3" x14ac:dyDescent="0.3">
      <c r="A185" s="159" t="s">
        <v>4</v>
      </c>
      <c r="B185" s="21"/>
      <c r="C185" s="50"/>
      <c r="D185" s="51"/>
      <c r="E185" s="25"/>
    </row>
    <row r="186" spans="1:6" x14ac:dyDescent="0.25">
      <c r="A186" s="2" t="s">
        <v>6</v>
      </c>
      <c r="B186" s="19">
        <f>'Scenario and Data'!D156</f>
        <v>18178.062380017196</v>
      </c>
      <c r="C186" s="20"/>
      <c r="D186" s="19"/>
      <c r="E186" s="25"/>
    </row>
    <row r="187" spans="1:6" x14ac:dyDescent="0.25">
      <c r="A187" s="2" t="s">
        <v>100</v>
      </c>
      <c r="B187" s="21"/>
      <c r="C187" s="22">
        <f>-'Scenario and Data'!C184</f>
        <v>45072.250692810783</v>
      </c>
      <c r="D187" s="19"/>
      <c r="E187" s="15"/>
    </row>
    <row r="188" spans="1:6" x14ac:dyDescent="0.25">
      <c r="A188" s="2" t="s">
        <v>99</v>
      </c>
      <c r="B188" s="12"/>
      <c r="C188" s="13"/>
      <c r="D188" s="19">
        <f>'Scenario and Data'!C156</f>
        <v>-60000</v>
      </c>
      <c r="E188" s="25"/>
    </row>
    <row r="189" spans="1:6" x14ac:dyDescent="0.25">
      <c r="A189" s="2" t="s">
        <v>101</v>
      </c>
      <c r="B189" s="12"/>
      <c r="C189" s="13"/>
      <c r="D189" s="51"/>
      <c r="E189" s="15">
        <f>-'Scenario and Data'!C214</f>
        <v>100000</v>
      </c>
    </row>
    <row r="190" spans="1:6" ht="14.95" thickBot="1" x14ac:dyDescent="0.3">
      <c r="A190" s="3" t="s">
        <v>7</v>
      </c>
      <c r="B190" s="16">
        <f>SUM(B186:B189)</f>
        <v>18178.062380017196</v>
      </c>
      <c r="C190" s="17">
        <f>SUM(C186:C189)</f>
        <v>45072.250692810783</v>
      </c>
      <c r="D190" s="45">
        <f>SUM(D186:D189)</f>
        <v>-60000</v>
      </c>
      <c r="E190" s="17">
        <f>SUM(E186:E189)</f>
        <v>100000</v>
      </c>
      <c r="F190" s="6"/>
    </row>
    <row r="191" spans="1:6" ht="15.65" thickTop="1" thickBot="1" x14ac:dyDescent="0.3">
      <c r="A191" s="3"/>
      <c r="B191" s="40"/>
      <c r="C191" s="40"/>
      <c r="D191" s="41"/>
      <c r="E191" s="40"/>
      <c r="F191" s="6"/>
    </row>
    <row r="192" spans="1:6" ht="16.3" x14ac:dyDescent="0.3">
      <c r="A192" s="159" t="s">
        <v>26</v>
      </c>
      <c r="B192" s="37"/>
      <c r="C192" s="38"/>
      <c r="D192" s="55"/>
      <c r="E192" s="39"/>
    </row>
    <row r="193" spans="1:6" x14ac:dyDescent="0.25">
      <c r="A193" s="2" t="s">
        <v>28</v>
      </c>
      <c r="B193" s="19">
        <f>-B186</f>
        <v>-18178.062380017196</v>
      </c>
      <c r="C193" s="20"/>
      <c r="D193" s="52"/>
      <c r="E193" s="15"/>
    </row>
    <row r="194" spans="1:6" x14ac:dyDescent="0.25">
      <c r="A194" s="2" t="s">
        <v>5</v>
      </c>
      <c r="B194" s="21"/>
      <c r="C194" s="22">
        <f>-C187</f>
        <v>-45072.250692810783</v>
      </c>
      <c r="D194" s="19"/>
      <c r="E194" s="15">
        <f>-E189</f>
        <v>-100000</v>
      </c>
    </row>
    <row r="195" spans="1:6" x14ac:dyDescent="0.25">
      <c r="A195" s="2" t="s">
        <v>16</v>
      </c>
      <c r="B195" s="19">
        <f>-B196</f>
        <v>60000</v>
      </c>
      <c r="C195" s="22"/>
      <c r="D195" s="19"/>
      <c r="E195" s="15"/>
    </row>
    <row r="196" spans="1:6" x14ac:dyDescent="0.25">
      <c r="A196" s="2" t="s">
        <v>170</v>
      </c>
      <c r="B196" s="14">
        <f>-'Scenario and Data'!B140</f>
        <v>-60000</v>
      </c>
      <c r="C196" s="18"/>
      <c r="D196" s="19">
        <f>-D188</f>
        <v>60000</v>
      </c>
      <c r="E196" s="25"/>
    </row>
    <row r="197" spans="1:6" x14ac:dyDescent="0.25">
      <c r="B197" s="14"/>
      <c r="C197" s="13"/>
      <c r="D197" s="51"/>
      <c r="E197" s="15"/>
    </row>
    <row r="198" spans="1:6" ht="14.95" thickBot="1" x14ac:dyDescent="0.3">
      <c r="A198" s="3" t="s">
        <v>174</v>
      </c>
      <c r="B198" s="16">
        <f>SUM(B193:B196)</f>
        <v>-18178.062380017196</v>
      </c>
      <c r="C198" s="17">
        <f>SUM(C193:C196)</f>
        <v>-45072.250692810783</v>
      </c>
      <c r="D198" s="45">
        <f>SUM(D193:D196)</f>
        <v>60000</v>
      </c>
      <c r="E198" s="17">
        <f>SUM(E193:E196)</f>
        <v>-100000</v>
      </c>
      <c r="F198" s="6"/>
    </row>
    <row r="199" spans="1:6" ht="14.95" thickTop="1" x14ac:dyDescent="0.25">
      <c r="B199" s="12"/>
      <c r="C199" s="13"/>
      <c r="D199" s="51"/>
      <c r="E199" s="15"/>
    </row>
    <row r="200" spans="1:6" x14ac:dyDescent="0.25">
      <c r="A200" s="2" t="s">
        <v>17</v>
      </c>
      <c r="B200" s="14">
        <f>B178+B193+B195</f>
        <v>-311372.61689642357</v>
      </c>
      <c r="C200" s="13"/>
      <c r="D200" s="51"/>
      <c r="E200" s="15"/>
    </row>
    <row r="201" spans="1:6" x14ac:dyDescent="0.25">
      <c r="A201" s="2" t="s">
        <v>18</v>
      </c>
      <c r="B201" s="14"/>
      <c r="C201" s="18">
        <f>C179+C194</f>
        <v>270433.50415686471</v>
      </c>
      <c r="D201" s="51"/>
      <c r="E201" s="15"/>
    </row>
    <row r="202" spans="1:6" x14ac:dyDescent="0.25">
      <c r="A202" s="2" t="s">
        <v>98</v>
      </c>
      <c r="B202" s="12"/>
      <c r="C202" s="15"/>
      <c r="D202" s="19"/>
      <c r="E202" s="15">
        <f>E180+E194</f>
        <v>2100000</v>
      </c>
    </row>
    <row r="203" spans="1:6" ht="14.95" thickBot="1" x14ac:dyDescent="0.3">
      <c r="A203" s="3" t="s">
        <v>15</v>
      </c>
      <c r="B203" s="23">
        <f>SUM(B200:B202)</f>
        <v>-311372.61689642357</v>
      </c>
      <c r="C203" s="24">
        <f t="shared" ref="C203:E203" si="8">SUM(C200:C202)</f>
        <v>270433.50415686471</v>
      </c>
      <c r="D203" s="56">
        <f t="shared" si="8"/>
        <v>0</v>
      </c>
      <c r="E203" s="24">
        <f t="shared" si="8"/>
        <v>2100000</v>
      </c>
      <c r="F203" s="6"/>
    </row>
    <row r="204" spans="1:6" x14ac:dyDescent="0.25">
      <c r="C204" s="156">
        <f>SUM(B190:C190)+SUM(B198:C198)</f>
        <v>0</v>
      </c>
      <c r="D204" s="156"/>
      <c r="E204" s="156">
        <f>SUM(D190:E190)+SUM(D198:E198)</f>
        <v>0</v>
      </c>
    </row>
    <row r="205" spans="1:6" ht="14.95" thickBot="1" x14ac:dyDescent="0.3">
      <c r="B205" s="307" t="s">
        <v>13</v>
      </c>
      <c r="C205" s="308"/>
      <c r="D205" s="54" t="s">
        <v>12</v>
      </c>
      <c r="E205" s="7"/>
    </row>
    <row r="206" spans="1:6" ht="14.95" thickBot="1" x14ac:dyDescent="0.3">
      <c r="A206" s="60" t="s">
        <v>89</v>
      </c>
      <c r="B206" s="57" t="s">
        <v>8</v>
      </c>
      <c r="C206" s="59" t="s">
        <v>75</v>
      </c>
      <c r="D206" s="57" t="s">
        <v>9</v>
      </c>
      <c r="E206" s="58" t="s">
        <v>14</v>
      </c>
      <c r="F206" s="5"/>
    </row>
    <row r="207" spans="1:6" ht="19.05" x14ac:dyDescent="0.35">
      <c r="A207" s="28" t="s">
        <v>4</v>
      </c>
      <c r="B207" s="21"/>
      <c r="C207" s="50"/>
      <c r="D207" s="51"/>
      <c r="E207" s="25"/>
    </row>
    <row r="208" spans="1:6" x14ac:dyDescent="0.25">
      <c r="A208" s="2" t="s">
        <v>6</v>
      </c>
      <c r="B208" s="19">
        <f>'Scenario and Data'!D157</f>
        <v>15585.102247578261</v>
      </c>
      <c r="C208" s="20"/>
      <c r="D208" s="19"/>
      <c r="E208" s="25"/>
    </row>
    <row r="209" spans="1:6" x14ac:dyDescent="0.25">
      <c r="A209" s="2" t="s">
        <v>100</v>
      </c>
      <c r="B209" s="21"/>
      <c r="C209" s="22">
        <f>-'Scenario and Data'!C185</f>
        <v>45072.250692810783</v>
      </c>
      <c r="D209" s="19"/>
      <c r="E209" s="15"/>
    </row>
    <row r="210" spans="1:6" x14ac:dyDescent="0.25">
      <c r="A210" s="2" t="s">
        <v>99</v>
      </c>
      <c r="B210" s="12"/>
      <c r="C210" s="13"/>
      <c r="D210" s="19">
        <f>'Scenario and Data'!C157</f>
        <v>-60000</v>
      </c>
      <c r="E210" s="25"/>
    </row>
    <row r="211" spans="1:6" x14ac:dyDescent="0.25">
      <c r="A211" s="2" t="s">
        <v>101</v>
      </c>
      <c r="B211" s="12"/>
      <c r="C211" s="13"/>
      <c r="D211" s="51"/>
      <c r="E211" s="15">
        <f>-'Scenario and Data'!C215</f>
        <v>100000</v>
      </c>
    </row>
    <row r="212" spans="1:6" ht="14.95" thickBot="1" x14ac:dyDescent="0.3">
      <c r="A212" s="3" t="s">
        <v>7</v>
      </c>
      <c r="B212" s="16">
        <f>SUM(B208:B211)</f>
        <v>15585.102247578261</v>
      </c>
      <c r="C212" s="17">
        <f>SUM(C208:C211)</f>
        <v>45072.250692810783</v>
      </c>
      <c r="D212" s="45">
        <f>SUM(D208:D211)</f>
        <v>-60000</v>
      </c>
      <c r="E212" s="17">
        <f>SUM(E208:E211)</f>
        <v>100000</v>
      </c>
      <c r="F212" s="6"/>
    </row>
    <row r="213" spans="1:6" ht="15.65" thickTop="1" thickBot="1" x14ac:dyDescent="0.3">
      <c r="A213" s="3"/>
      <c r="B213" s="40"/>
      <c r="C213" s="40"/>
      <c r="D213" s="41"/>
      <c r="E213" s="40"/>
      <c r="F213" s="6"/>
    </row>
    <row r="214" spans="1:6" ht="16.3" x14ac:dyDescent="0.3">
      <c r="A214" s="159" t="s">
        <v>26</v>
      </c>
      <c r="B214" s="37"/>
      <c r="C214" s="38"/>
      <c r="D214" s="55"/>
      <c r="E214" s="39"/>
    </row>
    <row r="215" spans="1:6" x14ac:dyDescent="0.25">
      <c r="A215" s="2" t="s">
        <v>28</v>
      </c>
      <c r="B215" s="19">
        <f>-B208</f>
        <v>-15585.102247578261</v>
      </c>
      <c r="C215" s="20"/>
      <c r="D215" s="19">
        <v>0</v>
      </c>
      <c r="E215" s="15"/>
    </row>
    <row r="216" spans="1:6" x14ac:dyDescent="0.25">
      <c r="A216" s="2" t="s">
        <v>5</v>
      </c>
      <c r="B216" s="21"/>
      <c r="C216" s="22">
        <f>-C209</f>
        <v>-45072.250692810783</v>
      </c>
      <c r="D216" s="19"/>
      <c r="E216" s="15">
        <f>-E211</f>
        <v>-100000</v>
      </c>
    </row>
    <row r="217" spans="1:6" x14ac:dyDescent="0.25">
      <c r="A217" s="2" t="s">
        <v>16</v>
      </c>
      <c r="B217" s="19">
        <f>-B218</f>
        <v>60000</v>
      </c>
      <c r="C217" s="22"/>
      <c r="D217" s="19"/>
      <c r="E217" s="15"/>
    </row>
    <row r="218" spans="1:6" x14ac:dyDescent="0.25">
      <c r="A218" s="2" t="s">
        <v>170</v>
      </c>
      <c r="B218" s="14">
        <f>-'Scenario and Data'!B141</f>
        <v>-60000</v>
      </c>
      <c r="C218" s="18"/>
      <c r="D218" s="19">
        <f>-D210</f>
        <v>60000</v>
      </c>
      <c r="E218" s="25"/>
    </row>
    <row r="219" spans="1:6" x14ac:dyDescent="0.25">
      <c r="B219" s="14"/>
      <c r="C219" s="13"/>
      <c r="D219" s="51"/>
      <c r="E219" s="15"/>
    </row>
    <row r="220" spans="1:6" ht="14.95" thickBot="1" x14ac:dyDescent="0.3">
      <c r="A220" s="3" t="s">
        <v>174</v>
      </c>
      <c r="B220" s="16">
        <f>SUM(B215:B218)</f>
        <v>-15585.102247578259</v>
      </c>
      <c r="C220" s="17">
        <f>SUM(C215:C218)</f>
        <v>-45072.250692810783</v>
      </c>
      <c r="D220" s="45">
        <f>SUM(D215:D218)</f>
        <v>60000</v>
      </c>
      <c r="E220" s="17">
        <f>SUM(E215:E218)</f>
        <v>-100000</v>
      </c>
      <c r="F220" s="6"/>
    </row>
    <row r="221" spans="1:6" ht="14.95" thickTop="1" x14ac:dyDescent="0.25">
      <c r="B221" s="12"/>
      <c r="C221" s="13"/>
      <c r="D221" s="51"/>
      <c r="E221" s="15"/>
    </row>
    <row r="222" spans="1:6" x14ac:dyDescent="0.25">
      <c r="A222" s="2" t="s">
        <v>17</v>
      </c>
      <c r="B222" s="14">
        <f>B200+B215+B217</f>
        <v>-266957.71914400184</v>
      </c>
      <c r="C222" s="13"/>
      <c r="D222" s="51"/>
      <c r="E222" s="15"/>
    </row>
    <row r="223" spans="1:6" x14ac:dyDescent="0.25">
      <c r="A223" s="2" t="s">
        <v>18</v>
      </c>
      <c r="B223" s="14"/>
      <c r="C223" s="18">
        <f>C201+C216</f>
        <v>225361.25346405394</v>
      </c>
      <c r="D223" s="51"/>
      <c r="E223" s="15"/>
    </row>
    <row r="224" spans="1:6" x14ac:dyDescent="0.25">
      <c r="A224" s="2" t="s">
        <v>98</v>
      </c>
      <c r="B224" s="12"/>
      <c r="C224" s="15"/>
      <c r="D224" s="19"/>
      <c r="E224" s="15">
        <f>E202+E216</f>
        <v>2000000</v>
      </c>
    </row>
    <row r="225" spans="1:6" ht="14.95" thickBot="1" x14ac:dyDescent="0.3">
      <c r="A225" s="3" t="s">
        <v>15</v>
      </c>
      <c r="B225" s="23">
        <f>SUM(B222:B224)</f>
        <v>-266957.71914400184</v>
      </c>
      <c r="C225" s="24">
        <f t="shared" ref="C225:E225" si="9">SUM(C222:C224)</f>
        <v>225361.25346405394</v>
      </c>
      <c r="D225" s="56">
        <f t="shared" si="9"/>
        <v>0</v>
      </c>
      <c r="E225" s="24">
        <f t="shared" si="9"/>
        <v>2000000</v>
      </c>
      <c r="F225" s="6"/>
    </row>
    <row r="226" spans="1:6" x14ac:dyDescent="0.25">
      <c r="C226" s="156">
        <f>SUM(B212:C212)+SUM(B220:C220)</f>
        <v>0</v>
      </c>
      <c r="D226" s="156"/>
      <c r="E226" s="156">
        <f>SUM(D212:E212)+SUM(D220:E220)</f>
        <v>0</v>
      </c>
    </row>
    <row r="227" spans="1:6" ht="14.95" thickBot="1" x14ac:dyDescent="0.3">
      <c r="B227" s="307" t="s">
        <v>13</v>
      </c>
      <c r="C227" s="308"/>
      <c r="D227" s="54" t="s">
        <v>12</v>
      </c>
      <c r="E227" s="7"/>
    </row>
    <row r="228" spans="1:6" ht="14.95" thickBot="1" x14ac:dyDescent="0.3">
      <c r="A228" s="60" t="s">
        <v>90</v>
      </c>
      <c r="B228" s="57" t="s">
        <v>8</v>
      </c>
      <c r="C228" s="59" t="s">
        <v>75</v>
      </c>
      <c r="D228" s="57" t="s">
        <v>9</v>
      </c>
      <c r="E228" s="58" t="s">
        <v>14</v>
      </c>
    </row>
    <row r="229" spans="1:6" ht="16.3" x14ac:dyDescent="0.3">
      <c r="A229" s="159" t="s">
        <v>4</v>
      </c>
      <c r="B229" s="21"/>
      <c r="C229" s="50"/>
      <c r="D229" s="51"/>
      <c r="E229" s="25"/>
    </row>
    <row r="230" spans="1:6" x14ac:dyDescent="0.25">
      <c r="A230" s="2" t="s">
        <v>6</v>
      </c>
      <c r="B230" s="19">
        <f>'Scenario and Data'!D158</f>
        <v>12831.378586928115</v>
      </c>
      <c r="C230" s="20"/>
      <c r="D230" s="19"/>
      <c r="E230" s="25"/>
    </row>
    <row r="231" spans="1:6" x14ac:dyDescent="0.25">
      <c r="A231" s="2" t="s">
        <v>100</v>
      </c>
      <c r="B231" s="21"/>
      <c r="C231" s="22">
        <f>-'Scenario and Data'!C186</f>
        <v>45072.250692810783</v>
      </c>
      <c r="D231" s="19"/>
      <c r="E231" s="15"/>
    </row>
    <row r="232" spans="1:6" x14ac:dyDescent="0.25">
      <c r="A232" s="2" t="s">
        <v>99</v>
      </c>
      <c r="B232" s="12"/>
      <c r="C232" s="13"/>
      <c r="D232" s="19">
        <f>'Scenario and Data'!C158</f>
        <v>-60000</v>
      </c>
      <c r="E232" s="25"/>
    </row>
    <row r="233" spans="1:6" x14ac:dyDescent="0.25">
      <c r="A233" s="2" t="s">
        <v>101</v>
      </c>
      <c r="B233" s="12"/>
      <c r="C233" s="13"/>
      <c r="D233" s="51"/>
      <c r="E233" s="15">
        <f>-'Scenario and Data'!C216</f>
        <v>100000</v>
      </c>
    </row>
    <row r="234" spans="1:6" ht="14.95" thickBot="1" x14ac:dyDescent="0.3">
      <c r="A234" s="3" t="s">
        <v>7</v>
      </c>
      <c r="B234" s="16">
        <f>SUM(B230:B233)</f>
        <v>12831.378586928115</v>
      </c>
      <c r="C234" s="17">
        <f>SUM(C230:C233)</f>
        <v>45072.250692810783</v>
      </c>
      <c r="D234" s="45">
        <f>SUM(D230:D233)</f>
        <v>-60000</v>
      </c>
      <c r="E234" s="17">
        <f>SUM(E230:E233)</f>
        <v>100000</v>
      </c>
    </row>
    <row r="235" spans="1:6" ht="15.65" thickTop="1" thickBot="1" x14ac:dyDescent="0.3">
      <c r="A235" s="3"/>
      <c r="B235" s="40"/>
      <c r="C235" s="40"/>
      <c r="D235" s="41"/>
      <c r="E235" s="40"/>
    </row>
    <row r="236" spans="1:6" ht="16.3" x14ac:dyDescent="0.3">
      <c r="A236" s="159" t="s">
        <v>26</v>
      </c>
      <c r="B236" s="37"/>
      <c r="C236" s="38"/>
      <c r="D236" s="55"/>
      <c r="E236" s="39"/>
    </row>
    <row r="237" spans="1:6" x14ac:dyDescent="0.25">
      <c r="A237" s="2" t="s">
        <v>28</v>
      </c>
      <c r="B237" s="19">
        <f>-B230</f>
        <v>-12831.378586928115</v>
      </c>
      <c r="C237" s="20"/>
      <c r="D237" s="19">
        <v>0</v>
      </c>
      <c r="E237" s="15"/>
    </row>
    <row r="238" spans="1:6" x14ac:dyDescent="0.25">
      <c r="A238" s="2" t="s">
        <v>5</v>
      </c>
      <c r="B238" s="21"/>
      <c r="C238" s="22">
        <f>'Scenario and Data'!C186</f>
        <v>-45072.250692810783</v>
      </c>
      <c r="D238" s="19"/>
      <c r="E238" s="15">
        <f>-E233</f>
        <v>-100000</v>
      </c>
    </row>
    <row r="239" spans="1:6" x14ac:dyDescent="0.25">
      <c r="A239" s="2" t="s">
        <v>16</v>
      </c>
      <c r="B239" s="19">
        <f>-B240</f>
        <v>60000</v>
      </c>
      <c r="C239" s="22"/>
      <c r="D239" s="19"/>
      <c r="E239" s="15"/>
    </row>
    <row r="240" spans="1:6" x14ac:dyDescent="0.25">
      <c r="A240" s="2" t="s">
        <v>170</v>
      </c>
      <c r="B240" s="14">
        <f>-'Scenario and Data'!B142</f>
        <v>-60000</v>
      </c>
      <c r="C240" s="18"/>
      <c r="D240" s="19">
        <f>-D232</f>
        <v>60000</v>
      </c>
      <c r="E240" s="25"/>
    </row>
    <row r="241" spans="1:5" x14ac:dyDescent="0.25">
      <c r="B241" s="14"/>
      <c r="C241" s="13"/>
      <c r="D241" s="51"/>
      <c r="E241" s="15"/>
    </row>
    <row r="242" spans="1:5" ht="14.95" thickBot="1" x14ac:dyDescent="0.3">
      <c r="A242" s="3" t="s">
        <v>174</v>
      </c>
      <c r="B242" s="16">
        <f>SUM(B237:B240)</f>
        <v>-12831.378586928113</v>
      </c>
      <c r="C242" s="17">
        <f>SUM(C237:C240)</f>
        <v>-45072.250692810783</v>
      </c>
      <c r="D242" s="45">
        <f>SUM(D237:D240)</f>
        <v>60000</v>
      </c>
      <c r="E242" s="17">
        <f>SUM(E237:E240)</f>
        <v>-100000</v>
      </c>
    </row>
    <row r="243" spans="1:5" ht="14.95" thickTop="1" x14ac:dyDescent="0.25">
      <c r="B243" s="12"/>
      <c r="C243" s="13"/>
      <c r="D243" s="51"/>
      <c r="E243" s="15"/>
    </row>
    <row r="244" spans="1:5" x14ac:dyDescent="0.25">
      <c r="A244" s="2" t="s">
        <v>17</v>
      </c>
      <c r="B244" s="14">
        <f>B222+B237+B239</f>
        <v>-219789.09773092996</v>
      </c>
      <c r="C244" s="13"/>
      <c r="D244" s="51"/>
      <c r="E244" s="15"/>
    </row>
    <row r="245" spans="1:5" x14ac:dyDescent="0.25">
      <c r="A245" s="2" t="s">
        <v>18</v>
      </c>
      <c r="B245" s="14"/>
      <c r="C245" s="18">
        <f>C223+C238</f>
        <v>180289.00277124316</v>
      </c>
      <c r="D245" s="51"/>
      <c r="E245" s="15"/>
    </row>
    <row r="246" spans="1:5" x14ac:dyDescent="0.25">
      <c r="A246" s="2" t="s">
        <v>98</v>
      </c>
      <c r="B246" s="12"/>
      <c r="C246" s="15"/>
      <c r="D246" s="19"/>
      <c r="E246" s="15">
        <f>E224+E238</f>
        <v>1900000</v>
      </c>
    </row>
    <row r="247" spans="1:5" ht="14.95" thickBot="1" x14ac:dyDescent="0.3">
      <c r="A247" s="3" t="s">
        <v>15</v>
      </c>
      <c r="B247" s="23">
        <f>SUM(B244:B246)</f>
        <v>-219789.09773092996</v>
      </c>
      <c r="C247" s="24">
        <f t="shared" ref="C247:E247" si="10">SUM(C244:C246)</f>
        <v>180289.00277124316</v>
      </c>
      <c r="D247" s="56">
        <f t="shared" si="10"/>
        <v>0</v>
      </c>
      <c r="E247" s="24">
        <f t="shared" si="10"/>
        <v>1900000</v>
      </c>
    </row>
    <row r="248" spans="1:5" x14ac:dyDescent="0.25">
      <c r="C248" s="156">
        <f>SUM(B234:C234)+SUM(B242:C242)</f>
        <v>0</v>
      </c>
      <c r="D248" s="156"/>
      <c r="E248" s="156">
        <f>SUM(D234:E234)+SUM(D242:E242)</f>
        <v>0</v>
      </c>
    </row>
    <row r="249" spans="1:5" ht="14.95" thickBot="1" x14ac:dyDescent="0.3">
      <c r="B249" s="307" t="s">
        <v>13</v>
      </c>
      <c r="C249" s="308"/>
      <c r="D249" s="54" t="s">
        <v>12</v>
      </c>
      <c r="E249" s="7"/>
    </row>
    <row r="250" spans="1:5" ht="14.95" thickBot="1" x14ac:dyDescent="0.3">
      <c r="A250" s="60" t="s">
        <v>91</v>
      </c>
      <c r="B250" s="57" t="s">
        <v>8</v>
      </c>
      <c r="C250" s="59" t="s">
        <v>75</v>
      </c>
      <c r="D250" s="57" t="s">
        <v>9</v>
      </c>
      <c r="E250" s="58" t="s">
        <v>14</v>
      </c>
    </row>
    <row r="251" spans="1:5" ht="16.3" x14ac:dyDescent="0.3">
      <c r="A251" s="159" t="s">
        <v>4</v>
      </c>
      <c r="B251" s="21"/>
      <c r="C251" s="50"/>
      <c r="D251" s="51"/>
      <c r="E251" s="25"/>
    </row>
    <row r="252" spans="1:5" x14ac:dyDescent="0.25">
      <c r="A252" s="2" t="s">
        <v>6</v>
      </c>
      <c r="B252" s="19">
        <f>'Scenario and Data'!D159</f>
        <v>9906.9240593176582</v>
      </c>
      <c r="C252" s="20"/>
      <c r="D252" s="19"/>
      <c r="E252" s="25"/>
    </row>
    <row r="253" spans="1:5" x14ac:dyDescent="0.25">
      <c r="A253" s="2" t="s">
        <v>100</v>
      </c>
      <c r="B253" s="21"/>
      <c r="C253" s="22">
        <f>-'Scenario and Data'!C187</f>
        <v>45072.250692810783</v>
      </c>
      <c r="D253" s="19"/>
      <c r="E253" s="15"/>
    </row>
    <row r="254" spans="1:5" x14ac:dyDescent="0.25">
      <c r="A254" s="2" t="s">
        <v>99</v>
      </c>
      <c r="B254" s="12"/>
      <c r="C254" s="13"/>
      <c r="D254" s="19">
        <f>'Scenario and Data'!C159</f>
        <v>-60000</v>
      </c>
      <c r="E254" s="25"/>
    </row>
    <row r="255" spans="1:5" x14ac:dyDescent="0.25">
      <c r="A255" s="2" t="s">
        <v>101</v>
      </c>
      <c r="B255" s="12"/>
      <c r="C255" s="13"/>
      <c r="D255" s="51"/>
      <c r="E255" s="15">
        <f>-'Scenario and Data'!C217</f>
        <v>100000</v>
      </c>
    </row>
    <row r="256" spans="1:5" ht="14.95" thickBot="1" x14ac:dyDescent="0.3">
      <c r="A256" s="3" t="s">
        <v>7</v>
      </c>
      <c r="B256" s="16">
        <f>SUM(B252:B255)</f>
        <v>9906.9240593176582</v>
      </c>
      <c r="C256" s="17">
        <f>SUM(C252:C255)</f>
        <v>45072.250692810783</v>
      </c>
      <c r="D256" s="45">
        <f>SUM(D252:D255)</f>
        <v>-60000</v>
      </c>
      <c r="E256" s="17">
        <f>SUM(E252:E255)</f>
        <v>100000</v>
      </c>
    </row>
    <row r="257" spans="1:5" ht="15.65" thickTop="1" thickBot="1" x14ac:dyDescent="0.3">
      <c r="A257" s="3"/>
      <c r="B257" s="40"/>
      <c r="C257" s="40"/>
      <c r="D257" s="41"/>
      <c r="E257" s="40"/>
    </row>
    <row r="258" spans="1:5" ht="16.3" x14ac:dyDescent="0.3">
      <c r="A258" s="159" t="s">
        <v>26</v>
      </c>
      <c r="B258" s="37"/>
      <c r="C258" s="38"/>
      <c r="D258" s="55"/>
      <c r="E258" s="39"/>
    </row>
    <row r="259" spans="1:5" x14ac:dyDescent="0.25">
      <c r="A259" s="2" t="s">
        <v>28</v>
      </c>
      <c r="B259" s="19">
        <f>-B252</f>
        <v>-9906.9240593176582</v>
      </c>
      <c r="C259" s="20"/>
      <c r="D259" s="19">
        <v>0</v>
      </c>
      <c r="E259" s="15"/>
    </row>
    <row r="260" spans="1:5" x14ac:dyDescent="0.25">
      <c r="A260" s="2" t="s">
        <v>5</v>
      </c>
      <c r="B260" s="21"/>
      <c r="C260" s="22">
        <f>'Scenario and Data'!C187</f>
        <v>-45072.250692810783</v>
      </c>
      <c r="D260" s="19"/>
      <c r="E260" s="15">
        <f>-E255</f>
        <v>-100000</v>
      </c>
    </row>
    <row r="261" spans="1:5" x14ac:dyDescent="0.25">
      <c r="A261" s="2" t="s">
        <v>16</v>
      </c>
      <c r="B261" s="19">
        <f>-B262</f>
        <v>60000</v>
      </c>
      <c r="C261" s="22"/>
      <c r="D261" s="19"/>
      <c r="E261" s="15"/>
    </row>
    <row r="262" spans="1:5" x14ac:dyDescent="0.25">
      <c r="A262" s="2" t="s">
        <v>170</v>
      </c>
      <c r="B262" s="14">
        <f>-'Scenario and Data'!B143</f>
        <v>-60000</v>
      </c>
      <c r="C262" s="18"/>
      <c r="D262" s="19">
        <f>-D254</f>
        <v>60000</v>
      </c>
      <c r="E262" s="25"/>
    </row>
    <row r="263" spans="1:5" x14ac:dyDescent="0.25">
      <c r="B263" s="14"/>
      <c r="C263" s="13"/>
      <c r="D263" s="51"/>
      <c r="E263" s="15"/>
    </row>
    <row r="264" spans="1:5" ht="14.95" thickBot="1" x14ac:dyDescent="0.3">
      <c r="A264" s="3" t="s">
        <v>174</v>
      </c>
      <c r="B264" s="16">
        <f>SUM(B259:B262)</f>
        <v>-9906.9240593176582</v>
      </c>
      <c r="C264" s="17">
        <f>SUM(C259:C262)</f>
        <v>-45072.250692810783</v>
      </c>
      <c r="D264" s="45">
        <f>SUM(D259:D262)</f>
        <v>60000</v>
      </c>
      <c r="E264" s="17">
        <f>SUM(E259:E262)</f>
        <v>-100000</v>
      </c>
    </row>
    <row r="265" spans="1:5" ht="14.95" thickTop="1" x14ac:dyDescent="0.25">
      <c r="B265" s="12"/>
      <c r="C265" s="13"/>
      <c r="D265" s="51"/>
      <c r="E265" s="15"/>
    </row>
    <row r="266" spans="1:5" x14ac:dyDescent="0.25">
      <c r="A266" s="2" t="s">
        <v>17</v>
      </c>
      <c r="B266" s="14">
        <f>B244+B259+B261</f>
        <v>-169696.02179024761</v>
      </c>
      <c r="C266" s="13"/>
      <c r="D266" s="51"/>
      <c r="E266" s="15"/>
    </row>
    <row r="267" spans="1:5" x14ac:dyDescent="0.25">
      <c r="A267" s="2" t="s">
        <v>18</v>
      </c>
      <c r="B267" s="14"/>
      <c r="C267" s="18">
        <f>C245+C260</f>
        <v>135216.75207843239</v>
      </c>
      <c r="D267" s="51"/>
      <c r="E267" s="15"/>
    </row>
    <row r="268" spans="1:5" x14ac:dyDescent="0.25">
      <c r="A268" s="2" t="s">
        <v>98</v>
      </c>
      <c r="B268" s="12"/>
      <c r="C268" s="15"/>
      <c r="D268" s="19"/>
      <c r="E268" s="15">
        <f>E246+E260</f>
        <v>1800000</v>
      </c>
    </row>
    <row r="269" spans="1:5" ht="14.95" thickBot="1" x14ac:dyDescent="0.3">
      <c r="A269" s="3" t="s">
        <v>15</v>
      </c>
      <c r="B269" s="23">
        <f>SUM(B266:B268)</f>
        <v>-169696.02179024761</v>
      </c>
      <c r="C269" s="24">
        <f t="shared" ref="C269:E269" si="11">SUM(C266:C268)</f>
        <v>135216.75207843239</v>
      </c>
      <c r="D269" s="56">
        <f t="shared" si="11"/>
        <v>0</v>
      </c>
      <c r="E269" s="24">
        <f t="shared" si="11"/>
        <v>1800000</v>
      </c>
    </row>
    <row r="270" spans="1:5" x14ac:dyDescent="0.25">
      <c r="C270" s="156">
        <f>SUM(B256:C256)+SUM(B264:C264)</f>
        <v>0</v>
      </c>
      <c r="D270" s="156"/>
      <c r="E270" s="156">
        <f>SUM(D256:E256)+SUM(D264:E264)</f>
        <v>0</v>
      </c>
    </row>
    <row r="271" spans="1:5" ht="14.95" thickBot="1" x14ac:dyDescent="0.3">
      <c r="B271" s="307" t="s">
        <v>13</v>
      </c>
      <c r="C271" s="308"/>
      <c r="D271" s="54" t="s">
        <v>12</v>
      </c>
      <c r="E271" s="7"/>
    </row>
    <row r="272" spans="1:5" ht="14.95" thickBot="1" x14ac:dyDescent="0.3">
      <c r="A272" s="60" t="s">
        <v>92</v>
      </c>
      <c r="B272" s="57" t="s">
        <v>8</v>
      </c>
      <c r="C272" s="59" t="s">
        <v>75</v>
      </c>
      <c r="D272" s="57" t="s">
        <v>9</v>
      </c>
      <c r="E272" s="58" t="s">
        <v>14</v>
      </c>
    </row>
    <row r="273" spans="1:5" ht="16.3" x14ac:dyDescent="0.3">
      <c r="A273" s="159" t="s">
        <v>4</v>
      </c>
      <c r="B273" s="21"/>
      <c r="C273" s="50"/>
      <c r="D273" s="51"/>
      <c r="E273" s="25"/>
    </row>
    <row r="274" spans="1:5" x14ac:dyDescent="0.25">
      <c r="A274" s="2" t="s">
        <v>6</v>
      </c>
      <c r="B274" s="19">
        <f>'Scenario and Data'!D160</f>
        <v>6801.1533509953524</v>
      </c>
      <c r="C274" s="20"/>
      <c r="D274" s="19"/>
      <c r="E274" s="25"/>
    </row>
    <row r="275" spans="1:5" x14ac:dyDescent="0.25">
      <c r="A275" s="2" t="s">
        <v>100</v>
      </c>
      <c r="B275" s="21"/>
      <c r="C275" s="22">
        <f>-'Scenario and Data'!C188</f>
        <v>45072.250692810783</v>
      </c>
      <c r="D275" s="19"/>
      <c r="E275" s="15"/>
    </row>
    <row r="276" spans="1:5" x14ac:dyDescent="0.25">
      <c r="A276" s="2" t="s">
        <v>99</v>
      </c>
      <c r="B276" s="12"/>
      <c r="C276" s="13"/>
      <c r="D276" s="19">
        <f>'Scenario and Data'!C160</f>
        <v>-60000</v>
      </c>
      <c r="E276" s="25"/>
    </row>
    <row r="277" spans="1:5" x14ac:dyDescent="0.25">
      <c r="A277" s="2" t="s">
        <v>101</v>
      </c>
      <c r="B277" s="12"/>
      <c r="C277" s="13"/>
      <c r="D277" s="51"/>
      <c r="E277" s="15">
        <f>-'Scenario and Data'!C218</f>
        <v>100000</v>
      </c>
    </row>
    <row r="278" spans="1:5" ht="14.95" thickBot="1" x14ac:dyDescent="0.3">
      <c r="A278" s="3" t="s">
        <v>7</v>
      </c>
      <c r="B278" s="16">
        <f>SUM(B274:B277)</f>
        <v>6801.1533509953524</v>
      </c>
      <c r="C278" s="17">
        <f>SUM(C274:C277)</f>
        <v>45072.250692810783</v>
      </c>
      <c r="D278" s="45">
        <f>SUM(D274:D277)</f>
        <v>-60000</v>
      </c>
      <c r="E278" s="17">
        <f>SUM(E274:E277)</f>
        <v>100000</v>
      </c>
    </row>
    <row r="279" spans="1:5" ht="15.65" thickTop="1" thickBot="1" x14ac:dyDescent="0.3">
      <c r="A279" s="3"/>
      <c r="B279" s="40"/>
      <c r="C279" s="40"/>
      <c r="D279" s="41"/>
      <c r="E279" s="40"/>
    </row>
    <row r="280" spans="1:5" ht="16.3" x14ac:dyDescent="0.3">
      <c r="A280" s="159" t="s">
        <v>26</v>
      </c>
      <c r="B280" s="37"/>
      <c r="C280" s="38"/>
      <c r="D280" s="55"/>
      <c r="E280" s="39"/>
    </row>
    <row r="281" spans="1:5" x14ac:dyDescent="0.25">
      <c r="A281" s="2" t="s">
        <v>28</v>
      </c>
      <c r="B281" s="19">
        <f>-B274</f>
        <v>-6801.1533509953524</v>
      </c>
      <c r="C281" s="20"/>
      <c r="D281" s="19">
        <v>0</v>
      </c>
      <c r="E281" s="15"/>
    </row>
    <row r="282" spans="1:5" x14ac:dyDescent="0.25">
      <c r="A282" s="2" t="s">
        <v>5</v>
      </c>
      <c r="B282" s="21"/>
      <c r="C282" s="22">
        <f>'Scenario and Data'!C188</f>
        <v>-45072.250692810783</v>
      </c>
      <c r="D282" s="19"/>
      <c r="E282" s="15">
        <f>-E277</f>
        <v>-100000</v>
      </c>
    </row>
    <row r="283" spans="1:5" x14ac:dyDescent="0.25">
      <c r="A283" s="2" t="s">
        <v>16</v>
      </c>
      <c r="B283" s="19">
        <f>-B284</f>
        <v>60000</v>
      </c>
      <c r="C283" s="22"/>
      <c r="D283" s="19"/>
      <c r="E283" s="15"/>
    </row>
    <row r="284" spans="1:5" x14ac:dyDescent="0.25">
      <c r="A284" s="2" t="s">
        <v>170</v>
      </c>
      <c r="B284" s="14">
        <f>-'Scenario and Data'!B144</f>
        <v>-60000</v>
      </c>
      <c r="C284" s="18"/>
      <c r="D284" s="19">
        <f>-D276</f>
        <v>60000</v>
      </c>
      <c r="E284" s="25"/>
    </row>
    <row r="285" spans="1:5" x14ac:dyDescent="0.25">
      <c r="B285" s="14"/>
      <c r="C285" s="13"/>
      <c r="D285" s="51"/>
      <c r="E285" s="15"/>
    </row>
    <row r="286" spans="1:5" ht="14.95" thickBot="1" x14ac:dyDescent="0.3">
      <c r="A286" s="3" t="s">
        <v>174</v>
      </c>
      <c r="B286" s="16">
        <f>SUM(B281:B284)</f>
        <v>-6801.1533509953515</v>
      </c>
      <c r="C286" s="17">
        <f>SUM(C281:C284)</f>
        <v>-45072.250692810783</v>
      </c>
      <c r="D286" s="45">
        <f>SUM(D281:D284)</f>
        <v>60000</v>
      </c>
      <c r="E286" s="17">
        <f>SUM(E281:E284)</f>
        <v>-100000</v>
      </c>
    </row>
    <row r="287" spans="1:5" ht="14.95" thickTop="1" x14ac:dyDescent="0.25">
      <c r="B287" s="12"/>
      <c r="C287" s="13"/>
      <c r="D287" s="51"/>
      <c r="E287" s="15"/>
    </row>
    <row r="288" spans="1:5" x14ac:dyDescent="0.25">
      <c r="A288" s="2" t="s">
        <v>17</v>
      </c>
      <c r="B288" s="14">
        <f>B266+B281+B283</f>
        <v>-116497.17514124297</v>
      </c>
      <c r="C288" s="13"/>
      <c r="D288" s="51"/>
      <c r="E288" s="15"/>
    </row>
    <row r="289" spans="1:5" x14ac:dyDescent="0.25">
      <c r="A289" s="2" t="s">
        <v>18</v>
      </c>
      <c r="B289" s="14"/>
      <c r="C289" s="18">
        <f>C267+C282</f>
        <v>90144.50138562161</v>
      </c>
      <c r="D289" s="51"/>
      <c r="E289" s="15"/>
    </row>
    <row r="290" spans="1:5" x14ac:dyDescent="0.25">
      <c r="A290" s="2" t="s">
        <v>98</v>
      </c>
      <c r="B290" s="12"/>
      <c r="C290" s="15"/>
      <c r="D290" s="19"/>
      <c r="E290" s="15">
        <f>E268+E282</f>
        <v>1700000</v>
      </c>
    </row>
    <row r="291" spans="1:5" ht="14.95" thickBot="1" x14ac:dyDescent="0.3">
      <c r="A291" s="3" t="s">
        <v>15</v>
      </c>
      <c r="B291" s="23">
        <f>SUM(B288:B290)</f>
        <v>-116497.17514124297</v>
      </c>
      <c r="C291" s="24">
        <f t="shared" ref="C291:E291" si="12">SUM(C288:C290)</f>
        <v>90144.50138562161</v>
      </c>
      <c r="D291" s="56">
        <f t="shared" si="12"/>
        <v>0</v>
      </c>
      <c r="E291" s="24">
        <f t="shared" si="12"/>
        <v>1700000</v>
      </c>
    </row>
    <row r="292" spans="1:5" x14ac:dyDescent="0.25">
      <c r="C292" s="156">
        <f>SUM(B278:C278)+SUM(B286:C286)</f>
        <v>0</v>
      </c>
      <c r="D292" s="156"/>
      <c r="E292" s="156">
        <f>SUM(D278:E278)+SUM(D286:E286)</f>
        <v>0</v>
      </c>
    </row>
    <row r="293" spans="1:5" ht="14.95" thickBot="1" x14ac:dyDescent="0.3">
      <c r="B293" s="307" t="s">
        <v>13</v>
      </c>
      <c r="C293" s="308"/>
      <c r="D293" s="54" t="s">
        <v>12</v>
      </c>
      <c r="E293" s="7"/>
    </row>
    <row r="294" spans="1:5" ht="14.95" thickBot="1" x14ac:dyDescent="0.3">
      <c r="A294" s="60" t="s">
        <v>215</v>
      </c>
      <c r="B294" s="57" t="s">
        <v>8</v>
      </c>
      <c r="C294" s="59" t="s">
        <v>75</v>
      </c>
      <c r="D294" s="57" t="s">
        <v>9</v>
      </c>
      <c r="E294" s="58" t="s">
        <v>14</v>
      </c>
    </row>
    <row r="295" spans="1:5" ht="16.3" x14ac:dyDescent="0.3">
      <c r="A295" s="159" t="s">
        <v>4</v>
      </c>
      <c r="B295" s="21"/>
      <c r="C295" s="50"/>
      <c r="D295" s="51"/>
      <c r="E295" s="25"/>
    </row>
    <row r="296" spans="1:5" x14ac:dyDescent="0.25">
      <c r="A296" s="2" t="s">
        <v>6</v>
      </c>
      <c r="B296" s="19">
        <f>'Scenario and Data'!D161</f>
        <v>3502.8248587570642</v>
      </c>
      <c r="C296" s="20"/>
      <c r="D296" s="19"/>
      <c r="E296" s="25"/>
    </row>
    <row r="297" spans="1:5" x14ac:dyDescent="0.25">
      <c r="A297" s="2" t="s">
        <v>100</v>
      </c>
      <c r="B297" s="21"/>
      <c r="C297" s="22">
        <f>-'Scenario and Data'!C189</f>
        <v>45072.250692810783</v>
      </c>
      <c r="D297" s="19"/>
      <c r="E297" s="15"/>
    </row>
    <row r="298" spans="1:5" x14ac:dyDescent="0.25">
      <c r="A298" s="2" t="s">
        <v>99</v>
      </c>
      <c r="B298" s="12"/>
      <c r="C298" s="13"/>
      <c r="D298" s="19">
        <f>'Scenario and Data'!C161</f>
        <v>-60000</v>
      </c>
      <c r="E298" s="25"/>
    </row>
    <row r="299" spans="1:5" x14ac:dyDescent="0.25">
      <c r="A299" s="2" t="s">
        <v>101</v>
      </c>
      <c r="B299" s="12"/>
      <c r="C299" s="13"/>
      <c r="D299" s="51"/>
      <c r="E299" s="15">
        <f>-'Scenario and Data'!C219</f>
        <v>100000</v>
      </c>
    </row>
    <row r="300" spans="1:5" ht="14.95" thickBot="1" x14ac:dyDescent="0.3">
      <c r="A300" s="3" t="s">
        <v>7</v>
      </c>
      <c r="B300" s="16">
        <f>SUM(B296:B299)</f>
        <v>3502.8248587570642</v>
      </c>
      <c r="C300" s="17">
        <f>SUM(C296:C299)</f>
        <v>45072.250692810783</v>
      </c>
      <c r="D300" s="45">
        <f>SUM(D296:D299)</f>
        <v>-60000</v>
      </c>
      <c r="E300" s="17">
        <f>SUM(E296:E299)</f>
        <v>100000</v>
      </c>
    </row>
    <row r="301" spans="1:5" ht="15.65" thickTop="1" thickBot="1" x14ac:dyDescent="0.3">
      <c r="A301" s="3"/>
      <c r="B301" s="40"/>
      <c r="C301" s="40"/>
      <c r="D301" s="41"/>
      <c r="E301" s="40"/>
    </row>
    <row r="302" spans="1:5" ht="16.3" x14ac:dyDescent="0.3">
      <c r="A302" s="159" t="s">
        <v>26</v>
      </c>
      <c r="B302" s="37"/>
      <c r="C302" s="38"/>
      <c r="D302" s="55"/>
      <c r="E302" s="39"/>
    </row>
    <row r="303" spans="1:5" x14ac:dyDescent="0.25">
      <c r="A303" s="2" t="s">
        <v>28</v>
      </c>
      <c r="B303" s="19">
        <f>-B296</f>
        <v>-3502.8248587570642</v>
      </c>
      <c r="C303" s="20"/>
      <c r="D303" s="19">
        <v>0</v>
      </c>
      <c r="E303" s="15"/>
    </row>
    <row r="304" spans="1:5" x14ac:dyDescent="0.25">
      <c r="A304" s="2" t="s">
        <v>5</v>
      </c>
      <c r="B304" s="21"/>
      <c r="C304" s="22">
        <f>'Scenario and Data'!C189</f>
        <v>-45072.250692810783</v>
      </c>
      <c r="D304" s="19"/>
      <c r="E304" s="15">
        <f>-E299</f>
        <v>-100000</v>
      </c>
    </row>
    <row r="305" spans="1:5" x14ac:dyDescent="0.25">
      <c r="A305" s="2" t="s">
        <v>16</v>
      </c>
      <c r="B305" s="19">
        <f>-B306</f>
        <v>60000</v>
      </c>
      <c r="C305" s="22"/>
      <c r="D305" s="19"/>
      <c r="E305" s="15"/>
    </row>
    <row r="306" spans="1:5" x14ac:dyDescent="0.25">
      <c r="A306" s="2" t="s">
        <v>170</v>
      </c>
      <c r="B306" s="14">
        <f>-'Scenario and Data'!B145</f>
        <v>-60000</v>
      </c>
      <c r="C306" s="18"/>
      <c r="D306" s="19">
        <f>-D298</f>
        <v>60000</v>
      </c>
      <c r="E306" s="25"/>
    </row>
    <row r="307" spans="1:5" x14ac:dyDescent="0.25">
      <c r="B307" s="14"/>
      <c r="C307" s="13"/>
      <c r="D307" s="51"/>
      <c r="E307" s="15"/>
    </row>
    <row r="308" spans="1:5" ht="14.95" thickBot="1" x14ac:dyDescent="0.3">
      <c r="A308" s="3" t="s">
        <v>174</v>
      </c>
      <c r="B308" s="16">
        <f>SUM(B303:B306)</f>
        <v>-3502.8248587570633</v>
      </c>
      <c r="C308" s="17">
        <f>SUM(C303:C306)</f>
        <v>-45072.250692810783</v>
      </c>
      <c r="D308" s="45">
        <f>SUM(D303:D306)</f>
        <v>60000</v>
      </c>
      <c r="E308" s="17">
        <f>SUM(E303:E306)</f>
        <v>-100000</v>
      </c>
    </row>
    <row r="309" spans="1:5" ht="14.95" thickTop="1" x14ac:dyDescent="0.25">
      <c r="B309" s="12"/>
      <c r="C309" s="13"/>
      <c r="D309" s="51"/>
      <c r="E309" s="15"/>
    </row>
    <row r="310" spans="1:5" x14ac:dyDescent="0.25">
      <c r="A310" s="2" t="s">
        <v>17</v>
      </c>
      <c r="B310" s="14">
        <f>B288+B303+B305</f>
        <v>-60000.000000000044</v>
      </c>
      <c r="C310" s="13"/>
      <c r="D310" s="51"/>
      <c r="E310" s="15"/>
    </row>
    <row r="311" spans="1:5" x14ac:dyDescent="0.25">
      <c r="A311" s="2" t="s">
        <v>18</v>
      </c>
      <c r="B311" s="14"/>
      <c r="C311" s="18">
        <f>C289+C304</f>
        <v>45072.250692810827</v>
      </c>
      <c r="D311" s="51"/>
      <c r="E311" s="15"/>
    </row>
    <row r="312" spans="1:5" x14ac:dyDescent="0.25">
      <c r="A312" s="2" t="s">
        <v>98</v>
      </c>
      <c r="B312" s="12"/>
      <c r="C312" s="15"/>
      <c r="D312" s="19"/>
      <c r="E312" s="15">
        <f>E290+E304</f>
        <v>1600000</v>
      </c>
    </row>
    <row r="313" spans="1:5" ht="14.95" thickBot="1" x14ac:dyDescent="0.3">
      <c r="A313" s="3" t="s">
        <v>15</v>
      </c>
      <c r="B313" s="23">
        <f>SUM(B310:B312)</f>
        <v>-60000.000000000044</v>
      </c>
      <c r="C313" s="24">
        <f t="shared" ref="C313:E313" si="13">SUM(C310:C312)</f>
        <v>45072.250692810827</v>
      </c>
      <c r="D313" s="56">
        <f t="shared" si="13"/>
        <v>0</v>
      </c>
      <c r="E313" s="24">
        <f t="shared" si="13"/>
        <v>1600000</v>
      </c>
    </row>
    <row r="314" spans="1:5" x14ac:dyDescent="0.25">
      <c r="C314" s="156">
        <f>SUM(B300:C300)+SUM(B308:C308)</f>
        <v>0</v>
      </c>
      <c r="D314" s="156"/>
      <c r="E314" s="156">
        <f>SUM(D300:E300)+SUM(D308:E308)</f>
        <v>0</v>
      </c>
    </row>
    <row r="315" spans="1:5" ht="14.95" thickBot="1" x14ac:dyDescent="0.3">
      <c r="B315" s="307" t="s">
        <v>13</v>
      </c>
      <c r="C315" s="308"/>
      <c r="D315" s="54" t="s">
        <v>12</v>
      </c>
      <c r="E315" s="7"/>
    </row>
    <row r="316" spans="1:5" ht="14.95" thickBot="1" x14ac:dyDescent="0.3">
      <c r="A316" s="60" t="s">
        <v>216</v>
      </c>
      <c r="B316" s="57" t="s">
        <v>8</v>
      </c>
      <c r="C316" s="59" t="s">
        <v>75</v>
      </c>
      <c r="D316" s="57" t="s">
        <v>9</v>
      </c>
      <c r="E316" s="58" t="s">
        <v>14</v>
      </c>
    </row>
    <row r="317" spans="1:5" ht="16.3" x14ac:dyDescent="0.3">
      <c r="A317" s="159" t="s">
        <v>4</v>
      </c>
      <c r="B317" s="21"/>
      <c r="C317" s="50"/>
      <c r="D317" s="51"/>
      <c r="E317" s="25"/>
    </row>
    <row r="318" spans="1:5" x14ac:dyDescent="0.25">
      <c r="A318" s="2" t="s">
        <v>6</v>
      </c>
      <c r="B318" s="19">
        <f>'Scenario and Data'!D162</f>
        <v>2.255546860396862E-12</v>
      </c>
      <c r="C318" s="20"/>
      <c r="D318" s="19"/>
      <c r="E318" s="25"/>
    </row>
    <row r="319" spans="1:5" x14ac:dyDescent="0.25">
      <c r="A319" s="2" t="s">
        <v>100</v>
      </c>
      <c r="B319" s="21"/>
      <c r="C319" s="22">
        <f>-'Scenario and Data'!C190</f>
        <v>45072.250692810783</v>
      </c>
      <c r="D319" s="19"/>
      <c r="E319" s="15"/>
    </row>
    <row r="320" spans="1:5" x14ac:dyDescent="0.25">
      <c r="A320" s="2" t="s">
        <v>99</v>
      </c>
      <c r="B320" s="12"/>
      <c r="C320" s="13"/>
      <c r="D320" s="19">
        <f>'Scenario and Data'!C162</f>
        <v>-60000</v>
      </c>
      <c r="E320" s="25"/>
    </row>
    <row r="321" spans="1:5" x14ac:dyDescent="0.25">
      <c r="A321" s="2" t="s">
        <v>101</v>
      </c>
      <c r="B321" s="12"/>
      <c r="C321" s="13"/>
      <c r="D321" s="51"/>
      <c r="E321" s="15">
        <f>-'Scenario and Data'!C220</f>
        <v>100000</v>
      </c>
    </row>
    <row r="322" spans="1:5" ht="14.95" thickBot="1" x14ac:dyDescent="0.3">
      <c r="A322" s="3" t="s">
        <v>7</v>
      </c>
      <c r="B322" s="16">
        <f>SUM(B318:B321)</f>
        <v>2.255546860396862E-12</v>
      </c>
      <c r="C322" s="17">
        <f>SUM(C318:C321)</f>
        <v>45072.250692810783</v>
      </c>
      <c r="D322" s="45">
        <f>SUM(D318:D321)</f>
        <v>-60000</v>
      </c>
      <c r="E322" s="17">
        <f>SUM(E318:E321)</f>
        <v>100000</v>
      </c>
    </row>
    <row r="323" spans="1:5" ht="15.65" thickTop="1" thickBot="1" x14ac:dyDescent="0.3">
      <c r="A323" s="3"/>
      <c r="B323" s="40"/>
      <c r="C323" s="40"/>
      <c r="D323" s="41"/>
      <c r="E323" s="40"/>
    </row>
    <row r="324" spans="1:5" ht="16.3" x14ac:dyDescent="0.3">
      <c r="A324" s="159" t="s">
        <v>26</v>
      </c>
      <c r="B324" s="37"/>
      <c r="C324" s="38"/>
      <c r="D324" s="55"/>
      <c r="E324" s="39"/>
    </row>
    <row r="325" spans="1:5" x14ac:dyDescent="0.25">
      <c r="A325" s="2" t="s">
        <v>28</v>
      </c>
      <c r="B325" s="19">
        <f>-B318</f>
        <v>-2.255546860396862E-12</v>
      </c>
      <c r="C325" s="20"/>
      <c r="D325" s="19">
        <v>0</v>
      </c>
      <c r="E325" s="15"/>
    </row>
    <row r="326" spans="1:5" x14ac:dyDescent="0.25">
      <c r="A326" s="2" t="s">
        <v>5</v>
      </c>
      <c r="B326" s="21"/>
      <c r="C326" s="22">
        <f>'Scenario and Data'!C190</f>
        <v>-45072.250692810783</v>
      </c>
      <c r="D326" s="19"/>
      <c r="E326" s="15">
        <f>-E321</f>
        <v>-100000</v>
      </c>
    </row>
    <row r="327" spans="1:5" x14ac:dyDescent="0.25">
      <c r="A327" s="2" t="s">
        <v>16</v>
      </c>
      <c r="B327" s="19">
        <f>-B328</f>
        <v>60000</v>
      </c>
      <c r="C327" s="22"/>
      <c r="D327" s="19"/>
      <c r="E327" s="15"/>
    </row>
    <row r="328" spans="1:5" x14ac:dyDescent="0.25">
      <c r="A328" s="2" t="s">
        <v>170</v>
      </c>
      <c r="B328" s="14">
        <f>-'Scenario and Data'!B146</f>
        <v>-60000</v>
      </c>
      <c r="C328" s="18"/>
      <c r="D328" s="19">
        <f>-D320</f>
        <v>60000</v>
      </c>
      <c r="E328" s="25"/>
    </row>
    <row r="329" spans="1:5" x14ac:dyDescent="0.25">
      <c r="B329" s="14"/>
      <c r="C329" s="13"/>
      <c r="D329" s="51"/>
      <c r="E329" s="15"/>
    </row>
    <row r="330" spans="1:5" ht="14.95" thickBot="1" x14ac:dyDescent="0.3">
      <c r="A330" s="3" t="s">
        <v>174</v>
      </c>
      <c r="B330" s="16">
        <f>SUM(B325:B328)</f>
        <v>0</v>
      </c>
      <c r="C330" s="17">
        <f>SUM(C325:C328)</f>
        <v>-45072.250692810783</v>
      </c>
      <c r="D330" s="45">
        <f>SUM(D325:D328)</f>
        <v>60000</v>
      </c>
      <c r="E330" s="17">
        <f>SUM(E325:E328)</f>
        <v>-100000</v>
      </c>
    </row>
    <row r="331" spans="1:5" ht="14.95" thickTop="1" x14ac:dyDescent="0.25">
      <c r="B331" s="12"/>
      <c r="C331" s="13"/>
      <c r="D331" s="51"/>
      <c r="E331" s="15"/>
    </row>
    <row r="332" spans="1:5" x14ac:dyDescent="0.25">
      <c r="A332" s="2" t="s">
        <v>17</v>
      </c>
      <c r="B332" s="14">
        <f>B310+B325+B327</f>
        <v>0</v>
      </c>
      <c r="C332" s="13"/>
      <c r="D332" s="51"/>
      <c r="E332" s="15"/>
    </row>
    <row r="333" spans="1:5" x14ac:dyDescent="0.25">
      <c r="A333" s="2" t="s">
        <v>18</v>
      </c>
      <c r="B333" s="14"/>
      <c r="C333" s="18">
        <f>C311+C326</f>
        <v>0</v>
      </c>
      <c r="D333" s="51"/>
      <c r="E333" s="15"/>
    </row>
    <row r="334" spans="1:5" x14ac:dyDescent="0.25">
      <c r="A334" s="2" t="s">
        <v>98</v>
      </c>
      <c r="B334" s="12"/>
      <c r="C334" s="15"/>
      <c r="D334" s="19"/>
      <c r="E334" s="15">
        <f>E312+E326</f>
        <v>1500000</v>
      </c>
    </row>
    <row r="335" spans="1:5" ht="14.95" thickBot="1" x14ac:dyDescent="0.3">
      <c r="A335" s="3" t="s">
        <v>15</v>
      </c>
      <c r="B335" s="23">
        <f>SUM(B332:B334)</f>
        <v>0</v>
      </c>
      <c r="C335" s="24">
        <f t="shared" ref="C335:E335" si="14">SUM(C332:C334)</f>
        <v>0</v>
      </c>
      <c r="D335" s="56">
        <f t="shared" si="14"/>
        <v>0</v>
      </c>
      <c r="E335" s="24">
        <f t="shared" si="14"/>
        <v>1500000</v>
      </c>
    </row>
    <row r="336" spans="1:5" x14ac:dyDescent="0.25">
      <c r="C336" s="156">
        <f>SUM(B322:C322)+SUM(B330:C330)</f>
        <v>0</v>
      </c>
      <c r="D336" s="156"/>
      <c r="E336" s="156">
        <f>SUM(D322:E322)+SUM(D330:E330)</f>
        <v>0</v>
      </c>
    </row>
  </sheetData>
  <mergeCells count="15">
    <mergeCell ref="B28:C28"/>
    <mergeCell ref="B4:C4"/>
    <mergeCell ref="B49:C49"/>
    <mergeCell ref="B71:C71"/>
    <mergeCell ref="B205:C205"/>
    <mergeCell ref="B93:C93"/>
    <mergeCell ref="B115:C115"/>
    <mergeCell ref="B137:C137"/>
    <mergeCell ref="B161:C161"/>
    <mergeCell ref="B183:C183"/>
    <mergeCell ref="B227:C227"/>
    <mergeCell ref="B249:C249"/>
    <mergeCell ref="B271:C271"/>
    <mergeCell ref="B293:C293"/>
    <mergeCell ref="B315:C3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S26"/>
  <sheetViews>
    <sheetView showGridLines="0" workbookViewId="0"/>
  </sheetViews>
  <sheetFormatPr defaultRowHeight="14.3" outlineLevelCol="1" x14ac:dyDescent="0.25"/>
  <cols>
    <col min="1" max="1" width="21.375" bestFit="1" customWidth="1"/>
    <col min="2" max="13" width="14.25" customWidth="1"/>
    <col min="14" max="16" width="14.25" hidden="1" customWidth="1" outlineLevel="1"/>
    <col min="17" max="18" width="8.875" hidden="1" customWidth="1" outlineLevel="1"/>
    <col min="19" max="19" width="8.875" collapsed="1"/>
  </cols>
  <sheetData>
    <row r="1" spans="1:18" ht="14.95" x14ac:dyDescent="0.25">
      <c r="A1" s="61" t="s">
        <v>88</v>
      </c>
    </row>
    <row r="2" spans="1:18" ht="14.95" x14ac:dyDescent="0.25">
      <c r="A2" s="61"/>
    </row>
    <row r="3" spans="1:18" ht="14.95" x14ac:dyDescent="0.25">
      <c r="A3" s="154" t="s">
        <v>85</v>
      </c>
      <c r="B3" s="153"/>
      <c r="C3" s="153"/>
      <c r="D3" s="89" t="s">
        <v>86</v>
      </c>
      <c r="E3" s="153"/>
      <c r="F3" s="153"/>
    </row>
    <row r="5" spans="1:18" ht="15.8" thickBot="1" x14ac:dyDescent="0.3"/>
    <row r="6" spans="1:18" ht="14.95" thickBot="1" x14ac:dyDescent="0.3">
      <c r="A6" s="83" t="s">
        <v>82</v>
      </c>
      <c r="B6" s="319" t="s">
        <v>35</v>
      </c>
      <c r="C6" s="311"/>
      <c r="D6" s="311"/>
      <c r="E6" s="311"/>
      <c r="F6" s="311"/>
      <c r="G6" s="320"/>
      <c r="H6" s="321" t="s">
        <v>36</v>
      </c>
      <c r="I6" s="322"/>
      <c r="J6" s="322"/>
      <c r="K6" s="322"/>
      <c r="L6" s="322"/>
      <c r="M6" s="323"/>
      <c r="N6" s="311" t="s">
        <v>37</v>
      </c>
      <c r="O6" s="311"/>
      <c r="P6" s="312" t="s">
        <v>38</v>
      </c>
    </row>
    <row r="7" spans="1:18" ht="30.6" customHeight="1" x14ac:dyDescent="0.25">
      <c r="A7" s="84" t="s">
        <v>51</v>
      </c>
      <c r="B7" s="314" t="s">
        <v>39</v>
      </c>
      <c r="C7" s="315"/>
      <c r="D7" s="316" t="s">
        <v>40</v>
      </c>
      <c r="E7" s="317"/>
      <c r="F7" s="317"/>
      <c r="G7" s="318"/>
      <c r="H7" s="64" t="s">
        <v>41</v>
      </c>
      <c r="I7" s="65" t="s">
        <v>42</v>
      </c>
      <c r="J7" s="65" t="s">
        <v>43</v>
      </c>
      <c r="K7" s="65" t="s">
        <v>44</v>
      </c>
      <c r="L7" s="65" t="s">
        <v>45</v>
      </c>
      <c r="M7" s="66" t="s">
        <v>46</v>
      </c>
      <c r="N7" s="62" t="s">
        <v>47</v>
      </c>
      <c r="O7" s="63" t="s">
        <v>48</v>
      </c>
      <c r="P7" s="313"/>
    </row>
    <row r="8" spans="1:18" ht="18" customHeight="1" x14ac:dyDescent="0.25">
      <c r="A8" s="126"/>
      <c r="B8" s="127" t="s">
        <v>76</v>
      </c>
      <c r="C8" s="128" t="s">
        <v>77</v>
      </c>
      <c r="D8" s="129" t="s">
        <v>78</v>
      </c>
      <c r="E8" s="129" t="s">
        <v>79</v>
      </c>
      <c r="F8" s="128" t="s">
        <v>80</v>
      </c>
      <c r="G8" s="130" t="s">
        <v>81</v>
      </c>
      <c r="H8" s="131"/>
      <c r="I8" s="132"/>
      <c r="J8" s="132"/>
      <c r="K8" s="132"/>
      <c r="L8" s="132"/>
      <c r="M8" s="133"/>
      <c r="N8" s="134"/>
      <c r="O8" s="130"/>
      <c r="P8" s="116"/>
    </row>
    <row r="9" spans="1:18" ht="18" customHeight="1" x14ac:dyDescent="0.25">
      <c r="A9" s="70" t="s">
        <v>58</v>
      </c>
      <c r="B9" s="135"/>
      <c r="C9" s="136"/>
      <c r="D9" s="137">
        <f>Accounting!C147</f>
        <v>243493.82272241599</v>
      </c>
      <c r="E9" s="137"/>
      <c r="F9" s="136"/>
      <c r="G9" s="112"/>
      <c r="H9" s="138"/>
      <c r="I9" s="115"/>
      <c r="J9" s="139"/>
      <c r="K9" s="115"/>
      <c r="L9" s="115">
        <f>D9</f>
        <v>243493.82272241599</v>
      </c>
      <c r="M9" s="140"/>
      <c r="N9" s="67"/>
      <c r="O9" s="68"/>
      <c r="P9" s="69"/>
      <c r="R9" t="s">
        <v>113</v>
      </c>
    </row>
    <row r="10" spans="1:18" ht="18" customHeight="1" x14ac:dyDescent="0.25">
      <c r="A10" s="70" t="s">
        <v>59</v>
      </c>
      <c r="B10" s="141"/>
      <c r="C10" s="142"/>
      <c r="D10" s="143"/>
      <c r="E10" s="143"/>
      <c r="F10" s="142">
        <f>Accounting!B148</f>
        <v>-243493.82272241599</v>
      </c>
      <c r="G10" s="114"/>
      <c r="H10" s="138"/>
      <c r="I10" s="115"/>
      <c r="J10" s="139"/>
      <c r="K10" s="115"/>
      <c r="L10" s="115"/>
      <c r="M10" s="140"/>
      <c r="N10" s="67"/>
      <c r="O10" s="68"/>
      <c r="P10" s="69"/>
    </row>
    <row r="11" spans="1:18" ht="18" customHeight="1" x14ac:dyDescent="0.25">
      <c r="A11" s="70" t="s">
        <v>60</v>
      </c>
      <c r="B11" s="141"/>
      <c r="C11" s="115">
        <f>Accounting!B140</f>
        <v>22918.68589983827</v>
      </c>
      <c r="D11" s="115"/>
      <c r="E11" s="143"/>
      <c r="F11" s="142">
        <f>Accounting!B149</f>
        <v>-22918.68589983827</v>
      </c>
      <c r="G11" s="114"/>
      <c r="H11" s="138"/>
      <c r="I11" s="115">
        <f>C11</f>
        <v>22918.68589983827</v>
      </c>
      <c r="J11" s="139"/>
      <c r="K11" s="115"/>
      <c r="L11" s="115"/>
      <c r="M11" s="140"/>
      <c r="N11" s="67"/>
      <c r="O11" s="68"/>
      <c r="P11" s="69"/>
    </row>
    <row r="12" spans="1:18" ht="18" customHeight="1" x14ac:dyDescent="0.25">
      <c r="A12" s="70" t="s">
        <v>3</v>
      </c>
      <c r="B12" s="141"/>
      <c r="C12" s="142">
        <f>Accounting!C141</f>
        <v>45072.250692810783</v>
      </c>
      <c r="D12" s="143">
        <f>Accounting!C150</f>
        <v>-45072.250692810783</v>
      </c>
      <c r="E12" s="143"/>
      <c r="F12" s="142"/>
      <c r="G12" s="114"/>
      <c r="H12" s="138">
        <f>C12</f>
        <v>45072.250692810783</v>
      </c>
      <c r="I12" s="115"/>
      <c r="J12" s="139"/>
      <c r="K12" s="115"/>
      <c r="L12" s="115"/>
      <c r="M12" s="140"/>
      <c r="N12" s="67"/>
      <c r="O12" s="68"/>
      <c r="P12" s="69"/>
    </row>
    <row r="13" spans="1:18" ht="18" customHeight="1" thickBot="1" x14ac:dyDescent="0.3">
      <c r="A13" s="70" t="s">
        <v>61</v>
      </c>
      <c r="B13" s="141"/>
      <c r="C13" s="144"/>
      <c r="D13" s="145"/>
      <c r="E13" s="145">
        <f>Accounting!B152</f>
        <v>-60000</v>
      </c>
      <c r="F13" s="144">
        <f>Accounting!B151</f>
        <v>60000</v>
      </c>
      <c r="G13" s="114"/>
      <c r="H13" s="138"/>
      <c r="I13" s="115"/>
      <c r="J13" s="139"/>
      <c r="K13" s="115"/>
      <c r="L13" s="115"/>
      <c r="M13" s="140"/>
      <c r="N13" s="67"/>
      <c r="O13" s="68"/>
      <c r="P13" s="69"/>
    </row>
    <row r="14" spans="1:18" ht="15.8" thickBot="1" x14ac:dyDescent="0.3">
      <c r="A14" s="71" t="s">
        <v>64</v>
      </c>
      <c r="B14" s="72"/>
      <c r="C14" s="74"/>
      <c r="D14" s="74"/>
      <c r="E14" s="74"/>
      <c r="F14" s="74"/>
      <c r="G14" s="73"/>
      <c r="H14" s="146">
        <f>SUM(H9:H13)</f>
        <v>45072.250692810783</v>
      </c>
      <c r="I14" s="146">
        <f t="shared" ref="I14:K14" si="0">SUM(I9:I13)</f>
        <v>22918.68589983827</v>
      </c>
      <c r="J14" s="146">
        <f t="shared" si="0"/>
        <v>0</v>
      </c>
      <c r="K14" s="146">
        <f t="shared" si="0"/>
        <v>0</v>
      </c>
      <c r="L14" s="146">
        <f>SUM(L9:L13)</f>
        <v>243493.82272241599</v>
      </c>
      <c r="M14" s="146">
        <f>SUM(M9:M13)</f>
        <v>0</v>
      </c>
      <c r="N14" s="72"/>
      <c r="O14" s="74"/>
      <c r="P14" s="75"/>
    </row>
    <row r="15" spans="1:18" ht="15.8" thickBot="1" x14ac:dyDescent="0.3">
      <c r="A15" s="76" t="s">
        <v>49</v>
      </c>
      <c r="B15" s="76"/>
      <c r="C15" s="76"/>
      <c r="D15" s="76"/>
      <c r="E15" s="76"/>
      <c r="F15" s="76"/>
      <c r="G15" s="77">
        <f>SUM(B9:G13)</f>
        <v>0</v>
      </c>
      <c r="H15" s="78"/>
      <c r="I15" s="78"/>
      <c r="J15" s="78"/>
      <c r="K15" s="78"/>
      <c r="L15" s="78"/>
      <c r="M15" s="78"/>
      <c r="N15" s="79"/>
      <c r="O15" s="79"/>
      <c r="P15" s="79"/>
    </row>
    <row r="16" spans="1:18" ht="15.8" thickBot="1" x14ac:dyDescent="0.3"/>
    <row r="17" spans="1:16" ht="14.95" thickBot="1" x14ac:dyDescent="0.3">
      <c r="A17" s="83" t="s">
        <v>83</v>
      </c>
      <c r="B17" s="319" t="s">
        <v>35</v>
      </c>
      <c r="C17" s="311"/>
      <c r="D17" s="311"/>
      <c r="E17" s="311"/>
      <c r="F17" s="311"/>
      <c r="G17" s="320"/>
      <c r="H17" s="321" t="s">
        <v>36</v>
      </c>
      <c r="I17" s="322"/>
      <c r="J17" s="322"/>
      <c r="K17" s="322"/>
      <c r="L17" s="322"/>
      <c r="M17" s="323"/>
      <c r="N17" s="311" t="s">
        <v>37</v>
      </c>
      <c r="O17" s="311"/>
      <c r="P17" s="312" t="s">
        <v>38</v>
      </c>
    </row>
    <row r="18" spans="1:16" x14ac:dyDescent="0.25">
      <c r="A18" s="84" t="s">
        <v>51</v>
      </c>
      <c r="B18" s="314" t="s">
        <v>39</v>
      </c>
      <c r="C18" s="317"/>
      <c r="D18" s="316" t="s">
        <v>40</v>
      </c>
      <c r="E18" s="317"/>
      <c r="F18" s="317"/>
      <c r="G18" s="318"/>
      <c r="H18" s="64" t="s">
        <v>41</v>
      </c>
      <c r="I18" s="65" t="s">
        <v>42</v>
      </c>
      <c r="J18" s="65" t="s">
        <v>43</v>
      </c>
      <c r="K18" s="65" t="s">
        <v>44</v>
      </c>
      <c r="L18" s="65" t="s">
        <v>45</v>
      </c>
      <c r="M18" s="66" t="s">
        <v>46</v>
      </c>
      <c r="N18" s="62" t="s">
        <v>47</v>
      </c>
      <c r="O18" s="63" t="s">
        <v>48</v>
      </c>
      <c r="P18" s="313"/>
    </row>
    <row r="19" spans="1:16" ht="14.95" x14ac:dyDescent="0.25">
      <c r="A19" s="126"/>
      <c r="B19" s="127" t="s">
        <v>76</v>
      </c>
      <c r="C19" s="128" t="s">
        <v>77</v>
      </c>
      <c r="D19" s="129" t="s">
        <v>78</v>
      </c>
      <c r="E19" s="129" t="s">
        <v>79</v>
      </c>
      <c r="F19" s="128" t="s">
        <v>80</v>
      </c>
      <c r="G19" s="130" t="s">
        <v>81</v>
      </c>
      <c r="H19" s="147"/>
      <c r="I19" s="148"/>
      <c r="J19" s="148"/>
      <c r="K19" s="148"/>
      <c r="L19" s="148"/>
      <c r="M19" s="149"/>
      <c r="N19" s="134"/>
      <c r="O19" s="130"/>
      <c r="P19" s="116"/>
    </row>
    <row r="20" spans="1:16" ht="14.95" x14ac:dyDescent="0.25">
      <c r="A20" s="70" t="s">
        <v>62</v>
      </c>
      <c r="B20" s="113">
        <f>Accounting!D142</f>
        <v>-60000</v>
      </c>
      <c r="C20" s="150"/>
      <c r="D20" s="143"/>
      <c r="E20" s="143"/>
      <c r="F20" s="142"/>
      <c r="G20" s="114"/>
      <c r="H20" s="138"/>
      <c r="I20" s="115">
        <f>B20</f>
        <v>-60000</v>
      </c>
      <c r="J20" s="139"/>
      <c r="K20" s="115"/>
      <c r="L20" s="115"/>
      <c r="M20" s="140"/>
      <c r="N20" s="67"/>
      <c r="O20" s="68"/>
      <c r="P20" s="69"/>
    </row>
    <row r="21" spans="1:16" ht="14.95" x14ac:dyDescent="0.25">
      <c r="A21" s="70" t="s">
        <v>3</v>
      </c>
      <c r="B21" s="113"/>
      <c r="C21" s="150">
        <f>Accounting!E143</f>
        <v>100000</v>
      </c>
      <c r="D21" s="143">
        <f>Accounting!E150</f>
        <v>-100000</v>
      </c>
      <c r="E21" s="143"/>
      <c r="F21" s="142"/>
      <c r="G21" s="114"/>
      <c r="H21" s="138">
        <f>C21</f>
        <v>100000</v>
      </c>
      <c r="I21" s="115"/>
      <c r="J21" s="139"/>
      <c r="K21" s="115"/>
      <c r="L21" s="115"/>
      <c r="M21" s="140"/>
      <c r="N21" s="67"/>
      <c r="O21" s="68"/>
      <c r="P21" s="69"/>
    </row>
    <row r="22" spans="1:16" ht="15.8" thickBot="1" x14ac:dyDescent="0.3">
      <c r="A22" s="70" t="s">
        <v>63</v>
      </c>
      <c r="B22" s="113"/>
      <c r="C22" s="150"/>
      <c r="D22" s="145"/>
      <c r="E22" s="145">
        <f>Accounting!D152</f>
        <v>60000</v>
      </c>
      <c r="F22" s="144"/>
      <c r="G22" s="151"/>
      <c r="H22" s="138"/>
      <c r="I22" s="115"/>
      <c r="J22" s="139"/>
      <c r="K22" s="115"/>
      <c r="L22" s="115"/>
      <c r="M22" s="140"/>
      <c r="N22" s="67"/>
      <c r="O22" s="68"/>
      <c r="P22" s="69"/>
    </row>
    <row r="23" spans="1:16" ht="15.8" thickBot="1" x14ac:dyDescent="0.3">
      <c r="A23" s="71" t="s">
        <v>64</v>
      </c>
      <c r="B23" s="72"/>
      <c r="C23" s="74"/>
      <c r="D23" s="74"/>
      <c r="E23" s="74"/>
      <c r="F23" s="74"/>
      <c r="G23" s="73"/>
      <c r="H23" s="152">
        <f t="shared" ref="H23:M23" si="1">SUM(H20:H22)</f>
        <v>100000</v>
      </c>
      <c r="I23" s="152">
        <f t="shared" si="1"/>
        <v>-60000</v>
      </c>
      <c r="J23" s="152">
        <f t="shared" si="1"/>
        <v>0</v>
      </c>
      <c r="K23" s="152">
        <f t="shared" si="1"/>
        <v>0</v>
      </c>
      <c r="L23" s="152">
        <f t="shared" si="1"/>
        <v>0</v>
      </c>
      <c r="M23" s="152">
        <f t="shared" si="1"/>
        <v>0</v>
      </c>
      <c r="N23" s="72"/>
      <c r="O23" s="74"/>
      <c r="P23" s="75"/>
    </row>
    <row r="24" spans="1:16" ht="15.8" thickBot="1" x14ac:dyDescent="0.3">
      <c r="A24" s="76" t="s">
        <v>49</v>
      </c>
      <c r="B24" s="76"/>
      <c r="C24" s="76"/>
      <c r="D24" s="76"/>
      <c r="E24" s="76"/>
      <c r="F24" s="76"/>
      <c r="G24" s="77">
        <f>SUM(B20:G22)</f>
        <v>0</v>
      </c>
      <c r="H24" s="78"/>
      <c r="I24" s="78"/>
      <c r="J24" s="78"/>
      <c r="K24" s="78"/>
      <c r="L24" s="78"/>
      <c r="M24" s="78"/>
      <c r="N24" s="79"/>
      <c r="O24" s="79"/>
      <c r="P24" s="79"/>
    </row>
    <row r="26" spans="1:16" ht="14.95" x14ac:dyDescent="0.25">
      <c r="A26" t="s">
        <v>96</v>
      </c>
    </row>
  </sheetData>
  <mergeCells count="12">
    <mergeCell ref="N6:O6"/>
    <mergeCell ref="P6:P7"/>
    <mergeCell ref="B7:C7"/>
    <mergeCell ref="D7:G7"/>
    <mergeCell ref="B17:G17"/>
    <mergeCell ref="H17:M17"/>
    <mergeCell ref="N17:O17"/>
    <mergeCell ref="P17:P18"/>
    <mergeCell ref="B18:C18"/>
    <mergeCell ref="D18:G18"/>
    <mergeCell ref="B6:G6"/>
    <mergeCell ref="H6:M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3ACC3BB-9008-48BA-9A57-EC240EC40938}">
  <ds:schemaRefs>
    <ds:schemaRef ds:uri="http://schemas.microsoft.com/sharepoint/v3/contenttype/forms"/>
  </ds:schemaRefs>
</ds:datastoreItem>
</file>

<file path=customXml/itemProps2.xml><?xml version="1.0" encoding="utf-8"?>
<ds:datastoreItem xmlns:ds="http://schemas.openxmlformats.org/officeDocument/2006/customXml" ds:itemID="{1920018D-FC9D-4DEE-BCBE-C00FD6546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881B87-DEC4-402C-956E-1548094E8371}">
  <ds:schemaRefs>
    <ds:schemaRef ds:uri="http://purl.org/dc/dcmitype/"/>
    <ds:schemaRef ds:uri="http://schemas.microsoft.com/sharepoint/v3"/>
    <ds:schemaRef ds:uri="http://schemas.openxmlformats.org/package/2006/metadata/core-properties"/>
    <ds:schemaRef ds:uri="http://schemas.microsoft.com/office/2006/documentManagement/types"/>
    <ds:schemaRef ds:uri="cf922d0c-7565-4a19-867a-78a71dd2f738"/>
    <ds:schemaRef ds:uri="http://purl.org/dc/terms/"/>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Scenario and Data</vt:lpstr>
      <vt:lpstr>Accounting</vt:lpstr>
      <vt:lpstr>Budgeting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creator>MM</dc:creator>
  <cp:lastModifiedBy>Eleanor</cp:lastModifiedBy>
  <cp:lastPrinted>2019-08-15T09:38:57Z</cp:lastPrinted>
  <dcterms:created xsi:type="dcterms:W3CDTF">2018-10-06T14:44:45Z</dcterms:created>
  <dcterms:modified xsi:type="dcterms:W3CDTF">2021-10-21T17:05:18Z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