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nhsengland.sharepoint.com/sites/CFO/fc/fy/OpenLib/2022-23 Annual Accounts/Provider Accounts/IFRS 16/Examples and tools - updated for 2022 implementation/"/>
    </mc:Choice>
  </mc:AlternateContent>
  <xr:revisionPtr revIDLastSave="0" documentId="8_{0D62B970-FBE7-44C5-9BB4-2E92D2C6C507}" xr6:coauthVersionLast="46" xr6:coauthVersionMax="46" xr10:uidLastSave="{00000000-0000-0000-0000-000000000000}"/>
  <bookViews>
    <workbookView xWindow="-109" yWindow="-109" windowWidth="26301" windowHeight="14305" tabRatio="609" xr2:uid="{00000000-000D-0000-FFFF-FFFF00000000}"/>
  </bookViews>
  <sheets>
    <sheet name="Scenario and Data" sheetId="8" r:id="rId1"/>
    <sheet name="Accounting" sheetId="7" r:id="rId2"/>
    <sheet name="Budgeting" sheetId="1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3" i="8" l="1"/>
  <c r="B153" i="8"/>
  <c r="M48" i="15"/>
  <c r="L48" i="15"/>
  <c r="K48" i="15"/>
  <c r="J48" i="15"/>
  <c r="H48" i="15"/>
  <c r="I46" i="15"/>
  <c r="M39" i="15"/>
  <c r="L39" i="15"/>
  <c r="K39" i="15"/>
  <c r="J39" i="15"/>
  <c r="L35" i="15"/>
  <c r="L34" i="15"/>
  <c r="M24" i="15"/>
  <c r="K24" i="15"/>
  <c r="J24" i="15"/>
  <c r="H24" i="15"/>
  <c r="M14" i="15"/>
  <c r="K14" i="15"/>
  <c r="J14" i="15"/>
  <c r="L10" i="15"/>
  <c r="E229" i="7"/>
  <c r="E230" i="7" s="1"/>
  <c r="E225" i="7"/>
  <c r="E216" i="7"/>
  <c r="E207" i="7"/>
  <c r="E208" i="7" s="1"/>
  <c r="E203" i="7"/>
  <c r="E194" i="7"/>
  <c r="E185" i="7"/>
  <c r="E186" i="7" s="1"/>
  <c r="E181" i="7"/>
  <c r="E172" i="7"/>
  <c r="E163" i="7"/>
  <c r="E164" i="7" s="1"/>
  <c r="E159" i="7"/>
  <c r="E150" i="7"/>
  <c r="E141" i="7"/>
  <c r="E142" i="7" s="1"/>
  <c r="E137" i="7"/>
  <c r="E128" i="7"/>
  <c r="E119" i="7"/>
  <c r="E120" i="7" s="1"/>
  <c r="E115" i="7"/>
  <c r="E106" i="7"/>
  <c r="E97" i="7"/>
  <c r="E98" i="7" s="1"/>
  <c r="E93" i="7"/>
  <c r="E84" i="7"/>
  <c r="E75" i="7"/>
  <c r="E76" i="7" s="1"/>
  <c r="E71" i="7"/>
  <c r="E62" i="7"/>
  <c r="E53" i="7"/>
  <c r="E54" i="7" s="1"/>
  <c r="E49" i="7"/>
  <c r="E40" i="7"/>
  <c r="E31" i="7"/>
  <c r="B24" i="7"/>
  <c r="D24" i="7" s="1"/>
  <c r="B23" i="7"/>
  <c r="E20" i="7"/>
  <c r="E19" i="7"/>
  <c r="E15" i="7"/>
  <c r="C15" i="7"/>
  <c r="C14" i="7"/>
  <c r="E13" i="7"/>
  <c r="C174" i="8"/>
  <c r="C173" i="8"/>
  <c r="C172" i="8"/>
  <c r="C171" i="8"/>
  <c r="C170" i="8"/>
  <c r="C169" i="8"/>
  <c r="C168" i="8"/>
  <c r="C167" i="8"/>
  <c r="C166" i="8"/>
  <c r="C140" i="8"/>
  <c r="C139" i="8"/>
  <c r="C138" i="8"/>
  <c r="C101" i="8"/>
  <c r="B221" i="7" s="1"/>
  <c r="B223" i="7" s="1"/>
  <c r="D223" i="7" s="1"/>
  <c r="C100" i="8"/>
  <c r="B199" i="7" s="1"/>
  <c r="B201" i="7" s="1"/>
  <c r="D201" i="7" s="1"/>
  <c r="C99" i="8"/>
  <c r="B177" i="7" s="1"/>
  <c r="B179" i="7" s="1"/>
  <c r="D179" i="7" s="1"/>
  <c r="C98" i="8"/>
  <c r="B155" i="7" s="1"/>
  <c r="B157" i="7" s="1"/>
  <c r="D157" i="7" s="1"/>
  <c r="C97" i="8"/>
  <c r="B133" i="7" s="1"/>
  <c r="B135" i="7" s="1"/>
  <c r="D135" i="7" s="1"/>
  <c r="C96" i="8"/>
  <c r="B111" i="7" s="1"/>
  <c r="B113" i="7" s="1"/>
  <c r="D113" i="7" s="1"/>
  <c r="C95" i="8"/>
  <c r="B89" i="7" s="1"/>
  <c r="B91" i="7" s="1"/>
  <c r="D91" i="7" s="1"/>
  <c r="C94" i="8"/>
  <c r="B67" i="7" s="1"/>
  <c r="B69" i="7" s="1"/>
  <c r="D69" i="7" s="1"/>
  <c r="C93" i="8"/>
  <c r="A72" i="8"/>
  <c r="D72" i="8" s="1"/>
  <c r="E72" i="8" s="1"/>
  <c r="D71" i="8"/>
  <c r="E71" i="8" s="1"/>
  <c r="A71" i="8"/>
  <c r="D70" i="8"/>
  <c r="E70" i="8" s="1"/>
  <c r="D20" i="15" l="1"/>
  <c r="L20" i="15" s="1"/>
  <c r="L24" i="15" s="1"/>
  <c r="B45" i="7"/>
  <c r="B22" i="7"/>
  <c r="E149" i="8"/>
  <c r="F149" i="8" s="1"/>
  <c r="E147" i="8"/>
  <c r="F147" i="8" s="1"/>
  <c r="E145" i="8"/>
  <c r="F145" i="8" s="1"/>
  <c r="E143" i="8"/>
  <c r="F143" i="8" s="1"/>
  <c r="E139" i="8"/>
  <c r="F139" i="8" s="1"/>
  <c r="F151" i="8" s="1"/>
  <c r="E148" i="8"/>
  <c r="F148" i="8" s="1"/>
  <c r="E146" i="8"/>
  <c r="F146" i="8" s="1"/>
  <c r="E144" i="8"/>
  <c r="F144" i="8" s="1"/>
  <c r="E142" i="8"/>
  <c r="F142" i="8" s="1"/>
  <c r="E140" i="8"/>
  <c r="F140" i="8" s="1"/>
  <c r="E141" i="8"/>
  <c r="F141" i="8" s="1"/>
  <c r="A73" i="8"/>
  <c r="F150" i="8" l="1"/>
  <c r="E18" i="7" s="1"/>
  <c r="F38" i="15"/>
  <c r="B47" i="7"/>
  <c r="D22" i="7"/>
  <c r="C13" i="7"/>
  <c r="E13" i="15"/>
  <c r="D73" i="8"/>
  <c r="E73" i="8" s="1"/>
  <c r="A74" i="8"/>
  <c r="F152" i="8"/>
  <c r="B165" i="8" s="1"/>
  <c r="E38" i="15" l="1"/>
  <c r="D47" i="7"/>
  <c r="E47" i="15" s="1"/>
  <c r="F47" i="15" s="1"/>
  <c r="F21" i="15"/>
  <c r="E8" i="7"/>
  <c r="E26" i="7"/>
  <c r="D165" i="8"/>
  <c r="D6" i="7" s="1"/>
  <c r="A75" i="8"/>
  <c r="D74" i="8"/>
  <c r="E74" i="8" s="1"/>
  <c r="E165" i="8" l="1"/>
  <c r="B166" i="8" s="1"/>
  <c r="D75" i="8"/>
  <c r="E75" i="8" s="1"/>
  <c r="A76" i="8"/>
  <c r="D166" i="8"/>
  <c r="E9" i="7"/>
  <c r="C20" i="15"/>
  <c r="D9" i="7"/>
  <c r="D17" i="7"/>
  <c r="B22" i="15"/>
  <c r="I22" i="15" s="1"/>
  <c r="I24" i="15" s="1"/>
  <c r="D39" i="7" l="1"/>
  <c r="D46" i="7"/>
  <c r="D49" i="7" s="1"/>
  <c r="D76" i="8"/>
  <c r="E76" i="8" s="1"/>
  <c r="A77" i="8"/>
  <c r="F22" i="15"/>
  <c r="G25" i="15" s="1"/>
  <c r="D30" i="7"/>
  <c r="D26" i="7"/>
  <c r="E166" i="8"/>
  <c r="B167" i="8" s="1"/>
  <c r="D31" i="7" l="1"/>
  <c r="D53" i="7"/>
  <c r="B45" i="15"/>
  <c r="D40" i="7"/>
  <c r="D167" i="8"/>
  <c r="A78" i="8"/>
  <c r="D78" i="8" s="1"/>
  <c r="E78" i="8" s="1"/>
  <c r="D77" i="8"/>
  <c r="E77" i="8" s="1"/>
  <c r="I45" i="15" l="1"/>
  <c r="I48" i="15" s="1"/>
  <c r="F45" i="15"/>
  <c r="G49" i="15" s="1"/>
  <c r="E79" i="8"/>
  <c r="D68" i="7"/>
  <c r="D71" i="7" s="1"/>
  <c r="D61" i="7"/>
  <c r="D62" i="7" s="1"/>
  <c r="E167" i="8"/>
  <c r="B168" i="8" s="1"/>
  <c r="D54" i="7"/>
  <c r="A88" i="8"/>
  <c r="D75" i="7" l="1"/>
  <c r="D76" i="7" s="1"/>
  <c r="D168" i="8"/>
  <c r="E168" i="8" s="1"/>
  <c r="B169" i="8" s="1"/>
  <c r="B16" i="7"/>
  <c r="A116" i="8"/>
  <c r="B92" i="8"/>
  <c r="D169" i="8" l="1"/>
  <c r="D83" i="7"/>
  <c r="D84" i="7" s="1"/>
  <c r="D90" i="7"/>
  <c r="C128" i="8"/>
  <c r="C214" i="7" s="1"/>
  <c r="C127" i="8"/>
  <c r="C192" i="7" s="1"/>
  <c r="C126" i="8"/>
  <c r="C170" i="7" s="1"/>
  <c r="C125" i="8"/>
  <c r="C148" i="7" s="1"/>
  <c r="C124" i="8"/>
  <c r="C126" i="7" s="1"/>
  <c r="C123" i="8"/>
  <c r="C104" i="7" s="1"/>
  <c r="C122" i="8"/>
  <c r="C82" i="7" s="1"/>
  <c r="C121" i="8"/>
  <c r="C60" i="7" s="1"/>
  <c r="C120" i="8"/>
  <c r="C38" i="7" s="1"/>
  <c r="C119" i="8"/>
  <c r="B119" i="8"/>
  <c r="D119" i="8" s="1"/>
  <c r="D92" i="8"/>
  <c r="B5" i="7" s="1"/>
  <c r="C12" i="7"/>
  <c r="F10" i="15"/>
  <c r="E92" i="8" l="1"/>
  <c r="B93" i="8" s="1"/>
  <c r="D93" i="8"/>
  <c r="B37" i="7" s="1"/>
  <c r="D93" i="7"/>
  <c r="D97" i="7"/>
  <c r="E119" i="8"/>
  <c r="B120" i="8"/>
  <c r="D120" i="8" s="1"/>
  <c r="C88" i="7"/>
  <c r="C93" i="7" s="1"/>
  <c r="C84" i="7"/>
  <c r="C176" i="7"/>
  <c r="C181" i="7" s="1"/>
  <c r="C172" i="7"/>
  <c r="D9" i="15"/>
  <c r="C154" i="7"/>
  <c r="C159" i="7" s="1"/>
  <c r="C150" i="7"/>
  <c r="C7" i="7"/>
  <c r="C21" i="7"/>
  <c r="D12" i="15" s="1"/>
  <c r="C106" i="7"/>
  <c r="C110" i="7"/>
  <c r="C115" i="7" s="1"/>
  <c r="C198" i="7"/>
  <c r="C203" i="7" s="1"/>
  <c r="C194" i="7"/>
  <c r="D105" i="7"/>
  <c r="D106" i="7" s="1"/>
  <c r="D112" i="7"/>
  <c r="D115" i="7" s="1"/>
  <c r="C66" i="7"/>
  <c r="C71" i="7" s="1"/>
  <c r="C62" i="7"/>
  <c r="B17" i="7"/>
  <c r="C11" i="15"/>
  <c r="I11" i="15" s="1"/>
  <c r="I14" i="15" s="1"/>
  <c r="B9" i="7"/>
  <c r="C37" i="15"/>
  <c r="H37" i="15" s="1"/>
  <c r="H39" i="15" s="1"/>
  <c r="C44" i="7"/>
  <c r="C40" i="7"/>
  <c r="C132" i="7"/>
  <c r="C137" i="7" s="1"/>
  <c r="C128" i="7"/>
  <c r="C220" i="7"/>
  <c r="C225" i="7" s="1"/>
  <c r="C216" i="7"/>
  <c r="E169" i="8"/>
  <c r="B170" i="8" s="1"/>
  <c r="L9" i="15" l="1"/>
  <c r="L14" i="15" s="1"/>
  <c r="D170" i="8"/>
  <c r="E170" i="8" s="1"/>
  <c r="B171" i="8" s="1"/>
  <c r="C12" i="15"/>
  <c r="H12" i="15" s="1"/>
  <c r="H14" i="15" s="1"/>
  <c r="C9" i="7"/>
  <c r="C26" i="7"/>
  <c r="C29" i="7" s="1"/>
  <c r="D119" i="7"/>
  <c r="D98" i="7"/>
  <c r="B121" i="8"/>
  <c r="D121" i="8" s="1"/>
  <c r="B43" i="7"/>
  <c r="B40" i="7"/>
  <c r="C36" i="15"/>
  <c r="C49" i="7"/>
  <c r="D37" i="15"/>
  <c r="F11" i="15"/>
  <c r="G15" i="15" s="1"/>
  <c r="B28" i="7"/>
  <c r="B26" i="7"/>
  <c r="E93" i="8"/>
  <c r="B94" i="8" s="1"/>
  <c r="D171" i="8" l="1"/>
  <c r="D94" i="8"/>
  <c r="B59" i="7" s="1"/>
  <c r="C52" i="7"/>
  <c r="C31" i="7"/>
  <c r="B49" i="7"/>
  <c r="F36" i="15"/>
  <c r="G40" i="15" s="1"/>
  <c r="D127" i="7"/>
  <c r="D128" i="7" s="1"/>
  <c r="D134" i="7"/>
  <c r="D137" i="7" s="1"/>
  <c r="E120" i="8"/>
  <c r="B51" i="7"/>
  <c r="B31" i="7"/>
  <c r="I36" i="15"/>
  <c r="I39" i="15" s="1"/>
  <c r="B122" i="8"/>
  <c r="D122" i="8" s="1"/>
  <c r="D120" i="7"/>
  <c r="B65" i="7" l="1"/>
  <c r="B71" i="7" s="1"/>
  <c r="B62" i="7"/>
  <c r="D141" i="7"/>
  <c r="E94" i="8"/>
  <c r="B73" i="7"/>
  <c r="B54" i="7"/>
  <c r="D149" i="7"/>
  <c r="D150" i="7" s="1"/>
  <c r="D156" i="7"/>
  <c r="D159" i="7" s="1"/>
  <c r="B123" i="8"/>
  <c r="D123" i="8" s="1"/>
  <c r="C54" i="7"/>
  <c r="C74" i="7"/>
  <c r="E171" i="8"/>
  <c r="B172" i="8" s="1"/>
  <c r="B95" i="8" l="1"/>
  <c r="E121" i="8"/>
  <c r="D163" i="7"/>
  <c r="D142" i="7"/>
  <c r="C96" i="7"/>
  <c r="C76" i="7"/>
  <c r="D172" i="8"/>
  <c r="E172" i="8" s="1"/>
  <c r="B173" i="8" s="1"/>
  <c r="B124" i="8"/>
  <c r="D124" i="8" s="1"/>
  <c r="B76" i="7"/>
  <c r="D173" i="8" l="1"/>
  <c r="D164" i="7"/>
  <c r="D171" i="7"/>
  <c r="D172" i="7" s="1"/>
  <c r="D178" i="7"/>
  <c r="D181" i="7" s="1"/>
  <c r="B125" i="8"/>
  <c r="D125" i="8" s="1"/>
  <c r="C118" i="7"/>
  <c r="C98" i="7"/>
  <c r="D95" i="8"/>
  <c r="B81" i="7" s="1"/>
  <c r="B126" i="8" l="1"/>
  <c r="D126" i="8" s="1"/>
  <c r="D185" i="7"/>
  <c r="D193" i="7"/>
  <c r="D194" i="7" s="1"/>
  <c r="D200" i="7"/>
  <c r="D203" i="7" s="1"/>
  <c r="B87" i="7"/>
  <c r="B84" i="7"/>
  <c r="E95" i="8"/>
  <c r="C140" i="7"/>
  <c r="C120" i="7"/>
  <c r="B174" i="8"/>
  <c r="D174" i="8" l="1"/>
  <c r="D222" i="7" s="1"/>
  <c r="D225" i="7" s="1"/>
  <c r="D207" i="7"/>
  <c r="D186" i="7"/>
  <c r="B96" i="8"/>
  <c r="E122" i="8"/>
  <c r="B127" i="8"/>
  <c r="D127" i="8" s="1"/>
  <c r="B93" i="7"/>
  <c r="B95" i="7"/>
  <c r="C142" i="7"/>
  <c r="C162" i="7"/>
  <c r="B128" i="8" l="1"/>
  <c r="D128" i="8" s="1"/>
  <c r="D208" i="7"/>
  <c r="D229" i="7"/>
  <c r="D230" i="7" s="1"/>
  <c r="C184" i="7"/>
  <c r="C164" i="7"/>
  <c r="B98" i="7"/>
  <c r="D96" i="8"/>
  <c r="B103" i="7" s="1"/>
  <c r="E174" i="8"/>
  <c r="B109" i="7" l="1"/>
  <c r="B106" i="7"/>
  <c r="E96" i="8"/>
  <c r="C206" i="7"/>
  <c r="C186" i="7"/>
  <c r="B115" i="7" l="1"/>
  <c r="B117" i="7"/>
  <c r="B97" i="8"/>
  <c r="E123" i="8"/>
  <c r="C228" i="7"/>
  <c r="C230" i="7" s="1"/>
  <c r="C208" i="7"/>
  <c r="D97" i="8" l="1"/>
  <c r="B125" i="7" s="1"/>
  <c r="B120" i="7"/>
  <c r="B128" i="7" l="1"/>
  <c r="B131" i="7"/>
  <c r="E97" i="8"/>
  <c r="B98" i="8" l="1"/>
  <c r="E124" i="8"/>
  <c r="B137" i="7"/>
  <c r="B139" i="7"/>
  <c r="B142" i="7" l="1"/>
  <c r="D98" i="8"/>
  <c r="B147" i="7" s="1"/>
  <c r="B153" i="7" l="1"/>
  <c r="B150" i="7"/>
  <c r="E98" i="8"/>
  <c r="B159" i="7" l="1"/>
  <c r="B161" i="7"/>
  <c r="B99" i="8"/>
  <c r="E125" i="8"/>
  <c r="D99" i="8" l="1"/>
  <c r="B169" i="7" s="1"/>
  <c r="B164" i="7"/>
  <c r="B175" i="7" l="1"/>
  <c r="B172" i="7"/>
  <c r="E99" i="8"/>
  <c r="B100" i="8" l="1"/>
  <c r="E126" i="8"/>
  <c r="B181" i="7"/>
  <c r="B183" i="7"/>
  <c r="B186" i="7" l="1"/>
  <c r="D100" i="8"/>
  <c r="B191" i="7" s="1"/>
  <c r="B197" i="7" l="1"/>
  <c r="B194" i="7"/>
  <c r="E100" i="8"/>
  <c r="B101" i="8" l="1"/>
  <c r="E127" i="8"/>
  <c r="B203" i="7"/>
  <c r="B205" i="7"/>
  <c r="B208" i="7" l="1"/>
  <c r="D101" i="8"/>
  <c r="E101" i="8" s="1"/>
  <c r="E128" i="8" s="1"/>
  <c r="D215" i="7" l="1"/>
  <c r="D216" i="7" s="1"/>
  <c r="B213" i="7"/>
  <c r="B219" i="7" l="1"/>
  <c r="B216" i="7"/>
  <c r="B225" i="7" l="1"/>
  <c r="B227" i="7"/>
  <c r="B230" i="7" s="1"/>
</calcChain>
</file>

<file path=xl/sharedStrings.xml><?xml version="1.0" encoding="utf-8"?>
<sst xmlns="http://schemas.openxmlformats.org/spreadsheetml/2006/main" count="526" uniqueCount="222">
  <si>
    <t>Lease liability at initial recognition</t>
  </si>
  <si>
    <t>Depreciation</t>
  </si>
  <si>
    <t>I &amp; E</t>
  </si>
  <si>
    <t>Accumulated Depreciation</t>
  </si>
  <si>
    <t>Lease Interest</t>
  </si>
  <si>
    <t>TOTAL</t>
  </si>
  <si>
    <t>Lessee (Lease)</t>
  </si>
  <si>
    <t>Lessor (Lease)</t>
  </si>
  <si>
    <t>payment (1 Apr)</t>
  </si>
  <si>
    <t>NBV opening (1 Apr)</t>
  </si>
  <si>
    <t>LESSOR</t>
  </si>
  <si>
    <t>LESSEE</t>
  </si>
  <si>
    <t>Lessor (Asset)</t>
  </si>
  <si>
    <t>Right of use of Assets upfront cost</t>
  </si>
  <si>
    <t>Right of Use Assets   Lease Incentive</t>
  </si>
  <si>
    <t xml:space="preserve">Closing </t>
  </si>
  <si>
    <t>Lease Liability C/F</t>
  </si>
  <si>
    <t>Right of Use of Asset NBV C/F</t>
  </si>
  <si>
    <t>Payment</t>
  </si>
  <si>
    <t>Date of payment</t>
  </si>
  <si>
    <t>Discount Factor</t>
  </si>
  <si>
    <t>Discounted Amount</t>
  </si>
  <si>
    <t>Year</t>
  </si>
  <si>
    <t>Opening (1 Apr)</t>
  </si>
  <si>
    <t>BALANCE SHEET Movements</t>
  </si>
  <si>
    <t>Gross book value of the right-of use asset at initial recognition</t>
  </si>
  <si>
    <t>Finance Lease Receivable</t>
  </si>
  <si>
    <t>ACCOUNTING ENTRIES - Group Finance Lease</t>
  </si>
  <si>
    <t>Derecognition of accumulated depreciation (IFRS 16 BC111) CBG supplement</t>
  </si>
  <si>
    <t>Receivable  C/F</t>
  </si>
  <si>
    <t>Lease incentives received by lessee</t>
  </si>
  <si>
    <t>Underlying Asset</t>
  </si>
  <si>
    <t>Cost Value</t>
  </si>
  <si>
    <t xml:space="preserve">Net Book Value </t>
  </si>
  <si>
    <t>Annual Depreciation (20 years - straight line)</t>
  </si>
  <si>
    <t>treated by the lessor as repayment of principal and finance income to reimburse and reward the lessor for its investment and services. (IAS17.37)</t>
  </si>
  <si>
    <t>Scenario details</t>
  </si>
  <si>
    <t>Notes and Relevant Guidance</t>
  </si>
  <si>
    <t>Calculation of the PV of future payments</t>
  </si>
  <si>
    <t>LESSEE - Liability (IFRS 16.26)</t>
  </si>
  <si>
    <t>ACCOUNTS</t>
  </si>
  <si>
    <t>BUDGETS</t>
  </si>
  <si>
    <t>NATIONAL ACCOUNTS</t>
  </si>
  <si>
    <t>OSCAR coding</t>
  </si>
  <si>
    <t>Worked Example</t>
  </si>
  <si>
    <t>SOCNE
("I&amp;E")</t>
  </si>
  <si>
    <t>SOFP
("Bal sheet")</t>
  </si>
  <si>
    <t>RDEL RF</t>
  </si>
  <si>
    <t>RDEL NRF</t>
  </si>
  <si>
    <t>RDEL Total</t>
  </si>
  <si>
    <t>RAME</t>
  </si>
  <si>
    <t>CDEL</t>
  </si>
  <si>
    <t>CAME</t>
  </si>
  <si>
    <t>PSNB</t>
  </si>
  <si>
    <t>PSND</t>
  </si>
  <si>
    <t>ROU Asset</t>
  </si>
  <si>
    <t>Lease Liability</t>
  </si>
  <si>
    <t>Cash Paid</t>
  </si>
  <si>
    <t>Check Accounting DR/CR</t>
  </si>
  <si>
    <t>Lease Income</t>
  </si>
  <si>
    <t xml:space="preserve">Cash </t>
  </si>
  <si>
    <t xml:space="preserve">Total budgeting </t>
  </si>
  <si>
    <t>IFRS16 Worked Example - Finance Lease - Budget</t>
  </si>
  <si>
    <t>Lessee (RoU Asset)</t>
  </si>
  <si>
    <t>closing (31 Mar)</t>
  </si>
  <si>
    <t>NBV closing (31 Mar)</t>
  </si>
  <si>
    <t>Diff to liability</t>
  </si>
  <si>
    <t>Income</t>
  </si>
  <si>
    <t>Expense</t>
  </si>
  <si>
    <t>Assets</t>
  </si>
  <si>
    <t>Cash</t>
  </si>
  <si>
    <t>Liability</t>
  </si>
  <si>
    <t>Equity</t>
  </si>
  <si>
    <t>Finance Income</t>
  </si>
  <si>
    <t>Derecognition of asset cost (IFRS 16 BC111) CBG supplement, The underlying asset is derecognised and any difference is immediately recognised in P/L as a gain/loss on disposal of an asset (IFRS community) (IAS16.69)</t>
  </si>
  <si>
    <t>of return on the lessor’s net investment in the lease. (IFRS16.75-76)</t>
  </si>
  <si>
    <t xml:space="preserve">Depreciation </t>
  </si>
  <si>
    <t>Asset disposal</t>
  </si>
  <si>
    <t>Receivable</t>
  </si>
  <si>
    <t>Total</t>
  </si>
  <si>
    <t>Upfront payment</t>
  </si>
  <si>
    <t>LESSOR - Receivable (IFRS 16.26)</t>
  </si>
  <si>
    <t>- Discount Rate implicit in the lease</t>
  </si>
  <si>
    <t>if that rate can be readily determined, or the lessee’s incremental borrowing rate (IBR). For lessors, the discount rate will always be the interest rate implicit in the lease. (BDO)</t>
  </si>
  <si>
    <t>Yr1 payments. Increase value of the ROU asset but not liability</t>
  </si>
  <si>
    <t>The underlying asset is derecognised by the lessor and any difference is immediately recognised in P/L as a gain/loss on disposal of an asset (IFRS community)</t>
  </si>
  <si>
    <t>* Depreciation scores to NRF RDEL for Providers</t>
  </si>
  <si>
    <t>Year 1</t>
  </si>
  <si>
    <t xml:space="preserve">LESSEE </t>
  </si>
  <si>
    <t xml:space="preserve">LESSOR </t>
  </si>
  <si>
    <t>Year 2</t>
  </si>
  <si>
    <t>Depreciation - RoU Asset</t>
  </si>
  <si>
    <t xml:space="preserve">Rate implicit in the contract is the interest rate that causes the present value of (a) the lease payments and (b) the unguaranteed residual value to equal the sum of (i) </t>
  </si>
  <si>
    <t>the fair value of the underlying asset and (ii) any initial direct costs of the lessor.</t>
  </si>
  <si>
    <t>of return on the lessor’s net investment in the lease.</t>
  </si>
  <si>
    <t>Lease incentives paid be the lessor.</t>
  </si>
  <si>
    <t>Lessor recognises the lease receivable at an amount equal to the net investment in the lease + finance income accrued in year 1</t>
  </si>
  <si>
    <t>ROU asset including direct costs, upfront payment less dep'n for the year</t>
  </si>
  <si>
    <t>Cash paid - upfront payment</t>
  </si>
  <si>
    <t>RoU Asset recognised by the lessee scores to CDEL</t>
  </si>
  <si>
    <t>Liability does not score to budget (working capital)</t>
  </si>
  <si>
    <t>Interest costs score to NRF RDEL</t>
  </si>
  <si>
    <t>Depreciation scores to RF RDEL (Unless providers - in which case it scores to NFR)</t>
  </si>
  <si>
    <t>Derecognition of the underlying asset - negative CDEL</t>
  </si>
  <si>
    <t>Interest Income scores to NRF RDEL</t>
  </si>
  <si>
    <t>Objectives</t>
  </si>
  <si>
    <t>1. Scenario and Data</t>
  </si>
  <si>
    <t>2. Accounting</t>
  </si>
  <si>
    <t>3. Budgeting</t>
  </si>
  <si>
    <t>Firstly, We need to complete few calculations based on the scenario details provided above. These calculations are:</t>
  </si>
  <si>
    <t>Lessee:</t>
  </si>
  <si>
    <t>Step 1</t>
  </si>
  <si>
    <t>Identify discount rate that can be used to calculate present value of the future lease payments</t>
  </si>
  <si>
    <t>Step 2</t>
  </si>
  <si>
    <t>Calculate PV of future lease payments using the discount rate</t>
  </si>
  <si>
    <t>Step 3</t>
  </si>
  <si>
    <t xml:space="preserve">Calculate lease liability  </t>
  </si>
  <si>
    <t>Step 4</t>
  </si>
  <si>
    <t>Calculate value of the RoU asset considering any potential upfront payments, lease incentives etc.</t>
  </si>
  <si>
    <t>Step 5</t>
  </si>
  <si>
    <t>Decide what depreciation period of the RoU asset is appropriate considering length of the lease and the useful life of the asset</t>
  </si>
  <si>
    <t>Lessor:</t>
  </si>
  <si>
    <t>Step 6</t>
  </si>
  <si>
    <t>Step 7</t>
  </si>
  <si>
    <t xml:space="preserve">To note: This is a finance lease. The lessor has to recognise lease receivable on the balance sheet and therefore is required to calculate the rate implicit in the lease. </t>
  </si>
  <si>
    <t>Step 8</t>
  </si>
  <si>
    <t>Calculate the rate implicit in the lease</t>
  </si>
  <si>
    <t>No exemptions apply in this scenario. The asset is not considered to be low value. The contract does not meet the definition of a short-term lease (IFRS16.5-8) (IFRS16 B3-B8)</t>
  </si>
  <si>
    <t>The lessee will present interest expense in the P&amp;L separately from depreciation expense of the ROU asset (IFRS16.49) (IFRS16 BC209)</t>
  </si>
  <si>
    <t xml:space="preserve">The lessor recognises lease receivable at an amount equal to the gross investment in the lease discounted at the interest rate implicit in the lease. (IFRS 16.67). </t>
  </si>
  <si>
    <t xml:space="preserve">The lessor splits minimum payments received into finance income and reduction of the lease receivable. The finance income is recognized based on a pattern reflecting constant periodic rate </t>
  </si>
  <si>
    <t>Under the finance lease substantially all the risks and rewards incidental to legal ownership are transferred by the lessor, and thus the lease payment receivable is</t>
  </si>
  <si>
    <t>Lessor - The recognition of finance income shall be based on a pattern reflecting a constant periodic rate of return on the lessor’s net investment in the finance lease. (IAS 17.39)</t>
  </si>
  <si>
    <t xml:space="preserve">The lessor's discount rate implicit in the lease has been calculated in line with a guidance in IFRS16.68. For lessees, the lease payments are required to be discounted using either the interest rate implicit in the lease (IRIL), </t>
  </si>
  <si>
    <t>Commencement date</t>
  </si>
  <si>
    <t>Discount rate - for lessee</t>
  </si>
  <si>
    <t>Future payments for the lease are listed  in the table below. For each payment, the discount factor is calculated in order to determine the total present value</t>
  </si>
  <si>
    <t>Using the present value of the lease payments We can establish lease liability.</t>
  </si>
  <si>
    <t>The lessee is required to present finance cost of the lease in  the P&amp;L separately from depreciation expense of the ROU asset.</t>
  </si>
  <si>
    <t>Below calculation also provides closing balance of the lease liability recognised by the lessee every year over the term of the contract.</t>
  </si>
  <si>
    <t>Step 4 and 5</t>
  </si>
  <si>
    <t>The initial direct costs paid by lessee, upfront payments and lease incentives are included in the initial recognition of the RoU asset.</t>
  </si>
  <si>
    <t>The difference between closing value of the RoU asset and lease liability is shown in column E</t>
  </si>
  <si>
    <t xml:space="preserve">The right-of-use asset is depreciated under IAS 16 requirements (IFRS 16.31). </t>
  </si>
  <si>
    <t xml:space="preserve">Lessor's discount rate implicit in the lease has been calculated in line with the guidance in the standard. For lessees, the lease payments are required to be discounted using either the interest rate implicit in the lease (IRIL), </t>
  </si>
  <si>
    <t xml:space="preserve">if that rate can be readily determined, or the lessee’s incremental borrowing rate (IBR). For lessors, the discount rate will always be the interest rate implicit in the lease. </t>
  </si>
  <si>
    <t>Lease receivable</t>
  </si>
  <si>
    <t xml:space="preserve">Calculate Lease Receivable </t>
  </si>
  <si>
    <t>RoU Asset components</t>
  </si>
  <si>
    <t>Calculate net book value of the underlying asset</t>
  </si>
  <si>
    <t>This is a finance lease which means that the underlying asset is transferred to lessee.</t>
  </si>
  <si>
    <t>Lease Interest cost</t>
  </si>
  <si>
    <t>Profit &amp; Loss on Disposal of the underlying asset</t>
  </si>
  <si>
    <t xml:space="preserve">Right of use of asset </t>
  </si>
  <si>
    <t>Right of use of Assets - Lease Payment / Receipt</t>
  </si>
  <si>
    <t>Cash Lease (payment) / receipt</t>
  </si>
  <si>
    <t>Cash Initial direct costs - (payment) / receipt</t>
  </si>
  <si>
    <t>Cash Lease Incentive (payment) / receipt</t>
  </si>
  <si>
    <t>Investment in the lease - lease receivable</t>
  </si>
  <si>
    <t>PPE Cost derecognition</t>
  </si>
  <si>
    <t>PPE accumulated depreciation - derecognition</t>
  </si>
  <si>
    <t>Accumulated Depreciation - RoU asset</t>
  </si>
  <si>
    <t>Lease finance income</t>
  </si>
  <si>
    <t>Depreciation cost - RoU asset</t>
  </si>
  <si>
    <t>Lease Unwinding of Discount</t>
  </si>
  <si>
    <t>Finance Lease liability payment</t>
  </si>
  <si>
    <t>Cash Finance Lease (payment) / receipt</t>
  </si>
  <si>
    <t>Lease Receivable  C/F</t>
  </si>
  <si>
    <t>Depreciation - RoU asset</t>
  </si>
  <si>
    <t>ROU Asset recognition</t>
  </si>
  <si>
    <t>Lease Liability recognition</t>
  </si>
  <si>
    <t>Lease Receivable - recognition</t>
  </si>
  <si>
    <t xml:space="preserve">The lessee's discount rate has been provided in this scenario (5%). The rate implicit in the contract is the interest rate that causes the present value of (a) the lease payments and (b) the unguaranteed residual value to equal the sum of (i) </t>
  </si>
  <si>
    <t>Upfront lease payment paid by lessee</t>
  </si>
  <si>
    <t>Finance lease liability discounted at 5%</t>
  </si>
  <si>
    <r>
      <t>The lessor accounts for the disposal of the underlying asset in line with IAS 16 "The disposal of an item of property, plant and equipment may occur in a variety of ways (e.g. by sale,</t>
    </r>
    <r>
      <rPr>
        <u/>
        <sz val="11"/>
        <color theme="1"/>
        <rFont val="Calibri"/>
        <family val="2"/>
        <scheme val="minor"/>
      </rPr>
      <t xml:space="preserve"> by entering into a finance lease</t>
    </r>
    <r>
      <rPr>
        <sz val="11"/>
        <color theme="1"/>
        <rFont val="Calibri"/>
        <family val="2"/>
        <scheme val="minor"/>
      </rPr>
      <t xml:space="preserve"> or by donation) (IAS16.69)"</t>
    </r>
  </si>
  <si>
    <t>the fair value of the underlying asset and (ii) any initial direct costs of the lessor. If this rate is not readily available entities will use interest rates published by HMT</t>
  </si>
  <si>
    <t>Initial direct costs paid by lessee</t>
  </si>
  <si>
    <t>Lease incentive paid to lessee</t>
  </si>
  <si>
    <t>Received at commencement</t>
  </si>
  <si>
    <t xml:space="preserve">The initial direct costs are incremental costs of obtaining a lease that would not have been incurred if the lease had not been obtained (IFRS 16.Appendix A). Examples of such costs are professional fees. </t>
  </si>
  <si>
    <t>TOTAL MOVEMENTS</t>
  </si>
  <si>
    <t>Future Years mirror approach taken in year 2</t>
  </si>
  <si>
    <t>Opening Balance of the lease receivable is calculated above (445,000).</t>
  </si>
  <si>
    <t>of the lease liability. Initial measurement of a lease liability amounts to £426,469 and is calculated as follows:</t>
  </si>
  <si>
    <t>Does not eliminate as paid to an external party</t>
  </si>
  <si>
    <t>The definition of initial direct costs is essentially the same as for incremental costs of obtaining a contract in IFRS 15 and is consistent with treatment of directly attributable costs under IAS 16</t>
  </si>
  <si>
    <t>2022-23</t>
  </si>
  <si>
    <t>2023-24</t>
  </si>
  <si>
    <t>2024-25</t>
  </si>
  <si>
    <t>2025-26</t>
  </si>
  <si>
    <t>2026-27</t>
  </si>
  <si>
    <t>2027-28</t>
  </si>
  <si>
    <t>2028-29</t>
  </si>
  <si>
    <t>2029-30</t>
  </si>
  <si>
    <t xml:space="preserve">Liability O/B + interest </t>
  </si>
  <si>
    <t>Recognition of ROU asset by lessee</t>
  </si>
  <si>
    <t>Dep'n recognised by lessee</t>
  </si>
  <si>
    <t xml:space="preserve">Interest Expense </t>
  </si>
  <si>
    <t>LESSEE - ROU Asset</t>
  </si>
  <si>
    <r>
      <t xml:space="preserve">LESSOR -Calculation of the rate implicit in the lease - </t>
    </r>
    <r>
      <rPr>
        <sz val="11"/>
        <color rgb="FFFF0000"/>
        <rFont val="Calibri"/>
        <family val="2"/>
        <scheme val="minor"/>
      </rPr>
      <t>note 10</t>
    </r>
  </si>
  <si>
    <r>
      <t xml:space="preserve">Interest Income - </t>
    </r>
    <r>
      <rPr>
        <b/>
        <sz val="9"/>
        <color rgb="FFFF0000"/>
        <rFont val="Calibri"/>
        <family val="2"/>
        <scheme val="minor"/>
      </rPr>
      <t>note 3</t>
    </r>
  </si>
  <si>
    <t>There are three tabs in this workbook:</t>
  </si>
  <si>
    <t>Lessee is using interest rate provided in the scenario (5%).</t>
  </si>
  <si>
    <t>Lessor is using rate implicit in the lease as calculated in the data tab</t>
  </si>
  <si>
    <t>Two entities, entity A (Lessee) and entity B (Lessor) enter into a lease agreement on the 1st of April 2020. The asset which is a subject to a lease arrangement has a net book value of £0.5m at the date of transfer. Lease term is 10 years. The lessee incurs £20k of the initial direct costs paid to a third party as well as upfront payment of £60k paid to the lessor which represents first years' rental charge. The lessor incurs cost of lease incentives of £5k paid to lessee. There is no option to extend the contract nor there is an option to purchase the asset by the lessee. The lessor's assessment is that the this arrangement represents a finance lease. Interest rate implicit in the contract is 5%.</t>
  </si>
  <si>
    <t>The purpose of this example is to show accounting entries and budgeting impact of the finance lease arrangement between two entities.</t>
  </si>
  <si>
    <t>2030-31</t>
  </si>
  <si>
    <t>2031-32</t>
  </si>
  <si>
    <t>The contract starts on the 1st April 2022.</t>
  </si>
  <si>
    <t xml:space="preserve">Lessor splits minimum payments received into finance income and reduction of the lease receivable. The finance income is recognised based on a pattern reflecting constant periodic rate </t>
  </si>
  <si>
    <t>YEAR 1 (31/03/2023)</t>
  </si>
  <si>
    <t>YEAR 2 (31/03/2024)</t>
  </si>
  <si>
    <t>YEAR 3 (31/03/2025)</t>
  </si>
  <si>
    <t>YEAR 4 (31/03/2026)</t>
  </si>
  <si>
    <t>YEAR 5 (31/03/2027)</t>
  </si>
  <si>
    <t>YEAR 6 (31/03/2028)</t>
  </si>
  <si>
    <t>YEAR 7 (31/03/2029)</t>
  </si>
  <si>
    <t>YEAR 8 (31/03/2030)</t>
  </si>
  <si>
    <t>YEAR 9 (31/03/2031)</t>
  </si>
  <si>
    <t>YEAR 10 (31/03/2032)</t>
  </si>
  <si>
    <t>IFRS16 Worked Example - Finance Lease (complex)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</si>
</sst>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0;\(#,##0\);&quot;-&quot;"/>
    <numFmt numFmtId="166" formatCode="#,##0;[Red]\(#,##0\)"/>
    <numFmt numFmtId="167" formatCode="_-* #,##0_-;\-* #,##0_-;_-* &quot;-&quot;??_-;_-@_-"/>
    <numFmt numFmtId="168" formatCode="0.0000"/>
  </numFmts>
  <fonts count="17" x14ac:knownFonts="1">
    <font>
      <sz val="11"/>
      <color theme="1"/>
      <name val="Calibri"/>
      <family val="2"/>
      <scheme val="minor"/>
    </font>
    <font>
      <b/>
      <sz val="11"/>
      <color theme="1"/>
      <name val="Calibri"/>
      <family val="2"/>
      <scheme val="minor"/>
    </font>
    <font>
      <b/>
      <sz val="11"/>
      <color theme="1"/>
      <name val="Calibri"/>
      <family val="2"/>
      <charset val="238"/>
      <scheme val="minor"/>
    </font>
    <font>
      <b/>
      <u/>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b/>
      <sz val="11"/>
      <color theme="1"/>
      <name val="Arial"/>
      <family val="2"/>
    </font>
    <font>
      <b/>
      <sz val="10"/>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color rgb="FFFF0000"/>
      <name val="Calibri"/>
      <family val="2"/>
      <scheme val="minor"/>
    </font>
    <font>
      <u/>
      <sz val="11"/>
      <color theme="1"/>
      <name val="Calibri"/>
      <family val="2"/>
      <scheme val="minor"/>
    </font>
    <font>
      <sz val="11"/>
      <name val="Calibri"/>
      <family val="2"/>
      <scheme val="minor"/>
    </font>
    <font>
      <b/>
      <sz val="12"/>
      <color theme="1"/>
      <name val="Calibri"/>
      <family val="2"/>
      <scheme val="minor"/>
    </font>
    <font>
      <i/>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bottom style="medium">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double">
        <color auto="1"/>
      </bottom>
      <diagonal/>
    </border>
    <border>
      <left/>
      <right style="medium">
        <color auto="1"/>
      </right>
      <top style="thin">
        <color auto="1"/>
      </top>
      <bottom style="double">
        <color auto="1"/>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right/>
      <top style="double">
        <color auto="1"/>
      </top>
      <bottom/>
      <diagonal/>
    </border>
    <border>
      <left/>
      <right/>
      <top style="double">
        <color auto="1"/>
      </top>
      <bottom style="medium">
        <color indexed="64"/>
      </bottom>
      <diagonal/>
    </border>
    <border>
      <left style="medium">
        <color indexed="64"/>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auto="1"/>
      </top>
      <bottom style="double">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cellStyleXfs>
  <cellXfs count="313">
    <xf numFmtId="0" fontId="0" fillId="0" borderId="0" xfId="0"/>
    <xf numFmtId="14" fontId="0" fillId="2" borderId="0" xfId="0" applyNumberFormat="1" applyFill="1"/>
    <xf numFmtId="0" fontId="0" fillId="2" borderId="0" xfId="0" applyFill="1"/>
    <xf numFmtId="165" fontId="0" fillId="2" borderId="0" xfId="0" applyNumberFormat="1" applyFill="1"/>
    <xf numFmtId="0" fontId="1" fillId="2" borderId="0" xfId="0" applyFont="1" applyFill="1"/>
    <xf numFmtId="0" fontId="0" fillId="0" borderId="0" xfId="0" applyAlignment="1">
      <alignment horizontal="left"/>
    </xf>
    <xf numFmtId="0" fontId="1" fillId="0" borderId="0" xfId="0" applyFont="1" applyAlignment="1">
      <alignment horizontal="left"/>
    </xf>
    <xf numFmtId="0" fontId="0" fillId="0" borderId="0" xfId="0" applyAlignment="1">
      <alignment horizontal="center"/>
    </xf>
    <xf numFmtId="0" fontId="1" fillId="0" borderId="0" xfId="0" applyFont="1" applyAlignment="1">
      <alignment horizontal="center"/>
    </xf>
    <xf numFmtId="166" fontId="0" fillId="0" borderId="0" xfId="0" applyNumberFormat="1" applyAlignment="1">
      <alignment horizontal="center"/>
    </xf>
    <xf numFmtId="0" fontId="0" fillId="0" borderId="0" xfId="0" applyBorder="1" applyAlignment="1">
      <alignment horizontal="center"/>
    </xf>
    <xf numFmtId="0" fontId="0" fillId="0" borderId="0" xfId="0" applyFont="1" applyAlignment="1">
      <alignment horizontal="center"/>
    </xf>
    <xf numFmtId="0" fontId="0" fillId="0" borderId="0" xfId="0" applyFont="1" applyBorder="1" applyAlignment="1">
      <alignment horizontal="center"/>
    </xf>
    <xf numFmtId="0" fontId="0" fillId="2" borderId="0" xfId="0" applyNumberFormat="1" applyFill="1" applyAlignment="1">
      <alignment horizontal="left"/>
    </xf>
    <xf numFmtId="0" fontId="0" fillId="0" borderId="0" xfId="0" applyFont="1" applyAlignment="1">
      <alignment horizontal="left"/>
    </xf>
    <xf numFmtId="0" fontId="0" fillId="0" borderId="0" xfId="0" applyNumberFormat="1" applyFont="1" applyAlignment="1">
      <alignment horizontal="left" wrapText="1"/>
    </xf>
    <xf numFmtId="0" fontId="0" fillId="0" borderId="6" xfId="0" applyBorder="1" applyAlignment="1">
      <alignment horizontal="center"/>
    </xf>
    <xf numFmtId="0" fontId="0" fillId="0" borderId="7" xfId="0" applyFont="1" applyBorder="1" applyAlignment="1">
      <alignment horizontal="center"/>
    </xf>
    <xf numFmtId="166" fontId="0" fillId="0" borderId="6" xfId="0" applyNumberFormat="1" applyBorder="1" applyAlignment="1">
      <alignment horizontal="center"/>
    </xf>
    <xf numFmtId="166" fontId="0" fillId="0" borderId="7" xfId="0" applyNumberFormat="1" applyBorder="1" applyAlignment="1">
      <alignment horizontal="center"/>
    </xf>
    <xf numFmtId="166" fontId="0" fillId="0" borderId="15" xfId="0" applyNumberFormat="1" applyBorder="1" applyAlignment="1">
      <alignment horizontal="center"/>
    </xf>
    <xf numFmtId="166" fontId="0" fillId="0" borderId="16" xfId="0" applyNumberFormat="1" applyBorder="1" applyAlignment="1">
      <alignment horizontal="center"/>
    </xf>
    <xf numFmtId="166" fontId="0" fillId="0" borderId="7" xfId="0" applyNumberFormat="1" applyFont="1" applyBorder="1" applyAlignment="1">
      <alignment horizontal="center"/>
    </xf>
    <xf numFmtId="166" fontId="0" fillId="0" borderId="6" xfId="0" applyNumberFormat="1" applyFill="1" applyBorder="1" applyAlignment="1">
      <alignment horizontal="center"/>
    </xf>
    <xf numFmtId="0" fontId="0" fillId="0" borderId="7" xfId="0" applyFont="1" applyFill="1" applyBorder="1" applyAlignment="1">
      <alignment horizontal="center"/>
    </xf>
    <xf numFmtId="0" fontId="0" fillId="0" borderId="6" xfId="0" applyFill="1" applyBorder="1" applyAlignment="1">
      <alignment horizontal="center"/>
    </xf>
    <xf numFmtId="166" fontId="0" fillId="0" borderId="7" xfId="0" applyNumberFormat="1" applyFill="1" applyBorder="1" applyAlignment="1">
      <alignment horizontal="center"/>
    </xf>
    <xf numFmtId="166" fontId="0" fillId="0" borderId="8" xfId="0" applyNumberFormat="1" applyBorder="1" applyAlignment="1">
      <alignment horizontal="center"/>
    </xf>
    <xf numFmtId="166" fontId="0" fillId="0" borderId="17" xfId="0" applyNumberFormat="1" applyBorder="1" applyAlignment="1">
      <alignment horizontal="center"/>
    </xf>
    <xf numFmtId="0" fontId="0" fillId="0" borderId="6" xfId="0" applyFont="1" applyBorder="1" applyAlignment="1">
      <alignment horizontal="center"/>
    </xf>
    <xf numFmtId="0" fontId="0" fillId="0" borderId="7" xfId="0" applyBorder="1" applyAlignment="1">
      <alignment horizontal="center"/>
    </xf>
    <xf numFmtId="166" fontId="0" fillId="0" borderId="6" xfId="0" applyNumberFormat="1" applyFont="1" applyBorder="1" applyAlignment="1">
      <alignment horizontal="center"/>
    </xf>
    <xf numFmtId="0" fontId="0" fillId="0" borderId="19" xfId="0" applyBorder="1" applyAlignment="1">
      <alignment horizontal="center"/>
    </xf>
    <xf numFmtId="0" fontId="0" fillId="0" borderId="19" xfId="0" applyFont="1" applyBorder="1" applyAlignment="1">
      <alignment horizontal="center"/>
    </xf>
    <xf numFmtId="166" fontId="0" fillId="0" borderId="19" xfId="0" applyNumberFormat="1" applyBorder="1" applyAlignment="1">
      <alignment horizontal="center"/>
    </xf>
    <xf numFmtId="0" fontId="0" fillId="2" borderId="0" xfId="0" applyFill="1" applyAlignment="1">
      <alignment horizontal="center"/>
    </xf>
    <xf numFmtId="164" fontId="0" fillId="2" borderId="0" xfId="0" applyNumberFormat="1" applyFill="1" applyAlignment="1">
      <alignment horizontal="center"/>
    </xf>
    <xf numFmtId="9" fontId="0" fillId="2" borderId="0" xfId="0" applyNumberFormat="1" applyFill="1" applyAlignment="1">
      <alignment horizontal="center" vertical="top"/>
    </xf>
    <xf numFmtId="9" fontId="0" fillId="2" borderId="0" xfId="0" applyNumberFormat="1" applyFill="1" applyAlignment="1">
      <alignment horizontal="center"/>
    </xf>
    <xf numFmtId="165" fontId="0" fillId="2" borderId="0" xfId="0" applyNumberFormat="1" applyFill="1" applyAlignment="1">
      <alignment horizontal="center"/>
    </xf>
    <xf numFmtId="0" fontId="1" fillId="0" borderId="0" xfId="0" applyFont="1" applyBorder="1" applyAlignment="1">
      <alignment horizontal="left"/>
    </xf>
    <xf numFmtId="166" fontId="0" fillId="0" borderId="0" xfId="0" applyNumberFormat="1" applyFill="1" applyBorder="1" applyAlignment="1">
      <alignment horizontal="center"/>
    </xf>
    <xf numFmtId="0" fontId="0" fillId="0" borderId="4" xfId="0" applyBorder="1" applyAlignment="1">
      <alignment horizontal="center"/>
    </xf>
    <xf numFmtId="0" fontId="0" fillId="0" borderId="5" xfId="0" applyFont="1" applyBorder="1" applyAlignment="1">
      <alignment horizontal="center"/>
    </xf>
    <xf numFmtId="0" fontId="0" fillId="0" borderId="4" xfId="0" applyFont="1" applyBorder="1" applyAlignment="1">
      <alignment horizontal="center"/>
    </xf>
    <xf numFmtId="166" fontId="0" fillId="0" borderId="5" xfId="0" applyNumberFormat="1" applyBorder="1" applyAlignment="1">
      <alignment horizontal="center"/>
    </xf>
    <xf numFmtId="166" fontId="0" fillId="0" borderId="20" xfId="0" applyNumberFormat="1" applyBorder="1" applyAlignment="1">
      <alignment horizontal="center"/>
    </xf>
    <xf numFmtId="0" fontId="3" fillId="2" borderId="0" xfId="0" applyFont="1" applyFill="1" applyAlignment="1">
      <alignment horizontal="center"/>
    </xf>
    <xf numFmtId="166" fontId="0" fillId="0" borderId="0" xfId="0" applyNumberFormat="1"/>
    <xf numFmtId="0" fontId="3" fillId="0" borderId="0" xfId="0" applyFont="1" applyAlignment="1">
      <alignment horizontal="left"/>
    </xf>
    <xf numFmtId="166" fontId="0" fillId="0" borderId="0" xfId="0" applyNumberFormat="1" applyBorder="1" applyAlignment="1">
      <alignment horizontal="center"/>
    </xf>
    <xf numFmtId="0" fontId="0" fillId="0" borderId="21" xfId="0" applyBorder="1" applyAlignment="1">
      <alignment horizontal="left"/>
    </xf>
    <xf numFmtId="166" fontId="0" fillId="0" borderId="0" xfId="0" applyNumberFormat="1" applyAlignment="1">
      <alignment horizontal="left"/>
    </xf>
    <xf numFmtId="0" fontId="0" fillId="0" borderId="0" xfId="0" applyBorder="1"/>
    <xf numFmtId="9" fontId="4" fillId="2" borderId="0" xfId="0" applyNumberFormat="1" applyFont="1" applyFill="1" applyAlignment="1">
      <alignment horizontal="left"/>
    </xf>
    <xf numFmtId="166" fontId="0" fillId="0" borderId="7" xfId="0" applyNumberFormat="1" applyFont="1" applyFill="1" applyBorder="1" applyAlignment="1">
      <alignment horizontal="center"/>
    </xf>
    <xf numFmtId="0" fontId="7" fillId="0" borderId="0" xfId="0" applyFont="1"/>
    <xf numFmtId="0" fontId="5" fillId="0" borderId="0" xfId="0" applyFont="1"/>
    <xf numFmtId="0" fontId="0" fillId="0" borderId="6" xfId="0" applyFont="1" applyFill="1" applyBorder="1" applyAlignment="1">
      <alignment horizontal="center"/>
    </xf>
    <xf numFmtId="166" fontId="0" fillId="0" borderId="6" xfId="0" applyNumberFormat="1" applyFont="1" applyFill="1" applyBorder="1" applyAlignment="1">
      <alignment horizontal="center"/>
    </xf>
    <xf numFmtId="0" fontId="0" fillId="0" borderId="7" xfId="0" applyFill="1" applyBorder="1" applyAlignment="1">
      <alignment horizontal="center"/>
    </xf>
    <xf numFmtId="0" fontId="1" fillId="4" borderId="1" xfId="0" applyFont="1" applyFill="1" applyBorder="1" applyAlignment="1">
      <alignment horizontal="center"/>
    </xf>
    <xf numFmtId="0" fontId="1" fillId="4" borderId="3" xfId="0" applyFont="1" applyFill="1" applyBorder="1" applyAlignment="1">
      <alignment horizontal="center"/>
    </xf>
    <xf numFmtId="0" fontId="1" fillId="4" borderId="0" xfId="0" applyFont="1" applyFill="1" applyAlignment="1">
      <alignment horizontal="center"/>
    </xf>
    <xf numFmtId="167" fontId="0" fillId="2" borderId="0" xfId="0" applyNumberFormat="1" applyFill="1"/>
    <xf numFmtId="0" fontId="3" fillId="2" borderId="0" xfId="0" applyFont="1" applyFill="1" applyAlignment="1">
      <alignment horizontal="left"/>
    </xf>
    <xf numFmtId="0" fontId="0" fillId="2" borderId="0" xfId="0" applyFill="1" applyBorder="1" applyAlignment="1">
      <alignment horizontal="left"/>
    </xf>
    <xf numFmtId="0" fontId="0" fillId="2" borderId="0" xfId="0" applyFill="1" applyBorder="1" applyAlignment="1">
      <alignment horizontal="center"/>
    </xf>
    <xf numFmtId="164" fontId="0" fillId="2" borderId="0" xfId="0" applyNumberFormat="1" applyFill="1" applyBorder="1" applyAlignment="1">
      <alignment horizontal="center"/>
    </xf>
    <xf numFmtId="0" fontId="0" fillId="2" borderId="0" xfId="0" applyFill="1" applyBorder="1"/>
    <xf numFmtId="0" fontId="3" fillId="2" borderId="0" xfId="0" applyFont="1" applyFill="1" applyBorder="1" applyAlignment="1">
      <alignment horizontal="left"/>
    </xf>
    <xf numFmtId="0" fontId="0" fillId="2" borderId="0" xfId="0" applyNumberFormat="1" applyFill="1" applyBorder="1" applyAlignment="1">
      <alignment horizontal="left"/>
    </xf>
    <xf numFmtId="165" fontId="0" fillId="2" borderId="0" xfId="0" applyNumberFormat="1" applyFill="1" applyBorder="1" applyAlignment="1">
      <alignment horizontal="center"/>
    </xf>
    <xf numFmtId="14" fontId="0" fillId="2" borderId="0" xfId="0" applyNumberFormat="1" applyFill="1" applyBorder="1" applyAlignment="1">
      <alignment horizontal="center"/>
    </xf>
    <xf numFmtId="3" fontId="1" fillId="2" borderId="0" xfId="0" applyNumberFormat="1" applyFont="1" applyFill="1" applyBorder="1" applyAlignment="1">
      <alignment horizontal="center"/>
    </xf>
    <xf numFmtId="0" fontId="1" fillId="0" borderId="0" xfId="0" applyFont="1" applyFill="1"/>
    <xf numFmtId="0" fontId="0" fillId="0" borderId="0" xfId="0" applyFill="1" applyAlignment="1">
      <alignment horizontal="center"/>
    </xf>
    <xf numFmtId="164" fontId="0" fillId="0" borderId="0" xfId="0" applyNumberFormat="1" applyFill="1" applyAlignment="1">
      <alignment horizontal="center"/>
    </xf>
    <xf numFmtId="0" fontId="0" fillId="0" borderId="0" xfId="0" applyFill="1"/>
    <xf numFmtId="0" fontId="0" fillId="0" borderId="0" xfId="0" applyNumberFormat="1" applyFill="1" applyAlignment="1">
      <alignment horizontal="left"/>
    </xf>
    <xf numFmtId="4" fontId="1" fillId="0" borderId="10" xfId="0" applyNumberFormat="1" applyFont="1" applyFill="1" applyBorder="1" applyAlignment="1">
      <alignment horizontal="center"/>
    </xf>
    <xf numFmtId="0" fontId="1" fillId="0" borderId="0" xfId="0" applyFont="1" applyFill="1" applyBorder="1" applyAlignment="1">
      <alignment horizontal="left"/>
    </xf>
    <xf numFmtId="0" fontId="0" fillId="0" borderId="0" xfId="0" applyFill="1" applyBorder="1"/>
    <xf numFmtId="164" fontId="0" fillId="0" borderId="0" xfId="0" applyNumberFormat="1" applyFill="1" applyBorder="1" applyAlignment="1">
      <alignment horizontal="center"/>
    </xf>
    <xf numFmtId="0" fontId="0" fillId="0" borderId="11" xfId="0" applyFill="1" applyBorder="1" applyAlignment="1">
      <alignment horizontal="center"/>
    </xf>
    <xf numFmtId="0" fontId="1" fillId="0" borderId="0" xfId="0" applyFont="1" applyFill="1" applyBorder="1"/>
    <xf numFmtId="0" fontId="0" fillId="0" borderId="11" xfId="0" applyFill="1" applyBorder="1"/>
    <xf numFmtId="0" fontId="0" fillId="0" borderId="10" xfId="0" applyFill="1" applyBorder="1" applyAlignment="1">
      <alignment horizontal="center"/>
    </xf>
    <xf numFmtId="0" fontId="0" fillId="0" borderId="0" xfId="0" applyFill="1" applyBorder="1" applyAlignment="1">
      <alignment horizontal="center"/>
    </xf>
    <xf numFmtId="0" fontId="1" fillId="0" borderId="10" xfId="0" applyFont="1" applyFill="1" applyBorder="1" applyAlignment="1">
      <alignment horizontal="right"/>
    </xf>
    <xf numFmtId="164" fontId="1" fillId="0" borderId="0" xfId="0" applyNumberFormat="1" applyFont="1" applyFill="1" applyBorder="1" applyAlignment="1">
      <alignment horizontal="right"/>
    </xf>
    <xf numFmtId="0" fontId="1" fillId="0" borderId="0" xfId="0" applyFont="1" applyFill="1" applyBorder="1" applyAlignment="1">
      <alignment horizontal="right"/>
    </xf>
    <xf numFmtId="0" fontId="1" fillId="0" borderId="0" xfId="0" applyFont="1" applyFill="1" applyBorder="1" applyAlignment="1">
      <alignment horizontal="center"/>
    </xf>
    <xf numFmtId="0" fontId="1" fillId="0" borderId="11" xfId="0" applyFont="1" applyFill="1" applyBorder="1" applyAlignment="1">
      <alignment horizontal="right"/>
    </xf>
    <xf numFmtId="0" fontId="0" fillId="0" borderId="10" xfId="0" applyNumberFormat="1" applyFill="1" applyBorder="1" applyAlignment="1">
      <alignment horizontal="right"/>
    </xf>
    <xf numFmtId="165" fontId="0" fillId="0" borderId="0" xfId="0" applyNumberFormat="1" applyFill="1" applyBorder="1" applyAlignment="1">
      <alignment horizontal="right"/>
    </xf>
    <xf numFmtId="165" fontId="0" fillId="0" borderId="11" xfId="0" applyNumberFormat="1" applyFill="1" applyBorder="1" applyAlignment="1">
      <alignment horizontal="right"/>
    </xf>
    <xf numFmtId="165" fontId="0" fillId="0" borderId="0" xfId="0" applyNumberFormat="1" applyFill="1"/>
    <xf numFmtId="165" fontId="0" fillId="0" borderId="0" xfId="0" applyNumberFormat="1" applyFill="1" applyBorder="1"/>
    <xf numFmtId="0" fontId="0" fillId="0" borderId="12" xfId="0" applyNumberFormat="1" applyFill="1" applyBorder="1" applyAlignment="1">
      <alignment horizontal="right"/>
    </xf>
    <xf numFmtId="165" fontId="0" fillId="0" borderId="13" xfId="0" applyNumberFormat="1" applyFill="1" applyBorder="1" applyAlignment="1">
      <alignment horizontal="right"/>
    </xf>
    <xf numFmtId="165" fontId="0" fillId="0" borderId="14" xfId="0" applyNumberFormat="1" applyFill="1" applyBorder="1" applyAlignment="1">
      <alignment horizontal="right"/>
    </xf>
    <xf numFmtId="0" fontId="0" fillId="0" borderId="0" xfId="0" applyNumberFormat="1" applyFill="1" applyBorder="1" applyAlignment="1">
      <alignment horizontal="right"/>
    </xf>
    <xf numFmtId="0" fontId="0" fillId="0" borderId="0" xfId="0" applyNumberFormat="1" applyFill="1" applyBorder="1" applyAlignment="1">
      <alignment horizontal="left"/>
    </xf>
    <xf numFmtId="3" fontId="8" fillId="3" borderId="22" xfId="0" applyNumberFormat="1" applyFont="1" applyFill="1" applyBorder="1" applyAlignment="1">
      <alignment horizontal="center" vertical="top"/>
    </xf>
    <xf numFmtId="3" fontId="8" fillId="0" borderId="26" xfId="0" applyNumberFormat="1" applyFont="1" applyBorder="1" applyAlignment="1">
      <alignment vertical="center" wrapText="1"/>
    </xf>
    <xf numFmtId="3" fontId="8" fillId="0" borderId="28" xfId="0" applyNumberFormat="1" applyFont="1" applyBorder="1" applyAlignment="1">
      <alignment horizontal="center" vertical="top" wrapText="1"/>
    </xf>
    <xf numFmtId="3" fontId="8" fillId="0" borderId="27" xfId="0" applyNumberFormat="1" applyFont="1" applyFill="1" applyBorder="1" applyAlignment="1">
      <alignment horizontal="center" vertical="top" wrapText="1"/>
    </xf>
    <xf numFmtId="3" fontId="8" fillId="0" borderId="29" xfId="0" applyNumberFormat="1" applyFont="1" applyFill="1" applyBorder="1" applyAlignment="1">
      <alignment horizontal="center" vertical="top" wrapText="1"/>
    </xf>
    <xf numFmtId="3" fontId="8" fillId="0" borderId="28" xfId="0" applyNumberFormat="1" applyFont="1" applyFill="1" applyBorder="1" applyAlignment="1">
      <alignment horizontal="center" vertical="top" wrapText="1"/>
    </xf>
    <xf numFmtId="165" fontId="9" fillId="0" borderId="33" xfId="0" applyNumberFormat="1" applyFont="1" applyBorder="1" applyAlignment="1">
      <alignment horizontal="right" vertical="top" wrapText="1"/>
    </xf>
    <xf numFmtId="3" fontId="9" fillId="0" borderId="33" xfId="0" applyNumberFormat="1" applyFont="1" applyBorder="1" applyAlignment="1">
      <alignment horizontal="right" vertical="top" wrapText="1"/>
    </xf>
    <xf numFmtId="0" fontId="0" fillId="0" borderId="31" xfId="0" applyBorder="1" applyAlignment="1">
      <alignment vertical="top"/>
    </xf>
    <xf numFmtId="3" fontId="9" fillId="0" borderId="31" xfId="0" applyNumberFormat="1" applyFont="1" applyBorder="1" applyAlignment="1">
      <alignment vertical="top" wrapText="1"/>
    </xf>
    <xf numFmtId="165" fontId="9" fillId="0" borderId="32" xfId="0" applyNumberFormat="1" applyFont="1" applyFill="1" applyBorder="1" applyAlignment="1">
      <alignment horizontal="right" vertical="top" wrapText="1"/>
    </xf>
    <xf numFmtId="165" fontId="9" fillId="0" borderId="33" xfId="0" applyNumberFormat="1" applyFont="1" applyFill="1" applyBorder="1" applyAlignment="1">
      <alignment horizontal="right" vertical="top" wrapText="1"/>
    </xf>
    <xf numFmtId="165" fontId="9" fillId="0" borderId="35" xfId="0" applyNumberFormat="1" applyFont="1" applyFill="1" applyBorder="1" applyAlignment="1">
      <alignment horizontal="right" vertical="top" wrapText="1"/>
    </xf>
    <xf numFmtId="3" fontId="10" fillId="0" borderId="1" xfId="0" applyNumberFormat="1" applyFont="1" applyBorder="1" applyAlignment="1">
      <alignment vertical="top" wrapText="1"/>
    </xf>
    <xf numFmtId="3" fontId="10" fillId="4" borderId="1" xfId="0" applyNumberFormat="1" applyFont="1" applyFill="1" applyBorder="1" applyAlignment="1">
      <alignment horizontal="right" vertical="top" wrapText="1"/>
    </xf>
    <xf numFmtId="3" fontId="10" fillId="4" borderId="3" xfId="0" applyNumberFormat="1" applyFont="1" applyFill="1" applyBorder="1" applyAlignment="1">
      <alignment horizontal="right" vertical="top" wrapText="1"/>
    </xf>
    <xf numFmtId="3" fontId="10" fillId="4" borderId="2" xfId="0" applyNumberFormat="1" applyFont="1" applyFill="1" applyBorder="1" applyAlignment="1">
      <alignment horizontal="right" vertical="top" wrapText="1"/>
    </xf>
    <xf numFmtId="0" fontId="11" fillId="4" borderId="3" xfId="0" applyFont="1" applyFill="1" applyBorder="1" applyAlignment="1">
      <alignment vertical="top"/>
    </xf>
    <xf numFmtId="3" fontId="4" fillId="0" borderId="0" xfId="0" applyNumberFormat="1" applyFont="1" applyAlignment="1">
      <alignment vertical="top"/>
    </xf>
    <xf numFmtId="3" fontId="5" fillId="0" borderId="38" xfId="0" applyNumberFormat="1" applyFont="1" applyBorder="1" applyAlignment="1">
      <alignment vertical="top"/>
    </xf>
    <xf numFmtId="0" fontId="0" fillId="0" borderId="0" xfId="0" applyFill="1" applyAlignment="1">
      <alignment vertical="top"/>
    </xf>
    <xf numFmtId="0" fontId="0" fillId="0" borderId="0" xfId="0" applyAlignment="1">
      <alignment vertical="top"/>
    </xf>
    <xf numFmtId="164" fontId="1" fillId="0" borderId="0" xfId="0" applyNumberFormat="1" applyFont="1" applyFill="1" applyBorder="1"/>
    <xf numFmtId="165" fontId="1" fillId="0" borderId="0" xfId="0" applyNumberFormat="1" applyFont="1" applyFill="1"/>
    <xf numFmtId="0" fontId="1" fillId="0" borderId="0" xfId="0" applyNumberFormat="1" applyFont="1" applyFill="1" applyBorder="1" applyAlignment="1">
      <alignment horizontal="left"/>
    </xf>
    <xf numFmtId="165" fontId="1" fillId="0" borderId="0" xfId="0" applyNumberFormat="1" applyFont="1" applyFill="1" applyBorder="1"/>
    <xf numFmtId="0" fontId="1" fillId="0" borderId="30" xfId="0" applyFont="1" applyBorder="1" applyAlignment="1">
      <alignment horizontal="center" vertical="top" wrapText="1"/>
    </xf>
    <xf numFmtId="3" fontId="8" fillId="0" borderId="30" xfId="0" applyNumberFormat="1" applyFont="1" applyBorder="1" applyAlignment="1">
      <alignment vertical="center" wrapText="1"/>
    </xf>
    <xf numFmtId="3" fontId="8" fillId="0" borderId="21" xfId="0" applyNumberFormat="1" applyFont="1" applyBorder="1" applyAlignment="1">
      <alignment horizontal="center" vertical="center" wrapText="1"/>
    </xf>
    <xf numFmtId="3" fontId="8" fillId="0" borderId="35" xfId="0" applyNumberFormat="1" applyFont="1" applyBorder="1" applyAlignment="1">
      <alignment horizontal="center" vertical="center" wrapText="1"/>
    </xf>
    <xf numFmtId="3" fontId="8" fillId="0" borderId="44" xfId="0" applyNumberFormat="1" applyFont="1" applyBorder="1" applyAlignment="1">
      <alignment horizontal="center" vertical="center" wrapText="1"/>
    </xf>
    <xf numFmtId="3" fontId="8" fillId="0" borderId="33" xfId="0" applyNumberFormat="1" applyFont="1" applyBorder="1" applyAlignment="1">
      <alignment horizontal="center" vertical="top" wrapText="1"/>
    </xf>
    <xf numFmtId="3" fontId="8" fillId="0" borderId="32" xfId="0" applyNumberFormat="1" applyFont="1" applyFill="1" applyBorder="1" applyAlignment="1">
      <alignment horizontal="center" vertical="top" wrapText="1"/>
    </xf>
    <xf numFmtId="3" fontId="8" fillId="0" borderId="45" xfId="0" applyNumberFormat="1" applyFont="1" applyFill="1" applyBorder="1" applyAlignment="1">
      <alignment horizontal="center" vertical="top" wrapText="1"/>
    </xf>
    <xf numFmtId="3" fontId="8" fillId="0" borderId="33" xfId="0" applyNumberFormat="1" applyFont="1" applyFill="1" applyBorder="1" applyAlignment="1">
      <alignment horizontal="center" vertical="top" wrapText="1"/>
    </xf>
    <xf numFmtId="165" fontId="9" fillId="0" borderId="21" xfId="0" applyNumberFormat="1" applyFont="1" applyBorder="1" applyAlignment="1">
      <alignment horizontal="right" vertical="top" wrapText="1"/>
    </xf>
    <xf numFmtId="165" fontId="9" fillId="0" borderId="45" xfId="0" applyNumberFormat="1" applyFont="1" applyBorder="1" applyAlignment="1">
      <alignment horizontal="right" vertical="top" wrapText="1"/>
    </xf>
    <xf numFmtId="165" fontId="9" fillId="0" borderId="12" xfId="0" applyNumberFormat="1" applyFont="1" applyBorder="1" applyAlignment="1">
      <alignment horizontal="right" vertical="top" wrapText="1"/>
    </xf>
    <xf numFmtId="165" fontId="9" fillId="0" borderId="34" xfId="0" applyNumberFormat="1" applyFont="1" applyFill="1" applyBorder="1" applyAlignment="1">
      <alignment horizontal="right" vertical="top" wrapText="1"/>
    </xf>
    <xf numFmtId="165" fontId="8" fillId="0" borderId="35" xfId="0" applyNumberFormat="1" applyFont="1" applyFill="1" applyBorder="1" applyAlignment="1">
      <alignment horizontal="right" vertical="top" wrapText="1"/>
    </xf>
    <xf numFmtId="165" fontId="9" fillId="0" borderId="36" xfId="0" applyNumberFormat="1" applyFont="1" applyFill="1" applyBorder="1" applyAlignment="1">
      <alignment horizontal="right" vertical="top" wrapText="1"/>
    </xf>
    <xf numFmtId="165" fontId="9" fillId="0" borderId="21" xfId="0" applyNumberFormat="1" applyFont="1" applyFill="1" applyBorder="1" applyAlignment="1">
      <alignment horizontal="right" vertical="top" wrapText="1"/>
    </xf>
    <xf numFmtId="165" fontId="9" fillId="0" borderId="45" xfId="0" applyNumberFormat="1" applyFont="1" applyFill="1" applyBorder="1" applyAlignment="1">
      <alignment horizontal="right" vertical="top" wrapText="1"/>
    </xf>
    <xf numFmtId="165" fontId="9" fillId="0" borderId="12" xfId="0" applyNumberFormat="1" applyFont="1" applyFill="1" applyBorder="1" applyAlignment="1">
      <alignment horizontal="right" vertical="top" wrapText="1"/>
    </xf>
    <xf numFmtId="165" fontId="9" fillId="0" borderId="46" xfId="0" applyNumberFormat="1" applyFont="1" applyFill="1" applyBorder="1" applyAlignment="1">
      <alignment horizontal="right" vertical="top" wrapText="1"/>
    </xf>
    <xf numFmtId="165" fontId="9" fillId="0" borderId="47" xfId="0" applyNumberFormat="1" applyFont="1" applyFill="1" applyBorder="1" applyAlignment="1">
      <alignment horizontal="right" vertical="top" wrapText="1"/>
    </xf>
    <xf numFmtId="165" fontId="10" fillId="0" borderId="37" xfId="0" applyNumberFormat="1" applyFont="1" applyFill="1" applyBorder="1" applyAlignment="1">
      <alignment horizontal="right" vertical="top" wrapText="1"/>
    </xf>
    <xf numFmtId="165" fontId="8" fillId="0" borderId="32" xfId="0" applyNumberFormat="1" applyFont="1" applyFill="1" applyBorder="1" applyAlignment="1">
      <alignment horizontal="center" vertical="top" wrapText="1"/>
    </xf>
    <xf numFmtId="165" fontId="8" fillId="0" borderId="45" xfId="0" applyNumberFormat="1" applyFont="1" applyFill="1" applyBorder="1" applyAlignment="1">
      <alignment horizontal="center" vertical="top" wrapText="1"/>
    </xf>
    <xf numFmtId="165" fontId="8" fillId="0" borderId="33" xfId="0" applyNumberFormat="1" applyFont="1" applyFill="1" applyBorder="1" applyAlignment="1">
      <alignment horizontal="center" vertical="top" wrapText="1"/>
    </xf>
    <xf numFmtId="165" fontId="9" fillId="0" borderId="35" xfId="0" applyNumberFormat="1" applyFont="1" applyBorder="1" applyAlignment="1">
      <alignment horizontal="right" vertical="top" wrapText="1"/>
    </xf>
    <xf numFmtId="165" fontId="9" fillId="0" borderId="13" xfId="0" applyNumberFormat="1" applyFont="1" applyFill="1" applyBorder="1" applyAlignment="1">
      <alignment horizontal="right" vertical="top" wrapText="1"/>
    </xf>
    <xf numFmtId="165" fontId="9" fillId="0" borderId="48" xfId="0" applyNumberFormat="1" applyFont="1" applyFill="1" applyBorder="1" applyAlignment="1">
      <alignment horizontal="right" vertical="top" wrapText="1"/>
    </xf>
    <xf numFmtId="0" fontId="1" fillId="0" borderId="30" xfId="0" applyFont="1" applyBorder="1" applyAlignment="1">
      <alignment horizontal="center" vertical="top" wrapText="1"/>
    </xf>
    <xf numFmtId="0" fontId="14" fillId="0" borderId="0" xfId="0" applyFont="1"/>
    <xf numFmtId="0" fontId="14" fillId="0" borderId="0" xfId="0" applyFont="1" applyAlignment="1">
      <alignment horizontal="left"/>
    </xf>
    <xf numFmtId="44" fontId="0" fillId="2" borderId="0" xfId="3" applyFont="1" applyFill="1" applyAlignment="1">
      <alignment horizontal="center" vertical="top"/>
    </xf>
    <xf numFmtId="165" fontId="9" fillId="0" borderId="12" xfId="0" applyNumberFormat="1" applyFont="1" applyBorder="1" applyAlignment="1">
      <alignment horizontal="center" vertical="center" wrapText="1"/>
    </xf>
    <xf numFmtId="3" fontId="9" fillId="0" borderId="35" xfId="0" applyNumberFormat="1" applyFont="1" applyBorder="1" applyAlignment="1">
      <alignment horizontal="center" vertical="center" wrapText="1"/>
    </xf>
    <xf numFmtId="165" fontId="9" fillId="0" borderId="33" xfId="0" applyNumberFormat="1" applyFont="1" applyFill="1" applyBorder="1" applyAlignment="1">
      <alignment horizontal="center" vertical="top" wrapText="1"/>
    </xf>
    <xf numFmtId="166" fontId="0" fillId="0" borderId="0" xfId="0" applyNumberFormat="1" applyFont="1" applyFill="1" applyBorder="1" applyAlignment="1">
      <alignment horizontal="center"/>
    </xf>
    <xf numFmtId="3" fontId="0" fillId="0" borderId="0" xfId="0" applyNumberFormat="1" applyFont="1" applyFill="1" applyBorder="1" applyAlignment="1">
      <alignment horizontal="center"/>
    </xf>
    <xf numFmtId="0" fontId="0" fillId="0" borderId="0" xfId="0" applyFont="1" applyFill="1" applyBorder="1" applyAlignment="1">
      <alignment horizontal="center"/>
    </xf>
    <xf numFmtId="0" fontId="1" fillId="4" borderId="2" xfId="0" applyFont="1" applyFill="1" applyBorder="1" applyAlignment="1">
      <alignment horizontal="center"/>
    </xf>
    <xf numFmtId="166" fontId="0" fillId="0" borderId="49" xfId="0" applyNumberFormat="1" applyBorder="1" applyAlignment="1">
      <alignment horizontal="center"/>
    </xf>
    <xf numFmtId="166" fontId="0" fillId="0" borderId="0" xfId="0" applyNumberFormat="1" applyFont="1" applyBorder="1" applyAlignment="1">
      <alignment horizontal="center"/>
    </xf>
    <xf numFmtId="0" fontId="0" fillId="0" borderId="6" xfId="0" applyFill="1" applyBorder="1" applyAlignment="1">
      <alignment horizontal="left"/>
    </xf>
    <xf numFmtId="166" fontId="14" fillId="0" borderId="0" xfId="0" applyNumberFormat="1" applyFont="1" applyAlignment="1">
      <alignment horizontal="left"/>
    </xf>
    <xf numFmtId="0" fontId="14" fillId="0" borderId="0" xfId="0" applyFont="1" applyAlignment="1">
      <alignment horizontal="left" wrapText="1"/>
    </xf>
    <xf numFmtId="14" fontId="0" fillId="0" borderId="0" xfId="0" applyNumberFormat="1" applyFill="1" applyBorder="1"/>
    <xf numFmtId="168" fontId="0" fillId="0" borderId="0" xfId="0" applyNumberFormat="1" applyFill="1" applyBorder="1"/>
    <xf numFmtId="0" fontId="0" fillId="0" borderId="0" xfId="0" applyFill="1" applyBorder="1" applyAlignment="1">
      <alignment horizontal="right"/>
    </xf>
    <xf numFmtId="0" fontId="0" fillId="0" borderId="0" xfId="0" applyFill="1" applyAlignment="1">
      <alignment horizontal="left"/>
    </xf>
    <xf numFmtId="165" fontId="9" fillId="0" borderId="45" xfId="0" applyNumberFormat="1" applyFont="1" applyFill="1" applyBorder="1" applyAlignment="1">
      <alignment horizontal="center" vertical="top" wrapText="1"/>
    </xf>
    <xf numFmtId="3" fontId="8" fillId="0" borderId="40" xfId="0" applyNumberFormat="1" applyFont="1" applyBorder="1" applyAlignment="1">
      <alignment horizontal="center" vertical="top" wrapText="1"/>
    </xf>
    <xf numFmtId="3" fontId="8" fillId="0" borderId="14" xfId="0" applyNumberFormat="1" applyFont="1" applyBorder="1" applyAlignment="1">
      <alignment horizontal="center" vertical="top" wrapText="1"/>
    </xf>
    <xf numFmtId="3" fontId="9" fillId="0" borderId="14" xfId="0" applyNumberFormat="1" applyFont="1" applyBorder="1" applyAlignment="1">
      <alignment horizontal="right" vertical="top" wrapText="1"/>
    </xf>
    <xf numFmtId="0" fontId="1" fillId="0" borderId="30" xfId="0" applyFont="1" applyBorder="1" applyAlignment="1">
      <alignment horizontal="center" vertical="top" wrapText="1"/>
    </xf>
    <xf numFmtId="3" fontId="8" fillId="0" borderId="40" xfId="0" applyNumberFormat="1" applyFont="1" applyBorder="1" applyAlignment="1">
      <alignment horizontal="center" vertical="top" wrapText="1"/>
    </xf>
    <xf numFmtId="0" fontId="1" fillId="6" borderId="22" xfId="0" applyFont="1" applyFill="1" applyBorder="1" applyAlignment="1">
      <alignment horizontal="center"/>
    </xf>
    <xf numFmtId="0" fontId="15" fillId="0" borderId="0" xfId="0" applyFont="1" applyAlignment="1">
      <alignment horizontal="left"/>
    </xf>
    <xf numFmtId="0" fontId="1" fillId="5" borderId="44" xfId="0" applyFont="1" applyFill="1" applyBorder="1" applyAlignment="1">
      <alignment horizontal="left"/>
    </xf>
    <xf numFmtId="0" fontId="0" fillId="5" borderId="50" xfId="0" applyFill="1" applyBorder="1" applyAlignment="1">
      <alignment horizontal="center"/>
    </xf>
    <xf numFmtId="164" fontId="0" fillId="5" borderId="50" xfId="0" applyNumberFormat="1" applyFill="1" applyBorder="1" applyAlignment="1">
      <alignment horizontal="center"/>
    </xf>
    <xf numFmtId="0" fontId="0" fillId="5" borderId="50" xfId="0" applyFill="1" applyBorder="1"/>
    <xf numFmtId="0" fontId="0" fillId="5" borderId="51" xfId="0" applyNumberFormat="1" applyFill="1" applyBorder="1" applyAlignment="1">
      <alignment horizontal="left"/>
    </xf>
    <xf numFmtId="0" fontId="0" fillId="2" borderId="10" xfId="0" applyFont="1" applyFill="1" applyBorder="1" applyAlignment="1">
      <alignment horizontal="center"/>
    </xf>
    <xf numFmtId="0" fontId="0" fillId="2" borderId="11" xfId="0" applyNumberFormat="1" applyFill="1" applyBorder="1" applyAlignment="1">
      <alignment horizontal="left"/>
    </xf>
    <xf numFmtId="0" fontId="0" fillId="2" borderId="10" xfId="0" applyFont="1" applyFill="1" applyBorder="1" applyAlignment="1">
      <alignment horizontal="left"/>
    </xf>
    <xf numFmtId="0" fontId="3" fillId="2" borderId="12" xfId="0" applyFont="1" applyFill="1" applyBorder="1" applyAlignment="1">
      <alignment horizontal="left"/>
    </xf>
    <xf numFmtId="0" fontId="0" fillId="2" borderId="13" xfId="0" applyFill="1" applyBorder="1" applyAlignment="1">
      <alignment horizontal="left"/>
    </xf>
    <xf numFmtId="0" fontId="0" fillId="2" borderId="13" xfId="0" applyFill="1" applyBorder="1" applyAlignment="1">
      <alignment horizontal="center"/>
    </xf>
    <xf numFmtId="164" fontId="0" fillId="2" borderId="13" xfId="0" applyNumberFormat="1" applyFill="1" applyBorder="1" applyAlignment="1">
      <alignment horizontal="center"/>
    </xf>
    <xf numFmtId="0" fontId="0" fillId="2" borderId="13" xfId="0" applyFill="1" applyBorder="1"/>
    <xf numFmtId="0" fontId="0" fillId="2" borderId="14" xfId="0" applyNumberFormat="1" applyFill="1" applyBorder="1" applyAlignment="1">
      <alignment horizontal="left"/>
    </xf>
    <xf numFmtId="0" fontId="0" fillId="2" borderId="12" xfId="0" applyFill="1" applyBorder="1" applyAlignment="1">
      <alignment horizontal="left"/>
    </xf>
    <xf numFmtId="9" fontId="0" fillId="2" borderId="14" xfId="0" applyNumberFormat="1" applyFill="1" applyBorder="1" applyAlignment="1">
      <alignment horizontal="center" vertical="top"/>
    </xf>
    <xf numFmtId="0" fontId="0" fillId="5" borderId="51" xfId="0" applyFill="1" applyBorder="1" applyAlignment="1">
      <alignment horizontal="center"/>
    </xf>
    <xf numFmtId="167" fontId="0" fillId="2" borderId="10" xfId="1" applyNumberFormat="1" applyFont="1" applyFill="1" applyBorder="1" applyAlignment="1">
      <alignment horizontal="right"/>
    </xf>
    <xf numFmtId="0" fontId="0" fillId="2" borderId="11" xfId="0" applyFill="1" applyBorder="1" applyAlignment="1">
      <alignment horizontal="center"/>
    </xf>
    <xf numFmtId="165" fontId="0" fillId="2" borderId="10" xfId="1" applyNumberFormat="1" applyFont="1" applyFill="1" applyBorder="1" applyAlignment="1">
      <alignment horizontal="right"/>
    </xf>
    <xf numFmtId="167" fontId="0" fillId="2" borderId="12" xfId="1" applyNumberFormat="1" applyFont="1" applyFill="1" applyBorder="1" applyAlignment="1">
      <alignment horizontal="right"/>
    </xf>
    <xf numFmtId="0" fontId="0" fillId="2" borderId="14" xfId="0" applyFill="1" applyBorder="1" applyAlignment="1">
      <alignment horizontal="center"/>
    </xf>
    <xf numFmtId="165" fontId="0" fillId="2" borderId="10" xfId="0" applyNumberFormat="1" applyFill="1" applyBorder="1" applyAlignment="1">
      <alignment horizontal="right"/>
    </xf>
    <xf numFmtId="165" fontId="0" fillId="2" borderId="12" xfId="0" applyNumberFormat="1" applyFill="1" applyBorder="1" applyAlignment="1">
      <alignment horizontal="right"/>
    </xf>
    <xf numFmtId="0" fontId="1" fillId="2" borderId="0" xfId="0" applyFont="1" applyFill="1" applyBorder="1" applyAlignment="1">
      <alignment horizontal="center"/>
    </xf>
    <xf numFmtId="164" fontId="1" fillId="2" borderId="0" xfId="0" applyNumberFormat="1" applyFont="1" applyFill="1" applyBorder="1" applyAlignment="1">
      <alignment horizontal="center"/>
    </xf>
    <xf numFmtId="0" fontId="1" fillId="5" borderId="50" xfId="0" applyFont="1" applyFill="1" applyBorder="1" applyAlignment="1">
      <alignment horizontal="center"/>
    </xf>
    <xf numFmtId="0" fontId="0" fillId="2" borderId="10" xfId="0" applyFill="1" applyBorder="1"/>
    <xf numFmtId="0" fontId="1" fillId="2" borderId="11" xfId="0" applyFont="1" applyFill="1" applyBorder="1" applyAlignment="1">
      <alignment horizontal="center"/>
    </xf>
    <xf numFmtId="3" fontId="0" fillId="2" borderId="11" xfId="0" applyNumberFormat="1" applyFill="1" applyBorder="1" applyAlignment="1">
      <alignment horizontal="center"/>
    </xf>
    <xf numFmtId="3" fontId="0" fillId="2" borderId="14" xfId="0" applyNumberFormat="1" applyFill="1" applyBorder="1" applyAlignment="1">
      <alignment horizontal="center"/>
    </xf>
    <xf numFmtId="0" fontId="0" fillId="2" borderId="12" xfId="0" applyFill="1" applyBorder="1"/>
    <xf numFmtId="165" fontId="0" fillId="2" borderId="13" xfId="0" applyNumberFormat="1" applyFill="1" applyBorder="1" applyAlignment="1">
      <alignment horizontal="center"/>
    </xf>
    <xf numFmtId="14" fontId="0" fillId="2" borderId="13" xfId="0" applyNumberFormat="1" applyFill="1" applyBorder="1" applyAlignment="1">
      <alignment horizontal="center"/>
    </xf>
    <xf numFmtId="3" fontId="1" fillId="2" borderId="14" xfId="0" applyNumberFormat="1" applyFont="1" applyFill="1" applyBorder="1" applyAlignment="1">
      <alignment horizontal="center"/>
    </xf>
    <xf numFmtId="0" fontId="2" fillId="5" borderId="44" xfId="0" applyFont="1" applyFill="1" applyBorder="1"/>
    <xf numFmtId="0" fontId="2" fillId="5" borderId="44" xfId="0" applyNumberFormat="1" applyFont="1" applyFill="1" applyBorder="1" applyAlignment="1">
      <alignment horizontal="left"/>
    </xf>
    <xf numFmtId="0" fontId="0" fillId="5" borderId="50" xfId="0" applyNumberFormat="1" applyFill="1" applyBorder="1" applyAlignment="1">
      <alignment horizontal="left"/>
    </xf>
    <xf numFmtId="0" fontId="0" fillId="5" borderId="51" xfId="0" applyFill="1" applyBorder="1"/>
    <xf numFmtId="0" fontId="0" fillId="0" borderId="10" xfId="0" applyNumberFormat="1" applyFill="1" applyBorder="1" applyAlignment="1">
      <alignment horizontal="left"/>
    </xf>
    <xf numFmtId="0" fontId="1" fillId="0" borderId="10" xfId="0" applyNumberFormat="1" applyFont="1" applyFill="1" applyBorder="1" applyAlignment="1">
      <alignment horizontal="left"/>
    </xf>
    <xf numFmtId="165" fontId="0" fillId="0" borderId="11" xfId="0" applyNumberFormat="1" applyFill="1" applyBorder="1"/>
    <xf numFmtId="165" fontId="0" fillId="0" borderId="13" xfId="0" applyNumberFormat="1" applyFill="1" applyBorder="1"/>
    <xf numFmtId="165" fontId="0" fillId="0" borderId="14" xfId="0" applyNumberFormat="1" applyFill="1" applyBorder="1"/>
    <xf numFmtId="0" fontId="0" fillId="0" borderId="13" xfId="0" applyFill="1" applyBorder="1"/>
    <xf numFmtId="0" fontId="1" fillId="5" borderId="44" xfId="0" applyFont="1" applyFill="1" applyBorder="1"/>
    <xf numFmtId="165" fontId="0" fillId="5" borderId="50" xfId="0" applyNumberFormat="1" applyFill="1" applyBorder="1" applyAlignment="1">
      <alignment horizontal="center"/>
    </xf>
    <xf numFmtId="0" fontId="0" fillId="0" borderId="10" xfId="0" applyFill="1" applyBorder="1" applyAlignment="1">
      <alignment horizontal="left"/>
    </xf>
    <xf numFmtId="167" fontId="0" fillId="0" borderId="11" xfId="1" applyNumberFormat="1" applyFont="1" applyFill="1" applyBorder="1" applyAlignment="1">
      <alignment horizontal="center"/>
    </xf>
    <xf numFmtId="167" fontId="0" fillId="0" borderId="14" xfId="1" applyNumberFormat="1" applyFont="1" applyFill="1" applyBorder="1" applyAlignment="1">
      <alignment horizontal="center"/>
    </xf>
    <xf numFmtId="0" fontId="0" fillId="0" borderId="10" xfId="0" applyFill="1" applyBorder="1"/>
    <xf numFmtId="167" fontId="0" fillId="0" borderId="11" xfId="0" applyNumberFormat="1" applyFill="1" applyBorder="1" applyAlignment="1">
      <alignment horizontal="center"/>
    </xf>
    <xf numFmtId="0" fontId="0" fillId="0" borderId="12" xfId="0" applyFill="1" applyBorder="1"/>
    <xf numFmtId="10" fontId="1" fillId="0" borderId="13" xfId="2" applyNumberFormat="1" applyFont="1" applyFill="1" applyBorder="1"/>
    <xf numFmtId="49" fontId="1" fillId="0" borderId="13" xfId="0" applyNumberFormat="1" applyFont="1" applyFill="1" applyBorder="1" applyAlignment="1">
      <alignment horizontal="center"/>
    </xf>
    <xf numFmtId="0" fontId="0" fillId="0" borderId="13" xfId="0" applyFill="1" applyBorder="1" applyAlignment="1">
      <alignment horizontal="center"/>
    </xf>
    <xf numFmtId="0" fontId="0" fillId="0" borderId="14" xfId="0" applyFill="1" applyBorder="1" applyAlignment="1">
      <alignment horizontal="center"/>
    </xf>
    <xf numFmtId="165" fontId="4" fillId="0" borderId="14" xfId="0" applyNumberFormat="1" applyFont="1" applyFill="1" applyBorder="1" applyAlignment="1">
      <alignment horizontal="right"/>
    </xf>
    <xf numFmtId="0" fontId="0" fillId="2" borderId="0" xfId="0" applyFont="1" applyFill="1" applyAlignment="1">
      <alignment horizontal="left"/>
    </xf>
    <xf numFmtId="164" fontId="4" fillId="2" borderId="0" xfId="0" applyNumberFormat="1" applyFont="1" applyFill="1" applyAlignment="1">
      <alignment horizontal="left"/>
    </xf>
    <xf numFmtId="165" fontId="0" fillId="2" borderId="0" xfId="0" applyNumberFormat="1" applyFill="1" applyBorder="1" applyAlignment="1">
      <alignment horizontal="right"/>
    </xf>
    <xf numFmtId="0" fontId="0" fillId="0" borderId="0" xfId="0" applyFont="1" applyFill="1" applyBorder="1" applyAlignment="1">
      <alignment horizontal="left"/>
    </xf>
    <xf numFmtId="164" fontId="0" fillId="0" borderId="0" xfId="0" applyNumberFormat="1" applyFont="1" applyFill="1" applyBorder="1" applyAlignment="1">
      <alignment horizontal="center"/>
    </xf>
    <xf numFmtId="0" fontId="0" fillId="0" borderId="0" xfId="0" applyFont="1" applyFill="1" applyBorder="1"/>
    <xf numFmtId="0" fontId="0" fillId="0" borderId="11" xfId="0" applyNumberFormat="1" applyFont="1" applyFill="1" applyBorder="1" applyAlignment="1">
      <alignment horizontal="left"/>
    </xf>
    <xf numFmtId="0" fontId="0" fillId="2" borderId="0" xfId="0" applyFont="1" applyFill="1"/>
    <xf numFmtId="0" fontId="0" fillId="2" borderId="0" xfId="0" applyFont="1" applyFill="1" applyBorder="1" applyAlignment="1">
      <alignment horizontal="left"/>
    </xf>
    <xf numFmtId="0" fontId="0" fillId="2" borderId="0" xfId="0" applyFont="1" applyFill="1" applyBorder="1" applyAlignment="1">
      <alignment horizontal="center"/>
    </xf>
    <xf numFmtId="164" fontId="0" fillId="2" borderId="0" xfId="0" applyNumberFormat="1" applyFont="1" applyFill="1" applyBorder="1" applyAlignment="1">
      <alignment horizontal="center"/>
    </xf>
    <xf numFmtId="0" fontId="0" fillId="2" borderId="0" xfId="0" applyFont="1" applyFill="1" applyBorder="1"/>
    <xf numFmtId="0" fontId="0" fillId="2" borderId="11" xfId="0" applyNumberFormat="1" applyFont="1" applyFill="1" applyBorder="1" applyAlignment="1">
      <alignment horizontal="left"/>
    </xf>
    <xf numFmtId="0" fontId="0" fillId="0" borderId="35" xfId="0" applyBorder="1"/>
    <xf numFmtId="0" fontId="3" fillId="2" borderId="0" xfId="0" applyFont="1" applyFill="1" applyBorder="1" applyAlignment="1">
      <alignment horizontal="left" vertical="top" wrapText="1"/>
    </xf>
    <xf numFmtId="0" fontId="1" fillId="0" borderId="30" xfId="0" applyFont="1" applyBorder="1" applyAlignment="1">
      <alignment horizontal="center" vertical="top" wrapText="1"/>
    </xf>
    <xf numFmtId="0" fontId="0" fillId="2" borderId="0" xfId="0" applyFont="1" applyFill="1" applyBorder="1" applyAlignment="1">
      <alignment horizontal="left" vertical="top" wrapText="1"/>
    </xf>
    <xf numFmtId="0" fontId="1" fillId="0" borderId="10" xfId="0" applyFont="1" applyFill="1" applyBorder="1" applyAlignment="1">
      <alignment horizontal="left"/>
    </xf>
    <xf numFmtId="0" fontId="0" fillId="0" borderId="11" xfId="0" applyNumberFormat="1" applyFill="1" applyBorder="1" applyAlignment="1">
      <alignment horizontal="left"/>
    </xf>
    <xf numFmtId="0" fontId="0" fillId="0" borderId="10" xfId="0" applyFont="1" applyFill="1" applyBorder="1" applyAlignment="1">
      <alignment horizontal="left"/>
    </xf>
    <xf numFmtId="0" fontId="13" fillId="0" borderId="10" xfId="0" applyFont="1" applyFill="1" applyBorder="1" applyAlignment="1">
      <alignment horizontal="left"/>
    </xf>
    <xf numFmtId="0" fontId="0" fillId="0" borderId="10" xfId="0" applyFont="1" applyFill="1" applyBorder="1" applyAlignment="1">
      <alignment horizontal="center"/>
    </xf>
    <xf numFmtId="0" fontId="0" fillId="0" borderId="0" xfId="0" applyFill="1" applyBorder="1" applyAlignment="1">
      <alignment horizontal="left"/>
    </xf>
    <xf numFmtId="0" fontId="16" fillId="0" borderId="10" xfId="0" applyFont="1" applyFill="1" applyBorder="1" applyAlignment="1">
      <alignment horizontal="left"/>
    </xf>
    <xf numFmtId="0" fontId="13" fillId="2" borderId="0" xfId="0" applyFont="1" applyFill="1" applyBorder="1" applyAlignment="1">
      <alignment horizontal="center"/>
    </xf>
    <xf numFmtId="0" fontId="0" fillId="2" borderId="44" xfId="0" applyFill="1" applyBorder="1" applyAlignment="1">
      <alignment horizontal="left"/>
    </xf>
    <xf numFmtId="0" fontId="0" fillId="2" borderId="50" xfId="0" applyFill="1" applyBorder="1"/>
    <xf numFmtId="14" fontId="0" fillId="2" borderId="51" xfId="0" applyNumberFormat="1" applyFill="1" applyBorder="1" applyAlignment="1">
      <alignment horizontal="center"/>
    </xf>
    <xf numFmtId="14" fontId="0" fillId="2" borderId="0" xfId="0" applyNumberFormat="1" applyFill="1" applyBorder="1" applyAlignment="1">
      <alignment horizontal="left"/>
    </xf>
    <xf numFmtId="0" fontId="0" fillId="2" borderId="0" xfId="1" applyNumberFormat="1" applyFont="1" applyFill="1" applyBorder="1" applyAlignment="1">
      <alignment horizontal="left"/>
    </xf>
    <xf numFmtId="165" fontId="0" fillId="0" borderId="0" xfId="0" applyNumberFormat="1" applyFill="1" applyBorder="1" applyAlignment="1">
      <alignment horizontal="center"/>
    </xf>
    <xf numFmtId="0" fontId="4" fillId="0" borderId="0" xfId="0" applyFont="1" applyFill="1" applyBorder="1" applyAlignment="1">
      <alignment horizontal="center"/>
    </xf>
    <xf numFmtId="165" fontId="0" fillId="2" borderId="0" xfId="0" applyNumberFormat="1" applyFill="1" applyBorder="1"/>
    <xf numFmtId="3" fontId="9" fillId="0" borderId="30" xfId="0" applyNumberFormat="1" applyFont="1" applyBorder="1" applyAlignment="1">
      <alignment vertical="center" wrapText="1"/>
    </xf>
    <xf numFmtId="3" fontId="9" fillId="0" borderId="30" xfId="0" applyNumberFormat="1" applyFont="1" applyBorder="1" applyAlignment="1">
      <alignment vertical="center"/>
    </xf>
    <xf numFmtId="3" fontId="1" fillId="0" borderId="10" xfId="0" applyNumberFormat="1" applyFont="1" applyFill="1" applyBorder="1" applyAlignment="1">
      <alignment horizontal="left"/>
    </xf>
    <xf numFmtId="3" fontId="0" fillId="2" borderId="0" xfId="0" applyNumberFormat="1" applyFont="1" applyFill="1" applyBorder="1" applyAlignment="1">
      <alignment horizontal="center"/>
    </xf>
    <xf numFmtId="14" fontId="0" fillId="2" borderId="0" xfId="0" applyNumberFormat="1" applyFont="1" applyFill="1" applyBorder="1" applyAlignment="1">
      <alignment horizontal="center"/>
    </xf>
    <xf numFmtId="3" fontId="0" fillId="2" borderId="11" xfId="0" applyNumberFormat="1" applyFont="1" applyFill="1" applyBorder="1" applyAlignment="1">
      <alignment horizontal="center"/>
    </xf>
    <xf numFmtId="0" fontId="0" fillId="2" borderId="52" xfId="0" applyFill="1" applyBorder="1"/>
    <xf numFmtId="165" fontId="0" fillId="2" borderId="53" xfId="0" applyNumberFormat="1" applyFill="1" applyBorder="1" applyAlignment="1">
      <alignment horizontal="center"/>
    </xf>
    <xf numFmtId="14" fontId="0" fillId="2" borderId="53" xfId="0" applyNumberFormat="1" applyFill="1" applyBorder="1" applyAlignment="1">
      <alignment horizontal="center"/>
    </xf>
    <xf numFmtId="164" fontId="0" fillId="2" borderId="53" xfId="0" applyNumberFormat="1" applyFill="1" applyBorder="1" applyAlignment="1">
      <alignment horizontal="center"/>
    </xf>
    <xf numFmtId="3" fontId="0" fillId="2" borderId="54" xfId="0" applyNumberFormat="1" applyFill="1" applyBorder="1" applyAlignment="1">
      <alignment horizontal="center"/>
    </xf>
    <xf numFmtId="166" fontId="0" fillId="2" borderId="10" xfId="0" applyNumberFormat="1" applyFill="1" applyBorder="1" applyAlignment="1">
      <alignment horizontal="right"/>
    </xf>
    <xf numFmtId="165" fontId="0" fillId="0" borderId="11" xfId="1" applyNumberFormat="1" applyFont="1" applyFill="1" applyBorder="1" applyAlignment="1">
      <alignment horizontal="right"/>
    </xf>
    <xf numFmtId="0" fontId="0"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11" xfId="0" applyFont="1" applyFill="1" applyBorder="1" applyAlignment="1">
      <alignment horizontal="left" vertical="top" wrapText="1"/>
    </xf>
    <xf numFmtId="0" fontId="0" fillId="0" borderId="12"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1" fillId="0" borderId="9" xfId="0" applyFont="1" applyBorder="1" applyAlignment="1">
      <alignment horizontal="left"/>
    </xf>
    <xf numFmtId="0" fontId="0" fillId="0" borderId="9" xfId="0" applyBorder="1" applyAlignment="1">
      <alignment horizontal="left"/>
    </xf>
    <xf numFmtId="3" fontId="8" fillId="0" borderId="1" xfId="0" applyNumberFormat="1" applyFont="1" applyBorder="1" applyAlignment="1">
      <alignment horizontal="center" vertical="top"/>
    </xf>
    <xf numFmtId="3" fontId="8" fillId="0" borderId="2" xfId="0" applyNumberFormat="1" applyFont="1" applyBorder="1" applyAlignment="1">
      <alignment horizontal="center" vertical="top"/>
    </xf>
    <xf numFmtId="3" fontId="8" fillId="0" borderId="3" xfId="0" applyNumberFormat="1" applyFont="1" applyBorder="1" applyAlignment="1">
      <alignment horizontal="center" vertical="top"/>
    </xf>
    <xf numFmtId="3" fontId="8" fillId="0" borderId="23" xfId="0" applyNumberFormat="1" applyFont="1" applyFill="1" applyBorder="1" applyAlignment="1">
      <alignment horizontal="center" vertical="top"/>
    </xf>
    <xf numFmtId="3" fontId="8" fillId="0" borderId="24" xfId="0" applyNumberFormat="1" applyFont="1" applyFill="1" applyBorder="1" applyAlignment="1">
      <alignment horizontal="center" vertical="top"/>
    </xf>
    <xf numFmtId="3" fontId="8" fillId="0" borderId="25" xfId="0" applyNumberFormat="1" applyFont="1" applyFill="1" applyBorder="1" applyAlignment="1">
      <alignment horizontal="center" vertical="top"/>
    </xf>
    <xf numFmtId="0" fontId="1" fillId="0" borderId="18" xfId="0" applyFont="1" applyBorder="1" applyAlignment="1">
      <alignment horizontal="center" vertical="top" wrapText="1"/>
    </xf>
    <xf numFmtId="0" fontId="1" fillId="0" borderId="30" xfId="0" applyFont="1" applyBorder="1" applyAlignment="1">
      <alignment horizontal="center" vertical="top" wrapText="1"/>
    </xf>
    <xf numFmtId="3" fontId="8" fillId="0" borderId="39" xfId="0" applyNumberFormat="1" applyFont="1" applyBorder="1" applyAlignment="1">
      <alignment horizontal="center" vertical="top" wrapText="1"/>
    </xf>
    <xf numFmtId="3" fontId="8" fillId="0" borderId="42" xfId="0" applyNumberFormat="1" applyFont="1" applyBorder="1" applyAlignment="1">
      <alignment horizontal="center" vertical="top" wrapText="1"/>
    </xf>
    <xf numFmtId="3" fontId="8" fillId="0" borderId="41" xfId="0" applyNumberFormat="1" applyFont="1" applyBorder="1" applyAlignment="1">
      <alignment horizontal="center" vertical="top" wrapText="1"/>
    </xf>
    <xf numFmtId="3" fontId="8" fillId="0" borderId="43" xfId="0" applyNumberFormat="1" applyFont="1" applyBorder="1" applyAlignment="1">
      <alignment horizontal="center" vertical="top" wrapText="1"/>
    </xf>
    <xf numFmtId="3" fontId="8" fillId="0" borderId="40" xfId="0" applyNumberFormat="1" applyFont="1" applyBorder="1" applyAlignment="1">
      <alignment horizontal="center" vertical="top"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1"/>
  <sheetViews>
    <sheetView showGridLines="0" tabSelected="1" zoomScale="85" zoomScaleNormal="85" workbookViewId="0">
      <selection activeCell="A2" sqref="A2"/>
    </sheetView>
  </sheetViews>
  <sheetFormatPr defaultColWidth="8.875" defaultRowHeight="14.3" x14ac:dyDescent="0.25"/>
  <cols>
    <col min="1" max="1" width="15.875" style="2" customWidth="1"/>
    <col min="2" max="2" width="17.75" style="35" customWidth="1"/>
    <col min="3" max="3" width="29.375" style="35" customWidth="1"/>
    <col min="4" max="4" width="28.625" style="36" customWidth="1"/>
    <col min="5" max="5" width="21.875" style="35" customWidth="1"/>
    <col min="6" max="6" width="20" style="35" customWidth="1"/>
    <col min="7" max="7" width="15.125" style="2" bestFit="1" customWidth="1"/>
    <col min="8" max="8" width="11.875" style="2" customWidth="1"/>
    <col min="9" max="9" width="14.25" style="2" customWidth="1"/>
    <col min="10" max="10" width="59.25" style="13" customWidth="1"/>
    <col min="11" max="11" width="20.625" style="2" customWidth="1"/>
    <col min="12" max="12" width="15.375" style="2" customWidth="1"/>
    <col min="13" max="13" width="19.25" style="2" bestFit="1" customWidth="1"/>
    <col min="14" max="16384" width="8.875" style="2"/>
  </cols>
  <sheetData>
    <row r="1" spans="1:10" ht="14.95" x14ac:dyDescent="0.25">
      <c r="A1" s="65" t="s">
        <v>221</v>
      </c>
      <c r="C1" s="47"/>
    </row>
    <row r="2" spans="1:10" x14ac:dyDescent="0.25">
      <c r="A2" s="65"/>
      <c r="C2" s="47"/>
    </row>
    <row r="3" spans="1:10" x14ac:dyDescent="0.25">
      <c r="A3" s="185" t="s">
        <v>36</v>
      </c>
      <c r="B3" s="186"/>
      <c r="C3" s="186"/>
      <c r="D3" s="187"/>
      <c r="E3" s="186"/>
      <c r="F3" s="186"/>
      <c r="G3" s="188"/>
      <c r="H3" s="188"/>
      <c r="I3" s="188"/>
      <c r="J3" s="189"/>
    </row>
    <row r="4" spans="1:10" ht="46.2" customHeight="1" x14ac:dyDescent="0.25">
      <c r="A4" s="289" t="s">
        <v>205</v>
      </c>
      <c r="B4" s="290"/>
      <c r="C4" s="290"/>
      <c r="D4" s="290"/>
      <c r="E4" s="290"/>
      <c r="F4" s="290"/>
      <c r="G4" s="290"/>
      <c r="H4" s="290"/>
      <c r="I4" s="290"/>
      <c r="J4" s="291"/>
    </row>
    <row r="5" spans="1:10" ht="22.1" customHeight="1" x14ac:dyDescent="0.25">
      <c r="A5" s="259"/>
      <c r="B5" s="257"/>
      <c r="C5" s="257"/>
      <c r="D5" s="257"/>
      <c r="E5" s="257"/>
      <c r="F5" s="257"/>
      <c r="G5" s="257"/>
      <c r="H5" s="257"/>
      <c r="I5" s="257"/>
      <c r="J5" s="257"/>
    </row>
    <row r="6" spans="1:10" ht="15.65" customHeight="1" x14ac:dyDescent="0.25">
      <c r="A6" s="185" t="s">
        <v>105</v>
      </c>
      <c r="B6" s="186"/>
      <c r="C6" s="186"/>
      <c r="D6" s="187"/>
      <c r="E6" s="186"/>
      <c r="F6" s="186"/>
      <c r="G6" s="188"/>
      <c r="H6" s="188"/>
      <c r="I6" s="188"/>
      <c r="J6" s="189"/>
    </row>
    <row r="7" spans="1:10" ht="15.65" customHeight="1" x14ac:dyDescent="0.25">
      <c r="A7" s="260"/>
      <c r="B7" s="88"/>
      <c r="C7" s="88"/>
      <c r="D7" s="83"/>
      <c r="E7" s="88"/>
      <c r="F7" s="88"/>
      <c r="G7" s="82"/>
      <c r="H7" s="82"/>
      <c r="I7" s="82"/>
      <c r="J7" s="261"/>
    </row>
    <row r="8" spans="1:10" ht="15.65" customHeight="1" x14ac:dyDescent="0.25">
      <c r="A8" s="262" t="s">
        <v>206</v>
      </c>
      <c r="B8" s="166"/>
      <c r="C8" s="166"/>
      <c r="D8" s="247"/>
      <c r="E8" s="166"/>
      <c r="F8" s="166"/>
      <c r="G8" s="248"/>
      <c r="H8" s="248"/>
      <c r="I8" s="248"/>
      <c r="J8" s="249"/>
    </row>
    <row r="9" spans="1:10" ht="15.65" customHeight="1" x14ac:dyDescent="0.25">
      <c r="A9" s="262" t="s">
        <v>202</v>
      </c>
      <c r="B9" s="166"/>
      <c r="C9" s="166"/>
      <c r="D9" s="247"/>
      <c r="E9" s="166"/>
      <c r="F9" s="166"/>
      <c r="G9" s="248"/>
      <c r="H9" s="248"/>
      <c r="I9" s="248"/>
      <c r="J9" s="249"/>
    </row>
    <row r="10" spans="1:10" ht="15.65" customHeight="1" x14ac:dyDescent="0.25">
      <c r="A10" s="262"/>
      <c r="B10" s="166"/>
      <c r="C10" s="166"/>
      <c r="D10" s="247"/>
      <c r="E10" s="166"/>
      <c r="F10" s="166"/>
      <c r="G10" s="248"/>
      <c r="H10" s="248"/>
      <c r="I10" s="248"/>
      <c r="J10" s="249"/>
    </row>
    <row r="11" spans="1:10" ht="15.65" customHeight="1" x14ac:dyDescent="0.25">
      <c r="A11" s="262" t="s">
        <v>106</v>
      </c>
      <c r="B11" s="166"/>
      <c r="C11" s="166"/>
      <c r="D11" s="247"/>
      <c r="E11" s="166"/>
      <c r="F11" s="166"/>
      <c r="G11" s="248"/>
      <c r="H11" s="248"/>
      <c r="I11" s="248"/>
      <c r="J11" s="249"/>
    </row>
    <row r="12" spans="1:10" ht="15.65" customHeight="1" x14ac:dyDescent="0.25">
      <c r="A12" s="262" t="s">
        <v>107</v>
      </c>
      <c r="B12" s="166"/>
      <c r="C12" s="166"/>
      <c r="D12" s="247"/>
      <c r="E12" s="166"/>
      <c r="F12" s="166"/>
      <c r="G12" s="248"/>
      <c r="H12" s="248"/>
      <c r="I12" s="248"/>
      <c r="J12" s="249"/>
    </row>
    <row r="13" spans="1:10" ht="15.65" customHeight="1" x14ac:dyDescent="0.25">
      <c r="A13" s="262" t="s">
        <v>108</v>
      </c>
      <c r="B13" s="166"/>
      <c r="C13" s="166"/>
      <c r="D13" s="247"/>
      <c r="E13" s="166"/>
      <c r="F13" s="166"/>
      <c r="G13" s="248"/>
      <c r="H13" s="248"/>
      <c r="I13" s="248"/>
      <c r="J13" s="249"/>
    </row>
    <row r="14" spans="1:10" ht="15.65" customHeight="1" x14ac:dyDescent="0.25">
      <c r="A14" s="262"/>
      <c r="B14" s="166"/>
      <c r="C14" s="166"/>
      <c r="D14" s="247"/>
      <c r="E14" s="166"/>
      <c r="F14" s="166"/>
      <c r="G14" s="248"/>
      <c r="H14" s="248"/>
      <c r="I14" s="248"/>
      <c r="J14" s="249"/>
    </row>
    <row r="15" spans="1:10" ht="15.65" customHeight="1" x14ac:dyDescent="0.25">
      <c r="A15" s="260"/>
      <c r="B15" s="88"/>
      <c r="C15" s="88"/>
      <c r="D15" s="83"/>
      <c r="E15" s="88"/>
      <c r="F15" s="88"/>
      <c r="G15" s="82"/>
      <c r="H15" s="82"/>
      <c r="I15" s="82"/>
      <c r="J15" s="261"/>
    </row>
    <row r="16" spans="1:10" ht="15.65" customHeight="1" x14ac:dyDescent="0.25">
      <c r="A16" s="262" t="s">
        <v>109</v>
      </c>
      <c r="B16" s="88"/>
      <c r="C16" s="88"/>
      <c r="D16" s="83"/>
      <c r="E16" s="88"/>
      <c r="F16" s="88"/>
      <c r="G16" s="82"/>
      <c r="H16" s="82"/>
      <c r="I16" s="82"/>
      <c r="J16" s="261"/>
    </row>
    <row r="17" spans="1:10" ht="15.65" customHeight="1" x14ac:dyDescent="0.25">
      <c r="A17" s="263" t="s">
        <v>110</v>
      </c>
      <c r="B17" s="88"/>
      <c r="C17" s="88"/>
      <c r="D17" s="83"/>
      <c r="E17" s="88"/>
      <c r="F17" s="88"/>
      <c r="G17" s="82"/>
      <c r="H17" s="82"/>
      <c r="I17" s="82"/>
      <c r="J17" s="261"/>
    </row>
    <row r="18" spans="1:10" ht="15.65" customHeight="1" x14ac:dyDescent="0.25">
      <c r="A18" s="263"/>
      <c r="B18" s="88"/>
      <c r="C18" s="88"/>
      <c r="D18" s="83"/>
      <c r="E18" s="88"/>
      <c r="F18" s="88"/>
      <c r="G18" s="82"/>
      <c r="H18" s="82"/>
      <c r="I18" s="82"/>
      <c r="J18" s="261"/>
    </row>
    <row r="19" spans="1:10" ht="15.65" customHeight="1" x14ac:dyDescent="0.25">
      <c r="A19" s="264" t="s">
        <v>111</v>
      </c>
      <c r="B19" s="265" t="s">
        <v>112</v>
      </c>
      <c r="C19" s="88"/>
      <c r="D19" s="83"/>
      <c r="E19" s="88"/>
      <c r="F19" s="88"/>
      <c r="G19" s="82"/>
      <c r="H19" s="82"/>
      <c r="I19" s="82"/>
      <c r="J19" s="261"/>
    </row>
    <row r="20" spans="1:10" ht="15.65" customHeight="1" x14ac:dyDescent="0.25">
      <c r="A20" s="264" t="s">
        <v>113</v>
      </c>
      <c r="B20" s="265" t="s">
        <v>114</v>
      </c>
      <c r="C20" s="88"/>
      <c r="D20" s="83"/>
      <c r="E20" s="88"/>
      <c r="F20" s="88"/>
      <c r="G20" s="82"/>
      <c r="H20" s="82"/>
      <c r="I20" s="82"/>
      <c r="J20" s="261"/>
    </row>
    <row r="21" spans="1:10" ht="15.65" customHeight="1" x14ac:dyDescent="0.25">
      <c r="A21" s="264" t="s">
        <v>115</v>
      </c>
      <c r="B21" s="265" t="s">
        <v>116</v>
      </c>
      <c r="C21" s="88"/>
      <c r="D21" s="83"/>
      <c r="E21" s="88"/>
      <c r="F21" s="88"/>
      <c r="G21" s="82"/>
      <c r="H21" s="82"/>
      <c r="I21" s="82"/>
      <c r="J21" s="261"/>
    </row>
    <row r="22" spans="1:10" ht="15.65" customHeight="1" x14ac:dyDescent="0.25">
      <c r="A22" s="264" t="s">
        <v>117</v>
      </c>
      <c r="B22" s="265" t="s">
        <v>118</v>
      </c>
      <c r="C22" s="88"/>
      <c r="D22" s="83"/>
      <c r="E22" s="88"/>
      <c r="F22" s="88"/>
      <c r="G22" s="82"/>
      <c r="H22" s="82"/>
      <c r="I22" s="82"/>
      <c r="J22" s="261"/>
    </row>
    <row r="23" spans="1:10" ht="15.65" customHeight="1" x14ac:dyDescent="0.25">
      <c r="A23" s="264" t="s">
        <v>119</v>
      </c>
      <c r="B23" s="265" t="s">
        <v>120</v>
      </c>
      <c r="C23" s="88"/>
      <c r="D23" s="83"/>
      <c r="E23" s="88"/>
      <c r="F23" s="88"/>
      <c r="G23" s="82"/>
      <c r="H23" s="82"/>
      <c r="I23" s="82"/>
      <c r="J23" s="261"/>
    </row>
    <row r="24" spans="1:10" ht="15.65" customHeight="1" x14ac:dyDescent="0.25">
      <c r="A24" s="264"/>
      <c r="B24" s="265"/>
      <c r="C24" s="88"/>
      <c r="D24" s="83"/>
      <c r="E24" s="88"/>
      <c r="F24" s="88"/>
      <c r="G24" s="82"/>
      <c r="H24" s="82"/>
      <c r="I24" s="82"/>
      <c r="J24" s="261"/>
    </row>
    <row r="25" spans="1:10" ht="15.65" customHeight="1" x14ac:dyDescent="0.25">
      <c r="A25" s="263" t="s">
        <v>121</v>
      </c>
      <c r="B25" s="88"/>
      <c r="C25" s="88"/>
      <c r="D25" s="83"/>
      <c r="E25" s="88"/>
      <c r="F25" s="88"/>
      <c r="G25" s="82"/>
      <c r="H25" s="82"/>
      <c r="I25" s="82"/>
      <c r="J25" s="261"/>
    </row>
    <row r="26" spans="1:10" ht="15.65" customHeight="1" x14ac:dyDescent="0.25">
      <c r="A26" s="263"/>
      <c r="B26" s="88"/>
      <c r="C26" s="88"/>
      <c r="D26" s="83"/>
      <c r="E26" s="88"/>
      <c r="F26" s="88"/>
      <c r="G26" s="82"/>
      <c r="H26" s="82"/>
      <c r="I26" s="82"/>
      <c r="J26" s="261"/>
    </row>
    <row r="27" spans="1:10" ht="15.65" customHeight="1" x14ac:dyDescent="0.25">
      <c r="A27" s="264" t="s">
        <v>122</v>
      </c>
      <c r="B27" s="265" t="s">
        <v>126</v>
      </c>
      <c r="C27" s="88"/>
      <c r="D27" s="83"/>
      <c r="E27" s="88"/>
      <c r="F27" s="88"/>
      <c r="G27" s="82"/>
      <c r="H27" s="82"/>
      <c r="I27" s="82"/>
      <c r="J27" s="261"/>
    </row>
    <row r="28" spans="1:10" ht="15.65" customHeight="1" x14ac:dyDescent="0.25">
      <c r="A28" s="264" t="s">
        <v>123</v>
      </c>
      <c r="B28" s="2" t="s">
        <v>147</v>
      </c>
      <c r="C28" s="88"/>
      <c r="D28" s="83"/>
      <c r="E28" s="88"/>
      <c r="F28" s="88"/>
      <c r="G28" s="82"/>
      <c r="H28" s="82"/>
      <c r="I28" s="82"/>
      <c r="J28" s="261"/>
    </row>
    <row r="29" spans="1:10" ht="15.65" customHeight="1" x14ac:dyDescent="0.25">
      <c r="A29" s="264" t="s">
        <v>125</v>
      </c>
      <c r="B29" s="265" t="s">
        <v>149</v>
      </c>
      <c r="C29" s="88"/>
      <c r="D29" s="83"/>
      <c r="E29" s="88"/>
      <c r="F29" s="88"/>
      <c r="G29" s="82"/>
      <c r="H29" s="82"/>
      <c r="I29" s="82"/>
      <c r="J29" s="261"/>
    </row>
    <row r="30" spans="1:10" ht="15.65" customHeight="1" x14ac:dyDescent="0.25">
      <c r="A30" s="260"/>
      <c r="B30" s="88"/>
      <c r="C30" s="88"/>
      <c r="D30" s="83"/>
      <c r="E30" s="88"/>
      <c r="F30" s="88"/>
      <c r="G30" s="82"/>
      <c r="H30" s="82"/>
      <c r="I30" s="82"/>
      <c r="J30" s="261"/>
    </row>
    <row r="31" spans="1:10" ht="15.65" customHeight="1" x14ac:dyDescent="0.25">
      <c r="A31" s="266" t="s">
        <v>124</v>
      </c>
      <c r="B31" s="88"/>
      <c r="C31" s="88"/>
      <c r="D31" s="83"/>
      <c r="E31" s="88"/>
      <c r="F31" s="88"/>
      <c r="G31" s="82"/>
      <c r="H31" s="82"/>
      <c r="I31" s="82"/>
      <c r="J31" s="261"/>
    </row>
    <row r="32" spans="1:10" ht="15.65" customHeight="1" x14ac:dyDescent="0.25">
      <c r="A32" s="295"/>
      <c r="B32" s="296"/>
      <c r="C32" s="296"/>
      <c r="D32" s="296"/>
      <c r="E32" s="296"/>
      <c r="F32" s="296"/>
      <c r="G32" s="296"/>
      <c r="H32" s="296"/>
      <c r="I32" s="296"/>
      <c r="J32" s="297"/>
    </row>
    <row r="33" spans="1:10" ht="16.149999999999999" customHeight="1" x14ac:dyDescent="0.25">
      <c r="A33" s="259"/>
      <c r="B33" s="257"/>
      <c r="C33" s="257"/>
      <c r="D33" s="257"/>
      <c r="E33" s="257"/>
      <c r="F33" s="257"/>
      <c r="G33" s="257"/>
      <c r="H33" s="257"/>
      <c r="I33" s="257"/>
      <c r="J33" s="257"/>
    </row>
    <row r="34" spans="1:10" x14ac:dyDescent="0.25">
      <c r="A34" s="65"/>
      <c r="C34" s="47"/>
    </row>
    <row r="35" spans="1:10" x14ac:dyDescent="0.25">
      <c r="A35" s="185" t="s">
        <v>37</v>
      </c>
      <c r="B35" s="186"/>
      <c r="C35" s="186"/>
      <c r="D35" s="187"/>
      <c r="E35" s="186"/>
      <c r="F35" s="186"/>
      <c r="G35" s="188"/>
      <c r="H35" s="188"/>
      <c r="I35" s="188"/>
      <c r="J35" s="189"/>
    </row>
    <row r="36" spans="1:10" x14ac:dyDescent="0.25">
      <c r="A36" s="292"/>
      <c r="B36" s="293"/>
      <c r="C36" s="293"/>
      <c r="D36" s="293"/>
      <c r="E36" s="293"/>
      <c r="F36" s="293"/>
      <c r="G36" s="293"/>
      <c r="H36" s="293"/>
      <c r="I36" s="293"/>
      <c r="J36" s="294"/>
    </row>
    <row r="37" spans="1:10" x14ac:dyDescent="0.25">
      <c r="A37" s="190">
        <v>1</v>
      </c>
      <c r="B37" s="66" t="s">
        <v>127</v>
      </c>
      <c r="C37" s="67"/>
      <c r="D37" s="68"/>
      <c r="E37" s="67"/>
      <c r="F37" s="67"/>
      <c r="G37" s="69"/>
      <c r="H37" s="69"/>
      <c r="I37" s="69"/>
      <c r="J37" s="191"/>
    </row>
    <row r="38" spans="1:10" x14ac:dyDescent="0.25">
      <c r="A38" s="190">
        <v>2</v>
      </c>
      <c r="B38" s="66" t="s">
        <v>180</v>
      </c>
      <c r="C38" s="67"/>
      <c r="D38" s="68"/>
      <c r="E38" s="67"/>
      <c r="F38" s="67"/>
      <c r="G38" s="69"/>
      <c r="H38" s="69"/>
      <c r="I38" s="69"/>
      <c r="J38" s="191"/>
    </row>
    <row r="39" spans="1:10" x14ac:dyDescent="0.25">
      <c r="A39" s="190"/>
      <c r="B39" s="66" t="s">
        <v>186</v>
      </c>
      <c r="C39" s="67"/>
      <c r="D39" s="68"/>
      <c r="E39" s="67"/>
      <c r="F39" s="67"/>
      <c r="G39" s="69"/>
      <c r="H39" s="69"/>
      <c r="I39" s="69"/>
      <c r="J39" s="191"/>
    </row>
    <row r="40" spans="1:10" x14ac:dyDescent="0.25">
      <c r="A40" s="190">
        <v>3</v>
      </c>
      <c r="B40" s="66" t="s">
        <v>128</v>
      </c>
      <c r="C40" s="67"/>
      <c r="D40" s="68"/>
      <c r="E40" s="67"/>
      <c r="F40" s="67"/>
      <c r="G40" s="69"/>
      <c r="H40" s="69"/>
      <c r="I40" s="69"/>
      <c r="J40" s="191"/>
    </row>
    <row r="41" spans="1:10" x14ac:dyDescent="0.25">
      <c r="A41" s="190">
        <v>4</v>
      </c>
      <c r="B41" s="66" t="s">
        <v>129</v>
      </c>
      <c r="C41" s="67"/>
      <c r="D41" s="68"/>
      <c r="E41" s="67"/>
      <c r="F41" s="67"/>
      <c r="G41" s="69"/>
      <c r="H41" s="69"/>
      <c r="I41" s="69"/>
      <c r="J41" s="191"/>
    </row>
    <row r="42" spans="1:10" x14ac:dyDescent="0.25">
      <c r="A42" s="190">
        <v>5</v>
      </c>
      <c r="B42" s="69" t="s">
        <v>175</v>
      </c>
      <c r="C42" s="67"/>
      <c r="D42" s="68"/>
      <c r="E42" s="67"/>
      <c r="F42" s="67"/>
      <c r="G42" s="69"/>
      <c r="H42" s="69"/>
      <c r="I42" s="69"/>
      <c r="J42" s="191"/>
    </row>
    <row r="43" spans="1:10" x14ac:dyDescent="0.25">
      <c r="A43" s="190"/>
      <c r="B43" s="66" t="s">
        <v>85</v>
      </c>
      <c r="C43" s="67"/>
      <c r="D43" s="68"/>
      <c r="E43" s="67"/>
      <c r="F43" s="67"/>
      <c r="G43" s="69"/>
      <c r="H43" s="69"/>
      <c r="I43" s="69"/>
      <c r="J43" s="191"/>
    </row>
    <row r="44" spans="1:10" s="250" customFormat="1" x14ac:dyDescent="0.25">
      <c r="A44" s="190">
        <v>6</v>
      </c>
      <c r="B44" s="246" t="s">
        <v>130</v>
      </c>
      <c r="C44" s="166"/>
      <c r="D44" s="247"/>
      <c r="E44" s="166"/>
      <c r="F44" s="166"/>
      <c r="G44" s="248"/>
      <c r="H44" s="248"/>
      <c r="I44" s="248"/>
      <c r="J44" s="249"/>
    </row>
    <row r="45" spans="1:10" s="250" customFormat="1" x14ac:dyDescent="0.25">
      <c r="A45" s="190"/>
      <c r="B45" s="246" t="s">
        <v>75</v>
      </c>
      <c r="C45" s="166"/>
      <c r="D45" s="247"/>
      <c r="E45" s="166"/>
      <c r="F45" s="166"/>
      <c r="G45" s="248"/>
      <c r="H45" s="248"/>
      <c r="I45" s="248"/>
      <c r="J45" s="249"/>
    </row>
    <row r="46" spans="1:10" s="250" customFormat="1" x14ac:dyDescent="0.25">
      <c r="A46" s="190">
        <v>7</v>
      </c>
      <c r="B46" s="251" t="s">
        <v>131</v>
      </c>
      <c r="C46" s="252"/>
      <c r="D46" s="253"/>
      <c r="E46" s="252"/>
      <c r="F46" s="252"/>
      <c r="G46" s="254"/>
      <c r="H46" s="254"/>
      <c r="I46" s="254"/>
      <c r="J46" s="255"/>
    </row>
    <row r="47" spans="1:10" s="250" customFormat="1" x14ac:dyDescent="0.25">
      <c r="A47" s="190"/>
      <c r="B47" s="251" t="s">
        <v>35</v>
      </c>
      <c r="C47" s="252"/>
      <c r="D47" s="253"/>
      <c r="E47" s="252"/>
      <c r="F47" s="252"/>
      <c r="G47" s="254"/>
      <c r="H47" s="254"/>
      <c r="I47" s="254"/>
      <c r="J47" s="255"/>
    </row>
    <row r="48" spans="1:10" s="250" customFormat="1" x14ac:dyDescent="0.25">
      <c r="A48" s="190">
        <v>8</v>
      </c>
      <c r="B48" s="251" t="s">
        <v>132</v>
      </c>
      <c r="C48" s="252"/>
      <c r="D48" s="253"/>
      <c r="E48" s="252"/>
      <c r="F48" s="252"/>
      <c r="G48" s="254"/>
      <c r="H48" s="254"/>
      <c r="I48" s="254"/>
      <c r="J48" s="255"/>
    </row>
    <row r="49" spans="1:10" s="250" customFormat="1" x14ac:dyDescent="0.25">
      <c r="A49" s="190">
        <v>9</v>
      </c>
      <c r="B49" s="246" t="s">
        <v>172</v>
      </c>
      <c r="C49" s="166"/>
      <c r="D49" s="247"/>
      <c r="E49" s="166"/>
      <c r="F49" s="166"/>
      <c r="G49" s="248"/>
      <c r="H49" s="248"/>
      <c r="I49" s="248"/>
      <c r="J49" s="249"/>
    </row>
    <row r="50" spans="1:10" s="250" customFormat="1" x14ac:dyDescent="0.25">
      <c r="A50" s="190"/>
      <c r="B50" s="246" t="s">
        <v>176</v>
      </c>
      <c r="C50" s="166"/>
      <c r="D50" s="247"/>
      <c r="E50" s="166"/>
      <c r="F50" s="166"/>
      <c r="G50" s="248"/>
      <c r="H50" s="248"/>
      <c r="I50" s="248"/>
      <c r="J50" s="249"/>
    </row>
    <row r="51" spans="1:10" s="250" customFormat="1" x14ac:dyDescent="0.25">
      <c r="A51" s="190">
        <v>10</v>
      </c>
      <c r="B51" s="246" t="s">
        <v>133</v>
      </c>
      <c r="C51" s="166"/>
      <c r="D51" s="247"/>
      <c r="E51" s="166"/>
      <c r="F51" s="166"/>
      <c r="G51" s="248"/>
      <c r="H51" s="248"/>
      <c r="I51" s="248"/>
      <c r="J51" s="249"/>
    </row>
    <row r="52" spans="1:10" s="250" customFormat="1" x14ac:dyDescent="0.25">
      <c r="A52" s="192"/>
      <c r="B52" s="246" t="s">
        <v>83</v>
      </c>
      <c r="C52" s="166"/>
      <c r="D52" s="247"/>
      <c r="E52" s="166"/>
      <c r="F52" s="166"/>
      <c r="G52" s="248"/>
      <c r="H52" s="248"/>
      <c r="I52" s="248"/>
      <c r="J52" s="249"/>
    </row>
    <row r="53" spans="1:10" x14ac:dyDescent="0.25">
      <c r="A53" s="193"/>
      <c r="B53" s="194"/>
      <c r="C53" s="195"/>
      <c r="D53" s="196"/>
      <c r="E53" s="195"/>
      <c r="F53" s="195"/>
      <c r="G53" s="197"/>
      <c r="H53" s="197"/>
      <c r="I53" s="197"/>
      <c r="J53" s="198"/>
    </row>
    <row r="54" spans="1:10" x14ac:dyDescent="0.25">
      <c r="A54" s="70"/>
      <c r="B54" s="66"/>
      <c r="C54" s="67"/>
      <c r="D54" s="68"/>
      <c r="E54" s="67"/>
      <c r="F54" s="67"/>
      <c r="G54" s="69"/>
      <c r="H54" s="69"/>
      <c r="I54" s="69"/>
      <c r="J54" s="71"/>
    </row>
    <row r="55" spans="1:10" x14ac:dyDescent="0.25">
      <c r="A55" s="267" t="s">
        <v>111</v>
      </c>
      <c r="B55" s="66"/>
      <c r="C55" s="67"/>
      <c r="D55" s="68"/>
      <c r="E55" s="67"/>
      <c r="F55" s="67"/>
      <c r="G55" s="69"/>
      <c r="H55" s="69"/>
      <c r="I55" s="69"/>
      <c r="J55" s="71"/>
    </row>
    <row r="56" spans="1:10" x14ac:dyDescent="0.25">
      <c r="A56" s="70"/>
      <c r="B56" s="66"/>
      <c r="C56" s="67"/>
      <c r="D56" s="68"/>
      <c r="E56" s="67"/>
      <c r="F56" s="67"/>
      <c r="G56" s="69"/>
      <c r="H56" s="69"/>
      <c r="I56" s="69"/>
      <c r="J56" s="71"/>
    </row>
    <row r="57" spans="1:10" x14ac:dyDescent="0.25">
      <c r="A57" s="243" t="s">
        <v>209</v>
      </c>
      <c r="C57" s="47"/>
      <c r="E57" s="67"/>
    </row>
    <row r="58" spans="1:10" x14ac:dyDescent="0.25">
      <c r="A58" s="65"/>
      <c r="C58" s="47"/>
      <c r="E58" s="271"/>
    </row>
    <row r="59" spans="1:10" x14ac:dyDescent="0.25">
      <c r="A59" s="268" t="s">
        <v>134</v>
      </c>
      <c r="B59" s="269"/>
      <c r="C59" s="270">
        <v>44652</v>
      </c>
      <c r="E59" s="69"/>
    </row>
    <row r="60" spans="1:10" x14ac:dyDescent="0.25">
      <c r="A60" s="199" t="s">
        <v>135</v>
      </c>
      <c r="B60" s="194"/>
      <c r="C60" s="200">
        <v>0.05</v>
      </c>
      <c r="D60" s="244"/>
    </row>
    <row r="61" spans="1:10" x14ac:dyDescent="0.25">
      <c r="E61" s="2"/>
    </row>
    <row r="62" spans="1:10" x14ac:dyDescent="0.25">
      <c r="A62" s="267" t="s">
        <v>113</v>
      </c>
      <c r="E62" s="2"/>
    </row>
    <row r="63" spans="1:10" x14ac:dyDescent="0.25">
      <c r="E63" s="2"/>
    </row>
    <row r="64" spans="1:10" x14ac:dyDescent="0.25">
      <c r="A64" s="272" t="s">
        <v>136</v>
      </c>
      <c r="E64" s="2"/>
    </row>
    <row r="65" spans="1:5" x14ac:dyDescent="0.25">
      <c r="A65" s="272" t="s">
        <v>184</v>
      </c>
      <c r="E65" s="2"/>
    </row>
    <row r="66" spans="1:5" x14ac:dyDescent="0.25">
      <c r="E66" s="2"/>
    </row>
    <row r="67" spans="1:5" x14ac:dyDescent="0.25">
      <c r="A67" s="185" t="s">
        <v>38</v>
      </c>
      <c r="B67" s="211"/>
      <c r="C67" s="186"/>
      <c r="D67" s="187"/>
      <c r="E67" s="201"/>
    </row>
    <row r="68" spans="1:5" x14ac:dyDescent="0.25">
      <c r="A68" s="212"/>
      <c r="B68" s="209" t="s">
        <v>18</v>
      </c>
      <c r="C68" s="209" t="s">
        <v>19</v>
      </c>
      <c r="D68" s="210" t="s">
        <v>20</v>
      </c>
      <c r="E68" s="213" t="s">
        <v>21</v>
      </c>
    </row>
    <row r="69" spans="1:5" x14ac:dyDescent="0.25">
      <c r="A69" s="212">
        <v>0</v>
      </c>
      <c r="B69" s="279">
        <v>60000</v>
      </c>
      <c r="C69" s="280">
        <v>44652</v>
      </c>
      <c r="D69" s="253">
        <v>1</v>
      </c>
      <c r="E69" s="281">
        <v>60000</v>
      </c>
    </row>
    <row r="70" spans="1:5" x14ac:dyDescent="0.25">
      <c r="A70" s="282">
        <v>1</v>
      </c>
      <c r="B70" s="283">
        <v>60000</v>
      </c>
      <c r="C70" s="284">
        <v>45017</v>
      </c>
      <c r="D70" s="285">
        <f t="shared" ref="D70:D78" si="0">1/(1+$C$60)^A70</f>
        <v>0.95238095238095233</v>
      </c>
      <c r="E70" s="286">
        <f>B70*D70</f>
        <v>57142.857142857138</v>
      </c>
    </row>
    <row r="71" spans="1:5" x14ac:dyDescent="0.25">
      <c r="A71" s="212">
        <f>A70+1</f>
        <v>2</v>
      </c>
      <c r="B71" s="72">
        <v>60000</v>
      </c>
      <c r="C71" s="73">
        <v>45383</v>
      </c>
      <c r="D71" s="68">
        <f t="shared" si="0"/>
        <v>0.90702947845804982</v>
      </c>
      <c r="E71" s="214">
        <f t="shared" ref="E71:E78" si="1">B71*D71</f>
        <v>54421.768707482988</v>
      </c>
    </row>
    <row r="72" spans="1:5" x14ac:dyDescent="0.25">
      <c r="A72" s="212">
        <f t="shared" ref="A72:A78" si="2">A71+1</f>
        <v>3</v>
      </c>
      <c r="B72" s="72">
        <v>60000</v>
      </c>
      <c r="C72" s="73">
        <v>45748</v>
      </c>
      <c r="D72" s="68">
        <f t="shared" si="0"/>
        <v>0.86383759853147601</v>
      </c>
      <c r="E72" s="214">
        <f t="shared" si="1"/>
        <v>51830.255911888562</v>
      </c>
    </row>
    <row r="73" spans="1:5" x14ac:dyDescent="0.25">
      <c r="A73" s="212">
        <f t="shared" si="2"/>
        <v>4</v>
      </c>
      <c r="B73" s="72">
        <v>60000</v>
      </c>
      <c r="C73" s="73">
        <v>46113</v>
      </c>
      <c r="D73" s="68">
        <f t="shared" si="0"/>
        <v>0.82270247479188197</v>
      </c>
      <c r="E73" s="214">
        <f t="shared" si="1"/>
        <v>49362.148487512917</v>
      </c>
    </row>
    <row r="74" spans="1:5" x14ac:dyDescent="0.25">
      <c r="A74" s="212">
        <f t="shared" si="2"/>
        <v>5</v>
      </c>
      <c r="B74" s="72">
        <v>60000</v>
      </c>
      <c r="C74" s="73">
        <v>46478</v>
      </c>
      <c r="D74" s="68">
        <f t="shared" si="0"/>
        <v>0.78352616646845896</v>
      </c>
      <c r="E74" s="214">
        <f t="shared" si="1"/>
        <v>47011.569988107534</v>
      </c>
    </row>
    <row r="75" spans="1:5" x14ac:dyDescent="0.25">
      <c r="A75" s="212">
        <f t="shared" si="2"/>
        <v>6</v>
      </c>
      <c r="B75" s="72">
        <v>60000</v>
      </c>
      <c r="C75" s="73">
        <v>46844</v>
      </c>
      <c r="D75" s="68">
        <f t="shared" si="0"/>
        <v>0.74621539663662761</v>
      </c>
      <c r="E75" s="214">
        <f t="shared" si="1"/>
        <v>44772.923798197655</v>
      </c>
    </row>
    <row r="76" spans="1:5" x14ac:dyDescent="0.25">
      <c r="A76" s="212">
        <f t="shared" si="2"/>
        <v>7</v>
      </c>
      <c r="B76" s="72">
        <v>60000</v>
      </c>
      <c r="C76" s="73">
        <v>47209</v>
      </c>
      <c r="D76" s="68">
        <f t="shared" si="0"/>
        <v>0.71068133013012147</v>
      </c>
      <c r="E76" s="214">
        <f t="shared" si="1"/>
        <v>42640.879807807287</v>
      </c>
    </row>
    <row r="77" spans="1:5" x14ac:dyDescent="0.25">
      <c r="A77" s="212">
        <f t="shared" si="2"/>
        <v>8</v>
      </c>
      <c r="B77" s="72">
        <v>60000</v>
      </c>
      <c r="C77" s="73">
        <v>47574</v>
      </c>
      <c r="D77" s="68">
        <f t="shared" si="0"/>
        <v>0.67683936202868722</v>
      </c>
      <c r="E77" s="214">
        <f t="shared" si="1"/>
        <v>40610.36172172123</v>
      </c>
    </row>
    <row r="78" spans="1:5" x14ac:dyDescent="0.25">
      <c r="A78" s="216">
        <f t="shared" si="2"/>
        <v>9</v>
      </c>
      <c r="B78" s="217">
        <v>60000</v>
      </c>
      <c r="C78" s="218">
        <v>47939</v>
      </c>
      <c r="D78" s="196">
        <f t="shared" si="0"/>
        <v>0.64460891621779726</v>
      </c>
      <c r="E78" s="215">
        <f t="shared" si="1"/>
        <v>38676.534973067835</v>
      </c>
    </row>
    <row r="79" spans="1:5" x14ac:dyDescent="0.25">
      <c r="A79" s="216"/>
      <c r="B79" s="217"/>
      <c r="C79" s="218"/>
      <c r="D79" s="196"/>
      <c r="E79" s="219">
        <f>SUM(E70:E78)</f>
        <v>426469.30053864315</v>
      </c>
    </row>
    <row r="80" spans="1:5" x14ac:dyDescent="0.25">
      <c r="E80" s="2"/>
    </row>
    <row r="81" spans="1:10" x14ac:dyDescent="0.25">
      <c r="A81" s="267" t="s">
        <v>115</v>
      </c>
      <c r="E81" s="2"/>
    </row>
    <row r="82" spans="1:10" x14ac:dyDescent="0.25">
      <c r="E82" s="2"/>
    </row>
    <row r="83" spans="1:10" x14ac:dyDescent="0.25">
      <c r="A83" s="69" t="s">
        <v>137</v>
      </c>
      <c r="E83" s="2"/>
    </row>
    <row r="84" spans="1:10" x14ac:dyDescent="0.25">
      <c r="A84" s="69" t="s">
        <v>138</v>
      </c>
      <c r="B84" s="72"/>
      <c r="C84" s="73"/>
      <c r="D84" s="68"/>
      <c r="E84" s="74"/>
    </row>
    <row r="85" spans="1:10" x14ac:dyDescent="0.25">
      <c r="A85" s="69" t="s">
        <v>139</v>
      </c>
      <c r="B85" s="72"/>
      <c r="C85" s="73"/>
      <c r="D85" s="68"/>
      <c r="E85" s="74"/>
    </row>
    <row r="86" spans="1:10" x14ac:dyDescent="0.25">
      <c r="A86" s="69"/>
      <c r="B86" s="72"/>
      <c r="C86" s="73"/>
      <c r="D86" s="68"/>
      <c r="E86" s="74"/>
    </row>
    <row r="87" spans="1:10" s="78" customFormat="1" x14ac:dyDescent="0.25">
      <c r="A87" s="220" t="s">
        <v>39</v>
      </c>
      <c r="B87" s="186"/>
      <c r="C87" s="186"/>
      <c r="D87" s="187"/>
      <c r="E87" s="201"/>
      <c r="F87" s="76"/>
      <c r="J87" s="79"/>
    </row>
    <row r="88" spans="1:10" s="78" customFormat="1" x14ac:dyDescent="0.25">
      <c r="A88" s="80">
        <f>SUM(E70:E78)</f>
        <v>426469.30053864315</v>
      </c>
      <c r="B88" s="81" t="s">
        <v>0</v>
      </c>
      <c r="C88" s="88"/>
      <c r="D88" s="83"/>
      <c r="E88" s="84"/>
      <c r="F88" s="76"/>
    </row>
    <row r="89" spans="1:10" s="78" customFormat="1" x14ac:dyDescent="0.25">
      <c r="C89" s="82"/>
      <c r="D89" s="83"/>
      <c r="E89" s="84"/>
    </row>
    <row r="90" spans="1:10" s="78" customFormat="1" x14ac:dyDescent="0.25">
      <c r="A90" s="87"/>
      <c r="B90" s="83"/>
      <c r="C90" s="88"/>
      <c r="D90" s="88"/>
      <c r="E90" s="86"/>
    </row>
    <row r="91" spans="1:10" s="75" customFormat="1" x14ac:dyDescent="0.25">
      <c r="A91" s="89" t="s">
        <v>22</v>
      </c>
      <c r="B91" s="90" t="s">
        <v>23</v>
      </c>
      <c r="C91" s="91" t="s">
        <v>8</v>
      </c>
      <c r="D91" s="92" t="s">
        <v>198</v>
      </c>
      <c r="E91" s="93" t="s">
        <v>64</v>
      </c>
    </row>
    <row r="92" spans="1:10" s="78" customFormat="1" x14ac:dyDescent="0.25">
      <c r="A92" s="94" t="s">
        <v>187</v>
      </c>
      <c r="B92" s="95">
        <f>A88</f>
        <v>426469.30053864315</v>
      </c>
      <c r="C92" s="95">
        <v>0</v>
      </c>
      <c r="D92" s="95">
        <f t="shared" ref="D92:D101" si="3">SUM(B92:C92)*$C$60</f>
        <v>21323.465026932157</v>
      </c>
      <c r="E92" s="96">
        <f t="shared" ref="E92:E101" si="4">B92+D92+C92</f>
        <v>447792.76556557533</v>
      </c>
    </row>
    <row r="93" spans="1:10" s="78" customFormat="1" x14ac:dyDescent="0.25">
      <c r="A93" s="94" t="s">
        <v>188</v>
      </c>
      <c r="B93" s="95">
        <f>E92</f>
        <v>447792.76556557533</v>
      </c>
      <c r="C93" s="95">
        <f t="shared" ref="C93:C101" si="5">-B70</f>
        <v>-60000</v>
      </c>
      <c r="D93" s="95">
        <f t="shared" si="3"/>
        <v>19389.638278278766</v>
      </c>
      <c r="E93" s="96">
        <f t="shared" si="4"/>
        <v>407182.40384385409</v>
      </c>
    </row>
    <row r="94" spans="1:10" s="78" customFormat="1" x14ac:dyDescent="0.25">
      <c r="A94" s="94" t="s">
        <v>189</v>
      </c>
      <c r="B94" s="95">
        <f>E93</f>
        <v>407182.40384385409</v>
      </c>
      <c r="C94" s="95">
        <f t="shared" si="5"/>
        <v>-60000</v>
      </c>
      <c r="D94" s="95">
        <f t="shared" si="3"/>
        <v>17359.120192192706</v>
      </c>
      <c r="E94" s="96">
        <f t="shared" si="4"/>
        <v>364541.52403604682</v>
      </c>
    </row>
    <row r="95" spans="1:10" s="78" customFormat="1" x14ac:dyDescent="0.25">
      <c r="A95" s="94" t="s">
        <v>190</v>
      </c>
      <c r="B95" s="95">
        <f t="shared" ref="B95:B101" si="6">E94</f>
        <v>364541.52403604682</v>
      </c>
      <c r="C95" s="95">
        <f t="shared" si="5"/>
        <v>-60000</v>
      </c>
      <c r="D95" s="95">
        <f t="shared" si="3"/>
        <v>15227.076201802342</v>
      </c>
      <c r="E95" s="96">
        <f t="shared" si="4"/>
        <v>319768.60023784917</v>
      </c>
    </row>
    <row r="96" spans="1:10" s="78" customFormat="1" x14ac:dyDescent="0.25">
      <c r="A96" s="94" t="s">
        <v>191</v>
      </c>
      <c r="B96" s="95">
        <f t="shared" si="6"/>
        <v>319768.60023784917</v>
      </c>
      <c r="C96" s="95">
        <f t="shared" si="5"/>
        <v>-60000</v>
      </c>
      <c r="D96" s="95">
        <f t="shared" si="3"/>
        <v>12988.430011892458</v>
      </c>
      <c r="E96" s="96">
        <f t="shared" si="4"/>
        <v>272757.03024974163</v>
      </c>
    </row>
    <row r="97" spans="1:12" s="78" customFormat="1" x14ac:dyDescent="0.25">
      <c r="A97" s="94" t="s">
        <v>192</v>
      </c>
      <c r="B97" s="95">
        <f t="shared" si="6"/>
        <v>272757.03024974163</v>
      </c>
      <c r="C97" s="95">
        <f t="shared" si="5"/>
        <v>-60000</v>
      </c>
      <c r="D97" s="95">
        <f t="shared" si="3"/>
        <v>10637.851512487083</v>
      </c>
      <c r="E97" s="96">
        <f t="shared" si="4"/>
        <v>223394.88176222873</v>
      </c>
    </row>
    <row r="98" spans="1:12" s="78" customFormat="1" x14ac:dyDescent="0.25">
      <c r="A98" s="94" t="s">
        <v>193</v>
      </c>
      <c r="B98" s="95">
        <f t="shared" si="6"/>
        <v>223394.88176222873</v>
      </c>
      <c r="C98" s="95">
        <f t="shared" si="5"/>
        <v>-60000</v>
      </c>
      <c r="D98" s="95">
        <f t="shared" si="3"/>
        <v>8169.7440881114371</v>
      </c>
      <c r="E98" s="96">
        <f t="shared" si="4"/>
        <v>171564.62585034018</v>
      </c>
    </row>
    <row r="99" spans="1:12" s="78" customFormat="1" x14ac:dyDescent="0.25">
      <c r="A99" s="94" t="s">
        <v>194</v>
      </c>
      <c r="B99" s="95">
        <f t="shared" si="6"/>
        <v>171564.62585034018</v>
      </c>
      <c r="C99" s="95">
        <f t="shared" si="5"/>
        <v>-60000</v>
      </c>
      <c r="D99" s="95">
        <f t="shared" si="3"/>
        <v>5578.231292517009</v>
      </c>
      <c r="E99" s="96">
        <f t="shared" si="4"/>
        <v>117142.85714285719</v>
      </c>
    </row>
    <row r="100" spans="1:12" s="78" customFormat="1" x14ac:dyDescent="0.25">
      <c r="A100" s="94" t="s">
        <v>207</v>
      </c>
      <c r="B100" s="95">
        <f t="shared" si="6"/>
        <v>117142.85714285719</v>
      </c>
      <c r="C100" s="95">
        <f t="shared" si="5"/>
        <v>-60000</v>
      </c>
      <c r="D100" s="95">
        <f t="shared" si="3"/>
        <v>2857.1428571428596</v>
      </c>
      <c r="E100" s="96">
        <f t="shared" si="4"/>
        <v>60000.000000000044</v>
      </c>
    </row>
    <row r="101" spans="1:12" s="78" customFormat="1" x14ac:dyDescent="0.25">
      <c r="A101" s="99" t="s">
        <v>208</v>
      </c>
      <c r="B101" s="100">
        <f t="shared" si="6"/>
        <v>60000.000000000044</v>
      </c>
      <c r="C101" s="100">
        <f t="shared" si="5"/>
        <v>-60000</v>
      </c>
      <c r="D101" s="100">
        <f t="shared" si="3"/>
        <v>0</v>
      </c>
      <c r="E101" s="101">
        <f t="shared" si="4"/>
        <v>0</v>
      </c>
    </row>
    <row r="102" spans="1:12" x14ac:dyDescent="0.25">
      <c r="E102" s="2"/>
    </row>
    <row r="103" spans="1:12" x14ac:dyDescent="0.25">
      <c r="A103" s="267" t="s">
        <v>140</v>
      </c>
      <c r="E103" s="2"/>
    </row>
    <row r="104" spans="1:12" x14ac:dyDescent="0.25">
      <c r="A104" s="267"/>
      <c r="E104" s="2"/>
    </row>
    <row r="105" spans="1:12" s="78" customFormat="1" x14ac:dyDescent="0.25">
      <c r="A105" s="103" t="s">
        <v>141</v>
      </c>
      <c r="B105" s="95"/>
      <c r="C105" s="95"/>
      <c r="D105" s="95"/>
      <c r="E105" s="95"/>
      <c r="G105" s="97"/>
      <c r="H105" s="103"/>
      <c r="I105" s="98"/>
      <c r="J105" s="98"/>
      <c r="K105" s="98"/>
      <c r="L105" s="82"/>
    </row>
    <row r="106" spans="1:12" s="78" customFormat="1" x14ac:dyDescent="0.25">
      <c r="A106" s="103"/>
      <c r="B106" s="95"/>
      <c r="C106" s="95"/>
      <c r="D106" s="95"/>
      <c r="E106" s="95"/>
      <c r="G106" s="97"/>
      <c r="H106" s="103"/>
      <c r="I106" s="98"/>
      <c r="J106" s="98"/>
      <c r="K106" s="98"/>
      <c r="L106" s="82"/>
    </row>
    <row r="107" spans="1:12" x14ac:dyDescent="0.25">
      <c r="A107" s="185" t="s">
        <v>148</v>
      </c>
      <c r="B107" s="186"/>
      <c r="C107" s="201"/>
      <c r="E107" s="38"/>
      <c r="H107" s="1"/>
      <c r="I107" s="3"/>
    </row>
    <row r="108" spans="1:12" x14ac:dyDescent="0.25">
      <c r="A108" s="207">
        <v>20000</v>
      </c>
      <c r="B108" s="66" t="s">
        <v>177</v>
      </c>
      <c r="C108" s="203"/>
      <c r="E108" s="38"/>
      <c r="H108" s="1"/>
      <c r="I108" s="3"/>
    </row>
    <row r="109" spans="1:12" x14ac:dyDescent="0.25">
      <c r="A109" s="287">
        <v>-5000</v>
      </c>
      <c r="B109" s="66" t="s">
        <v>30</v>
      </c>
      <c r="C109" s="203"/>
      <c r="E109" s="38"/>
      <c r="H109" s="1"/>
      <c r="I109" s="3"/>
    </row>
    <row r="110" spans="1:12" x14ac:dyDescent="0.25">
      <c r="A110" s="208">
        <v>60000</v>
      </c>
      <c r="B110" s="194" t="s">
        <v>173</v>
      </c>
      <c r="C110" s="206"/>
      <c r="E110" s="54"/>
      <c r="H110" s="1"/>
      <c r="I110" s="3"/>
    </row>
    <row r="111" spans="1:12" x14ac:dyDescent="0.25">
      <c r="A111" s="245"/>
      <c r="B111" s="66"/>
      <c r="C111" s="67"/>
      <c r="E111" s="54"/>
      <c r="H111" s="1"/>
      <c r="I111" s="3"/>
    </row>
    <row r="112" spans="1:12" s="78" customFormat="1" x14ac:dyDescent="0.25">
      <c r="A112" s="103" t="s">
        <v>143</v>
      </c>
      <c r="B112" s="95"/>
      <c r="C112" s="95"/>
      <c r="D112" s="95"/>
      <c r="E112" s="95"/>
      <c r="G112" s="97"/>
      <c r="H112" s="103"/>
      <c r="I112" s="98"/>
      <c r="J112" s="98"/>
      <c r="K112" s="98"/>
      <c r="L112" s="82"/>
    </row>
    <row r="113" spans="1:12" s="78" customFormat="1" x14ac:dyDescent="0.25">
      <c r="A113" s="103" t="s">
        <v>142</v>
      </c>
      <c r="B113" s="95"/>
      <c r="C113" s="95"/>
      <c r="D113" s="95"/>
      <c r="E113" s="95"/>
      <c r="G113" s="97"/>
      <c r="H113" s="103"/>
      <c r="I113" s="98"/>
      <c r="J113" s="98"/>
      <c r="K113" s="98"/>
      <c r="L113" s="82"/>
    </row>
    <row r="114" spans="1:12" s="78" customFormat="1" x14ac:dyDescent="0.25">
      <c r="A114" s="102"/>
      <c r="B114" s="95"/>
      <c r="C114" s="95"/>
      <c r="D114" s="95"/>
      <c r="E114" s="95"/>
      <c r="G114" s="97"/>
      <c r="H114" s="103"/>
      <c r="I114" s="98"/>
      <c r="J114" s="98"/>
      <c r="K114" s="98"/>
      <c r="L114" s="82"/>
    </row>
    <row r="115" spans="1:12" s="78" customFormat="1" x14ac:dyDescent="0.25">
      <c r="A115" s="221" t="s">
        <v>199</v>
      </c>
      <c r="B115" s="188"/>
      <c r="C115" s="222"/>
      <c r="D115" s="188"/>
      <c r="E115" s="223"/>
      <c r="G115" s="97"/>
      <c r="H115" s="103"/>
      <c r="I115" s="98"/>
      <c r="J115" s="98"/>
      <c r="K115" s="98"/>
      <c r="L115" s="82"/>
    </row>
    <row r="116" spans="1:12" s="78" customFormat="1" x14ac:dyDescent="0.25">
      <c r="A116" s="278">
        <f>A88+A108+A110+A109</f>
        <v>501469.30053864315</v>
      </c>
      <c r="B116" s="85" t="s">
        <v>25</v>
      </c>
      <c r="C116" s="82"/>
      <c r="D116" s="82"/>
      <c r="E116" s="86"/>
      <c r="G116" s="97"/>
      <c r="H116" s="103"/>
      <c r="I116" s="98"/>
      <c r="J116" s="98"/>
      <c r="K116" s="98"/>
      <c r="L116" s="82"/>
    </row>
    <row r="117" spans="1:12" s="78" customFormat="1" x14ac:dyDescent="0.25">
      <c r="A117" s="224"/>
      <c r="B117" s="82"/>
      <c r="C117" s="82"/>
      <c r="D117" s="82"/>
      <c r="E117" s="86"/>
      <c r="G117" s="97"/>
      <c r="H117" s="103"/>
      <c r="I117" s="98"/>
      <c r="J117" s="98"/>
      <c r="K117" s="98"/>
      <c r="L117" s="82"/>
    </row>
    <row r="118" spans="1:12" s="75" customFormat="1" x14ac:dyDescent="0.25">
      <c r="A118" s="225" t="s">
        <v>22</v>
      </c>
      <c r="B118" s="126" t="s">
        <v>9</v>
      </c>
      <c r="C118" s="91" t="s">
        <v>76</v>
      </c>
      <c r="D118" s="85" t="s">
        <v>65</v>
      </c>
      <c r="E118" s="93" t="s">
        <v>66</v>
      </c>
      <c r="G118" s="127"/>
      <c r="H118" s="128"/>
      <c r="I118" s="129"/>
      <c r="J118" s="129"/>
      <c r="K118" s="129"/>
      <c r="L118" s="85"/>
    </row>
    <row r="119" spans="1:12" s="78" customFormat="1" x14ac:dyDescent="0.25">
      <c r="A119" s="94" t="s">
        <v>187</v>
      </c>
      <c r="B119" s="98">
        <f>A116</f>
        <v>501469.30053864315</v>
      </c>
      <c r="C119" s="98">
        <f t="shared" ref="C119:C128" si="7">-$A$116*10%</f>
        <v>-50146.930053864315</v>
      </c>
      <c r="D119" s="98">
        <f>SUM(B119:C119)</f>
        <v>451322.37048477883</v>
      </c>
      <c r="E119" s="226">
        <f t="shared" ref="E119:E128" si="8">D119-E92</f>
        <v>3529.6049192034989</v>
      </c>
      <c r="G119" s="97"/>
      <c r="H119" s="103"/>
      <c r="I119" s="98"/>
      <c r="J119" s="98"/>
      <c r="K119" s="98"/>
      <c r="L119" s="82"/>
    </row>
    <row r="120" spans="1:12" s="78" customFormat="1" x14ac:dyDescent="0.25">
      <c r="A120" s="94" t="s">
        <v>188</v>
      </c>
      <c r="B120" s="98">
        <f>D119</f>
        <v>451322.37048477883</v>
      </c>
      <c r="C120" s="98">
        <f t="shared" si="7"/>
        <v>-50146.930053864315</v>
      </c>
      <c r="D120" s="98">
        <f t="shared" ref="D120:D128" si="9">SUM(B120:C120)</f>
        <v>401175.44043091452</v>
      </c>
      <c r="E120" s="226">
        <f t="shared" si="8"/>
        <v>-6006.9634129395708</v>
      </c>
      <c r="G120" s="97"/>
      <c r="H120" s="103"/>
      <c r="I120" s="98"/>
      <c r="J120" s="98"/>
      <c r="K120" s="98"/>
      <c r="L120" s="82"/>
    </row>
    <row r="121" spans="1:12" s="78" customFormat="1" x14ac:dyDescent="0.25">
      <c r="A121" s="94" t="s">
        <v>189</v>
      </c>
      <c r="B121" s="98">
        <f t="shared" ref="B121:B128" si="10">D120</f>
        <v>401175.44043091452</v>
      </c>
      <c r="C121" s="98">
        <f t="shared" si="7"/>
        <v>-50146.930053864315</v>
      </c>
      <c r="D121" s="98">
        <f t="shared" si="9"/>
        <v>351028.5103770502</v>
      </c>
      <c r="E121" s="226">
        <f t="shared" si="8"/>
        <v>-13513.013658996613</v>
      </c>
      <c r="G121" s="97"/>
      <c r="H121" s="103"/>
      <c r="I121" s="98"/>
      <c r="J121" s="98"/>
      <c r="K121" s="98"/>
      <c r="L121" s="82"/>
    </row>
    <row r="122" spans="1:12" s="78" customFormat="1" x14ac:dyDescent="0.25">
      <c r="A122" s="94" t="s">
        <v>190</v>
      </c>
      <c r="B122" s="98">
        <f t="shared" si="10"/>
        <v>351028.5103770502</v>
      </c>
      <c r="C122" s="98">
        <f t="shared" si="7"/>
        <v>-50146.930053864315</v>
      </c>
      <c r="D122" s="98">
        <f t="shared" si="9"/>
        <v>300881.58032318589</v>
      </c>
      <c r="E122" s="226">
        <f t="shared" si="8"/>
        <v>-18887.01991466328</v>
      </c>
      <c r="G122" s="97"/>
      <c r="H122" s="103"/>
      <c r="I122" s="98"/>
      <c r="J122" s="98"/>
      <c r="K122" s="98"/>
      <c r="L122" s="82"/>
    </row>
    <row r="123" spans="1:12" s="78" customFormat="1" x14ac:dyDescent="0.25">
      <c r="A123" s="94" t="s">
        <v>191</v>
      </c>
      <c r="B123" s="98">
        <f t="shared" si="10"/>
        <v>300881.58032318589</v>
      </c>
      <c r="C123" s="98">
        <f t="shared" si="7"/>
        <v>-50146.930053864315</v>
      </c>
      <c r="D123" s="98">
        <f t="shared" si="9"/>
        <v>250734.65026932157</v>
      </c>
      <c r="E123" s="226">
        <f t="shared" si="8"/>
        <v>-22022.379980420053</v>
      </c>
      <c r="G123" s="97"/>
      <c r="H123" s="103"/>
      <c r="I123" s="98"/>
      <c r="J123" s="98"/>
      <c r="K123" s="98"/>
      <c r="L123" s="82"/>
    </row>
    <row r="124" spans="1:12" s="78" customFormat="1" x14ac:dyDescent="0.25">
      <c r="A124" s="94" t="s">
        <v>192</v>
      </c>
      <c r="B124" s="98">
        <f t="shared" si="10"/>
        <v>250734.65026932157</v>
      </c>
      <c r="C124" s="98">
        <f t="shared" si="7"/>
        <v>-50146.930053864315</v>
      </c>
      <c r="D124" s="98">
        <f t="shared" si="9"/>
        <v>200587.72021545726</v>
      </c>
      <c r="E124" s="226">
        <f t="shared" si="8"/>
        <v>-22807.161546771473</v>
      </c>
      <c r="G124" s="97"/>
      <c r="H124" s="103"/>
      <c r="I124" s="98"/>
      <c r="J124" s="98"/>
      <c r="K124" s="98"/>
      <c r="L124" s="82"/>
    </row>
    <row r="125" spans="1:12" s="78" customFormat="1" x14ac:dyDescent="0.25">
      <c r="A125" s="94" t="s">
        <v>193</v>
      </c>
      <c r="B125" s="98">
        <f t="shared" si="10"/>
        <v>200587.72021545726</v>
      </c>
      <c r="C125" s="98">
        <f t="shared" si="7"/>
        <v>-50146.930053864315</v>
      </c>
      <c r="D125" s="98">
        <f t="shared" si="9"/>
        <v>150440.79016159294</v>
      </c>
      <c r="E125" s="226">
        <f t="shared" si="8"/>
        <v>-21123.835688747233</v>
      </c>
      <c r="G125" s="97"/>
      <c r="H125" s="103"/>
      <c r="I125" s="98"/>
      <c r="J125" s="98"/>
      <c r="K125" s="98"/>
      <c r="L125" s="82"/>
    </row>
    <row r="126" spans="1:12" s="78" customFormat="1" x14ac:dyDescent="0.25">
      <c r="A126" s="94" t="s">
        <v>194</v>
      </c>
      <c r="B126" s="98">
        <f t="shared" si="10"/>
        <v>150440.79016159294</v>
      </c>
      <c r="C126" s="98">
        <f t="shared" si="7"/>
        <v>-50146.930053864315</v>
      </c>
      <c r="D126" s="98">
        <f t="shared" si="9"/>
        <v>100293.86010772863</v>
      </c>
      <c r="E126" s="226">
        <f t="shared" si="8"/>
        <v>-16848.997035128559</v>
      </c>
      <c r="G126" s="97"/>
      <c r="H126" s="103"/>
      <c r="I126" s="98"/>
      <c r="J126" s="98"/>
      <c r="K126" s="98"/>
      <c r="L126" s="82"/>
    </row>
    <row r="127" spans="1:12" s="78" customFormat="1" x14ac:dyDescent="0.25">
      <c r="A127" s="94" t="s">
        <v>207</v>
      </c>
      <c r="B127" s="98">
        <f t="shared" si="10"/>
        <v>100293.86010772863</v>
      </c>
      <c r="C127" s="98">
        <f t="shared" si="7"/>
        <v>-50146.930053864315</v>
      </c>
      <c r="D127" s="98">
        <f t="shared" si="9"/>
        <v>50146.930053864315</v>
      </c>
      <c r="E127" s="226">
        <f t="shared" si="8"/>
        <v>-9853.069946135729</v>
      </c>
      <c r="G127" s="97"/>
      <c r="H127" s="103"/>
      <c r="I127" s="98"/>
      <c r="J127" s="98"/>
      <c r="K127" s="98"/>
      <c r="L127" s="82"/>
    </row>
    <row r="128" spans="1:12" s="78" customFormat="1" x14ac:dyDescent="0.25">
      <c r="A128" s="99" t="s">
        <v>208</v>
      </c>
      <c r="B128" s="227">
        <f t="shared" si="10"/>
        <v>50146.930053864315</v>
      </c>
      <c r="C128" s="227">
        <f t="shared" si="7"/>
        <v>-50146.930053864315</v>
      </c>
      <c r="D128" s="227">
        <f t="shared" si="9"/>
        <v>0</v>
      </c>
      <c r="E128" s="228">
        <f t="shared" si="8"/>
        <v>0</v>
      </c>
      <c r="G128" s="97"/>
      <c r="H128" s="103"/>
      <c r="I128" s="98"/>
      <c r="J128" s="98"/>
      <c r="K128" s="98"/>
      <c r="L128" s="82"/>
    </row>
    <row r="129" spans="1:12" s="78" customFormat="1" x14ac:dyDescent="0.25">
      <c r="A129" s="103"/>
      <c r="B129" s="98"/>
      <c r="C129" s="98"/>
      <c r="D129" s="98"/>
      <c r="E129" s="98"/>
      <c r="G129" s="97"/>
      <c r="H129" s="103"/>
      <c r="I129" s="98"/>
      <c r="J129" s="98"/>
      <c r="K129" s="98"/>
      <c r="L129" s="82"/>
    </row>
    <row r="130" spans="1:12" s="78" customFormat="1" x14ac:dyDescent="0.25">
      <c r="A130" s="267" t="s">
        <v>122</v>
      </c>
      <c r="B130" s="98"/>
      <c r="C130" s="98"/>
      <c r="D130" s="98"/>
      <c r="E130" s="98"/>
      <c r="G130" s="97"/>
      <c r="H130" s="103"/>
      <c r="I130" s="98"/>
      <c r="J130" s="98"/>
      <c r="K130" s="98"/>
      <c r="L130" s="82"/>
    </row>
    <row r="131" spans="1:12" s="78" customFormat="1" x14ac:dyDescent="0.25">
      <c r="A131" s="103"/>
      <c r="B131" s="98"/>
      <c r="C131" s="98"/>
      <c r="D131" s="98"/>
      <c r="E131" s="98"/>
      <c r="G131" s="97"/>
      <c r="H131" s="103"/>
      <c r="I131" s="98"/>
      <c r="J131" s="98"/>
      <c r="K131" s="98"/>
      <c r="L131" s="82"/>
    </row>
    <row r="132" spans="1:12" x14ac:dyDescent="0.25">
      <c r="A132" s="2" t="s">
        <v>144</v>
      </c>
      <c r="E132" s="39"/>
      <c r="G132" s="3"/>
    </row>
    <row r="133" spans="1:12" x14ac:dyDescent="0.25">
      <c r="A133" s="2" t="s">
        <v>145</v>
      </c>
      <c r="E133" s="39"/>
      <c r="G133" s="3"/>
    </row>
    <row r="134" spans="1:12" x14ac:dyDescent="0.25">
      <c r="A134" s="2" t="s">
        <v>92</v>
      </c>
      <c r="E134" s="39"/>
      <c r="G134" s="3"/>
    </row>
    <row r="135" spans="1:12" x14ac:dyDescent="0.25">
      <c r="A135" s="2" t="s">
        <v>93</v>
      </c>
      <c r="E135" s="39"/>
      <c r="G135" s="3"/>
    </row>
    <row r="136" spans="1:12" x14ac:dyDescent="0.25">
      <c r="A136" s="4"/>
      <c r="E136" s="39"/>
      <c r="G136" s="3"/>
    </row>
    <row r="137" spans="1:12" x14ac:dyDescent="0.25">
      <c r="A137" s="230" t="s">
        <v>200</v>
      </c>
      <c r="B137" s="186"/>
      <c r="C137" s="186"/>
      <c r="D137" s="187"/>
      <c r="E137" s="231"/>
      <c r="F137" s="201"/>
      <c r="G137" s="3"/>
    </row>
    <row r="138" spans="1:12" x14ac:dyDescent="0.25">
      <c r="A138" s="232">
        <v>0</v>
      </c>
      <c r="B138" s="173">
        <v>44652</v>
      </c>
      <c r="C138" s="98">
        <f>-500000</f>
        <v>-500000</v>
      </c>
      <c r="D138" s="82"/>
      <c r="E138" s="82"/>
      <c r="F138" s="84"/>
      <c r="G138" s="3"/>
    </row>
    <row r="139" spans="1:12" x14ac:dyDescent="0.25">
      <c r="A139" s="232">
        <v>0</v>
      </c>
      <c r="B139" s="173">
        <v>44652</v>
      </c>
      <c r="C139" s="98">
        <f>'Scenario and Data'!$A$110</f>
        <v>60000</v>
      </c>
      <c r="D139" s="82" t="s">
        <v>80</v>
      </c>
      <c r="E139" s="174">
        <f t="shared" ref="E139:E149" si="11">1/(1+$B$153)^((B139-$C$59)/365)</f>
        <v>1</v>
      </c>
      <c r="F139" s="233">
        <f>C139*E139</f>
        <v>60000</v>
      </c>
    </row>
    <row r="140" spans="1:12" x14ac:dyDescent="0.25">
      <c r="A140" s="232">
        <v>0</v>
      </c>
      <c r="B140" s="173">
        <v>44652</v>
      </c>
      <c r="C140" s="98">
        <f>-5000</f>
        <v>-5000</v>
      </c>
      <c r="D140" s="82" t="s">
        <v>178</v>
      </c>
      <c r="E140" s="174">
        <f t="shared" si="11"/>
        <v>1</v>
      </c>
      <c r="F140" s="288">
        <f t="shared" ref="F140:F149" si="12">C140*E140</f>
        <v>-5000</v>
      </c>
    </row>
    <row r="141" spans="1:12" x14ac:dyDescent="0.25">
      <c r="A141" s="232">
        <v>1</v>
      </c>
      <c r="B141" s="173">
        <v>45017</v>
      </c>
      <c r="C141" s="98">
        <v>60000</v>
      </c>
      <c r="D141" s="82"/>
      <c r="E141" s="174">
        <f t="shared" si="11"/>
        <v>0.96105650903716455</v>
      </c>
      <c r="F141" s="233">
        <f t="shared" si="12"/>
        <v>57663.39054222987</v>
      </c>
    </row>
    <row r="142" spans="1:12" x14ac:dyDescent="0.25">
      <c r="A142" s="232">
        <v>2</v>
      </c>
      <c r="B142" s="173">
        <v>45383</v>
      </c>
      <c r="C142" s="98">
        <v>60000</v>
      </c>
      <c r="D142" s="82"/>
      <c r="E142" s="174">
        <f t="shared" si="11"/>
        <v>0.92352910264945609</v>
      </c>
      <c r="F142" s="233">
        <f t="shared" si="12"/>
        <v>55411.746158967362</v>
      </c>
    </row>
    <row r="143" spans="1:12" x14ac:dyDescent="0.25">
      <c r="A143" s="232">
        <v>3</v>
      </c>
      <c r="B143" s="173">
        <v>45748</v>
      </c>
      <c r="C143" s="98">
        <v>60000</v>
      </c>
      <c r="D143" s="82"/>
      <c r="E143" s="174">
        <f t="shared" si="11"/>
        <v>0.8875636553865115</v>
      </c>
      <c r="F143" s="233">
        <f t="shared" si="12"/>
        <v>53253.819323190692</v>
      </c>
    </row>
    <row r="144" spans="1:12" x14ac:dyDescent="0.25">
      <c r="A144" s="232">
        <v>4</v>
      </c>
      <c r="B144" s="173">
        <v>46113</v>
      </c>
      <c r="C144" s="98">
        <v>60000</v>
      </c>
      <c r="D144" s="82"/>
      <c r="E144" s="174">
        <f t="shared" si="11"/>
        <v>0.85299882819402584</v>
      </c>
      <c r="F144" s="233">
        <f t="shared" si="12"/>
        <v>51179.929691641548</v>
      </c>
    </row>
    <row r="145" spans="1:12" x14ac:dyDescent="0.25">
      <c r="A145" s="232">
        <v>5</v>
      </c>
      <c r="B145" s="173">
        <v>46478</v>
      </c>
      <c r="C145" s="98">
        <v>60000</v>
      </c>
      <c r="D145" s="82"/>
      <c r="E145" s="174">
        <f t="shared" si="11"/>
        <v>0.81978007603694258</v>
      </c>
      <c r="F145" s="233">
        <f t="shared" si="12"/>
        <v>49186.804562216552</v>
      </c>
    </row>
    <row r="146" spans="1:12" x14ac:dyDescent="0.25">
      <c r="A146" s="232">
        <v>6</v>
      </c>
      <c r="B146" s="173">
        <v>46844</v>
      </c>
      <c r="C146" s="98">
        <v>60000</v>
      </c>
      <c r="D146" s="82"/>
      <c r="E146" s="174">
        <f t="shared" si="11"/>
        <v>0.78776924236306622</v>
      </c>
      <c r="F146" s="233">
        <f t="shared" si="12"/>
        <v>47266.154541783973</v>
      </c>
    </row>
    <row r="147" spans="1:12" x14ac:dyDescent="0.25">
      <c r="A147" s="232">
        <v>7</v>
      </c>
      <c r="B147" s="173">
        <v>47209</v>
      </c>
      <c r="C147" s="98">
        <v>60000</v>
      </c>
      <c r="D147" s="82"/>
      <c r="E147" s="174">
        <f t="shared" si="11"/>
        <v>0.75709075799230063</v>
      </c>
      <c r="F147" s="233">
        <f t="shared" si="12"/>
        <v>45425.445479538037</v>
      </c>
    </row>
    <row r="148" spans="1:12" x14ac:dyDescent="0.25">
      <c r="A148" s="232">
        <v>8</v>
      </c>
      <c r="B148" s="173">
        <v>47574</v>
      </c>
      <c r="C148" s="98">
        <v>60000</v>
      </c>
      <c r="D148" s="82"/>
      <c r="E148" s="174">
        <f t="shared" si="11"/>
        <v>0.72760700090038133</v>
      </c>
      <c r="F148" s="233">
        <f t="shared" si="12"/>
        <v>43656.420054022878</v>
      </c>
    </row>
    <row r="149" spans="1:12" x14ac:dyDescent="0.25">
      <c r="A149" s="232">
        <v>9</v>
      </c>
      <c r="B149" s="173">
        <v>47939</v>
      </c>
      <c r="C149" s="98">
        <v>60000</v>
      </c>
      <c r="D149" s="82"/>
      <c r="E149" s="174">
        <f t="shared" si="11"/>
        <v>0.69927144423632148</v>
      </c>
      <c r="F149" s="234">
        <f t="shared" si="12"/>
        <v>41956.28665417929</v>
      </c>
    </row>
    <row r="150" spans="1:12" x14ac:dyDescent="0.25">
      <c r="A150" s="235"/>
      <c r="B150" s="173"/>
      <c r="C150" s="98"/>
      <c r="D150" s="82"/>
      <c r="E150" s="175" t="s">
        <v>79</v>
      </c>
      <c r="F150" s="233">
        <f>SUM(F139:F149)</f>
        <v>499999.99700777023</v>
      </c>
    </row>
    <row r="151" spans="1:12" x14ac:dyDescent="0.25">
      <c r="A151" s="235"/>
      <c r="B151" s="173"/>
      <c r="C151" s="98"/>
      <c r="D151" s="82"/>
      <c r="E151" s="175" t="s">
        <v>179</v>
      </c>
      <c r="F151" s="233">
        <f>SUM(F139:F140)</f>
        <v>55000</v>
      </c>
    </row>
    <row r="152" spans="1:12" x14ac:dyDescent="0.25">
      <c r="A152" s="235"/>
      <c r="B152" s="82"/>
      <c r="C152" s="82"/>
      <c r="D152" s="82"/>
      <c r="E152" s="175" t="s">
        <v>146</v>
      </c>
      <c r="F152" s="236">
        <f>SUM(F141:F149)</f>
        <v>444999.99700777017</v>
      </c>
    </row>
    <row r="153" spans="1:12" x14ac:dyDescent="0.25">
      <c r="A153" s="237"/>
      <c r="B153" s="238">
        <f>XIRR(C138:C149,B138:B149)</f>
        <v>4.0521541237831124E-2</v>
      </c>
      <c r="C153" s="239" t="s">
        <v>82</v>
      </c>
      <c r="D153" s="229"/>
      <c r="E153" s="240"/>
      <c r="F153" s="241"/>
    </row>
    <row r="154" spans="1:12" s="78" customFormat="1" x14ac:dyDescent="0.25">
      <c r="A154" s="103"/>
      <c r="B154" s="98"/>
      <c r="C154" s="98"/>
      <c r="D154" s="98"/>
      <c r="E154" s="98"/>
      <c r="G154" s="97"/>
      <c r="H154" s="103"/>
      <c r="I154" s="98"/>
      <c r="J154" s="98"/>
      <c r="K154" s="98"/>
      <c r="L154" s="82"/>
    </row>
    <row r="155" spans="1:12" s="78" customFormat="1" x14ac:dyDescent="0.25">
      <c r="A155" s="267" t="s">
        <v>123</v>
      </c>
      <c r="B155" s="98"/>
      <c r="C155" s="98"/>
      <c r="D155" s="98"/>
      <c r="E155" s="98"/>
      <c r="G155" s="97"/>
      <c r="H155" s="103"/>
      <c r="I155" s="98"/>
      <c r="J155" s="98"/>
      <c r="K155" s="98"/>
      <c r="L155" s="82"/>
    </row>
    <row r="156" spans="1:12" s="78" customFormat="1" x14ac:dyDescent="0.25">
      <c r="A156" s="103"/>
      <c r="B156" s="98"/>
      <c r="C156" s="98"/>
      <c r="D156" s="98"/>
      <c r="E156" s="98"/>
      <c r="G156" s="97"/>
      <c r="H156" s="103"/>
      <c r="I156" s="98"/>
      <c r="J156" s="98"/>
      <c r="K156" s="98"/>
      <c r="L156" s="82"/>
    </row>
    <row r="157" spans="1:12" x14ac:dyDescent="0.25">
      <c r="A157" s="2" t="s">
        <v>183</v>
      </c>
    </row>
    <row r="158" spans="1:12" x14ac:dyDescent="0.25">
      <c r="A158" s="2" t="s">
        <v>210</v>
      </c>
    </row>
    <row r="159" spans="1:12" x14ac:dyDescent="0.25">
      <c r="A159" s="2" t="s">
        <v>94</v>
      </c>
    </row>
    <row r="161" spans="1:12" x14ac:dyDescent="0.25">
      <c r="A161" s="220" t="s">
        <v>81</v>
      </c>
      <c r="B161" s="186"/>
      <c r="C161" s="186"/>
      <c r="D161" s="187"/>
      <c r="E161" s="201"/>
    </row>
    <row r="162" spans="1:12" x14ac:dyDescent="0.25">
      <c r="A162" s="80"/>
      <c r="B162" s="81"/>
      <c r="C162" s="88"/>
      <c r="D162" s="83"/>
      <c r="E162" s="84"/>
    </row>
    <row r="163" spans="1:12" x14ac:dyDescent="0.25">
      <c r="A163" s="87"/>
      <c r="B163" s="83"/>
      <c r="C163" s="88"/>
      <c r="D163" s="88"/>
      <c r="E163" s="86"/>
    </row>
    <row r="164" spans="1:12" x14ac:dyDescent="0.25">
      <c r="A164" s="89" t="s">
        <v>22</v>
      </c>
      <c r="B164" s="90" t="s">
        <v>23</v>
      </c>
      <c r="C164" s="91" t="s">
        <v>8</v>
      </c>
      <c r="D164" s="92" t="s">
        <v>201</v>
      </c>
      <c r="E164" s="93" t="s">
        <v>64</v>
      </c>
    </row>
    <row r="165" spans="1:12" x14ac:dyDescent="0.25">
      <c r="A165" s="94" t="s">
        <v>187</v>
      </c>
      <c r="B165" s="95">
        <f>F152</f>
        <v>444999.99700777017</v>
      </c>
      <c r="C165" s="95">
        <v>0</v>
      </c>
      <c r="D165" s="95">
        <f t="shared" ref="D165:D174" si="13">SUM(B165:C165)*$B$153</f>
        <v>18032.085729585087</v>
      </c>
      <c r="E165" s="96">
        <f t="shared" ref="E165:E174" si="14">B165+D165+C165</f>
        <v>463032.08273735526</v>
      </c>
    </row>
    <row r="166" spans="1:12" x14ac:dyDescent="0.25">
      <c r="A166" s="94" t="s">
        <v>188</v>
      </c>
      <c r="B166" s="95">
        <f>E165</f>
        <v>463032.08273735526</v>
      </c>
      <c r="C166" s="95">
        <f t="shared" ref="C166:C174" si="15">-C141</f>
        <v>-60000</v>
      </c>
      <c r="D166" s="95">
        <f t="shared" si="13"/>
        <v>16331.481160810707</v>
      </c>
      <c r="E166" s="96">
        <f t="shared" si="14"/>
        <v>419363.56389816594</v>
      </c>
    </row>
    <row r="167" spans="1:12" x14ac:dyDescent="0.25">
      <c r="A167" s="94" t="s">
        <v>189</v>
      </c>
      <c r="B167" s="95">
        <f>E166</f>
        <v>419363.56389816594</v>
      </c>
      <c r="C167" s="95">
        <f t="shared" si="15"/>
        <v>-60000</v>
      </c>
      <c r="D167" s="95">
        <f t="shared" si="13"/>
        <v>14561.965473873492</v>
      </c>
      <c r="E167" s="96">
        <f t="shared" si="14"/>
        <v>373925.52937203943</v>
      </c>
    </row>
    <row r="168" spans="1:12" x14ac:dyDescent="0.25">
      <c r="A168" s="94" t="s">
        <v>190</v>
      </c>
      <c r="B168" s="95">
        <f t="shared" ref="B168:B174" si="16">E167</f>
        <v>373925.52937203943</v>
      </c>
      <c r="C168" s="95">
        <f t="shared" si="15"/>
        <v>-60000</v>
      </c>
      <c r="D168" s="95">
        <f t="shared" si="13"/>
        <v>12720.746284057061</v>
      </c>
      <c r="E168" s="96">
        <f t="shared" si="14"/>
        <v>326646.27565609646</v>
      </c>
    </row>
    <row r="169" spans="1:12" x14ac:dyDescent="0.25">
      <c r="A169" s="94" t="s">
        <v>191</v>
      </c>
      <c r="B169" s="95">
        <f t="shared" si="16"/>
        <v>326646.27565609646</v>
      </c>
      <c r="C169" s="95">
        <f t="shared" si="15"/>
        <v>-60000</v>
      </c>
      <c r="D169" s="95">
        <f t="shared" si="13"/>
        <v>10804.918054912598</v>
      </c>
      <c r="E169" s="96">
        <f t="shared" si="14"/>
        <v>277451.19371100905</v>
      </c>
    </row>
    <row r="170" spans="1:12" x14ac:dyDescent="0.25">
      <c r="A170" s="94" t="s">
        <v>192</v>
      </c>
      <c r="B170" s="95">
        <f t="shared" si="16"/>
        <v>277451.19371100905</v>
      </c>
      <c r="C170" s="95">
        <f t="shared" si="15"/>
        <v>-60000</v>
      </c>
      <c r="D170" s="95">
        <f t="shared" si="13"/>
        <v>8811.4575131762576</v>
      </c>
      <c r="E170" s="96">
        <f t="shared" si="14"/>
        <v>226262.65122418531</v>
      </c>
    </row>
    <row r="171" spans="1:12" x14ac:dyDescent="0.25">
      <c r="A171" s="94" t="s">
        <v>193</v>
      </c>
      <c r="B171" s="95">
        <f t="shared" si="16"/>
        <v>226262.65122418531</v>
      </c>
      <c r="C171" s="95">
        <f t="shared" si="15"/>
        <v>-60000</v>
      </c>
      <c r="D171" s="95">
        <f t="shared" si="13"/>
        <v>6737.2188778919581</v>
      </c>
      <c r="E171" s="96">
        <f t="shared" si="14"/>
        <v>172999.87010207726</v>
      </c>
    </row>
    <row r="172" spans="1:12" x14ac:dyDescent="0.25">
      <c r="A172" s="94" t="s">
        <v>194</v>
      </c>
      <c r="B172" s="95">
        <f t="shared" si="16"/>
        <v>172999.87010207726</v>
      </c>
      <c r="C172" s="95">
        <f t="shared" si="15"/>
        <v>-60000</v>
      </c>
      <c r="D172" s="95">
        <f t="shared" si="13"/>
        <v>4578.928896210884</v>
      </c>
      <c r="E172" s="96">
        <f t="shared" si="14"/>
        <v>117578.79899828814</v>
      </c>
    </row>
    <row r="173" spans="1:12" x14ac:dyDescent="0.25">
      <c r="A173" s="94" t="s">
        <v>207</v>
      </c>
      <c r="B173" s="95">
        <f t="shared" si="16"/>
        <v>117578.79899828814</v>
      </c>
      <c r="C173" s="95">
        <f t="shared" si="15"/>
        <v>-60000</v>
      </c>
      <c r="D173" s="95">
        <f t="shared" si="13"/>
        <v>2333.1816780339223</v>
      </c>
      <c r="E173" s="96">
        <f>B173+D173+C173</f>
        <v>59911.980676322069</v>
      </c>
    </row>
    <row r="174" spans="1:12" x14ac:dyDescent="0.25">
      <c r="A174" s="99" t="s">
        <v>208</v>
      </c>
      <c r="B174" s="100">
        <f t="shared" si="16"/>
        <v>59911.980676322069</v>
      </c>
      <c r="C174" s="100">
        <f t="shared" si="15"/>
        <v>-60000</v>
      </c>
      <c r="D174" s="100">
        <f t="shared" si="13"/>
        <v>-3.5666786541412669</v>
      </c>
      <c r="E174" s="242">
        <f t="shared" si="14"/>
        <v>-91.586002332071075</v>
      </c>
    </row>
    <row r="175" spans="1:12" s="78" customFormat="1" x14ac:dyDescent="0.25">
      <c r="A175" s="103"/>
      <c r="B175" s="98"/>
      <c r="C175" s="98"/>
      <c r="D175" s="98"/>
      <c r="E175" s="98"/>
      <c r="G175" s="97"/>
      <c r="H175" s="103"/>
      <c r="I175" s="98"/>
      <c r="J175" s="98"/>
      <c r="K175" s="98"/>
      <c r="L175" s="82"/>
    </row>
    <row r="176" spans="1:12" s="78" customFormat="1" x14ac:dyDescent="0.25">
      <c r="A176" s="267" t="s">
        <v>125</v>
      </c>
      <c r="B176" s="98"/>
      <c r="C176" s="98"/>
      <c r="D176" s="98"/>
      <c r="E176" s="98"/>
      <c r="G176" s="97"/>
      <c r="H176" s="103"/>
      <c r="I176" s="98"/>
      <c r="J176" s="98"/>
      <c r="K176" s="98"/>
      <c r="L176" s="82"/>
    </row>
    <row r="177" spans="1:12" s="78" customFormat="1" x14ac:dyDescent="0.25">
      <c r="A177" s="103"/>
      <c r="B177" s="98"/>
      <c r="C177" s="98"/>
      <c r="D177" s="98"/>
      <c r="E177" s="98"/>
      <c r="G177" s="97"/>
      <c r="H177" s="103"/>
      <c r="I177" s="98"/>
      <c r="J177" s="98"/>
      <c r="K177" s="98"/>
      <c r="L177" s="82"/>
    </row>
    <row r="178" spans="1:12" x14ac:dyDescent="0.25">
      <c r="A178" s="2" t="s">
        <v>150</v>
      </c>
      <c r="E178" s="2"/>
    </row>
    <row r="179" spans="1:12" x14ac:dyDescent="0.25">
      <c r="E179" s="2"/>
    </row>
    <row r="180" spans="1:12" x14ac:dyDescent="0.25">
      <c r="A180" s="185" t="s">
        <v>31</v>
      </c>
      <c r="B180" s="186"/>
      <c r="C180" s="201"/>
      <c r="E180" s="160"/>
    </row>
    <row r="181" spans="1:12" x14ac:dyDescent="0.25">
      <c r="A181" s="202">
        <v>1000000</v>
      </c>
      <c r="B181" s="66" t="s">
        <v>32</v>
      </c>
      <c r="C181" s="203"/>
      <c r="E181" s="37"/>
    </row>
    <row r="182" spans="1:12" x14ac:dyDescent="0.25">
      <c r="A182" s="204">
        <v>-500000</v>
      </c>
      <c r="B182" s="66" t="s">
        <v>3</v>
      </c>
      <c r="C182" s="203"/>
      <c r="E182" s="37"/>
    </row>
    <row r="183" spans="1:12" x14ac:dyDescent="0.25">
      <c r="A183" s="202">
        <v>500000</v>
      </c>
      <c r="B183" s="66" t="s">
        <v>33</v>
      </c>
      <c r="C183" s="203"/>
      <c r="E183" s="37"/>
      <c r="I183" s="64"/>
    </row>
    <row r="184" spans="1:12" x14ac:dyDescent="0.25">
      <c r="A184" s="205">
        <v>50000</v>
      </c>
      <c r="B184" s="194" t="s">
        <v>34</v>
      </c>
      <c r="C184" s="206"/>
      <c r="E184" s="37"/>
    </row>
    <row r="185" spans="1:12" x14ac:dyDescent="0.25">
      <c r="E185" s="37"/>
      <c r="H185" s="1"/>
      <c r="I185" s="64"/>
    </row>
    <row r="186" spans="1:12" s="82" customFormat="1" x14ac:dyDescent="0.25">
      <c r="A186" s="103"/>
      <c r="B186" s="95"/>
      <c r="C186" s="95"/>
      <c r="D186" s="95"/>
      <c r="E186" s="95"/>
      <c r="G186" s="98"/>
      <c r="H186" s="103"/>
      <c r="I186" s="98"/>
      <c r="J186" s="98"/>
      <c r="K186" s="98"/>
    </row>
    <row r="187" spans="1:12" s="82" customFormat="1" x14ac:dyDescent="0.25">
      <c r="A187" s="102"/>
      <c r="B187" s="95"/>
      <c r="C187" s="95"/>
      <c r="D187" s="95"/>
      <c r="E187" s="95"/>
      <c r="G187" s="98"/>
      <c r="H187" s="103"/>
      <c r="I187" s="98"/>
      <c r="J187" s="98"/>
      <c r="K187" s="98"/>
    </row>
    <row r="188" spans="1:12" s="82" customFormat="1" x14ac:dyDescent="0.25">
      <c r="A188" s="81"/>
      <c r="B188" s="83"/>
      <c r="C188" s="273"/>
      <c r="D188" s="88"/>
      <c r="H188" s="103"/>
    </row>
    <row r="189" spans="1:12" s="82" customFormat="1" x14ac:dyDescent="0.25">
      <c r="A189" s="98"/>
      <c r="D189" s="88"/>
      <c r="H189" s="103"/>
    </row>
    <row r="190" spans="1:12" s="82" customFormat="1" x14ac:dyDescent="0.25">
      <c r="A190" s="98"/>
      <c r="D190" s="88"/>
      <c r="H190" s="103"/>
    </row>
    <row r="191" spans="1:12" s="82" customFormat="1" x14ac:dyDescent="0.25">
      <c r="A191" s="98"/>
      <c r="D191" s="274"/>
      <c r="H191" s="103"/>
    </row>
    <row r="192" spans="1:12" s="82" customFormat="1" x14ac:dyDescent="0.25">
      <c r="A192" s="98"/>
      <c r="D192" s="88"/>
      <c r="H192" s="103"/>
    </row>
    <row r="193" spans="2:10" s="69" customFormat="1" x14ac:dyDescent="0.25">
      <c r="B193" s="67"/>
      <c r="C193" s="67"/>
      <c r="D193" s="68"/>
      <c r="E193" s="72"/>
      <c r="F193" s="67"/>
      <c r="G193" s="275"/>
      <c r="J193" s="71"/>
    </row>
    <row r="237" spans="1:4" x14ac:dyDescent="0.25">
      <c r="A237" s="75"/>
      <c r="B237" s="76"/>
      <c r="C237" s="76"/>
      <c r="D237" s="77"/>
    </row>
    <row r="238" spans="1:4" x14ac:dyDescent="0.25">
      <c r="A238" s="78"/>
      <c r="B238" s="76"/>
      <c r="C238" s="76"/>
      <c r="D238" s="77"/>
    </row>
    <row r="239" spans="1:4" x14ac:dyDescent="0.25">
      <c r="A239" s="97"/>
      <c r="B239" s="176"/>
      <c r="C239" s="76"/>
      <c r="D239" s="77"/>
    </row>
    <row r="240" spans="1:4" x14ac:dyDescent="0.25">
      <c r="A240" s="97"/>
      <c r="B240" s="176"/>
      <c r="C240" s="76"/>
      <c r="D240" s="77"/>
    </row>
    <row r="241" spans="1:4" x14ac:dyDescent="0.25">
      <c r="A241" s="97"/>
      <c r="B241" s="176"/>
      <c r="C241" s="76"/>
      <c r="D241" s="77"/>
    </row>
  </sheetData>
  <mergeCells count="3">
    <mergeCell ref="A4:J4"/>
    <mergeCell ref="A36:J36"/>
    <mergeCell ref="A32:J3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30"/>
  <sheetViews>
    <sheetView showGridLines="0" zoomScaleNormal="100" workbookViewId="0">
      <selection activeCell="A212" sqref="A212"/>
    </sheetView>
  </sheetViews>
  <sheetFormatPr defaultRowHeight="14.3" outlineLevelCol="1" x14ac:dyDescent="0.25"/>
  <cols>
    <col min="1" max="1" width="46.625" style="5" customWidth="1"/>
    <col min="2" max="2" width="19.25" style="7" customWidth="1"/>
    <col min="3" max="4" width="19.25" style="11" customWidth="1"/>
    <col min="5" max="5" width="19.25" style="7" customWidth="1"/>
    <col min="6" max="6" width="15.875" style="7" hidden="1" customWidth="1" outlineLevel="1"/>
    <col min="7" max="7" width="21.25" style="159" hidden="1" customWidth="1" outlineLevel="1"/>
    <col min="8" max="8" width="8.875" customWidth="1" collapsed="1"/>
    <col min="9" max="9" width="8.875" customWidth="1"/>
    <col min="11" max="11" width="10" bestFit="1" customWidth="1"/>
  </cols>
  <sheetData>
    <row r="1" spans="1:10" ht="14.95" x14ac:dyDescent="0.25">
      <c r="A1" s="49" t="s">
        <v>27</v>
      </c>
    </row>
    <row r="2" spans="1:10" ht="14.95" thickBot="1" x14ac:dyDescent="0.3">
      <c r="A2" s="6"/>
      <c r="B2" s="298" t="s">
        <v>11</v>
      </c>
      <c r="C2" s="299"/>
      <c r="D2" s="40" t="s">
        <v>10</v>
      </c>
    </row>
    <row r="3" spans="1:10" ht="14.95" thickBot="1" x14ac:dyDescent="0.3">
      <c r="A3" s="63" t="s">
        <v>211</v>
      </c>
      <c r="B3" s="61" t="s">
        <v>6</v>
      </c>
      <c r="C3" s="62" t="s">
        <v>63</v>
      </c>
      <c r="D3" s="61" t="s">
        <v>7</v>
      </c>
      <c r="E3" s="62" t="s">
        <v>12</v>
      </c>
      <c r="F3" s="8"/>
    </row>
    <row r="4" spans="1:10" ht="16.3" x14ac:dyDescent="0.3">
      <c r="A4" s="184" t="s">
        <v>2</v>
      </c>
      <c r="B4" s="16"/>
      <c r="C4" s="17"/>
      <c r="D4" s="29"/>
      <c r="E4" s="30"/>
    </row>
    <row r="5" spans="1:10" x14ac:dyDescent="0.25">
      <c r="A5" s="5" t="s">
        <v>151</v>
      </c>
      <c r="B5" s="23">
        <f>'Scenario and Data'!D92</f>
        <v>21323.465026932157</v>
      </c>
      <c r="C5" s="24"/>
      <c r="E5" s="30"/>
      <c r="G5" s="159" t="s">
        <v>203</v>
      </c>
    </row>
    <row r="6" spans="1:10" x14ac:dyDescent="0.25">
      <c r="A6" s="5" t="s">
        <v>162</v>
      </c>
      <c r="B6" s="23"/>
      <c r="C6" s="24"/>
      <c r="D6" s="23">
        <f>-'Scenario and Data'!D165</f>
        <v>-18032.085729585087</v>
      </c>
      <c r="E6" s="30"/>
      <c r="G6" s="159" t="s">
        <v>204</v>
      </c>
    </row>
    <row r="7" spans="1:10" x14ac:dyDescent="0.25">
      <c r="A7" s="5" t="s">
        <v>91</v>
      </c>
      <c r="B7" s="25"/>
      <c r="C7" s="26">
        <f>-'Scenario and Data'!C119</f>
        <v>50146.930053864315</v>
      </c>
      <c r="D7" s="23"/>
      <c r="E7" s="19"/>
      <c r="G7" s="158" t="s">
        <v>197</v>
      </c>
    </row>
    <row r="8" spans="1:10" s="5" customFormat="1" x14ac:dyDescent="0.25">
      <c r="A8" s="5" t="s">
        <v>152</v>
      </c>
      <c r="B8" s="16"/>
      <c r="C8" s="17"/>
      <c r="D8" s="51"/>
      <c r="E8" s="26">
        <f>-E19-E20-E18</f>
        <v>2.9922297690063715E-3</v>
      </c>
      <c r="F8" s="7"/>
      <c r="G8" s="159"/>
      <c r="J8" s="57"/>
    </row>
    <row r="9" spans="1:10" s="5" customFormat="1" ht="14.95" thickBot="1" x14ac:dyDescent="0.3">
      <c r="A9" s="6" t="s">
        <v>5</v>
      </c>
      <c r="B9" s="20">
        <f>SUM(B5:B8)</f>
        <v>21323.465026932157</v>
      </c>
      <c r="C9" s="21">
        <f>SUM(C5:C8)</f>
        <v>50146.930053864315</v>
      </c>
      <c r="D9" s="20">
        <f>SUM(D6:D8)</f>
        <v>-18032.085729585087</v>
      </c>
      <c r="E9" s="21">
        <f>SUM(E5:E8)</f>
        <v>2.9922297690063715E-3</v>
      </c>
      <c r="F9" s="9"/>
      <c r="G9" s="171"/>
      <c r="H9"/>
    </row>
    <row r="10" spans="1:10" s="5" customFormat="1" ht="15.65" thickTop="1" thickBot="1" x14ac:dyDescent="0.3">
      <c r="A10" s="6"/>
      <c r="B10" s="34"/>
      <c r="C10" s="34"/>
      <c r="D10" s="50"/>
      <c r="E10" s="50"/>
      <c r="F10" s="9"/>
      <c r="G10" s="159"/>
      <c r="H10"/>
    </row>
    <row r="11" spans="1:10" s="5" customFormat="1" ht="17" thickBot="1" x14ac:dyDescent="0.35">
      <c r="A11" s="184" t="s">
        <v>24</v>
      </c>
      <c r="B11" s="61" t="s">
        <v>6</v>
      </c>
      <c r="C11" s="167" t="s">
        <v>63</v>
      </c>
      <c r="D11" s="61" t="s">
        <v>7</v>
      </c>
      <c r="E11" s="62" t="s">
        <v>12</v>
      </c>
      <c r="F11" s="7"/>
      <c r="G11" s="171"/>
      <c r="H11"/>
    </row>
    <row r="12" spans="1:10" s="5" customFormat="1" x14ac:dyDescent="0.25">
      <c r="A12" s="15" t="s">
        <v>153</v>
      </c>
      <c r="B12" s="25"/>
      <c r="C12" s="165">
        <f>-B16</f>
        <v>426469.30053864315</v>
      </c>
      <c r="D12" s="58"/>
      <c r="E12" s="26"/>
      <c r="F12" s="7"/>
      <c r="G12" s="171" t="s">
        <v>196</v>
      </c>
      <c r="H12"/>
    </row>
    <row r="13" spans="1:10" s="5" customFormat="1" x14ac:dyDescent="0.25">
      <c r="A13" s="15" t="s">
        <v>154</v>
      </c>
      <c r="B13" s="25"/>
      <c r="C13" s="164">
        <f>-B22</f>
        <v>60000</v>
      </c>
      <c r="D13" s="58"/>
      <c r="E13" s="26">
        <f>-'Scenario and Data'!A110</f>
        <v>-60000</v>
      </c>
      <c r="F13" s="7"/>
      <c r="G13" s="159" t="s">
        <v>84</v>
      </c>
      <c r="H13"/>
    </row>
    <row r="14" spans="1:10" s="5" customFormat="1" x14ac:dyDescent="0.25">
      <c r="A14" s="15" t="s">
        <v>13</v>
      </c>
      <c r="B14" s="25"/>
      <c r="C14" s="165">
        <f>'Scenario and Data'!A108</f>
        <v>20000</v>
      </c>
      <c r="D14" s="58"/>
      <c r="E14" s="26"/>
      <c r="F14" s="7"/>
      <c r="G14" s="159" t="s">
        <v>185</v>
      </c>
      <c r="H14" s="48"/>
      <c r="I14" s="56"/>
    </row>
    <row r="15" spans="1:10" s="5" customFormat="1" x14ac:dyDescent="0.25">
      <c r="A15" s="15" t="s">
        <v>14</v>
      </c>
      <c r="B15" s="25"/>
      <c r="C15" s="164">
        <f>'Scenario and Data'!A109</f>
        <v>-5000</v>
      </c>
      <c r="D15" s="59"/>
      <c r="E15" s="26">
        <f>-'Scenario and Data'!A109</f>
        <v>5000</v>
      </c>
      <c r="F15" s="7"/>
      <c r="G15" s="159" t="s">
        <v>95</v>
      </c>
      <c r="H15"/>
    </row>
    <row r="16" spans="1:10" s="5" customFormat="1" x14ac:dyDescent="0.25">
      <c r="A16" s="14" t="s">
        <v>174</v>
      </c>
      <c r="B16" s="23">
        <f>-'Scenario and Data'!A88</f>
        <v>-426469.30053864315</v>
      </c>
      <c r="C16" s="166"/>
      <c r="D16" s="58"/>
      <c r="E16" s="26"/>
      <c r="F16" s="7"/>
      <c r="G16" s="159"/>
      <c r="H16"/>
    </row>
    <row r="17" spans="1:11" s="5" customFormat="1" x14ac:dyDescent="0.25">
      <c r="A17" s="5" t="s">
        <v>4</v>
      </c>
      <c r="B17" s="23">
        <f>-B5</f>
        <v>-21323.465026932157</v>
      </c>
      <c r="C17" s="166"/>
      <c r="D17" s="59">
        <f>-D6</f>
        <v>18032.085729585087</v>
      </c>
      <c r="E17" s="26"/>
      <c r="F17" s="7"/>
      <c r="G17" s="171"/>
      <c r="H17"/>
    </row>
    <row r="18" spans="1:11" s="5" customFormat="1" x14ac:dyDescent="0.25">
      <c r="A18" s="5" t="s">
        <v>158</v>
      </c>
      <c r="B18" s="23"/>
      <c r="C18" s="166"/>
      <c r="D18" s="170"/>
      <c r="E18" s="55">
        <f>'Scenario and Data'!F150</f>
        <v>499999.99700777023</v>
      </c>
      <c r="F18" s="7"/>
      <c r="G18" s="159"/>
      <c r="H18"/>
    </row>
    <row r="19" spans="1:11" s="5" customFormat="1" x14ac:dyDescent="0.25">
      <c r="A19" s="5" t="s">
        <v>159</v>
      </c>
      <c r="B19" s="23"/>
      <c r="C19" s="166"/>
      <c r="D19" s="170"/>
      <c r="E19" s="55">
        <f>-'Scenario and Data'!A181</f>
        <v>-1000000</v>
      </c>
      <c r="F19" s="7"/>
      <c r="G19" s="159" t="s">
        <v>74</v>
      </c>
      <c r="H19" s="53"/>
      <c r="I19" s="50"/>
    </row>
    <row r="20" spans="1:11" s="5" customFormat="1" x14ac:dyDescent="0.25">
      <c r="A20" s="5" t="s">
        <v>160</v>
      </c>
      <c r="B20" s="23"/>
      <c r="C20" s="166"/>
      <c r="D20" s="170"/>
      <c r="E20" s="55">
        <f>-'Scenario and Data'!A182</f>
        <v>500000</v>
      </c>
      <c r="F20" s="7"/>
      <c r="G20" s="159" t="s">
        <v>28</v>
      </c>
      <c r="H20"/>
    </row>
    <row r="21" spans="1:11" s="5" customFormat="1" x14ac:dyDescent="0.25">
      <c r="A21" s="5" t="s">
        <v>161</v>
      </c>
      <c r="B21" s="25"/>
      <c r="C21" s="41">
        <f>'Scenario and Data'!C119</f>
        <v>-50146.930053864315</v>
      </c>
      <c r="D21" s="23"/>
      <c r="E21" s="26"/>
      <c r="F21" s="7"/>
      <c r="G21" s="159"/>
      <c r="H21"/>
    </row>
    <row r="22" spans="1:11" s="5" customFormat="1" ht="15.8" customHeight="1" x14ac:dyDescent="0.25">
      <c r="A22" s="5" t="s">
        <v>155</v>
      </c>
      <c r="B22" s="23">
        <f>'Scenario and Data'!C93</f>
        <v>-60000</v>
      </c>
      <c r="C22" s="164"/>
      <c r="D22" s="23">
        <f>-B22</f>
        <v>60000</v>
      </c>
      <c r="E22" s="60"/>
      <c r="F22" s="7"/>
      <c r="G22" s="159" t="s">
        <v>98</v>
      </c>
      <c r="H22" s="48"/>
    </row>
    <row r="23" spans="1:11" s="5" customFormat="1" ht="15.8" customHeight="1" x14ac:dyDescent="0.25">
      <c r="A23" s="5" t="s">
        <v>156</v>
      </c>
      <c r="B23" s="23">
        <f>-'Scenario and Data'!A108</f>
        <v>-20000</v>
      </c>
      <c r="C23" s="164"/>
      <c r="D23" s="23">
        <v>0</v>
      </c>
      <c r="E23" s="60"/>
      <c r="F23" s="7"/>
      <c r="G23" s="159" t="s">
        <v>185</v>
      </c>
      <c r="H23"/>
      <c r="K23" s="52"/>
    </row>
    <row r="24" spans="1:11" s="5" customFormat="1" ht="14.3" customHeight="1" x14ac:dyDescent="0.25">
      <c r="A24" s="5" t="s">
        <v>157</v>
      </c>
      <c r="B24" s="23">
        <f>-'Scenario and Data'!A109</f>
        <v>5000</v>
      </c>
      <c r="C24" s="164"/>
      <c r="D24" s="23">
        <f>-B24</f>
        <v>-5000</v>
      </c>
      <c r="E24" s="60"/>
      <c r="F24" s="7"/>
      <c r="G24" s="172"/>
      <c r="H24"/>
    </row>
    <row r="25" spans="1:11" s="5" customFormat="1" x14ac:dyDescent="0.25">
      <c r="B25" s="18"/>
      <c r="C25" s="12"/>
      <c r="D25" s="29"/>
      <c r="E25" s="19"/>
      <c r="F25" s="7"/>
      <c r="G25" s="159"/>
      <c r="H25"/>
    </row>
    <row r="26" spans="1:11" s="5" customFormat="1" ht="14.95" thickBot="1" x14ac:dyDescent="0.3">
      <c r="A26" s="6" t="s">
        <v>181</v>
      </c>
      <c r="B26" s="20">
        <f>SUM(B12:B25)</f>
        <v>-522792.76556557533</v>
      </c>
      <c r="C26" s="168">
        <f>SUM(C12:C25)</f>
        <v>451322.37048477883</v>
      </c>
      <c r="D26" s="20">
        <f>SUM(D12:D25)</f>
        <v>73032.085729585087</v>
      </c>
      <c r="E26" s="21">
        <f>SUM(E12:E25)</f>
        <v>-55000.002992229769</v>
      </c>
      <c r="F26" s="9"/>
      <c r="G26" s="171"/>
      <c r="H26"/>
      <c r="K26" s="52"/>
    </row>
    <row r="27" spans="1:11" s="5" customFormat="1" ht="14.95" thickTop="1" x14ac:dyDescent="0.25">
      <c r="B27" s="16"/>
      <c r="C27" s="12"/>
      <c r="D27" s="29"/>
      <c r="E27" s="19"/>
      <c r="F27" s="7"/>
      <c r="G27" s="159"/>
      <c r="H27"/>
      <c r="J27" s="52"/>
      <c r="K27" s="52"/>
    </row>
    <row r="28" spans="1:11" s="5" customFormat="1" x14ac:dyDescent="0.25">
      <c r="A28" s="5" t="s">
        <v>16</v>
      </c>
      <c r="B28" s="18">
        <f>B16+B17</f>
        <v>-447792.76556557533</v>
      </c>
      <c r="C28" s="12"/>
      <c r="D28" s="29"/>
      <c r="E28" s="19"/>
      <c r="F28" s="7"/>
      <c r="G28" s="159" t="s">
        <v>195</v>
      </c>
      <c r="H28"/>
      <c r="K28" s="52"/>
    </row>
    <row r="29" spans="1:11" s="5" customFormat="1" x14ac:dyDescent="0.25">
      <c r="A29" s="5" t="s">
        <v>17</v>
      </c>
      <c r="B29" s="18"/>
      <c r="C29" s="169">
        <f>C26</f>
        <v>451322.37048477883</v>
      </c>
      <c r="D29" s="29"/>
      <c r="E29" s="19"/>
      <c r="F29" s="7"/>
      <c r="G29" s="159" t="s">
        <v>97</v>
      </c>
      <c r="H29"/>
    </row>
    <row r="30" spans="1:11" s="5" customFormat="1" x14ac:dyDescent="0.25">
      <c r="A30" s="5" t="s">
        <v>29</v>
      </c>
      <c r="B30" s="16"/>
      <c r="C30" s="50"/>
      <c r="D30" s="18">
        <f>SUM(E13:E18)+D17</f>
        <v>463032.08273735532</v>
      </c>
      <c r="E30" s="19">
        <v>0</v>
      </c>
      <c r="F30" s="7"/>
      <c r="G30" s="159" t="s">
        <v>96</v>
      </c>
      <c r="H30"/>
    </row>
    <row r="31" spans="1:11" s="5" customFormat="1" ht="14.95" thickBot="1" x14ac:dyDescent="0.3">
      <c r="A31" s="6" t="s">
        <v>15</v>
      </c>
      <c r="B31" s="20">
        <f>SUM(B28:B30)</f>
        <v>-447792.76556557533</v>
      </c>
      <c r="C31" s="168">
        <f t="shared" ref="C31" si="0">SUM(C28:C30)</f>
        <v>451322.37048477883</v>
      </c>
      <c r="D31" s="20">
        <f>SUM(D28:D30)</f>
        <v>463032.08273735532</v>
      </c>
      <c r="E31" s="21">
        <f>SUM(E28:E30)</f>
        <v>0</v>
      </c>
      <c r="F31" s="9"/>
      <c r="G31" s="159"/>
      <c r="H31"/>
    </row>
    <row r="32" spans="1:11" s="5" customFormat="1" ht="14.95" thickTop="1" x14ac:dyDescent="0.25">
      <c r="B32" s="32"/>
      <c r="C32" s="33"/>
      <c r="D32" s="12"/>
      <c r="E32" s="10"/>
      <c r="F32" s="7"/>
      <c r="G32" s="159"/>
      <c r="H32"/>
    </row>
    <row r="33" spans="1:8" s="5" customFormat="1" x14ac:dyDescent="0.25">
      <c r="B33" s="10"/>
      <c r="C33" s="12"/>
      <c r="D33" s="12"/>
      <c r="E33" s="10"/>
      <c r="F33" s="7"/>
      <c r="G33" s="159"/>
      <c r="H33"/>
    </row>
    <row r="34" spans="1:8" ht="14.95" thickBot="1" x14ac:dyDescent="0.3">
      <c r="B34" s="298" t="s">
        <v>11</v>
      </c>
      <c r="C34" s="299"/>
      <c r="D34" s="40" t="s">
        <v>10</v>
      </c>
      <c r="E34" s="10"/>
    </row>
    <row r="35" spans="1:8" ht="14.95" thickBot="1" x14ac:dyDescent="0.3">
      <c r="A35" s="63" t="s">
        <v>212</v>
      </c>
      <c r="B35" s="61" t="s">
        <v>6</v>
      </c>
      <c r="C35" s="62" t="s">
        <v>63</v>
      </c>
      <c r="D35" s="61" t="s">
        <v>7</v>
      </c>
      <c r="E35" s="62" t="s">
        <v>12</v>
      </c>
      <c r="F35" s="8"/>
    </row>
    <row r="36" spans="1:8" ht="16.3" x14ac:dyDescent="0.3">
      <c r="A36" s="184" t="s">
        <v>2</v>
      </c>
      <c r="B36" s="16"/>
      <c r="C36" s="12"/>
      <c r="D36" s="29"/>
      <c r="E36" s="30"/>
    </row>
    <row r="37" spans="1:8" x14ac:dyDescent="0.25">
      <c r="A37" s="5" t="s">
        <v>151</v>
      </c>
      <c r="B37" s="18">
        <f>'Scenario and Data'!D93</f>
        <v>19389.638278278766</v>
      </c>
      <c r="C37" s="17"/>
      <c r="D37" s="29"/>
      <c r="E37" s="30"/>
    </row>
    <row r="38" spans="1:8" x14ac:dyDescent="0.25">
      <c r="A38" s="5" t="s">
        <v>163</v>
      </c>
      <c r="B38" s="16"/>
      <c r="C38" s="19">
        <f>-'Scenario and Data'!C120</f>
        <v>50146.930053864315</v>
      </c>
      <c r="D38" s="18"/>
      <c r="E38" s="19"/>
    </row>
    <row r="39" spans="1:8" x14ac:dyDescent="0.25">
      <c r="A39" s="5" t="s">
        <v>162</v>
      </c>
      <c r="B39" s="16"/>
      <c r="C39" s="17"/>
      <c r="D39" s="23">
        <f>-'Scenario and Data'!D166</f>
        <v>-16331.481160810707</v>
      </c>
      <c r="E39" s="30"/>
    </row>
    <row r="40" spans="1:8" ht="14.95" thickBot="1" x14ac:dyDescent="0.3">
      <c r="A40" s="6" t="s">
        <v>5</v>
      </c>
      <c r="B40" s="20">
        <f>SUM(B37:B39)</f>
        <v>19389.638278278766</v>
      </c>
      <c r="C40" s="21">
        <f>SUM(C37:C39)</f>
        <v>50146.930053864315</v>
      </c>
      <c r="D40" s="20">
        <f>SUM(D36:D39)</f>
        <v>-16331.481160810707</v>
      </c>
      <c r="E40" s="21">
        <f>SUM(E37:E39)</f>
        <v>0</v>
      </c>
      <c r="F40" s="9"/>
    </row>
    <row r="41" spans="1:8" ht="15.65" thickTop="1" thickBot="1" x14ac:dyDescent="0.3">
      <c r="A41" s="6"/>
      <c r="B41" s="46"/>
      <c r="C41" s="46"/>
      <c r="D41" s="46"/>
      <c r="E41" s="46"/>
      <c r="F41" s="9"/>
    </row>
    <row r="42" spans="1:8" ht="16.3" x14ac:dyDescent="0.3">
      <c r="A42" s="184" t="s">
        <v>24</v>
      </c>
      <c r="B42" s="42"/>
      <c r="C42" s="43"/>
      <c r="D42" s="44"/>
      <c r="E42" s="45"/>
    </row>
    <row r="43" spans="1:8" x14ac:dyDescent="0.25">
      <c r="A43" s="5" t="s">
        <v>164</v>
      </c>
      <c r="B43" s="23">
        <f>-B37</f>
        <v>-19389.638278278766</v>
      </c>
      <c r="C43" s="24"/>
      <c r="D43" s="31"/>
      <c r="E43" s="19"/>
    </row>
    <row r="44" spans="1:8" x14ac:dyDescent="0.25">
      <c r="A44" s="5" t="s">
        <v>1</v>
      </c>
      <c r="B44" s="25"/>
      <c r="C44" s="26">
        <f>-C38</f>
        <v>-50146.930053864315</v>
      </c>
      <c r="D44" s="18"/>
      <c r="E44" s="19"/>
    </row>
    <row r="45" spans="1:8" x14ac:dyDescent="0.25">
      <c r="A45" s="5" t="s">
        <v>165</v>
      </c>
      <c r="B45" s="23">
        <f>-'Scenario and Data'!C93</f>
        <v>60000</v>
      </c>
      <c r="C45" s="26"/>
      <c r="D45" s="18"/>
      <c r="E45" s="19"/>
    </row>
    <row r="46" spans="1:8" x14ac:dyDescent="0.25">
      <c r="A46" s="5" t="s">
        <v>26</v>
      </c>
      <c r="B46" s="23"/>
      <c r="C46" s="26"/>
      <c r="D46" s="23">
        <f>'Scenario and Data'!C166+'Scenario and Data'!D166</f>
        <v>-43668.518839189295</v>
      </c>
      <c r="E46" s="19"/>
    </row>
    <row r="47" spans="1:8" x14ac:dyDescent="0.25">
      <c r="A47" s="5" t="s">
        <v>166</v>
      </c>
      <c r="B47" s="18">
        <f>-B45</f>
        <v>-60000</v>
      </c>
      <c r="C47" s="22"/>
      <c r="D47" s="23">
        <f>-B47</f>
        <v>60000</v>
      </c>
      <c r="E47" s="30"/>
    </row>
    <row r="48" spans="1:8" x14ac:dyDescent="0.25">
      <c r="B48" s="18"/>
      <c r="C48" s="17"/>
      <c r="D48" s="29"/>
      <c r="E48" s="19"/>
    </row>
    <row r="49" spans="1:8" ht="14.95" thickBot="1" x14ac:dyDescent="0.3">
      <c r="A49" s="6" t="s">
        <v>181</v>
      </c>
      <c r="B49" s="20">
        <f>SUM(B43:B47)</f>
        <v>-19389.63827827877</v>
      </c>
      <c r="C49" s="21">
        <f>SUM(C43:C47)</f>
        <v>-50146.930053864315</v>
      </c>
      <c r="D49" s="20">
        <f>SUM(D43:D47)</f>
        <v>16331.481160810705</v>
      </c>
      <c r="E49" s="21">
        <f>SUM(E43:E47)</f>
        <v>0</v>
      </c>
      <c r="F49" s="9"/>
      <c r="H49" s="48"/>
    </row>
    <row r="50" spans="1:8" s="5" customFormat="1" ht="14.95" thickTop="1" x14ac:dyDescent="0.25">
      <c r="B50" s="16"/>
      <c r="C50" s="17"/>
      <c r="D50" s="29"/>
      <c r="E50" s="19"/>
      <c r="F50" s="7"/>
      <c r="G50" s="159"/>
      <c r="H50"/>
    </row>
    <row r="51" spans="1:8" s="5" customFormat="1" x14ac:dyDescent="0.25">
      <c r="A51" s="5" t="s">
        <v>16</v>
      </c>
      <c r="B51" s="18">
        <f>B28+B43+B45</f>
        <v>-407182.40384385409</v>
      </c>
      <c r="C51" s="17"/>
      <c r="D51" s="29"/>
      <c r="E51" s="19"/>
      <c r="F51" s="7"/>
      <c r="G51" s="159"/>
      <c r="H51"/>
    </row>
    <row r="52" spans="1:8" s="5" customFormat="1" x14ac:dyDescent="0.25">
      <c r="A52" s="5" t="s">
        <v>17</v>
      </c>
      <c r="B52" s="18"/>
      <c r="C52" s="22">
        <f>C29+C44</f>
        <v>401175.44043091452</v>
      </c>
      <c r="D52" s="29"/>
      <c r="E52" s="19"/>
      <c r="F52" s="7"/>
      <c r="G52" s="159"/>
      <c r="H52"/>
    </row>
    <row r="53" spans="1:8" s="5" customFormat="1" x14ac:dyDescent="0.25">
      <c r="A53" s="5" t="s">
        <v>167</v>
      </c>
      <c r="B53" s="16"/>
      <c r="C53" s="19"/>
      <c r="D53" s="18">
        <f>D30+D46</f>
        <v>419363.563898166</v>
      </c>
      <c r="E53" s="19">
        <f>E30+E44</f>
        <v>0</v>
      </c>
      <c r="F53" s="7"/>
      <c r="G53" s="159"/>
      <c r="H53"/>
    </row>
    <row r="54" spans="1:8" s="5" customFormat="1" ht="14.95" thickBot="1" x14ac:dyDescent="0.3">
      <c r="A54" s="6" t="s">
        <v>15</v>
      </c>
      <c r="B54" s="27">
        <f>SUM(B51:B53)</f>
        <v>-407182.40384385409</v>
      </c>
      <c r="C54" s="28">
        <f t="shared" ref="C54:E54" si="1">SUM(C51:C53)</f>
        <v>401175.44043091452</v>
      </c>
      <c r="D54" s="27">
        <f t="shared" si="1"/>
        <v>419363.563898166</v>
      </c>
      <c r="E54" s="28">
        <f t="shared" si="1"/>
        <v>0</v>
      </c>
      <c r="F54" s="9"/>
      <c r="G54" s="159"/>
      <c r="H54"/>
    </row>
    <row r="56" spans="1:8" ht="14.95" thickBot="1" x14ac:dyDescent="0.3">
      <c r="B56" s="298" t="s">
        <v>11</v>
      </c>
      <c r="C56" s="299"/>
      <c r="D56" s="40" t="s">
        <v>10</v>
      </c>
      <c r="E56" s="10"/>
    </row>
    <row r="57" spans="1:8" ht="14.95" thickBot="1" x14ac:dyDescent="0.3">
      <c r="A57" s="63" t="s">
        <v>213</v>
      </c>
      <c r="B57" s="61" t="s">
        <v>6</v>
      </c>
      <c r="C57" s="62" t="s">
        <v>63</v>
      </c>
      <c r="D57" s="61" t="s">
        <v>7</v>
      </c>
      <c r="E57" s="62" t="s">
        <v>12</v>
      </c>
      <c r="F57" s="8"/>
    </row>
    <row r="58" spans="1:8" ht="16.3" x14ac:dyDescent="0.3">
      <c r="A58" s="184" t="s">
        <v>2</v>
      </c>
      <c r="B58" s="16"/>
      <c r="C58" s="12"/>
      <c r="D58" s="29"/>
      <c r="E58" s="30"/>
    </row>
    <row r="59" spans="1:8" x14ac:dyDescent="0.25">
      <c r="A59" s="5" t="s">
        <v>151</v>
      </c>
      <c r="B59" s="18">
        <f>'Scenario and Data'!D94</f>
        <v>17359.120192192706</v>
      </c>
      <c r="C59" s="17"/>
      <c r="D59" s="29"/>
      <c r="E59" s="30"/>
    </row>
    <row r="60" spans="1:8" x14ac:dyDescent="0.25">
      <c r="A60" s="5" t="s">
        <v>168</v>
      </c>
      <c r="B60" s="16"/>
      <c r="C60" s="19">
        <f>-'Scenario and Data'!C121</f>
        <v>50146.930053864315</v>
      </c>
      <c r="D60" s="18"/>
      <c r="E60" s="19"/>
    </row>
    <row r="61" spans="1:8" x14ac:dyDescent="0.25">
      <c r="A61" s="5" t="s">
        <v>162</v>
      </c>
      <c r="B61" s="16"/>
      <c r="C61" s="17"/>
      <c r="D61" s="18">
        <f>-'Scenario and Data'!D167</f>
        <v>-14561.965473873492</v>
      </c>
      <c r="E61" s="30"/>
    </row>
    <row r="62" spans="1:8" ht="14.95" thickBot="1" x14ac:dyDescent="0.3">
      <c r="A62" s="6" t="s">
        <v>5</v>
      </c>
      <c r="B62" s="20">
        <f>SUM(B59:B61)</f>
        <v>17359.120192192706</v>
      </c>
      <c r="C62" s="21">
        <f>SUM(C59:C61)</f>
        <v>50146.930053864315</v>
      </c>
      <c r="D62" s="20">
        <f>SUM(D58:D61)</f>
        <v>-14561.965473873492</v>
      </c>
      <c r="E62" s="21">
        <f>SUM(E59:E61)</f>
        <v>0</v>
      </c>
      <c r="F62" s="9"/>
    </row>
    <row r="63" spans="1:8" ht="15.65" thickTop="1" thickBot="1" x14ac:dyDescent="0.3">
      <c r="A63" s="6"/>
      <c r="B63" s="46"/>
      <c r="C63" s="46"/>
      <c r="D63" s="46"/>
      <c r="E63" s="46"/>
      <c r="F63" s="9"/>
    </row>
    <row r="64" spans="1:8" ht="16.3" x14ac:dyDescent="0.3">
      <c r="A64" s="184" t="s">
        <v>24</v>
      </c>
      <c r="B64" s="42"/>
      <c r="C64" s="43"/>
      <c r="D64" s="44"/>
      <c r="E64" s="45"/>
    </row>
    <row r="65" spans="1:6" x14ac:dyDescent="0.25">
      <c r="A65" s="5" t="s">
        <v>164</v>
      </c>
      <c r="B65" s="23">
        <f>-B59</f>
        <v>-17359.120192192706</v>
      </c>
      <c r="C65" s="24"/>
      <c r="D65" s="31"/>
      <c r="E65" s="19"/>
    </row>
    <row r="66" spans="1:6" x14ac:dyDescent="0.25">
      <c r="A66" s="5" t="s">
        <v>1</v>
      </c>
      <c r="B66" s="25"/>
      <c r="C66" s="26">
        <f>-C60</f>
        <v>-50146.930053864315</v>
      </c>
      <c r="D66" s="18"/>
      <c r="E66" s="19"/>
    </row>
    <row r="67" spans="1:6" x14ac:dyDescent="0.25">
      <c r="A67" s="5" t="s">
        <v>165</v>
      </c>
      <c r="B67" s="23">
        <f>-'Scenario and Data'!C94</f>
        <v>60000</v>
      </c>
      <c r="C67" s="26"/>
      <c r="D67" s="18"/>
      <c r="E67" s="19"/>
    </row>
    <row r="68" spans="1:6" x14ac:dyDescent="0.25">
      <c r="A68" s="5" t="s">
        <v>26</v>
      </c>
      <c r="B68" s="23"/>
      <c r="C68" s="26"/>
      <c r="D68" s="18">
        <f>'Scenario and Data'!C167+'Scenario and Data'!D167</f>
        <v>-45438.03452612651</v>
      </c>
      <c r="E68" s="19"/>
    </row>
    <row r="69" spans="1:6" x14ac:dyDescent="0.25">
      <c r="A69" s="5" t="s">
        <v>166</v>
      </c>
      <c r="B69" s="18">
        <f>-B67</f>
        <v>-60000</v>
      </c>
      <c r="C69" s="22"/>
      <c r="D69" s="18">
        <f>-B69</f>
        <v>60000</v>
      </c>
      <c r="E69" s="30"/>
    </row>
    <row r="70" spans="1:6" x14ac:dyDescent="0.25">
      <c r="B70" s="18"/>
      <c r="C70" s="17"/>
      <c r="D70" s="29"/>
      <c r="E70" s="19"/>
    </row>
    <row r="71" spans="1:6" ht="14.95" thickBot="1" x14ac:dyDescent="0.3">
      <c r="A71" s="6" t="s">
        <v>181</v>
      </c>
      <c r="B71" s="20">
        <f>SUM(B65:B69)</f>
        <v>-17359.120192192706</v>
      </c>
      <c r="C71" s="21">
        <f>SUM(C65:C69)</f>
        <v>-50146.930053864315</v>
      </c>
      <c r="D71" s="20">
        <f>SUM(D65:D69)</f>
        <v>14561.96547387349</v>
      </c>
      <c r="E71" s="21">
        <f>SUM(E65:E69)</f>
        <v>0</v>
      </c>
      <c r="F71" s="9"/>
    </row>
    <row r="72" spans="1:6" ht="14.95" thickTop="1" x14ac:dyDescent="0.25">
      <c r="B72" s="16"/>
      <c r="C72" s="17"/>
      <c r="D72" s="29"/>
      <c r="E72" s="19"/>
    </row>
    <row r="73" spans="1:6" x14ac:dyDescent="0.25">
      <c r="A73" s="5" t="s">
        <v>16</v>
      </c>
      <c r="B73" s="18">
        <f>B51+B65+B67</f>
        <v>-364541.52403604682</v>
      </c>
      <c r="C73" s="17"/>
      <c r="D73" s="29"/>
      <c r="E73" s="19"/>
    </row>
    <row r="74" spans="1:6" x14ac:dyDescent="0.25">
      <c r="A74" s="5" t="s">
        <v>17</v>
      </c>
      <c r="B74" s="18"/>
      <c r="C74" s="22">
        <f>C52+C66</f>
        <v>351028.5103770502</v>
      </c>
      <c r="D74" s="29"/>
      <c r="E74" s="19"/>
    </row>
    <row r="75" spans="1:6" x14ac:dyDescent="0.25">
      <c r="A75" s="5" t="s">
        <v>29</v>
      </c>
      <c r="B75" s="16"/>
      <c r="C75" s="19"/>
      <c r="D75" s="18">
        <f>D53+D68</f>
        <v>373925.52937203948</v>
      </c>
      <c r="E75" s="19">
        <f>E52+E66</f>
        <v>0</v>
      </c>
    </row>
    <row r="76" spans="1:6" ht="14.95" thickBot="1" x14ac:dyDescent="0.3">
      <c r="A76" s="6" t="s">
        <v>15</v>
      </c>
      <c r="B76" s="27">
        <f>SUM(B73:B75)</f>
        <v>-364541.52403604682</v>
      </c>
      <c r="C76" s="28">
        <f t="shared" ref="C76:E76" si="2">SUM(C73:C75)</f>
        <v>351028.5103770502</v>
      </c>
      <c r="D76" s="27">
        <f t="shared" si="2"/>
        <v>373925.52937203948</v>
      </c>
      <c r="E76" s="28">
        <f t="shared" si="2"/>
        <v>0</v>
      </c>
      <c r="F76" s="9"/>
    </row>
    <row r="78" spans="1:6" ht="14.95" thickBot="1" x14ac:dyDescent="0.3">
      <c r="B78" s="298" t="s">
        <v>11</v>
      </c>
      <c r="C78" s="299"/>
      <c r="D78" s="40" t="s">
        <v>10</v>
      </c>
      <c r="E78" s="10"/>
    </row>
    <row r="79" spans="1:6" ht="14.95" thickBot="1" x14ac:dyDescent="0.3">
      <c r="A79" s="63" t="s">
        <v>214</v>
      </c>
      <c r="B79" s="61" t="s">
        <v>6</v>
      </c>
      <c r="C79" s="62" t="s">
        <v>63</v>
      </c>
      <c r="D79" s="61" t="s">
        <v>7</v>
      </c>
      <c r="E79" s="62" t="s">
        <v>12</v>
      </c>
      <c r="F79" s="8"/>
    </row>
    <row r="80" spans="1:6" ht="16.3" x14ac:dyDescent="0.3">
      <c r="A80" s="184" t="s">
        <v>2</v>
      </c>
      <c r="B80" s="16"/>
      <c r="C80" s="12"/>
      <c r="D80" s="29"/>
      <c r="E80" s="30"/>
    </row>
    <row r="81" spans="1:6" x14ac:dyDescent="0.25">
      <c r="A81" s="5" t="s">
        <v>151</v>
      </c>
      <c r="B81" s="18">
        <f>'Scenario and Data'!D95</f>
        <v>15227.076201802342</v>
      </c>
      <c r="C81" s="17"/>
      <c r="D81" s="29"/>
      <c r="E81" s="30"/>
    </row>
    <row r="82" spans="1:6" x14ac:dyDescent="0.25">
      <c r="A82" s="5" t="s">
        <v>168</v>
      </c>
      <c r="B82" s="16"/>
      <c r="C82" s="19">
        <f>-'Scenario and Data'!C122</f>
        <v>50146.930053864315</v>
      </c>
      <c r="D82" s="18"/>
      <c r="E82" s="19"/>
    </row>
    <row r="83" spans="1:6" x14ac:dyDescent="0.25">
      <c r="A83" s="5" t="s">
        <v>162</v>
      </c>
      <c r="B83" s="16"/>
      <c r="C83" s="17"/>
      <c r="D83" s="18">
        <f>-'Scenario and Data'!D168</f>
        <v>-12720.746284057061</v>
      </c>
      <c r="E83" s="30"/>
    </row>
    <row r="84" spans="1:6" ht="14.95" thickBot="1" x14ac:dyDescent="0.3">
      <c r="A84" s="6" t="s">
        <v>5</v>
      </c>
      <c r="B84" s="20">
        <f>SUM(B81:B83)</f>
        <v>15227.076201802342</v>
      </c>
      <c r="C84" s="21">
        <f>SUM(C81:C83)</f>
        <v>50146.930053864315</v>
      </c>
      <c r="D84" s="20">
        <f>SUM(D80:D83)</f>
        <v>-12720.746284057061</v>
      </c>
      <c r="E84" s="21">
        <f>SUM(E81:E83)</f>
        <v>0</v>
      </c>
      <c r="F84" s="9"/>
    </row>
    <row r="85" spans="1:6" ht="15.65" thickTop="1" thickBot="1" x14ac:dyDescent="0.3">
      <c r="A85" s="6"/>
      <c r="B85" s="46"/>
      <c r="C85" s="46"/>
      <c r="D85" s="46"/>
      <c r="E85" s="46"/>
      <c r="F85" s="9"/>
    </row>
    <row r="86" spans="1:6" ht="16.3" x14ac:dyDescent="0.3">
      <c r="A86" s="184" t="s">
        <v>24</v>
      </c>
      <c r="B86" s="42"/>
      <c r="C86" s="43"/>
      <c r="D86" s="44"/>
      <c r="E86" s="45"/>
    </row>
    <row r="87" spans="1:6" x14ac:dyDescent="0.25">
      <c r="A87" s="5" t="s">
        <v>164</v>
      </c>
      <c r="B87" s="23">
        <f>-B81</f>
        <v>-15227.076201802342</v>
      </c>
      <c r="C87" s="24"/>
      <c r="D87" s="31"/>
      <c r="E87" s="19"/>
    </row>
    <row r="88" spans="1:6" x14ac:dyDescent="0.25">
      <c r="A88" s="5" t="s">
        <v>1</v>
      </c>
      <c r="B88" s="25"/>
      <c r="C88" s="26">
        <f>-C82</f>
        <v>-50146.930053864315</v>
      </c>
      <c r="D88" s="18"/>
      <c r="E88" s="19"/>
    </row>
    <row r="89" spans="1:6" x14ac:dyDescent="0.25">
      <c r="A89" s="5" t="s">
        <v>165</v>
      </c>
      <c r="B89" s="23">
        <f>-'Scenario and Data'!C95</f>
        <v>60000</v>
      </c>
      <c r="C89" s="26"/>
      <c r="D89" s="18"/>
      <c r="E89" s="19"/>
    </row>
    <row r="90" spans="1:6" x14ac:dyDescent="0.25">
      <c r="A90" s="5" t="s">
        <v>26</v>
      </c>
      <c r="B90" s="23"/>
      <c r="C90" s="26"/>
      <c r="D90" s="18">
        <f>'Scenario and Data'!C168+'Scenario and Data'!D168</f>
        <v>-47279.253715942941</v>
      </c>
      <c r="E90" s="19"/>
    </row>
    <row r="91" spans="1:6" x14ac:dyDescent="0.25">
      <c r="A91" s="5" t="s">
        <v>166</v>
      </c>
      <c r="B91" s="18">
        <f>-B89</f>
        <v>-60000</v>
      </c>
      <c r="C91" s="22"/>
      <c r="D91" s="18">
        <f>-B91</f>
        <v>60000</v>
      </c>
      <c r="E91" s="30"/>
    </row>
    <row r="92" spans="1:6" x14ac:dyDescent="0.25">
      <c r="B92" s="18"/>
      <c r="C92" s="17"/>
      <c r="D92" s="29"/>
      <c r="E92" s="19"/>
    </row>
    <row r="93" spans="1:6" ht="14.95" thickBot="1" x14ac:dyDescent="0.3">
      <c r="A93" s="6" t="s">
        <v>181</v>
      </c>
      <c r="B93" s="20">
        <f>SUM(B87:B91)</f>
        <v>-15227.076201802338</v>
      </c>
      <c r="C93" s="21">
        <f>SUM(C87:C91)</f>
        <v>-50146.930053864315</v>
      </c>
      <c r="D93" s="20">
        <f>SUM(D87:D91)</f>
        <v>12720.746284057059</v>
      </c>
      <c r="E93" s="21">
        <f>SUM(E87:E91)</f>
        <v>0</v>
      </c>
      <c r="F93" s="9"/>
    </row>
    <row r="94" spans="1:6" ht="14.95" thickTop="1" x14ac:dyDescent="0.25">
      <c r="B94" s="16"/>
      <c r="C94" s="17"/>
      <c r="D94" s="29"/>
      <c r="E94" s="19"/>
    </row>
    <row r="95" spans="1:6" x14ac:dyDescent="0.25">
      <c r="A95" s="5" t="s">
        <v>16</v>
      </c>
      <c r="B95" s="18">
        <f>B73+B87+B89</f>
        <v>-319768.60023784917</v>
      </c>
      <c r="C95" s="17"/>
      <c r="D95" s="29"/>
      <c r="E95" s="19"/>
    </row>
    <row r="96" spans="1:6" x14ac:dyDescent="0.25">
      <c r="A96" s="5" t="s">
        <v>17</v>
      </c>
      <c r="B96" s="18"/>
      <c r="C96" s="22">
        <f>C74+C88</f>
        <v>300881.58032318589</v>
      </c>
      <c r="D96" s="29"/>
      <c r="E96" s="19"/>
    </row>
    <row r="97" spans="1:6" x14ac:dyDescent="0.25">
      <c r="A97" s="5" t="s">
        <v>29</v>
      </c>
      <c r="B97" s="16"/>
      <c r="C97" s="19"/>
      <c r="D97" s="18">
        <f>D75+D90</f>
        <v>326646.27565609652</v>
      </c>
      <c r="E97" s="19">
        <f>E74+E88</f>
        <v>0</v>
      </c>
    </row>
    <row r="98" spans="1:6" ht="14.95" thickBot="1" x14ac:dyDescent="0.3">
      <c r="A98" s="6" t="s">
        <v>15</v>
      </c>
      <c r="B98" s="27">
        <f>SUM(B95:B97)</f>
        <v>-319768.60023784917</v>
      </c>
      <c r="C98" s="28">
        <f t="shared" ref="C98:E98" si="3">SUM(C95:C97)</f>
        <v>300881.58032318589</v>
      </c>
      <c r="D98" s="27">
        <f t="shared" si="3"/>
        <v>326646.27565609652</v>
      </c>
      <c r="E98" s="28">
        <f t="shared" si="3"/>
        <v>0</v>
      </c>
      <c r="F98" s="9"/>
    </row>
    <row r="100" spans="1:6" ht="14.95" thickBot="1" x14ac:dyDescent="0.3">
      <c r="B100" s="298" t="s">
        <v>11</v>
      </c>
      <c r="C100" s="299"/>
      <c r="D100" s="40" t="s">
        <v>10</v>
      </c>
      <c r="E100" s="10"/>
    </row>
    <row r="101" spans="1:6" ht="14.95" thickBot="1" x14ac:dyDescent="0.3">
      <c r="A101" s="63" t="s">
        <v>215</v>
      </c>
      <c r="B101" s="61" t="s">
        <v>6</v>
      </c>
      <c r="C101" s="62" t="s">
        <v>63</v>
      </c>
      <c r="D101" s="61" t="s">
        <v>7</v>
      </c>
      <c r="E101" s="62" t="s">
        <v>12</v>
      </c>
      <c r="F101" s="8"/>
    </row>
    <row r="102" spans="1:6" ht="16.3" x14ac:dyDescent="0.3">
      <c r="A102" s="184" t="s">
        <v>2</v>
      </c>
      <c r="B102" s="16"/>
      <c r="C102" s="12"/>
      <c r="D102" s="29"/>
      <c r="E102" s="30"/>
    </row>
    <row r="103" spans="1:6" x14ac:dyDescent="0.25">
      <c r="A103" s="5" t="s">
        <v>151</v>
      </c>
      <c r="B103" s="18">
        <f>'Scenario and Data'!D96</f>
        <v>12988.430011892458</v>
      </c>
      <c r="C103" s="17"/>
      <c r="D103" s="29"/>
      <c r="E103" s="30"/>
    </row>
    <row r="104" spans="1:6" x14ac:dyDescent="0.25">
      <c r="A104" s="5" t="s">
        <v>168</v>
      </c>
      <c r="B104" s="16"/>
      <c r="C104" s="19">
        <f>-'Scenario and Data'!C123</f>
        <v>50146.930053864315</v>
      </c>
      <c r="D104" s="18"/>
      <c r="E104" s="19"/>
    </row>
    <row r="105" spans="1:6" x14ac:dyDescent="0.25">
      <c r="A105" s="5" t="s">
        <v>162</v>
      </c>
      <c r="B105" s="16"/>
      <c r="C105" s="17"/>
      <c r="D105" s="18">
        <f>-'Scenario and Data'!D169</f>
        <v>-10804.918054912598</v>
      </c>
      <c r="E105" s="30"/>
    </row>
    <row r="106" spans="1:6" ht="14.95" thickBot="1" x14ac:dyDescent="0.3">
      <c r="A106" s="6" t="s">
        <v>5</v>
      </c>
      <c r="B106" s="20">
        <f>SUM(B103:B105)</f>
        <v>12988.430011892458</v>
      </c>
      <c r="C106" s="21">
        <f>SUM(C103:C105)</f>
        <v>50146.930053864315</v>
      </c>
      <c r="D106" s="20">
        <f>SUM(D102:D105)</f>
        <v>-10804.918054912598</v>
      </c>
      <c r="E106" s="21">
        <f>SUM(E103:E105)</f>
        <v>0</v>
      </c>
      <c r="F106" s="9"/>
    </row>
    <row r="107" spans="1:6" ht="15.65" thickTop="1" thickBot="1" x14ac:dyDescent="0.3">
      <c r="A107" s="6"/>
      <c r="B107" s="46"/>
      <c r="C107" s="46"/>
      <c r="D107" s="46"/>
      <c r="E107" s="46"/>
      <c r="F107" s="9"/>
    </row>
    <row r="108" spans="1:6" ht="16.3" x14ac:dyDescent="0.3">
      <c r="A108" s="184" t="s">
        <v>24</v>
      </c>
      <c r="B108" s="42"/>
      <c r="C108" s="43"/>
      <c r="D108" s="44"/>
      <c r="E108" s="45"/>
    </row>
    <row r="109" spans="1:6" x14ac:dyDescent="0.25">
      <c r="A109" s="5" t="s">
        <v>164</v>
      </c>
      <c r="B109" s="23">
        <f>-B103</f>
        <v>-12988.430011892458</v>
      </c>
      <c r="C109" s="24"/>
      <c r="D109" s="31"/>
      <c r="E109" s="19"/>
    </row>
    <row r="110" spans="1:6" x14ac:dyDescent="0.25">
      <c r="A110" s="5" t="s">
        <v>1</v>
      </c>
      <c r="B110" s="25"/>
      <c r="C110" s="26">
        <f>-C104</f>
        <v>-50146.930053864315</v>
      </c>
      <c r="D110" s="18"/>
      <c r="E110" s="19"/>
    </row>
    <row r="111" spans="1:6" x14ac:dyDescent="0.25">
      <c r="A111" s="5" t="s">
        <v>165</v>
      </c>
      <c r="B111" s="23">
        <f>-'Scenario and Data'!C96</f>
        <v>60000</v>
      </c>
      <c r="C111" s="26"/>
      <c r="D111" s="18"/>
      <c r="E111" s="19"/>
    </row>
    <row r="112" spans="1:6" x14ac:dyDescent="0.25">
      <c r="A112" s="5" t="s">
        <v>26</v>
      </c>
      <c r="B112" s="23"/>
      <c r="C112" s="26"/>
      <c r="D112" s="18">
        <f>'Scenario and Data'!C169+'Scenario and Data'!D169</f>
        <v>-49195.081945087404</v>
      </c>
      <c r="E112" s="19"/>
    </row>
    <row r="113" spans="1:6" x14ac:dyDescent="0.25">
      <c r="A113" s="5" t="s">
        <v>166</v>
      </c>
      <c r="B113" s="18">
        <f>-B111</f>
        <v>-60000</v>
      </c>
      <c r="C113" s="22"/>
      <c r="D113" s="18">
        <f>-B113</f>
        <v>60000</v>
      </c>
      <c r="E113" s="30"/>
    </row>
    <row r="114" spans="1:6" x14ac:dyDescent="0.25">
      <c r="B114" s="18"/>
      <c r="C114" s="17"/>
      <c r="D114" s="29"/>
      <c r="E114" s="19"/>
    </row>
    <row r="115" spans="1:6" ht="14.95" thickBot="1" x14ac:dyDescent="0.3">
      <c r="A115" s="6" t="s">
        <v>181</v>
      </c>
      <c r="B115" s="20">
        <f>SUM(B109:B113)</f>
        <v>-12988.430011892458</v>
      </c>
      <c r="C115" s="21">
        <f>SUM(C109:C113)</f>
        <v>-50146.930053864315</v>
      </c>
      <c r="D115" s="20">
        <f>SUM(D109:D113)</f>
        <v>10804.918054912596</v>
      </c>
      <c r="E115" s="21">
        <f>SUM(E109:E113)</f>
        <v>0</v>
      </c>
      <c r="F115" s="9"/>
    </row>
    <row r="116" spans="1:6" ht="14.95" thickTop="1" x14ac:dyDescent="0.25">
      <c r="B116" s="16"/>
      <c r="C116" s="17"/>
      <c r="D116" s="29"/>
      <c r="E116" s="19"/>
    </row>
    <row r="117" spans="1:6" x14ac:dyDescent="0.25">
      <c r="A117" s="5" t="s">
        <v>16</v>
      </c>
      <c r="B117" s="18">
        <f>B95+B109+B111</f>
        <v>-272757.03024974163</v>
      </c>
      <c r="C117" s="17"/>
      <c r="D117" s="29"/>
      <c r="E117" s="19"/>
    </row>
    <row r="118" spans="1:6" x14ac:dyDescent="0.25">
      <c r="A118" s="5" t="s">
        <v>17</v>
      </c>
      <c r="B118" s="18"/>
      <c r="C118" s="22">
        <f>C96+C110</f>
        <v>250734.65026932157</v>
      </c>
      <c r="D118" s="29"/>
      <c r="E118" s="19"/>
    </row>
    <row r="119" spans="1:6" x14ac:dyDescent="0.25">
      <c r="A119" s="5" t="s">
        <v>29</v>
      </c>
      <c r="B119" s="16"/>
      <c r="C119" s="19"/>
      <c r="D119" s="18">
        <f>D97+D112</f>
        <v>277451.19371100911</v>
      </c>
      <c r="E119" s="19">
        <f>E96+E110</f>
        <v>0</v>
      </c>
    </row>
    <row r="120" spans="1:6" ht="14.95" thickBot="1" x14ac:dyDescent="0.3">
      <c r="A120" s="6" t="s">
        <v>15</v>
      </c>
      <c r="B120" s="27">
        <f>SUM(B117:B119)</f>
        <v>-272757.03024974163</v>
      </c>
      <c r="C120" s="28">
        <f t="shared" ref="C120:E120" si="4">SUM(C117:C119)</f>
        <v>250734.65026932157</v>
      </c>
      <c r="D120" s="27">
        <f t="shared" si="4"/>
        <v>277451.19371100911</v>
      </c>
      <c r="E120" s="28">
        <f t="shared" si="4"/>
        <v>0</v>
      </c>
      <c r="F120" s="9"/>
    </row>
    <row r="122" spans="1:6" ht="14.95" thickBot="1" x14ac:dyDescent="0.3">
      <c r="B122" s="298" t="s">
        <v>11</v>
      </c>
      <c r="C122" s="299"/>
      <c r="D122" s="40" t="s">
        <v>10</v>
      </c>
      <c r="E122" s="10"/>
    </row>
    <row r="123" spans="1:6" ht="14.95" thickBot="1" x14ac:dyDescent="0.3">
      <c r="A123" s="63" t="s">
        <v>216</v>
      </c>
      <c r="B123" s="61" t="s">
        <v>6</v>
      </c>
      <c r="C123" s="62" t="s">
        <v>63</v>
      </c>
      <c r="D123" s="61" t="s">
        <v>7</v>
      </c>
      <c r="E123" s="62" t="s">
        <v>12</v>
      </c>
      <c r="F123" s="8"/>
    </row>
    <row r="124" spans="1:6" ht="16.3" x14ac:dyDescent="0.3">
      <c r="A124" s="184" t="s">
        <v>2</v>
      </c>
      <c r="B124" s="16"/>
      <c r="C124" s="12"/>
      <c r="D124" s="29"/>
      <c r="E124" s="30"/>
    </row>
    <row r="125" spans="1:6" x14ac:dyDescent="0.25">
      <c r="A125" s="5" t="s">
        <v>151</v>
      </c>
      <c r="B125" s="18">
        <f>'Scenario and Data'!D97</f>
        <v>10637.851512487083</v>
      </c>
      <c r="C125" s="17"/>
      <c r="D125" s="29"/>
      <c r="E125" s="30"/>
    </row>
    <row r="126" spans="1:6" x14ac:dyDescent="0.25">
      <c r="A126" s="5" t="s">
        <v>168</v>
      </c>
      <c r="B126" s="16"/>
      <c r="C126" s="19">
        <f>-'Scenario and Data'!C124</f>
        <v>50146.930053864315</v>
      </c>
      <c r="D126" s="18"/>
      <c r="E126" s="19"/>
    </row>
    <row r="127" spans="1:6" x14ac:dyDescent="0.25">
      <c r="A127" s="5" t="s">
        <v>162</v>
      </c>
      <c r="B127" s="16"/>
      <c r="C127" s="17"/>
      <c r="D127" s="18">
        <f>-'Scenario and Data'!D170</f>
        <v>-8811.4575131762576</v>
      </c>
      <c r="E127" s="30"/>
    </row>
    <row r="128" spans="1:6" ht="14.95" thickBot="1" x14ac:dyDescent="0.3">
      <c r="A128" s="6" t="s">
        <v>5</v>
      </c>
      <c r="B128" s="20">
        <f>SUM(B125:B127)</f>
        <v>10637.851512487083</v>
      </c>
      <c r="C128" s="21">
        <f>SUM(C125:C127)</f>
        <v>50146.930053864315</v>
      </c>
      <c r="D128" s="20">
        <f>SUM(D124:D127)</f>
        <v>-8811.4575131762576</v>
      </c>
      <c r="E128" s="21">
        <f>SUM(E125:E127)</f>
        <v>0</v>
      </c>
      <c r="F128" s="9"/>
    </row>
    <row r="129" spans="1:6" ht="15.65" thickTop="1" thickBot="1" x14ac:dyDescent="0.3">
      <c r="A129" s="6"/>
      <c r="B129" s="46"/>
      <c r="C129" s="46"/>
      <c r="D129" s="46"/>
      <c r="E129" s="46"/>
      <c r="F129" s="9"/>
    </row>
    <row r="130" spans="1:6" ht="16.3" x14ac:dyDescent="0.3">
      <c r="A130" s="184" t="s">
        <v>24</v>
      </c>
      <c r="B130" s="42"/>
      <c r="C130" s="43"/>
      <c r="D130" s="44"/>
      <c r="E130" s="45"/>
    </row>
    <row r="131" spans="1:6" x14ac:dyDescent="0.25">
      <c r="A131" s="5" t="s">
        <v>164</v>
      </c>
      <c r="B131" s="23">
        <f>-B125</f>
        <v>-10637.851512487083</v>
      </c>
      <c r="C131" s="24"/>
      <c r="D131" s="31"/>
      <c r="E131" s="19"/>
    </row>
    <row r="132" spans="1:6" x14ac:dyDescent="0.25">
      <c r="A132" s="5" t="s">
        <v>1</v>
      </c>
      <c r="B132" s="25"/>
      <c r="C132" s="26">
        <f>-C126</f>
        <v>-50146.930053864315</v>
      </c>
      <c r="D132" s="18"/>
      <c r="E132" s="19"/>
    </row>
    <row r="133" spans="1:6" x14ac:dyDescent="0.25">
      <c r="A133" s="5" t="s">
        <v>165</v>
      </c>
      <c r="B133" s="23">
        <f>-'Scenario and Data'!C97</f>
        <v>60000</v>
      </c>
      <c r="C133" s="26"/>
      <c r="D133" s="18"/>
      <c r="E133" s="19"/>
    </row>
    <row r="134" spans="1:6" x14ac:dyDescent="0.25">
      <c r="A134" s="5" t="s">
        <v>26</v>
      </c>
      <c r="B134" s="23"/>
      <c r="C134" s="26"/>
      <c r="D134" s="18">
        <f>'Scenario and Data'!C170+'Scenario and Data'!D170</f>
        <v>-51188.542486823746</v>
      </c>
      <c r="E134" s="19"/>
    </row>
    <row r="135" spans="1:6" x14ac:dyDescent="0.25">
      <c r="A135" s="5" t="s">
        <v>166</v>
      </c>
      <c r="B135" s="18">
        <f>-B133</f>
        <v>-60000</v>
      </c>
      <c r="C135" s="22"/>
      <c r="D135" s="18">
        <f>-B135</f>
        <v>60000</v>
      </c>
      <c r="E135" s="30"/>
    </row>
    <row r="136" spans="1:6" x14ac:dyDescent="0.25">
      <c r="B136" s="18"/>
      <c r="C136" s="17"/>
      <c r="D136" s="29"/>
      <c r="E136" s="19"/>
    </row>
    <row r="137" spans="1:6" ht="14.95" thickBot="1" x14ac:dyDescent="0.3">
      <c r="A137" s="6" t="s">
        <v>181</v>
      </c>
      <c r="B137" s="20">
        <f>SUM(B131:B135)</f>
        <v>-10637.851512487083</v>
      </c>
      <c r="C137" s="21">
        <f>SUM(C131:C135)</f>
        <v>-50146.930053864315</v>
      </c>
      <c r="D137" s="20">
        <f>SUM(D131:D135)</f>
        <v>8811.457513176254</v>
      </c>
      <c r="E137" s="21">
        <f>SUM(E131:E135)</f>
        <v>0</v>
      </c>
      <c r="F137" s="9"/>
    </row>
    <row r="138" spans="1:6" ht="14.95" thickTop="1" x14ac:dyDescent="0.25">
      <c r="B138" s="16"/>
      <c r="C138" s="17"/>
      <c r="D138" s="29"/>
      <c r="E138" s="19"/>
    </row>
    <row r="139" spans="1:6" x14ac:dyDescent="0.25">
      <c r="A139" s="5" t="s">
        <v>16</v>
      </c>
      <c r="B139" s="18">
        <f>B117+B131+B133</f>
        <v>-223394.88176222873</v>
      </c>
      <c r="C139" s="17"/>
      <c r="D139" s="29"/>
      <c r="E139" s="19"/>
    </row>
    <row r="140" spans="1:6" x14ac:dyDescent="0.25">
      <c r="A140" s="5" t="s">
        <v>17</v>
      </c>
      <c r="B140" s="18"/>
      <c r="C140" s="22">
        <f>C118+C132</f>
        <v>200587.72021545726</v>
      </c>
      <c r="D140" s="29"/>
      <c r="E140" s="19"/>
    </row>
    <row r="141" spans="1:6" x14ac:dyDescent="0.25">
      <c r="A141" s="5" t="s">
        <v>29</v>
      </c>
      <c r="B141" s="16"/>
      <c r="C141" s="19"/>
      <c r="D141" s="18">
        <f>D119+D134</f>
        <v>226262.65122418536</v>
      </c>
      <c r="E141" s="19">
        <f>E118+E132</f>
        <v>0</v>
      </c>
    </row>
    <row r="142" spans="1:6" ht="14.95" thickBot="1" x14ac:dyDescent="0.3">
      <c r="A142" s="6" t="s">
        <v>15</v>
      </c>
      <c r="B142" s="27">
        <f>SUM(B139:B141)</f>
        <v>-223394.88176222873</v>
      </c>
      <c r="C142" s="28">
        <f t="shared" ref="C142:E142" si="5">SUM(C139:C141)</f>
        <v>200587.72021545726</v>
      </c>
      <c r="D142" s="27">
        <f t="shared" si="5"/>
        <v>226262.65122418536</v>
      </c>
      <c r="E142" s="28">
        <f t="shared" si="5"/>
        <v>0</v>
      </c>
      <c r="F142" s="9"/>
    </row>
    <row r="144" spans="1:6" ht="14.95" thickBot="1" x14ac:dyDescent="0.3">
      <c r="B144" s="298" t="s">
        <v>11</v>
      </c>
      <c r="C144" s="299"/>
      <c r="D144" s="40" t="s">
        <v>10</v>
      </c>
      <c r="E144" s="10"/>
    </row>
    <row r="145" spans="1:6" ht="14.95" thickBot="1" x14ac:dyDescent="0.3">
      <c r="A145" s="63" t="s">
        <v>217</v>
      </c>
      <c r="B145" s="61" t="s">
        <v>6</v>
      </c>
      <c r="C145" s="62" t="s">
        <v>63</v>
      </c>
      <c r="D145" s="61" t="s">
        <v>7</v>
      </c>
      <c r="E145" s="62" t="s">
        <v>12</v>
      </c>
      <c r="F145" s="8"/>
    </row>
    <row r="146" spans="1:6" ht="16.3" x14ac:dyDescent="0.3">
      <c r="A146" s="184" t="s">
        <v>2</v>
      </c>
      <c r="B146" s="16"/>
      <c r="C146" s="12"/>
      <c r="D146" s="29"/>
      <c r="E146" s="30"/>
    </row>
    <row r="147" spans="1:6" x14ac:dyDescent="0.25">
      <c r="A147" s="5" t="s">
        <v>151</v>
      </c>
      <c r="B147" s="18">
        <f>'Scenario and Data'!D98</f>
        <v>8169.7440881114371</v>
      </c>
      <c r="C147" s="17"/>
      <c r="D147" s="29"/>
      <c r="E147" s="30"/>
    </row>
    <row r="148" spans="1:6" x14ac:dyDescent="0.25">
      <c r="A148" s="5" t="s">
        <v>168</v>
      </c>
      <c r="B148" s="16"/>
      <c r="C148" s="19">
        <f>-'Scenario and Data'!C125</f>
        <v>50146.930053864315</v>
      </c>
      <c r="D148" s="18"/>
      <c r="E148" s="19"/>
    </row>
    <row r="149" spans="1:6" x14ac:dyDescent="0.25">
      <c r="A149" s="5" t="s">
        <v>162</v>
      </c>
      <c r="B149" s="16"/>
      <c r="C149" s="17"/>
      <c r="D149" s="18">
        <f>-'Scenario and Data'!D171</f>
        <v>-6737.2188778919581</v>
      </c>
      <c r="E149" s="30"/>
    </row>
    <row r="150" spans="1:6" ht="14.95" thickBot="1" x14ac:dyDescent="0.3">
      <c r="A150" s="6" t="s">
        <v>5</v>
      </c>
      <c r="B150" s="20">
        <f>SUM(B147:B149)</f>
        <v>8169.7440881114371</v>
      </c>
      <c r="C150" s="21">
        <f>SUM(C147:C149)</f>
        <v>50146.930053864315</v>
      </c>
      <c r="D150" s="20">
        <f>SUM(D146:D149)</f>
        <v>-6737.2188778919581</v>
      </c>
      <c r="E150" s="21">
        <f>SUM(E147:E149)</f>
        <v>0</v>
      </c>
      <c r="F150" s="9"/>
    </row>
    <row r="151" spans="1:6" ht="15.65" thickTop="1" thickBot="1" x14ac:dyDescent="0.3">
      <c r="A151" s="6"/>
      <c r="B151" s="46"/>
      <c r="C151" s="46"/>
      <c r="D151" s="46"/>
      <c r="E151" s="46"/>
      <c r="F151" s="9"/>
    </row>
    <row r="152" spans="1:6" ht="16.3" x14ac:dyDescent="0.3">
      <c r="A152" s="184" t="s">
        <v>24</v>
      </c>
      <c r="B152" s="42"/>
      <c r="C152" s="43"/>
      <c r="D152" s="44"/>
      <c r="E152" s="45"/>
    </row>
    <row r="153" spans="1:6" x14ac:dyDescent="0.25">
      <c r="A153" s="5" t="s">
        <v>164</v>
      </c>
      <c r="B153" s="23">
        <f>-B147</f>
        <v>-8169.7440881114371</v>
      </c>
      <c r="C153" s="24"/>
      <c r="D153" s="31"/>
      <c r="E153" s="19"/>
    </row>
    <row r="154" spans="1:6" x14ac:dyDescent="0.25">
      <c r="A154" s="5" t="s">
        <v>1</v>
      </c>
      <c r="B154" s="25"/>
      <c r="C154" s="26">
        <f>-C148</f>
        <v>-50146.930053864315</v>
      </c>
      <c r="D154" s="18"/>
      <c r="E154" s="19"/>
    </row>
    <row r="155" spans="1:6" x14ac:dyDescent="0.25">
      <c r="A155" s="5" t="s">
        <v>165</v>
      </c>
      <c r="B155" s="23">
        <f>-'Scenario and Data'!C98</f>
        <v>60000</v>
      </c>
      <c r="C155" s="26"/>
      <c r="D155" s="18"/>
      <c r="E155" s="19"/>
    </row>
    <row r="156" spans="1:6" x14ac:dyDescent="0.25">
      <c r="A156" s="5" t="s">
        <v>26</v>
      </c>
      <c r="B156" s="23"/>
      <c r="C156" s="26"/>
      <c r="D156" s="18">
        <f>'Scenario and Data'!C171+'Scenario and Data'!D171</f>
        <v>-53262.781122108041</v>
      </c>
      <c r="E156" s="19"/>
    </row>
    <row r="157" spans="1:6" x14ac:dyDescent="0.25">
      <c r="A157" s="5" t="s">
        <v>166</v>
      </c>
      <c r="B157" s="18">
        <f>-B155</f>
        <v>-60000</v>
      </c>
      <c r="C157" s="22"/>
      <c r="D157" s="18">
        <f>-B157</f>
        <v>60000</v>
      </c>
      <c r="E157" s="30"/>
    </row>
    <row r="158" spans="1:6" x14ac:dyDescent="0.25">
      <c r="B158" s="18"/>
      <c r="C158" s="17"/>
      <c r="D158" s="29"/>
      <c r="E158" s="19"/>
    </row>
    <row r="159" spans="1:6" ht="14.95" thickBot="1" x14ac:dyDescent="0.3">
      <c r="A159" s="6" t="s">
        <v>181</v>
      </c>
      <c r="B159" s="20">
        <f>SUM(B153:B157)</f>
        <v>-8169.744088111438</v>
      </c>
      <c r="C159" s="21">
        <f>SUM(C153:C157)</f>
        <v>-50146.930053864315</v>
      </c>
      <c r="D159" s="20">
        <f>SUM(D153:D157)</f>
        <v>6737.218877891959</v>
      </c>
      <c r="E159" s="21">
        <f>SUM(E153:E157)</f>
        <v>0</v>
      </c>
      <c r="F159" s="9"/>
    </row>
    <row r="160" spans="1:6" ht="14.95" thickTop="1" x14ac:dyDescent="0.25">
      <c r="B160" s="16"/>
      <c r="C160" s="17"/>
      <c r="D160" s="29"/>
      <c r="E160" s="19"/>
    </row>
    <row r="161" spans="1:6" x14ac:dyDescent="0.25">
      <c r="A161" s="5" t="s">
        <v>16</v>
      </c>
      <c r="B161" s="18">
        <f>B139+B153+B155</f>
        <v>-171564.62585034018</v>
      </c>
      <c r="C161" s="17"/>
      <c r="D161" s="29"/>
      <c r="E161" s="19"/>
    </row>
    <row r="162" spans="1:6" x14ac:dyDescent="0.25">
      <c r="A162" s="5" t="s">
        <v>17</v>
      </c>
      <c r="B162" s="18"/>
      <c r="C162" s="22">
        <f>C140+C154</f>
        <v>150440.79016159294</v>
      </c>
      <c r="D162" s="29"/>
      <c r="E162" s="19"/>
    </row>
    <row r="163" spans="1:6" x14ac:dyDescent="0.25">
      <c r="A163" s="5" t="s">
        <v>29</v>
      </c>
      <c r="B163" s="16"/>
      <c r="C163" s="19"/>
      <c r="D163" s="18">
        <f>D141+D156</f>
        <v>172999.87010207732</v>
      </c>
      <c r="E163" s="19">
        <f>E140+E154</f>
        <v>0</v>
      </c>
    </row>
    <row r="164" spans="1:6" ht="14.95" thickBot="1" x14ac:dyDescent="0.3">
      <c r="A164" s="6" t="s">
        <v>15</v>
      </c>
      <c r="B164" s="27">
        <f>SUM(B161:B163)</f>
        <v>-171564.62585034018</v>
      </c>
      <c r="C164" s="28">
        <f t="shared" ref="C164:E164" si="6">SUM(C161:C163)</f>
        <v>150440.79016159294</v>
      </c>
      <c r="D164" s="27">
        <f t="shared" si="6"/>
        <v>172999.87010207732</v>
      </c>
      <c r="E164" s="28">
        <f t="shared" si="6"/>
        <v>0</v>
      </c>
      <c r="F164" s="9"/>
    </row>
    <row r="166" spans="1:6" ht="14.95" thickBot="1" x14ac:dyDescent="0.3">
      <c r="B166" s="298" t="s">
        <v>11</v>
      </c>
      <c r="C166" s="299"/>
      <c r="D166" s="40" t="s">
        <v>10</v>
      </c>
      <c r="E166" s="10"/>
    </row>
    <row r="167" spans="1:6" ht="14.95" thickBot="1" x14ac:dyDescent="0.3">
      <c r="A167" s="63" t="s">
        <v>218</v>
      </c>
      <c r="B167" s="61" t="s">
        <v>6</v>
      </c>
      <c r="C167" s="62" t="s">
        <v>63</v>
      </c>
      <c r="D167" s="61" t="s">
        <v>7</v>
      </c>
      <c r="E167" s="62" t="s">
        <v>12</v>
      </c>
      <c r="F167" s="8"/>
    </row>
    <row r="168" spans="1:6" ht="16.3" x14ac:dyDescent="0.3">
      <c r="A168" s="184" t="s">
        <v>2</v>
      </c>
      <c r="B168" s="16"/>
      <c r="C168" s="12"/>
      <c r="D168" s="29"/>
      <c r="E168" s="30"/>
    </row>
    <row r="169" spans="1:6" x14ac:dyDescent="0.25">
      <c r="A169" s="5" t="s">
        <v>151</v>
      </c>
      <c r="B169" s="18">
        <f>'Scenario and Data'!D99</f>
        <v>5578.231292517009</v>
      </c>
      <c r="C169" s="17"/>
      <c r="D169" s="29"/>
      <c r="E169" s="30"/>
    </row>
    <row r="170" spans="1:6" x14ac:dyDescent="0.25">
      <c r="A170" s="5" t="s">
        <v>168</v>
      </c>
      <c r="B170" s="16"/>
      <c r="C170" s="19">
        <f>-'Scenario and Data'!C126</f>
        <v>50146.930053864315</v>
      </c>
      <c r="D170" s="18"/>
      <c r="E170" s="19"/>
    </row>
    <row r="171" spans="1:6" x14ac:dyDescent="0.25">
      <c r="A171" s="5" t="s">
        <v>162</v>
      </c>
      <c r="B171" s="16"/>
      <c r="C171" s="17"/>
      <c r="D171" s="18">
        <f>-'Scenario and Data'!D172</f>
        <v>-4578.928896210884</v>
      </c>
      <c r="E171" s="30"/>
    </row>
    <row r="172" spans="1:6" ht="14.95" thickBot="1" x14ac:dyDescent="0.3">
      <c r="A172" s="6" t="s">
        <v>5</v>
      </c>
      <c r="B172" s="20">
        <f>SUM(B169:B171)</f>
        <v>5578.231292517009</v>
      </c>
      <c r="C172" s="21">
        <f>SUM(C169:C171)</f>
        <v>50146.930053864315</v>
      </c>
      <c r="D172" s="20">
        <f>SUM(D168:D171)</f>
        <v>-4578.928896210884</v>
      </c>
      <c r="E172" s="21">
        <f>SUM(E169:E171)</f>
        <v>0</v>
      </c>
      <c r="F172" s="9"/>
    </row>
    <row r="173" spans="1:6" ht="15.65" thickTop="1" thickBot="1" x14ac:dyDescent="0.3">
      <c r="A173" s="6"/>
      <c r="B173" s="46"/>
      <c r="C173" s="46"/>
      <c r="D173" s="46"/>
      <c r="E173" s="46"/>
      <c r="F173" s="9"/>
    </row>
    <row r="174" spans="1:6" ht="16.3" x14ac:dyDescent="0.3">
      <c r="A174" s="184" t="s">
        <v>24</v>
      </c>
      <c r="B174" s="42"/>
      <c r="C174" s="43"/>
      <c r="D174" s="44"/>
      <c r="E174" s="45"/>
    </row>
    <row r="175" spans="1:6" x14ac:dyDescent="0.25">
      <c r="A175" s="5" t="s">
        <v>164</v>
      </c>
      <c r="B175" s="23">
        <f>-B169</f>
        <v>-5578.231292517009</v>
      </c>
      <c r="C175" s="24"/>
      <c r="D175" s="31"/>
      <c r="E175" s="19"/>
    </row>
    <row r="176" spans="1:6" x14ac:dyDescent="0.25">
      <c r="A176" s="5" t="s">
        <v>1</v>
      </c>
      <c r="B176" s="25"/>
      <c r="C176" s="26">
        <f>-C170</f>
        <v>-50146.930053864315</v>
      </c>
      <c r="D176" s="18"/>
      <c r="E176" s="19"/>
    </row>
    <row r="177" spans="1:6" x14ac:dyDescent="0.25">
      <c r="A177" s="5" t="s">
        <v>165</v>
      </c>
      <c r="B177" s="23">
        <f>-'Scenario and Data'!C99</f>
        <v>60000</v>
      </c>
      <c r="C177" s="26"/>
      <c r="D177" s="18"/>
      <c r="E177" s="19"/>
    </row>
    <row r="178" spans="1:6" x14ac:dyDescent="0.25">
      <c r="A178" s="5" t="s">
        <v>26</v>
      </c>
      <c r="B178" s="23"/>
      <c r="C178" s="26"/>
      <c r="D178" s="18">
        <f>'Scenario and Data'!C172+'Scenario and Data'!D172</f>
        <v>-55421.071103789116</v>
      </c>
      <c r="E178" s="19"/>
    </row>
    <row r="179" spans="1:6" x14ac:dyDescent="0.25">
      <c r="A179" s="5" t="s">
        <v>166</v>
      </c>
      <c r="B179" s="18">
        <f>-B177</f>
        <v>-60000</v>
      </c>
      <c r="C179" s="22"/>
      <c r="D179" s="18">
        <f>-B179</f>
        <v>60000</v>
      </c>
      <c r="E179" s="30"/>
    </row>
    <row r="180" spans="1:6" x14ac:dyDescent="0.25">
      <c r="B180" s="18"/>
      <c r="C180" s="17"/>
      <c r="D180" s="29"/>
      <c r="E180" s="19"/>
    </row>
    <row r="181" spans="1:6" ht="14.95" thickBot="1" x14ac:dyDescent="0.3">
      <c r="A181" s="6" t="s">
        <v>181</v>
      </c>
      <c r="B181" s="20">
        <f>SUM(B175:B179)</f>
        <v>-5578.2312925170118</v>
      </c>
      <c r="C181" s="21">
        <f>SUM(C175:C179)</f>
        <v>-50146.930053864315</v>
      </c>
      <c r="D181" s="20">
        <f>SUM(D175:D179)</f>
        <v>4578.928896210884</v>
      </c>
      <c r="E181" s="21">
        <f>SUM(E175:E179)</f>
        <v>0</v>
      </c>
      <c r="F181" s="9"/>
    </row>
    <row r="182" spans="1:6" ht="14.95" thickTop="1" x14ac:dyDescent="0.25">
      <c r="B182" s="16"/>
      <c r="C182" s="17"/>
      <c r="D182" s="29"/>
      <c r="E182" s="19"/>
    </row>
    <row r="183" spans="1:6" x14ac:dyDescent="0.25">
      <c r="A183" s="5" t="s">
        <v>16</v>
      </c>
      <c r="B183" s="18">
        <f>B161+B175+B177</f>
        <v>-117142.85714285719</v>
      </c>
      <c r="C183" s="17"/>
      <c r="D183" s="29"/>
      <c r="E183" s="19"/>
    </row>
    <row r="184" spans="1:6" x14ac:dyDescent="0.25">
      <c r="A184" s="5" t="s">
        <v>17</v>
      </c>
      <c r="B184" s="18"/>
      <c r="C184" s="22">
        <f>C162+C176</f>
        <v>100293.86010772863</v>
      </c>
      <c r="D184" s="29"/>
      <c r="E184" s="19"/>
    </row>
    <row r="185" spans="1:6" x14ac:dyDescent="0.25">
      <c r="A185" s="5" t="s">
        <v>29</v>
      </c>
      <c r="B185" s="16"/>
      <c r="C185" s="19"/>
      <c r="D185" s="18">
        <f>D163+D178</f>
        <v>117578.7989982882</v>
      </c>
      <c r="E185" s="19">
        <f>E162+E176</f>
        <v>0</v>
      </c>
    </row>
    <row r="186" spans="1:6" ht="14.95" thickBot="1" x14ac:dyDescent="0.3">
      <c r="A186" s="6" t="s">
        <v>15</v>
      </c>
      <c r="B186" s="27">
        <f>SUM(B183:B185)</f>
        <v>-117142.85714285719</v>
      </c>
      <c r="C186" s="28">
        <f t="shared" ref="C186:E186" si="7">SUM(C183:C185)</f>
        <v>100293.86010772863</v>
      </c>
      <c r="D186" s="27">
        <f t="shared" si="7"/>
        <v>117578.7989982882</v>
      </c>
      <c r="E186" s="28">
        <f t="shared" si="7"/>
        <v>0</v>
      </c>
      <c r="F186" s="9"/>
    </row>
    <row r="188" spans="1:6" ht="14.95" thickBot="1" x14ac:dyDescent="0.3">
      <c r="B188" s="298" t="s">
        <v>11</v>
      </c>
      <c r="C188" s="299"/>
      <c r="D188" s="40" t="s">
        <v>10</v>
      </c>
      <c r="E188" s="10"/>
    </row>
    <row r="189" spans="1:6" ht="14.95" thickBot="1" x14ac:dyDescent="0.3">
      <c r="A189" s="63" t="s">
        <v>219</v>
      </c>
      <c r="B189" s="61" t="s">
        <v>6</v>
      </c>
      <c r="C189" s="62" t="s">
        <v>63</v>
      </c>
      <c r="D189" s="61" t="s">
        <v>7</v>
      </c>
      <c r="E189" s="62" t="s">
        <v>12</v>
      </c>
      <c r="F189" s="8"/>
    </row>
    <row r="190" spans="1:6" ht="16.3" x14ac:dyDescent="0.3">
      <c r="A190" s="184" t="s">
        <v>2</v>
      </c>
      <c r="B190" s="16"/>
      <c r="C190" s="12"/>
      <c r="D190" s="29"/>
      <c r="E190" s="30"/>
    </row>
    <row r="191" spans="1:6" x14ac:dyDescent="0.25">
      <c r="A191" s="5" t="s">
        <v>151</v>
      </c>
      <c r="B191" s="18">
        <f>'Scenario and Data'!D100</f>
        <v>2857.1428571428596</v>
      </c>
      <c r="C191" s="17"/>
      <c r="D191" s="29"/>
      <c r="E191" s="30"/>
    </row>
    <row r="192" spans="1:6" x14ac:dyDescent="0.25">
      <c r="A192" s="5" t="s">
        <v>168</v>
      </c>
      <c r="B192" s="16"/>
      <c r="C192" s="19">
        <f>-'Scenario and Data'!C127</f>
        <v>50146.930053864315</v>
      </c>
      <c r="D192" s="18"/>
      <c r="E192" s="19"/>
    </row>
    <row r="193" spans="1:6" x14ac:dyDescent="0.25">
      <c r="A193" s="5" t="s">
        <v>162</v>
      </c>
      <c r="B193" s="16"/>
      <c r="C193" s="17"/>
      <c r="D193" s="18">
        <f>-'Scenario and Data'!D173</f>
        <v>-2333.1816780339223</v>
      </c>
      <c r="E193" s="30"/>
    </row>
    <row r="194" spans="1:6" ht="14.95" thickBot="1" x14ac:dyDescent="0.3">
      <c r="A194" s="6" t="s">
        <v>5</v>
      </c>
      <c r="B194" s="20">
        <f>SUM(B191:B193)</f>
        <v>2857.1428571428596</v>
      </c>
      <c r="C194" s="21">
        <f>SUM(C191:C193)</f>
        <v>50146.930053864315</v>
      </c>
      <c r="D194" s="20">
        <f>SUM(D190:D193)</f>
        <v>-2333.1816780339223</v>
      </c>
      <c r="E194" s="21">
        <f>SUM(E191:E193)</f>
        <v>0</v>
      </c>
      <c r="F194" s="9"/>
    </row>
    <row r="195" spans="1:6" ht="15.65" thickTop="1" thickBot="1" x14ac:dyDescent="0.3">
      <c r="A195" s="6"/>
      <c r="B195" s="46"/>
      <c r="C195" s="46"/>
      <c r="D195" s="46"/>
      <c r="E195" s="46"/>
      <c r="F195" s="9"/>
    </row>
    <row r="196" spans="1:6" ht="16.3" x14ac:dyDescent="0.3">
      <c r="A196" s="184" t="s">
        <v>24</v>
      </c>
      <c r="B196" s="42"/>
      <c r="C196" s="43"/>
      <c r="D196" s="44"/>
      <c r="E196" s="45"/>
    </row>
    <row r="197" spans="1:6" x14ac:dyDescent="0.25">
      <c r="A197" s="5" t="s">
        <v>164</v>
      </c>
      <c r="B197" s="23">
        <f>-B191</f>
        <v>-2857.1428571428596</v>
      </c>
      <c r="C197" s="24"/>
      <c r="D197" s="31"/>
      <c r="E197" s="19"/>
    </row>
    <row r="198" spans="1:6" x14ac:dyDescent="0.25">
      <c r="A198" s="5" t="s">
        <v>1</v>
      </c>
      <c r="B198" s="25"/>
      <c r="C198" s="26">
        <f>-C192</f>
        <v>-50146.930053864315</v>
      </c>
      <c r="D198" s="18"/>
      <c r="E198" s="19"/>
    </row>
    <row r="199" spans="1:6" x14ac:dyDescent="0.25">
      <c r="A199" s="5" t="s">
        <v>165</v>
      </c>
      <c r="B199" s="23">
        <f>-'Scenario and Data'!C100</f>
        <v>60000</v>
      </c>
      <c r="C199" s="26"/>
      <c r="D199" s="18"/>
      <c r="E199" s="19"/>
    </row>
    <row r="200" spans="1:6" x14ac:dyDescent="0.25">
      <c r="A200" s="5" t="s">
        <v>26</v>
      </c>
      <c r="B200" s="23"/>
      <c r="C200" s="26"/>
      <c r="D200" s="18">
        <f>'Scenario and Data'!C173+'Scenario and Data'!D173</f>
        <v>-57666.818321966079</v>
      </c>
      <c r="E200" s="19"/>
    </row>
    <row r="201" spans="1:6" x14ac:dyDescent="0.25">
      <c r="A201" s="5" t="s">
        <v>166</v>
      </c>
      <c r="B201" s="18">
        <f>-B199</f>
        <v>-60000</v>
      </c>
      <c r="C201" s="22"/>
      <c r="D201" s="18">
        <f>-B201</f>
        <v>60000</v>
      </c>
      <c r="E201" s="30"/>
    </row>
    <row r="202" spans="1:6" x14ac:dyDescent="0.25">
      <c r="B202" s="18"/>
      <c r="C202" s="17"/>
      <c r="D202" s="29"/>
      <c r="E202" s="19"/>
    </row>
    <row r="203" spans="1:6" ht="14.95" thickBot="1" x14ac:dyDescent="0.3">
      <c r="A203" s="6" t="s">
        <v>181</v>
      </c>
      <c r="B203" s="20">
        <f>SUM(B197:B201)</f>
        <v>-2857.1428571428623</v>
      </c>
      <c r="C203" s="21">
        <f>SUM(C197:C201)</f>
        <v>-50146.930053864315</v>
      </c>
      <c r="D203" s="20">
        <f>SUM(D197:D201)</f>
        <v>2333.1816780339213</v>
      </c>
      <c r="E203" s="21">
        <f>SUM(E197:E201)</f>
        <v>0</v>
      </c>
      <c r="F203" s="9"/>
    </row>
    <row r="204" spans="1:6" ht="14.95" thickTop="1" x14ac:dyDescent="0.25">
      <c r="B204" s="16"/>
      <c r="C204" s="17"/>
      <c r="D204" s="29"/>
      <c r="E204" s="19"/>
    </row>
    <row r="205" spans="1:6" x14ac:dyDescent="0.25">
      <c r="A205" s="5" t="s">
        <v>16</v>
      </c>
      <c r="B205" s="18">
        <f>B183+B197+B199</f>
        <v>-60000.000000000044</v>
      </c>
      <c r="C205" s="17"/>
      <c r="D205" s="29"/>
      <c r="E205" s="19"/>
    </row>
    <row r="206" spans="1:6" x14ac:dyDescent="0.25">
      <c r="A206" s="5" t="s">
        <v>17</v>
      </c>
      <c r="B206" s="18"/>
      <c r="C206" s="22">
        <f>C184+C198</f>
        <v>50146.930053864315</v>
      </c>
      <c r="D206" s="29"/>
      <c r="E206" s="19"/>
    </row>
    <row r="207" spans="1:6" x14ac:dyDescent="0.25">
      <c r="A207" s="5" t="s">
        <v>29</v>
      </c>
      <c r="B207" s="16"/>
      <c r="C207" s="19"/>
      <c r="D207" s="18">
        <f>D185+D200+57</f>
        <v>59968.98067632212</v>
      </c>
      <c r="E207" s="19">
        <f>E184+E198</f>
        <v>0</v>
      </c>
    </row>
    <row r="208" spans="1:6" ht="14.95" thickBot="1" x14ac:dyDescent="0.3">
      <c r="A208" s="6" t="s">
        <v>15</v>
      </c>
      <c r="B208" s="27">
        <f>SUM(B205:B207)</f>
        <v>-60000.000000000044</v>
      </c>
      <c r="C208" s="28">
        <f t="shared" ref="C208:E208" si="8">SUM(C205:C207)</f>
        <v>50146.930053864315</v>
      </c>
      <c r="D208" s="27">
        <f t="shared" si="8"/>
        <v>59968.98067632212</v>
      </c>
      <c r="E208" s="28">
        <f t="shared" si="8"/>
        <v>0</v>
      </c>
      <c r="F208" s="9"/>
    </row>
    <row r="210" spans="1:6" ht="14.95" thickBot="1" x14ac:dyDescent="0.3">
      <c r="B210" s="298" t="s">
        <v>11</v>
      </c>
      <c r="C210" s="299"/>
      <c r="D210" s="40" t="s">
        <v>10</v>
      </c>
      <c r="E210" s="10"/>
    </row>
    <row r="211" spans="1:6" ht="14.95" thickBot="1" x14ac:dyDescent="0.3">
      <c r="A211" s="63" t="s">
        <v>220</v>
      </c>
      <c r="B211" s="61" t="s">
        <v>6</v>
      </c>
      <c r="C211" s="62" t="s">
        <v>63</v>
      </c>
      <c r="D211" s="61" t="s">
        <v>7</v>
      </c>
      <c r="E211" s="62" t="s">
        <v>12</v>
      </c>
      <c r="F211" s="8"/>
    </row>
    <row r="212" spans="1:6" ht="16.3" x14ac:dyDescent="0.3">
      <c r="A212" s="184" t="s">
        <v>2</v>
      </c>
      <c r="B212" s="16"/>
      <c r="C212" s="12"/>
      <c r="D212" s="29"/>
      <c r="E212" s="30"/>
    </row>
    <row r="213" spans="1:6" x14ac:dyDescent="0.25">
      <c r="A213" s="5" t="s">
        <v>151</v>
      </c>
      <c r="B213" s="18">
        <f>'Scenario and Data'!D101</f>
        <v>0</v>
      </c>
      <c r="C213" s="17"/>
      <c r="D213" s="29"/>
      <c r="E213" s="30"/>
    </row>
    <row r="214" spans="1:6" x14ac:dyDescent="0.25">
      <c r="A214" s="5" t="s">
        <v>168</v>
      </c>
      <c r="B214" s="16"/>
      <c r="C214" s="19">
        <f>-'Scenario and Data'!C128</f>
        <v>50146.930053864315</v>
      </c>
      <c r="D214" s="18"/>
      <c r="E214" s="19"/>
    </row>
    <row r="215" spans="1:6" x14ac:dyDescent="0.25">
      <c r="A215" s="5" t="s">
        <v>162</v>
      </c>
      <c r="B215" s="16"/>
      <c r="C215" s="17"/>
      <c r="D215" s="18">
        <f>-'Scenario and Data'!D101</f>
        <v>0</v>
      </c>
      <c r="E215" s="30"/>
    </row>
    <row r="216" spans="1:6" ht="14.95" thickBot="1" x14ac:dyDescent="0.3">
      <c r="A216" s="6" t="s">
        <v>5</v>
      </c>
      <c r="B216" s="20">
        <f>SUM(B213:B215)</f>
        <v>0</v>
      </c>
      <c r="C216" s="21">
        <f>SUM(C213:C215)</f>
        <v>50146.930053864315</v>
      </c>
      <c r="D216" s="20">
        <f>SUM(D212:D215)</f>
        <v>0</v>
      </c>
      <c r="E216" s="21">
        <f>SUM(E213:E215)</f>
        <v>0</v>
      </c>
      <c r="F216" s="9"/>
    </row>
    <row r="217" spans="1:6" ht="15.65" thickTop="1" thickBot="1" x14ac:dyDescent="0.3">
      <c r="A217" s="6"/>
      <c r="B217" s="46"/>
      <c r="C217" s="46"/>
      <c r="D217" s="46"/>
      <c r="E217" s="46"/>
      <c r="F217" s="9"/>
    </row>
    <row r="218" spans="1:6" ht="16.3" x14ac:dyDescent="0.3">
      <c r="A218" s="184" t="s">
        <v>24</v>
      </c>
      <c r="B218" s="42"/>
      <c r="C218" s="43"/>
      <c r="D218" s="44"/>
      <c r="E218" s="45"/>
    </row>
    <row r="219" spans="1:6" x14ac:dyDescent="0.25">
      <c r="A219" s="5" t="s">
        <v>164</v>
      </c>
      <c r="B219" s="23">
        <f>-B213</f>
        <v>0</v>
      </c>
      <c r="C219" s="24"/>
      <c r="D219" s="31"/>
      <c r="E219" s="19"/>
    </row>
    <row r="220" spans="1:6" x14ac:dyDescent="0.25">
      <c r="A220" s="5" t="s">
        <v>1</v>
      </c>
      <c r="B220" s="25"/>
      <c r="C220" s="26">
        <f>-C214</f>
        <v>-50146.930053864315</v>
      </c>
      <c r="D220" s="18"/>
      <c r="E220" s="19"/>
    </row>
    <row r="221" spans="1:6" x14ac:dyDescent="0.25">
      <c r="A221" s="5" t="s">
        <v>165</v>
      </c>
      <c r="B221" s="23">
        <f>-'Scenario and Data'!C101</f>
        <v>60000</v>
      </c>
      <c r="C221" s="26"/>
      <c r="D221" s="18"/>
      <c r="E221" s="19"/>
    </row>
    <row r="222" spans="1:6" x14ac:dyDescent="0.25">
      <c r="A222" s="5" t="s">
        <v>26</v>
      </c>
      <c r="B222" s="23"/>
      <c r="C222" s="26"/>
      <c r="D222" s="18">
        <f>'Scenario and Data'!C174+'Scenario and Data'!D174</f>
        <v>-60003.566678654141</v>
      </c>
      <c r="E222" s="19"/>
    </row>
    <row r="223" spans="1:6" x14ac:dyDescent="0.25">
      <c r="A223" s="5" t="s">
        <v>166</v>
      </c>
      <c r="B223" s="18">
        <f>-B221</f>
        <v>-60000</v>
      </c>
      <c r="C223" s="22"/>
      <c r="D223" s="18">
        <f>-B223</f>
        <v>60000</v>
      </c>
      <c r="E223" s="30"/>
    </row>
    <row r="224" spans="1:6" x14ac:dyDescent="0.25">
      <c r="B224" s="18"/>
      <c r="C224" s="17"/>
      <c r="D224" s="29"/>
      <c r="E224" s="19"/>
    </row>
    <row r="225" spans="1:6" ht="14.95" thickBot="1" x14ac:dyDescent="0.3">
      <c r="A225" s="6" t="s">
        <v>181</v>
      </c>
      <c r="B225" s="20">
        <f>SUM(B219:B223)</f>
        <v>0</v>
      </c>
      <c r="C225" s="21">
        <f>SUM(C219:C223)</f>
        <v>-50146.930053864315</v>
      </c>
      <c r="D225" s="20">
        <f>SUM(D219:D223)</f>
        <v>-3.56667865414056</v>
      </c>
      <c r="E225" s="21">
        <f>SUM(E219:E223)</f>
        <v>0</v>
      </c>
      <c r="F225" s="9"/>
    </row>
    <row r="226" spans="1:6" ht="14.95" thickTop="1" x14ac:dyDescent="0.25">
      <c r="B226" s="16"/>
      <c r="C226" s="17"/>
      <c r="D226" s="29"/>
      <c r="E226" s="19"/>
    </row>
    <row r="227" spans="1:6" x14ac:dyDescent="0.25">
      <c r="A227" s="5" t="s">
        <v>16</v>
      </c>
      <c r="B227" s="18">
        <f>B205+B219+B221</f>
        <v>0</v>
      </c>
      <c r="C227" s="17"/>
      <c r="D227" s="29"/>
      <c r="E227" s="19"/>
    </row>
    <row r="228" spans="1:6" x14ac:dyDescent="0.25">
      <c r="A228" s="5" t="s">
        <v>17</v>
      </c>
      <c r="B228" s="18"/>
      <c r="C228" s="22">
        <f>C206+C220</f>
        <v>0</v>
      </c>
      <c r="D228" s="29"/>
      <c r="E228" s="19"/>
    </row>
    <row r="229" spans="1:6" x14ac:dyDescent="0.25">
      <c r="A229" s="5" t="s">
        <v>29</v>
      </c>
      <c r="B229" s="16"/>
      <c r="C229" s="19"/>
      <c r="D229" s="23">
        <f>D207+D222</f>
        <v>-34.586002332020144</v>
      </c>
      <c r="E229" s="19">
        <f>E206+E220</f>
        <v>0</v>
      </c>
    </row>
    <row r="230" spans="1:6" ht="14.95" thickBot="1" x14ac:dyDescent="0.3">
      <c r="A230" s="6" t="s">
        <v>15</v>
      </c>
      <c r="B230" s="27">
        <f>SUM(B227:B229)</f>
        <v>0</v>
      </c>
      <c r="C230" s="28">
        <f t="shared" ref="C230:E230" si="9">SUM(C227:C229)</f>
        <v>0</v>
      </c>
      <c r="D230" s="27">
        <f>SUM(D227:D229)</f>
        <v>-34.586002332020144</v>
      </c>
      <c r="E230" s="28">
        <f t="shared" si="9"/>
        <v>0</v>
      </c>
      <c r="F230" s="9"/>
    </row>
  </sheetData>
  <mergeCells count="10">
    <mergeCell ref="B2:C2"/>
    <mergeCell ref="B34:C34"/>
    <mergeCell ref="B56:C56"/>
    <mergeCell ref="B78:C78"/>
    <mergeCell ref="B100:C100"/>
    <mergeCell ref="B122:C122"/>
    <mergeCell ref="B144:C144"/>
    <mergeCell ref="B166:C166"/>
    <mergeCell ref="B188:C188"/>
    <mergeCell ref="B210:C2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DC256-479A-42A4-B0CC-88EE59286C0A}">
  <dimension ref="A1:S53"/>
  <sheetViews>
    <sheetView showGridLines="0" workbookViewId="0"/>
  </sheetViews>
  <sheetFormatPr defaultRowHeight="14.3" outlineLevelCol="1" x14ac:dyDescent="0.25"/>
  <cols>
    <col min="1" max="1" width="24.25" customWidth="1"/>
    <col min="2" max="13" width="14.25" customWidth="1"/>
    <col min="14" max="16" width="14.25" hidden="1" customWidth="1" outlineLevel="1"/>
    <col min="17" max="18" width="8.875" hidden="1" customWidth="1" outlineLevel="1"/>
    <col min="19" max="19" width="8.875" customWidth="1" collapsed="1"/>
  </cols>
  <sheetData>
    <row r="1" spans="1:18" ht="14.95" x14ac:dyDescent="0.25">
      <c r="A1" s="65" t="s">
        <v>62</v>
      </c>
    </row>
    <row r="3" spans="1:18" ht="14.95" thickBot="1" x14ac:dyDescent="0.3"/>
    <row r="4" spans="1:18" ht="14.95" thickBot="1" x14ac:dyDescent="0.3">
      <c r="A4" s="183" t="s">
        <v>87</v>
      </c>
    </row>
    <row r="5" spans="1:18" ht="14.95" thickBot="1" x14ac:dyDescent="0.3"/>
    <row r="6" spans="1:18" ht="14.95" thickBot="1" x14ac:dyDescent="0.3">
      <c r="A6" s="104" t="s">
        <v>88</v>
      </c>
      <c r="B6" s="300" t="s">
        <v>40</v>
      </c>
      <c r="C6" s="301"/>
      <c r="D6" s="301"/>
      <c r="E6" s="301"/>
      <c r="F6" s="301"/>
      <c r="G6" s="302"/>
      <c r="H6" s="303" t="s">
        <v>41</v>
      </c>
      <c r="I6" s="304"/>
      <c r="J6" s="304"/>
      <c r="K6" s="304"/>
      <c r="L6" s="304"/>
      <c r="M6" s="305"/>
      <c r="N6" s="301" t="s">
        <v>42</v>
      </c>
      <c r="O6" s="301"/>
      <c r="P6" s="306" t="s">
        <v>43</v>
      </c>
    </row>
    <row r="7" spans="1:18" x14ac:dyDescent="0.25">
      <c r="A7" s="105" t="s">
        <v>44</v>
      </c>
      <c r="B7" s="308" t="s">
        <v>45</v>
      </c>
      <c r="C7" s="312"/>
      <c r="D7" s="310" t="s">
        <v>46</v>
      </c>
      <c r="E7" s="309"/>
      <c r="F7" s="309"/>
      <c r="G7" s="311"/>
      <c r="H7" s="107" t="s">
        <v>47</v>
      </c>
      <c r="I7" s="108" t="s">
        <v>48</v>
      </c>
      <c r="J7" s="108" t="s">
        <v>49</v>
      </c>
      <c r="K7" s="108" t="s">
        <v>50</v>
      </c>
      <c r="L7" s="108" t="s">
        <v>51</v>
      </c>
      <c r="M7" s="109" t="s">
        <v>52</v>
      </c>
      <c r="N7" s="178" t="s">
        <v>53</v>
      </c>
      <c r="O7" s="106" t="s">
        <v>54</v>
      </c>
      <c r="P7" s="307"/>
    </row>
    <row r="8" spans="1:18" x14ac:dyDescent="0.25">
      <c r="A8" s="131"/>
      <c r="B8" s="132" t="s">
        <v>67</v>
      </c>
      <c r="C8" s="133" t="s">
        <v>68</v>
      </c>
      <c r="D8" s="134" t="s">
        <v>69</v>
      </c>
      <c r="E8" s="134" t="s">
        <v>70</v>
      </c>
      <c r="F8" s="133" t="s">
        <v>71</v>
      </c>
      <c r="G8" s="135" t="s">
        <v>72</v>
      </c>
      <c r="H8" s="136"/>
      <c r="I8" s="137"/>
      <c r="J8" s="137"/>
      <c r="K8" s="137"/>
      <c r="L8" s="137"/>
      <c r="M8" s="138"/>
      <c r="N8" s="179"/>
      <c r="O8" s="135"/>
      <c r="P8" s="130"/>
    </row>
    <row r="9" spans="1:18" x14ac:dyDescent="0.25">
      <c r="A9" s="113" t="s">
        <v>169</v>
      </c>
      <c r="B9" s="139"/>
      <c r="C9" s="140"/>
      <c r="D9" s="141">
        <f>SUM(Accounting!C12:C15)</f>
        <v>501469.30053864315</v>
      </c>
      <c r="E9" s="141"/>
      <c r="F9" s="256"/>
      <c r="G9" s="110"/>
      <c r="H9" s="142"/>
      <c r="I9" s="116"/>
      <c r="J9" s="143"/>
      <c r="K9" s="116"/>
      <c r="L9" s="116">
        <f>D9</f>
        <v>501469.30053864315</v>
      </c>
      <c r="M9" s="144"/>
      <c r="N9" s="180"/>
      <c r="O9" s="111"/>
      <c r="P9" s="112"/>
      <c r="R9" t="s">
        <v>99</v>
      </c>
    </row>
    <row r="10" spans="1:18" ht="18" customHeight="1" x14ac:dyDescent="0.25">
      <c r="A10" s="113" t="s">
        <v>170</v>
      </c>
      <c r="B10" s="145"/>
      <c r="C10" s="146"/>
      <c r="D10" s="147"/>
      <c r="E10" s="147"/>
      <c r="F10" s="140">
        <f>Accounting!B16</f>
        <v>-426469.30053864315</v>
      </c>
      <c r="G10" s="115"/>
      <c r="H10" s="142"/>
      <c r="I10" s="116"/>
      <c r="J10" s="143"/>
      <c r="K10" s="116"/>
      <c r="L10" s="116">
        <f>G10</f>
        <v>0</v>
      </c>
      <c r="M10" s="144"/>
      <c r="N10" s="180"/>
      <c r="O10" s="111"/>
      <c r="P10" s="112"/>
      <c r="R10" t="s">
        <v>100</v>
      </c>
    </row>
    <row r="11" spans="1:18" x14ac:dyDescent="0.25">
      <c r="A11" s="113" t="s">
        <v>4</v>
      </c>
      <c r="B11" s="145"/>
      <c r="C11" s="116">
        <f>Accounting!B5</f>
        <v>21323.465026932157</v>
      </c>
      <c r="D11" s="116"/>
      <c r="E11" s="147"/>
      <c r="F11" s="146">
        <f>Accounting!B17</f>
        <v>-21323.465026932157</v>
      </c>
      <c r="G11" s="115"/>
      <c r="H11" s="142"/>
      <c r="I11" s="116">
        <f>C11</f>
        <v>21323.465026932157</v>
      </c>
      <c r="J11" s="143"/>
      <c r="K11" s="116"/>
      <c r="L11" s="116"/>
      <c r="M11" s="144"/>
      <c r="N11" s="180"/>
      <c r="O11" s="111"/>
      <c r="P11" s="112"/>
      <c r="R11" t="s">
        <v>101</v>
      </c>
    </row>
    <row r="12" spans="1:18" x14ac:dyDescent="0.25">
      <c r="A12" s="113" t="s">
        <v>1</v>
      </c>
      <c r="B12" s="145"/>
      <c r="C12" s="146">
        <f>Accounting!C7</f>
        <v>50146.930053864315</v>
      </c>
      <c r="D12" s="147">
        <f>Accounting!C21</f>
        <v>-50146.930053864315</v>
      </c>
      <c r="E12" s="147"/>
      <c r="F12" s="146"/>
      <c r="G12" s="115"/>
      <c r="H12" s="142">
        <f>C12</f>
        <v>50146.930053864315</v>
      </c>
      <c r="I12" s="116"/>
      <c r="J12" s="143"/>
      <c r="K12" s="116"/>
      <c r="L12" s="116"/>
      <c r="M12" s="144"/>
      <c r="N12" s="180"/>
      <c r="O12" s="111"/>
      <c r="P12" s="112"/>
      <c r="R12" t="s">
        <v>102</v>
      </c>
    </row>
    <row r="13" spans="1:18" ht="14.95" thickBot="1" x14ac:dyDescent="0.3">
      <c r="A13" s="113" t="s">
        <v>57</v>
      </c>
      <c r="B13" s="145"/>
      <c r="C13" s="148"/>
      <c r="D13" s="149"/>
      <c r="E13" s="149">
        <f>SUM(Accounting!B22:B24)</f>
        <v>-75000</v>
      </c>
      <c r="F13" s="148"/>
      <c r="G13" s="115"/>
      <c r="H13" s="142"/>
      <c r="I13" s="116"/>
      <c r="J13" s="143"/>
      <c r="K13" s="116"/>
      <c r="L13" s="116"/>
      <c r="M13" s="144"/>
      <c r="N13" s="180"/>
      <c r="O13" s="111"/>
      <c r="P13" s="112"/>
    </row>
    <row r="14" spans="1:18" ht="14.95" thickBot="1" x14ac:dyDescent="0.3">
      <c r="A14" s="117" t="s">
        <v>61</v>
      </c>
      <c r="B14" s="118"/>
      <c r="C14" s="120"/>
      <c r="D14" s="120"/>
      <c r="E14" s="120"/>
      <c r="F14" s="120"/>
      <c r="G14" s="119"/>
      <c r="H14" s="150">
        <f t="shared" ref="H14:K14" si="0">SUM(H9:H13)</f>
        <v>50146.930053864315</v>
      </c>
      <c r="I14" s="150">
        <f t="shared" si="0"/>
        <v>21323.465026932157</v>
      </c>
      <c r="J14" s="150">
        <f t="shared" si="0"/>
        <v>0</v>
      </c>
      <c r="K14" s="150">
        <f t="shared" si="0"/>
        <v>0</v>
      </c>
      <c r="L14" s="150">
        <f>SUM(L9:L13)</f>
        <v>501469.30053864315</v>
      </c>
      <c r="M14" s="150">
        <f>SUM(M9:M13)</f>
        <v>0</v>
      </c>
      <c r="N14" s="120"/>
      <c r="O14" s="120"/>
      <c r="P14" s="121"/>
    </row>
    <row r="15" spans="1:18" ht="14.95" thickBot="1" x14ac:dyDescent="0.3">
      <c r="A15" s="122" t="s">
        <v>58</v>
      </c>
      <c r="B15" s="122"/>
      <c r="C15" s="122"/>
      <c r="D15" s="122"/>
      <c r="E15" s="122"/>
      <c r="F15" s="122"/>
      <c r="G15" s="123">
        <f>SUM(B9:G13)</f>
        <v>0</v>
      </c>
      <c r="H15" s="124"/>
      <c r="I15" s="124"/>
      <c r="J15" s="124"/>
      <c r="K15" s="124"/>
      <c r="L15" s="124"/>
      <c r="M15" s="124"/>
      <c r="N15" s="125"/>
      <c r="O15" s="125"/>
      <c r="P15" s="125"/>
    </row>
    <row r="16" spans="1:18" ht="14.95" thickBot="1" x14ac:dyDescent="0.3"/>
    <row r="17" spans="1:18" ht="14.95" thickBot="1" x14ac:dyDescent="0.3">
      <c r="A17" s="104" t="s">
        <v>89</v>
      </c>
      <c r="B17" s="300" t="s">
        <v>40</v>
      </c>
      <c r="C17" s="301"/>
      <c r="D17" s="301"/>
      <c r="E17" s="301"/>
      <c r="F17" s="301"/>
      <c r="G17" s="302"/>
      <c r="H17" s="303" t="s">
        <v>41</v>
      </c>
      <c r="I17" s="304"/>
      <c r="J17" s="304"/>
      <c r="K17" s="304"/>
      <c r="L17" s="304"/>
      <c r="M17" s="305"/>
      <c r="N17" s="301" t="s">
        <v>42</v>
      </c>
      <c r="O17" s="301"/>
      <c r="P17" s="306" t="s">
        <v>43</v>
      </c>
    </row>
    <row r="18" spans="1:18" x14ac:dyDescent="0.25">
      <c r="A18" s="105" t="s">
        <v>44</v>
      </c>
      <c r="B18" s="308" t="s">
        <v>45</v>
      </c>
      <c r="C18" s="309"/>
      <c r="D18" s="310" t="s">
        <v>46</v>
      </c>
      <c r="E18" s="309"/>
      <c r="F18" s="309"/>
      <c r="G18" s="311"/>
      <c r="H18" s="107" t="s">
        <v>47</v>
      </c>
      <c r="I18" s="108" t="s">
        <v>48</v>
      </c>
      <c r="J18" s="108" t="s">
        <v>49</v>
      </c>
      <c r="K18" s="108" t="s">
        <v>50</v>
      </c>
      <c r="L18" s="108" t="s">
        <v>51</v>
      </c>
      <c r="M18" s="109" t="s">
        <v>52</v>
      </c>
      <c r="N18" s="178" t="s">
        <v>53</v>
      </c>
      <c r="O18" s="106" t="s">
        <v>54</v>
      </c>
      <c r="P18" s="307"/>
    </row>
    <row r="19" spans="1:18" x14ac:dyDescent="0.25">
      <c r="A19" s="131"/>
      <c r="B19" s="132" t="s">
        <v>67</v>
      </c>
      <c r="C19" s="133" t="s">
        <v>68</v>
      </c>
      <c r="D19" s="134" t="s">
        <v>69</v>
      </c>
      <c r="E19" s="134" t="s">
        <v>70</v>
      </c>
      <c r="F19" s="133" t="s">
        <v>78</v>
      </c>
      <c r="G19" s="135" t="s">
        <v>72</v>
      </c>
      <c r="H19" s="151"/>
      <c r="I19" s="152"/>
      <c r="J19" s="152"/>
      <c r="K19" s="152"/>
      <c r="L19" s="152"/>
      <c r="M19" s="153"/>
      <c r="N19" s="179"/>
      <c r="O19" s="135"/>
      <c r="P19" s="130"/>
    </row>
    <row r="20" spans="1:18" x14ac:dyDescent="0.25">
      <c r="A20" s="276" t="s">
        <v>77</v>
      </c>
      <c r="B20" s="132"/>
      <c r="C20" s="154">
        <f>Accounting!E8</f>
        <v>2.9922297690063715E-3</v>
      </c>
      <c r="D20" s="161">
        <f>SUM(Accounting!E19:E20)</f>
        <v>-500000</v>
      </c>
      <c r="E20" s="134"/>
      <c r="F20" s="256"/>
      <c r="G20" s="135"/>
      <c r="H20" s="151"/>
      <c r="I20" s="152"/>
      <c r="J20" s="152"/>
      <c r="K20" s="177"/>
      <c r="L20" s="177">
        <f>D20</f>
        <v>-500000</v>
      </c>
      <c r="M20" s="163"/>
      <c r="N20" s="179"/>
      <c r="O20" s="135"/>
      <c r="P20" s="157"/>
      <c r="R20" t="s">
        <v>103</v>
      </c>
    </row>
    <row r="21" spans="1:18" x14ac:dyDescent="0.25">
      <c r="A21" s="277" t="s">
        <v>171</v>
      </c>
      <c r="B21" s="132"/>
      <c r="C21" s="154"/>
      <c r="D21" s="161"/>
      <c r="E21" s="134"/>
      <c r="F21" s="162">
        <f>Accounting!E18</f>
        <v>499999.99700777023</v>
      </c>
      <c r="G21" s="135"/>
      <c r="H21" s="151"/>
      <c r="I21" s="152"/>
      <c r="J21" s="152"/>
      <c r="K21" s="177"/>
      <c r="L21" s="177"/>
      <c r="M21" s="163"/>
      <c r="N21" s="179"/>
      <c r="O21" s="135"/>
      <c r="P21" s="258"/>
    </row>
    <row r="22" spans="1:18" x14ac:dyDescent="0.25">
      <c r="A22" s="113" t="s">
        <v>73</v>
      </c>
      <c r="B22" s="114">
        <f>Accounting!D6</f>
        <v>-18032.085729585087</v>
      </c>
      <c r="C22" s="155"/>
      <c r="D22" s="147"/>
      <c r="E22" s="147"/>
      <c r="F22" s="146">
        <f>Accounting!D17</f>
        <v>18032.085729585087</v>
      </c>
      <c r="G22" s="115"/>
      <c r="H22" s="142"/>
      <c r="I22" s="116">
        <f>B22</f>
        <v>-18032.085729585087</v>
      </c>
      <c r="J22" s="143"/>
      <c r="K22" s="116"/>
      <c r="L22" s="116"/>
      <c r="M22" s="144"/>
      <c r="N22" s="180"/>
      <c r="O22" s="111"/>
      <c r="P22" s="112"/>
      <c r="R22" t="s">
        <v>104</v>
      </c>
    </row>
    <row r="23" spans="1:18" ht="14.95" thickBot="1" x14ac:dyDescent="0.3">
      <c r="A23" s="113" t="s">
        <v>60</v>
      </c>
      <c r="B23" s="114"/>
      <c r="C23" s="155"/>
      <c r="D23" s="149"/>
      <c r="E23" s="149"/>
      <c r="F23" s="148"/>
      <c r="G23" s="156"/>
      <c r="H23" s="142"/>
      <c r="I23" s="116"/>
      <c r="J23" s="143"/>
      <c r="K23" s="116"/>
      <c r="L23" s="116"/>
      <c r="M23" s="144"/>
      <c r="N23" s="180"/>
      <c r="O23" s="111"/>
      <c r="P23" s="112"/>
    </row>
    <row r="24" spans="1:18" ht="14.95" thickBot="1" x14ac:dyDescent="0.3">
      <c r="A24" s="117" t="s">
        <v>61</v>
      </c>
      <c r="B24" s="118"/>
      <c r="C24" s="120"/>
      <c r="D24" s="120"/>
      <c r="E24" s="120"/>
      <c r="F24" s="120"/>
      <c r="G24" s="119"/>
      <c r="H24" s="150">
        <f t="shared" ref="H24:M24" si="1">SUM(H20:H23)</f>
        <v>0</v>
      </c>
      <c r="I24" s="150">
        <f t="shared" si="1"/>
        <v>-18032.085729585087</v>
      </c>
      <c r="J24" s="150">
        <f t="shared" si="1"/>
        <v>0</v>
      </c>
      <c r="K24" s="150">
        <f t="shared" si="1"/>
        <v>0</v>
      </c>
      <c r="L24" s="150">
        <f t="shared" si="1"/>
        <v>-500000</v>
      </c>
      <c r="M24" s="150">
        <f t="shared" si="1"/>
        <v>0</v>
      </c>
      <c r="N24" s="120"/>
      <c r="O24" s="120"/>
      <c r="P24" s="121"/>
    </row>
    <row r="25" spans="1:18" ht="14.95" thickBot="1" x14ac:dyDescent="0.3">
      <c r="A25" s="122" t="s">
        <v>58</v>
      </c>
      <c r="B25" s="122"/>
      <c r="C25" s="122"/>
      <c r="D25" s="122"/>
      <c r="E25" s="122"/>
      <c r="F25" s="122"/>
      <c r="G25" s="123">
        <f>SUM(B20:G23)</f>
        <v>0</v>
      </c>
      <c r="H25" s="124"/>
      <c r="I25" s="124"/>
      <c r="J25" s="124"/>
      <c r="K25" s="124"/>
      <c r="L25" s="124"/>
      <c r="M25" s="124"/>
      <c r="N25" s="125"/>
      <c r="O25" s="125"/>
      <c r="P25" s="125"/>
    </row>
    <row r="27" spans="1:18" x14ac:dyDescent="0.25">
      <c r="A27" t="s">
        <v>86</v>
      </c>
    </row>
    <row r="28" spans="1:18" ht="14.95" thickBot="1" x14ac:dyDescent="0.3"/>
    <row r="29" spans="1:18" ht="14.95" thickBot="1" x14ac:dyDescent="0.3">
      <c r="A29" s="183" t="s">
        <v>90</v>
      </c>
    </row>
    <row r="30" spans="1:18" ht="14.95" thickBot="1" x14ac:dyDescent="0.3"/>
    <row r="31" spans="1:18" ht="14.95" thickBot="1" x14ac:dyDescent="0.3">
      <c r="A31" s="104" t="s">
        <v>88</v>
      </c>
      <c r="B31" s="300" t="s">
        <v>40</v>
      </c>
      <c r="C31" s="301"/>
      <c r="D31" s="301"/>
      <c r="E31" s="301"/>
      <c r="F31" s="301"/>
      <c r="G31" s="302"/>
      <c r="H31" s="303" t="s">
        <v>41</v>
      </c>
      <c r="I31" s="304"/>
      <c r="J31" s="304"/>
      <c r="K31" s="304"/>
      <c r="L31" s="304"/>
      <c r="M31" s="305"/>
      <c r="N31" s="301" t="s">
        <v>42</v>
      </c>
      <c r="O31" s="301"/>
      <c r="P31" s="306" t="s">
        <v>43</v>
      </c>
    </row>
    <row r="32" spans="1:18" x14ac:dyDescent="0.25">
      <c r="A32" s="105" t="s">
        <v>44</v>
      </c>
      <c r="B32" s="308" t="s">
        <v>45</v>
      </c>
      <c r="C32" s="312"/>
      <c r="D32" s="310" t="s">
        <v>46</v>
      </c>
      <c r="E32" s="309"/>
      <c r="F32" s="309"/>
      <c r="G32" s="311"/>
      <c r="H32" s="107" t="s">
        <v>47</v>
      </c>
      <c r="I32" s="108" t="s">
        <v>48</v>
      </c>
      <c r="J32" s="108" t="s">
        <v>49</v>
      </c>
      <c r="K32" s="108" t="s">
        <v>50</v>
      </c>
      <c r="L32" s="108" t="s">
        <v>51</v>
      </c>
      <c r="M32" s="109" t="s">
        <v>52</v>
      </c>
      <c r="N32" s="182" t="s">
        <v>53</v>
      </c>
      <c r="O32" s="106" t="s">
        <v>54</v>
      </c>
      <c r="P32" s="307"/>
    </row>
    <row r="33" spans="1:16" x14ac:dyDescent="0.25">
      <c r="A33" s="131"/>
      <c r="B33" s="132" t="s">
        <v>67</v>
      </c>
      <c r="C33" s="133" t="s">
        <v>68</v>
      </c>
      <c r="D33" s="134" t="s">
        <v>69</v>
      </c>
      <c r="E33" s="134" t="s">
        <v>70</v>
      </c>
      <c r="F33" s="133" t="s">
        <v>71</v>
      </c>
      <c r="G33" s="135" t="s">
        <v>72</v>
      </c>
      <c r="H33" s="136"/>
      <c r="I33" s="137"/>
      <c r="J33" s="137"/>
      <c r="K33" s="137"/>
      <c r="L33" s="137"/>
      <c r="M33" s="138"/>
      <c r="N33" s="179"/>
      <c r="O33" s="135"/>
      <c r="P33" s="181"/>
    </row>
    <row r="34" spans="1:16" x14ac:dyDescent="0.25">
      <c r="A34" s="113" t="s">
        <v>55</v>
      </c>
      <c r="B34" s="139"/>
      <c r="C34" s="140"/>
      <c r="D34" s="141"/>
      <c r="E34" s="141"/>
      <c r="F34" s="140"/>
      <c r="G34" s="110"/>
      <c r="H34" s="142"/>
      <c r="I34" s="116"/>
      <c r="J34" s="143"/>
      <c r="K34" s="116"/>
      <c r="L34" s="116">
        <f>D34</f>
        <v>0</v>
      </c>
      <c r="M34" s="144"/>
      <c r="N34" s="180"/>
      <c r="O34" s="111"/>
      <c r="P34" s="112"/>
    </row>
    <row r="35" spans="1:16" ht="13.1" customHeight="1" x14ac:dyDescent="0.25">
      <c r="A35" s="113" t="s">
        <v>56</v>
      </c>
      <c r="B35" s="145"/>
      <c r="C35" s="146"/>
      <c r="D35" s="147"/>
      <c r="E35" s="147"/>
      <c r="F35" s="146"/>
      <c r="G35" s="115"/>
      <c r="H35" s="142"/>
      <c r="I35" s="116"/>
      <c r="J35" s="143"/>
      <c r="K35" s="116"/>
      <c r="L35" s="116">
        <f>G35</f>
        <v>0</v>
      </c>
      <c r="M35" s="144"/>
      <c r="N35" s="180"/>
      <c r="O35" s="111"/>
      <c r="P35" s="112"/>
    </row>
    <row r="36" spans="1:16" x14ac:dyDescent="0.25">
      <c r="A36" s="113" t="s">
        <v>4</v>
      </c>
      <c r="B36" s="145"/>
      <c r="C36" s="116">
        <f>Accounting!B37</f>
        <v>19389.638278278766</v>
      </c>
      <c r="D36" s="116"/>
      <c r="E36" s="147"/>
      <c r="F36" s="146">
        <f>Accounting!B43</f>
        <v>-19389.638278278766</v>
      </c>
      <c r="G36" s="115"/>
      <c r="H36" s="142"/>
      <c r="I36" s="116">
        <f>C36</f>
        <v>19389.638278278766</v>
      </c>
      <c r="J36" s="143"/>
      <c r="K36" s="116"/>
      <c r="L36" s="116"/>
      <c r="M36" s="144"/>
      <c r="N36" s="180"/>
      <c r="O36" s="111"/>
      <c r="P36" s="112"/>
    </row>
    <row r="37" spans="1:16" x14ac:dyDescent="0.25">
      <c r="A37" s="113" t="s">
        <v>1</v>
      </c>
      <c r="B37" s="145"/>
      <c r="C37" s="146">
        <f>Accounting!C38</f>
        <v>50146.930053864315</v>
      </c>
      <c r="D37" s="147">
        <f>Accounting!C44</f>
        <v>-50146.930053864315</v>
      </c>
      <c r="E37" s="147"/>
      <c r="F37" s="146"/>
      <c r="G37" s="115"/>
      <c r="H37" s="142">
        <f>C37</f>
        <v>50146.930053864315</v>
      </c>
      <c r="I37" s="116"/>
      <c r="J37" s="143"/>
      <c r="K37" s="116"/>
      <c r="L37" s="116"/>
      <c r="M37" s="144"/>
      <c r="N37" s="180"/>
      <c r="O37" s="111"/>
      <c r="P37" s="112"/>
    </row>
    <row r="38" spans="1:16" ht="14.95" thickBot="1" x14ac:dyDescent="0.3">
      <c r="A38" s="113" t="s">
        <v>57</v>
      </c>
      <c r="B38" s="145"/>
      <c r="C38" s="148"/>
      <c r="D38" s="149"/>
      <c r="E38" s="149">
        <f>Accounting!B47</f>
        <v>-60000</v>
      </c>
      <c r="F38" s="148">
        <f>Accounting!B45</f>
        <v>60000</v>
      </c>
      <c r="G38" s="115"/>
      <c r="H38" s="142"/>
      <c r="I38" s="116"/>
      <c r="J38" s="143"/>
      <c r="K38" s="116"/>
      <c r="L38" s="116"/>
      <c r="M38" s="144"/>
      <c r="N38" s="180"/>
      <c r="O38" s="111"/>
      <c r="P38" s="112"/>
    </row>
    <row r="39" spans="1:16" ht="14.95" thickBot="1" x14ac:dyDescent="0.3">
      <c r="A39" s="117" t="s">
        <v>61</v>
      </c>
      <c r="B39" s="118"/>
      <c r="C39" s="120"/>
      <c r="D39" s="120"/>
      <c r="E39" s="120"/>
      <c r="F39" s="120"/>
      <c r="G39" s="119"/>
      <c r="H39" s="150">
        <f t="shared" ref="H39:K39" si="2">SUM(H34:H38)</f>
        <v>50146.930053864315</v>
      </c>
      <c r="I39" s="150">
        <f t="shared" si="2"/>
        <v>19389.638278278766</v>
      </c>
      <c r="J39" s="150">
        <f t="shared" si="2"/>
        <v>0</v>
      </c>
      <c r="K39" s="150">
        <f t="shared" si="2"/>
        <v>0</v>
      </c>
      <c r="L39" s="150">
        <f>SUM(L34:L38)</f>
        <v>0</v>
      </c>
      <c r="M39" s="150">
        <f>SUM(M34:M38)</f>
        <v>0</v>
      </c>
      <c r="N39" s="120"/>
      <c r="O39" s="120"/>
      <c r="P39" s="121"/>
    </row>
    <row r="40" spans="1:16" ht="14.95" thickBot="1" x14ac:dyDescent="0.3">
      <c r="A40" s="122" t="s">
        <v>58</v>
      </c>
      <c r="B40" s="122"/>
      <c r="C40" s="122"/>
      <c r="D40" s="122"/>
      <c r="E40" s="122"/>
      <c r="F40" s="122"/>
      <c r="G40" s="123">
        <f>SUM(B34:G38)</f>
        <v>0</v>
      </c>
      <c r="H40" s="124"/>
      <c r="I40" s="124"/>
      <c r="J40" s="124"/>
      <c r="K40" s="124"/>
      <c r="L40" s="124"/>
      <c r="M40" s="124"/>
      <c r="N40" s="125"/>
      <c r="O40" s="125"/>
      <c r="P40" s="125"/>
    </row>
    <row r="41" spans="1:16" ht="14.95" thickBot="1" x14ac:dyDescent="0.3"/>
    <row r="42" spans="1:16" ht="14.95" thickBot="1" x14ac:dyDescent="0.3">
      <c r="A42" s="104" t="s">
        <v>89</v>
      </c>
      <c r="B42" s="300" t="s">
        <v>40</v>
      </c>
      <c r="C42" s="301"/>
      <c r="D42" s="301"/>
      <c r="E42" s="301"/>
      <c r="F42" s="301"/>
      <c r="G42" s="302"/>
      <c r="H42" s="303" t="s">
        <v>41</v>
      </c>
      <c r="I42" s="304"/>
      <c r="J42" s="304"/>
      <c r="K42" s="304"/>
      <c r="L42" s="304"/>
      <c r="M42" s="305"/>
      <c r="N42" s="301" t="s">
        <v>42</v>
      </c>
      <c r="O42" s="301"/>
      <c r="P42" s="306" t="s">
        <v>43</v>
      </c>
    </row>
    <row r="43" spans="1:16" x14ac:dyDescent="0.25">
      <c r="A43" s="105" t="s">
        <v>44</v>
      </c>
      <c r="B43" s="308" t="s">
        <v>45</v>
      </c>
      <c r="C43" s="309"/>
      <c r="D43" s="310" t="s">
        <v>46</v>
      </c>
      <c r="E43" s="309"/>
      <c r="F43" s="309"/>
      <c r="G43" s="311"/>
      <c r="H43" s="107" t="s">
        <v>47</v>
      </c>
      <c r="I43" s="108" t="s">
        <v>48</v>
      </c>
      <c r="J43" s="108" t="s">
        <v>49</v>
      </c>
      <c r="K43" s="108" t="s">
        <v>50</v>
      </c>
      <c r="L43" s="108" t="s">
        <v>51</v>
      </c>
      <c r="M43" s="109" t="s">
        <v>52</v>
      </c>
      <c r="N43" s="182" t="s">
        <v>53</v>
      </c>
      <c r="O43" s="106" t="s">
        <v>54</v>
      </c>
      <c r="P43" s="307"/>
    </row>
    <row r="44" spans="1:16" x14ac:dyDescent="0.25">
      <c r="A44" s="131"/>
      <c r="B44" s="132" t="s">
        <v>67</v>
      </c>
      <c r="C44" s="133" t="s">
        <v>68</v>
      </c>
      <c r="D44" s="134" t="s">
        <v>69</v>
      </c>
      <c r="E44" s="134" t="s">
        <v>70</v>
      </c>
      <c r="F44" s="133" t="s">
        <v>78</v>
      </c>
      <c r="G44" s="135" t="s">
        <v>72</v>
      </c>
      <c r="H44" s="151"/>
      <c r="I44" s="152"/>
      <c r="J44" s="152"/>
      <c r="K44" s="152"/>
      <c r="L44" s="152"/>
      <c r="M44" s="153"/>
      <c r="N44" s="179"/>
      <c r="O44" s="135"/>
      <c r="P44" s="181"/>
    </row>
    <row r="45" spans="1:16" x14ac:dyDescent="0.25">
      <c r="A45" s="113" t="s">
        <v>59</v>
      </c>
      <c r="B45" s="114">
        <f>Accounting!D39</f>
        <v>-16331.481160810707</v>
      </c>
      <c r="C45" s="155"/>
      <c r="D45" s="147"/>
      <c r="E45" s="147"/>
      <c r="F45" s="146">
        <f>-B45</f>
        <v>16331.481160810707</v>
      </c>
      <c r="G45" s="115"/>
      <c r="H45" s="142"/>
      <c r="I45" s="116">
        <f>B45</f>
        <v>-16331.481160810707</v>
      </c>
      <c r="J45" s="143"/>
      <c r="K45" s="116"/>
      <c r="L45" s="116"/>
      <c r="M45" s="144"/>
      <c r="N45" s="180"/>
      <c r="O45" s="111"/>
      <c r="P45" s="112"/>
    </row>
    <row r="46" spans="1:16" x14ac:dyDescent="0.25">
      <c r="A46" s="113" t="s">
        <v>73</v>
      </c>
      <c r="B46" s="114"/>
      <c r="C46" s="155"/>
      <c r="D46" s="147"/>
      <c r="E46" s="147"/>
      <c r="F46" s="146"/>
      <c r="G46" s="115"/>
      <c r="H46" s="142"/>
      <c r="I46" s="116">
        <f>B46</f>
        <v>0</v>
      </c>
      <c r="J46" s="143"/>
      <c r="K46" s="116"/>
      <c r="L46" s="116"/>
      <c r="M46" s="144"/>
      <c r="N46" s="180"/>
      <c r="O46" s="111"/>
      <c r="P46" s="112"/>
    </row>
    <row r="47" spans="1:16" ht="14.95" thickBot="1" x14ac:dyDescent="0.3">
      <c r="A47" s="113" t="s">
        <v>60</v>
      </c>
      <c r="B47" s="114"/>
      <c r="C47" s="155"/>
      <c r="D47" s="149"/>
      <c r="E47" s="149">
        <f>Accounting!D47</f>
        <v>60000</v>
      </c>
      <c r="F47" s="148">
        <f>-E47</f>
        <v>-60000</v>
      </c>
      <c r="G47" s="156"/>
      <c r="H47" s="142"/>
      <c r="I47" s="116"/>
      <c r="J47" s="143"/>
      <c r="K47" s="116"/>
      <c r="L47" s="116"/>
      <c r="M47" s="144"/>
      <c r="N47" s="180"/>
      <c r="O47" s="111"/>
      <c r="P47" s="112"/>
    </row>
    <row r="48" spans="1:16" ht="14.95" thickBot="1" x14ac:dyDescent="0.3">
      <c r="A48" s="117" t="s">
        <v>61</v>
      </c>
      <c r="B48" s="118"/>
      <c r="C48" s="120"/>
      <c r="D48" s="120"/>
      <c r="E48" s="120"/>
      <c r="F48" s="120"/>
      <c r="G48" s="119"/>
      <c r="H48" s="150">
        <f t="shared" ref="H48:M48" si="3">SUM(H45:H47)</f>
        <v>0</v>
      </c>
      <c r="I48" s="150">
        <f t="shared" si="3"/>
        <v>-16331.481160810707</v>
      </c>
      <c r="J48" s="150">
        <f t="shared" si="3"/>
        <v>0</v>
      </c>
      <c r="K48" s="150">
        <f t="shared" si="3"/>
        <v>0</v>
      </c>
      <c r="L48" s="150">
        <f t="shared" si="3"/>
        <v>0</v>
      </c>
      <c r="M48" s="150">
        <f t="shared" si="3"/>
        <v>0</v>
      </c>
      <c r="N48" s="120"/>
      <c r="O48" s="120"/>
      <c r="P48" s="121"/>
    </row>
    <row r="49" spans="1:16" ht="14.95" thickBot="1" x14ac:dyDescent="0.3">
      <c r="A49" s="122" t="s">
        <v>58</v>
      </c>
      <c r="B49" s="122"/>
      <c r="C49" s="122"/>
      <c r="D49" s="122"/>
      <c r="E49" s="122"/>
      <c r="F49" s="122"/>
      <c r="G49" s="123">
        <f>SUM(B45:G47)</f>
        <v>0</v>
      </c>
      <c r="H49" s="124"/>
      <c r="I49" s="124"/>
      <c r="J49" s="124"/>
      <c r="K49" s="124"/>
      <c r="L49" s="124"/>
      <c r="M49" s="124"/>
      <c r="N49" s="125"/>
      <c r="O49" s="125"/>
      <c r="P49" s="125"/>
    </row>
    <row r="51" spans="1:16" x14ac:dyDescent="0.25">
      <c r="A51" t="s">
        <v>86</v>
      </c>
    </row>
    <row r="53" spans="1:16" x14ac:dyDescent="0.25">
      <c r="A53" t="s">
        <v>182</v>
      </c>
    </row>
  </sheetData>
  <mergeCells count="24">
    <mergeCell ref="N6:O6"/>
    <mergeCell ref="P6:P7"/>
    <mergeCell ref="B7:C7"/>
    <mergeCell ref="D7:G7"/>
    <mergeCell ref="B17:G17"/>
    <mergeCell ref="H17:M17"/>
    <mergeCell ref="N17:O17"/>
    <mergeCell ref="P17:P18"/>
    <mergeCell ref="B18:C18"/>
    <mergeCell ref="D18:G18"/>
    <mergeCell ref="B6:G6"/>
    <mergeCell ref="H6:M6"/>
    <mergeCell ref="B31:G31"/>
    <mergeCell ref="H31:M31"/>
    <mergeCell ref="N31:O31"/>
    <mergeCell ref="P31:P32"/>
    <mergeCell ref="B32:C32"/>
    <mergeCell ref="D32:G32"/>
    <mergeCell ref="B42:G42"/>
    <mergeCell ref="H42:M42"/>
    <mergeCell ref="N42:O42"/>
    <mergeCell ref="P42:P43"/>
    <mergeCell ref="B43:C43"/>
    <mergeCell ref="D43:G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avestamp xmlns="cf922d0c-7565-4a19-867a-78a71dd2f738" xsi:nil="true"/>
    <_ip_UnifiedCompliancePolicyUIAction xmlns="http://schemas.microsoft.com/sharepoint/v3" xsi:nil="true"/>
    <Time xmlns="cf922d0c-7565-4a19-867a-78a71dd2f738"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0B453C2E56BC40827FBB9E03A7F75B" ma:contentTypeVersion="32" ma:contentTypeDescription="Create a new document." ma:contentTypeScope="" ma:versionID="04dd133d15aef2201c904d77d856316c">
  <xsd:schema xmlns:xsd="http://www.w3.org/2001/XMLSchema" xmlns:xs="http://www.w3.org/2001/XMLSchema" xmlns:p="http://schemas.microsoft.com/office/2006/metadata/properties" xmlns:ns1="http://schemas.microsoft.com/sharepoint/v3" xmlns:ns2="cf922d0c-7565-4a19-867a-78a71dd2f738" targetNamespace="http://schemas.microsoft.com/office/2006/metadata/properties" ma:root="true" ma:fieldsID="17203287061b73b82478b3aa300a02b0" ns1:_="" ns2:_="">
    <xsd:import namespace="http://schemas.microsoft.com/sharepoint/v3"/>
    <xsd:import namespace="cf922d0c-7565-4a19-867a-78a71dd2f738"/>
    <xsd:element name="properties">
      <xsd:complexType>
        <xsd:sequence>
          <xsd:element name="documentManagement">
            <xsd:complexType>
              <xsd:all>
                <xsd:element ref="ns2:savestamp" minOccurs="0"/>
                <xsd:element ref="ns2:Time"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22d0c-7565-4a19-867a-78a71dd2f738" elementFormDefault="qualified">
    <xsd:import namespace="http://schemas.microsoft.com/office/2006/documentManagement/types"/>
    <xsd:import namespace="http://schemas.microsoft.com/office/infopath/2007/PartnerControls"/>
    <xsd:element name="savestamp" ma:index="8" nillable="true" ma:displayName="save stamp" ma:format="DateTime" ma:internalName="savestamp">
      <xsd:simpleType>
        <xsd:restriction base="dms:DateTime"/>
      </xsd:simpleType>
    </xsd:element>
    <xsd:element name="Time" ma:index="9" nillable="true" ma:displayName="Time" ma:format="DateTime" ma:internalName="Tim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89D693-5909-4C7A-AA43-5C0F79660DAA}">
  <ds:schemaRefs>
    <ds:schemaRef ds:uri="cf922d0c-7565-4a19-867a-78a71dd2f738"/>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787C02A-9D4A-49CF-A959-B03D8F876B7E}">
  <ds:schemaRefs>
    <ds:schemaRef ds:uri="http://schemas.microsoft.com/sharepoint/v3/contenttype/forms"/>
  </ds:schemaRefs>
</ds:datastoreItem>
</file>

<file path=customXml/itemProps3.xml><?xml version="1.0" encoding="utf-8"?>
<ds:datastoreItem xmlns:ds="http://schemas.openxmlformats.org/officeDocument/2006/customXml" ds:itemID="{F7A9168A-B40B-4D6F-B48A-4EF49ECCD1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922d0c-7565-4a19-867a-78a71dd2f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Scenario and Data</vt:lpstr>
      <vt:lpstr>Accounting</vt:lpstr>
      <vt:lpstr>Budgeting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16 example: initial measurement of the right-of-use asset and lease liability</dc:title>
  <dc:creator>MM</dc:creator>
  <cp:lastModifiedBy>Eleanor</cp:lastModifiedBy>
  <dcterms:created xsi:type="dcterms:W3CDTF">2018-10-06T14:44:45Z</dcterms:created>
  <dcterms:modified xsi:type="dcterms:W3CDTF">2021-10-21T15:51:58Z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0x010100430B453C2E56BC40827FBB9E03A7F75B</vt:lpwstr>
  </property>
</Properties>
</file>