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https://nhsengland.sharepoint.com/sites/CFO/fc/fy/OpenLib/2022-23 Annual Accounts/Provider Accounts/IFRS 16/Examples and tools - updated for 2022 implementation/"/>
    </mc:Choice>
  </mc:AlternateContent>
  <xr:revisionPtr revIDLastSave="44" documentId="8_{98949868-25A6-464A-812E-F3975E480475}" xr6:coauthVersionLast="46" xr6:coauthVersionMax="46" xr10:uidLastSave="{A1C94B32-69A2-448F-92FD-80E2420DF0E9}"/>
  <bookViews>
    <workbookView xWindow="-109" yWindow="-109" windowWidth="26301" windowHeight="14305" xr2:uid="{C9974852-85D7-449D-895A-A5B10F6E403B}"/>
  </bookViews>
  <sheets>
    <sheet name="Scenario and Data" sheetId="1" r:id="rId1"/>
    <sheet name="Accounting" sheetId="2" r:id="rId2"/>
    <sheet name="Budgeting" sheetId="15"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6" i="15" l="1"/>
  <c r="K26" i="15"/>
  <c r="J26" i="15"/>
  <c r="E25" i="15"/>
  <c r="K14" i="15"/>
  <c r="J14" i="15"/>
  <c r="D9" i="15"/>
  <c r="L9" i="15" s="1"/>
  <c r="M8" i="15"/>
  <c r="M14" i="15" s="1"/>
  <c r="D443" i="2"/>
  <c r="D434" i="2"/>
  <c r="D419" i="2"/>
  <c r="D410" i="2"/>
  <c r="D395" i="2"/>
  <c r="D386" i="2"/>
  <c r="D371" i="2"/>
  <c r="D362" i="2"/>
  <c r="D347" i="2"/>
  <c r="D338" i="2"/>
  <c r="D323" i="2"/>
  <c r="D314" i="2"/>
  <c r="D299" i="2"/>
  <c r="D290" i="2"/>
  <c r="D275" i="2"/>
  <c r="D266" i="2"/>
  <c r="D251" i="2"/>
  <c r="D242" i="2"/>
  <c r="B242" i="2"/>
  <c r="D227" i="2"/>
  <c r="D218" i="2"/>
  <c r="D203" i="2"/>
  <c r="D194" i="2"/>
  <c r="D179" i="2"/>
  <c r="D170" i="2"/>
  <c r="D155" i="2"/>
  <c r="D146" i="2"/>
  <c r="B145" i="2"/>
  <c r="D131" i="2"/>
  <c r="D122" i="2"/>
  <c r="D107" i="2"/>
  <c r="D98" i="2"/>
  <c r="D83" i="2"/>
  <c r="D74" i="2"/>
  <c r="D59" i="2"/>
  <c r="D50" i="2"/>
  <c r="E26" i="2"/>
  <c r="C26" i="2"/>
  <c r="D25" i="2"/>
  <c r="E18" i="2"/>
  <c r="E16" i="2"/>
  <c r="C15" i="2"/>
  <c r="C14" i="2"/>
  <c r="A235" i="1"/>
  <c r="C227" i="1"/>
  <c r="E435" i="2" s="1"/>
  <c r="C226" i="1"/>
  <c r="E411" i="2" s="1"/>
  <c r="C225" i="1"/>
  <c r="E387" i="2" s="1"/>
  <c r="C224" i="1"/>
  <c r="E363" i="2" s="1"/>
  <c r="C223" i="1"/>
  <c r="E339" i="2" s="1"/>
  <c r="C222" i="1"/>
  <c r="E315" i="2" s="1"/>
  <c r="C221" i="1"/>
  <c r="E291" i="2" s="1"/>
  <c r="C220" i="1"/>
  <c r="E267" i="2" s="1"/>
  <c r="C219" i="1"/>
  <c r="E243" i="2" s="1"/>
  <c r="C218" i="1"/>
  <c r="E219" i="2" s="1"/>
  <c r="C217" i="1"/>
  <c r="E195" i="2" s="1"/>
  <c r="C216" i="1"/>
  <c r="E171" i="2" s="1"/>
  <c r="C215" i="1"/>
  <c r="E147" i="2" s="1"/>
  <c r="C214" i="1"/>
  <c r="E123" i="2" s="1"/>
  <c r="C213" i="1"/>
  <c r="E99" i="2" s="1"/>
  <c r="C212" i="1"/>
  <c r="E75" i="2" s="1"/>
  <c r="C211" i="1"/>
  <c r="E51" i="2" s="1"/>
  <c r="C210" i="1"/>
  <c r="A236" i="1" s="1"/>
  <c r="B210" i="1"/>
  <c r="C201" i="1"/>
  <c r="C200" i="1"/>
  <c r="E408" i="2" s="1"/>
  <c r="C199" i="1"/>
  <c r="C198" i="1"/>
  <c r="C197" i="1"/>
  <c r="C196" i="1"/>
  <c r="C195" i="1"/>
  <c r="C194" i="1"/>
  <c r="C193" i="1"/>
  <c r="C192" i="1"/>
  <c r="C191" i="1"/>
  <c r="E185" i="2" s="1"/>
  <c r="E187" i="2" s="1"/>
  <c r="C190" i="1"/>
  <c r="E161" i="2" s="1"/>
  <c r="E163" i="2" s="1"/>
  <c r="C189" i="1"/>
  <c r="C188" i="1"/>
  <c r="C187" i="1"/>
  <c r="E96" i="2" s="1"/>
  <c r="C186" i="1"/>
  <c r="E65" i="2" s="1"/>
  <c r="E67" i="2" s="1"/>
  <c r="C185" i="1"/>
  <c r="C184" i="1"/>
  <c r="B184" i="1"/>
  <c r="D184" i="1" s="1"/>
  <c r="B185" i="1" s="1"/>
  <c r="D185" i="1" s="1"/>
  <c r="B186" i="1" s="1"/>
  <c r="C164" i="1"/>
  <c r="C162" i="1"/>
  <c r="D151" i="1"/>
  <c r="D150" i="1"/>
  <c r="D149" i="1"/>
  <c r="D148" i="1"/>
  <c r="B362" i="2" s="1"/>
  <c r="D147" i="1"/>
  <c r="D146" i="1"/>
  <c r="D145" i="1"/>
  <c r="D144" i="1"/>
  <c r="D143" i="1"/>
  <c r="B241" i="2" s="1"/>
  <c r="D142" i="1"/>
  <c r="D141" i="1"/>
  <c r="D140" i="1"/>
  <c r="D139" i="1"/>
  <c r="B146" i="2" s="1"/>
  <c r="D138" i="1"/>
  <c r="B121" i="2" s="1"/>
  <c r="D137" i="1"/>
  <c r="D136" i="1"/>
  <c r="D135" i="1"/>
  <c r="B50" i="2" s="1"/>
  <c r="D134" i="1"/>
  <c r="B23" i="2" s="1"/>
  <c r="F13" i="15" s="1"/>
  <c r="E120" i="1"/>
  <c r="A102" i="1"/>
  <c r="D102" i="1" s="1"/>
  <c r="E102" i="1" s="1"/>
  <c r="D101" i="1"/>
  <c r="E101" i="1" s="1"/>
  <c r="C77" i="1"/>
  <c r="D186" i="1" l="1"/>
  <c r="B187" i="1" s="1"/>
  <c r="D187" i="1" s="1"/>
  <c r="B188" i="1" s="1"/>
  <c r="D188" i="1" s="1"/>
  <c r="B189" i="1" s="1"/>
  <c r="D189" i="1" s="1"/>
  <c r="B190" i="1" s="1"/>
  <c r="D190" i="1" s="1"/>
  <c r="B191" i="1" s="1"/>
  <c r="D191" i="1" s="1"/>
  <c r="B192" i="1" s="1"/>
  <c r="D192" i="1" s="1"/>
  <c r="B193" i="1" s="1"/>
  <c r="D193" i="1" s="1"/>
  <c r="B194" i="1" s="1"/>
  <c r="D194" i="1" s="1"/>
  <c r="B195" i="1" s="1"/>
  <c r="D195" i="1" s="1"/>
  <c r="B196" i="1" s="1"/>
  <c r="D196" i="1" s="1"/>
  <c r="B197" i="1" s="1"/>
  <c r="D197" i="1" s="1"/>
  <c r="B198" i="1" s="1"/>
  <c r="D198" i="1" s="1"/>
  <c r="B199" i="1" s="1"/>
  <c r="D199" i="1" s="1"/>
  <c r="B200" i="1" s="1"/>
  <c r="D200" i="1" s="1"/>
  <c r="B201" i="1" s="1"/>
  <c r="D201" i="1" s="1"/>
  <c r="D210" i="1"/>
  <c r="E210" i="1" s="1"/>
  <c r="B211" i="1" s="1"/>
  <c r="A103" i="1"/>
  <c r="A104" i="1" s="1"/>
  <c r="A105" i="1"/>
  <c r="D104" i="1"/>
  <c r="E104" i="1" s="1"/>
  <c r="E48" i="2"/>
  <c r="E53" i="2" s="1"/>
  <c r="E41" i="2"/>
  <c r="E43" i="2" s="1"/>
  <c r="E144" i="2"/>
  <c r="E149" i="2" s="1"/>
  <c r="E137" i="2"/>
  <c r="E139" i="2" s="1"/>
  <c r="E240" i="2"/>
  <c r="E245" i="2" s="1"/>
  <c r="E233" i="2"/>
  <c r="E235" i="2" s="1"/>
  <c r="E336" i="2"/>
  <c r="E341" i="2" s="1"/>
  <c r="E329" i="2"/>
  <c r="E331" i="2" s="1"/>
  <c r="E432" i="2"/>
  <c r="E437" i="2" s="1"/>
  <c r="E425" i="2"/>
  <c r="E427" i="2" s="1"/>
  <c r="D21" i="2"/>
  <c r="D7" i="2"/>
  <c r="B49" i="2"/>
  <c r="E89" i="2"/>
  <c r="E91" i="2" s="1"/>
  <c r="E168" i="2"/>
  <c r="E173" i="2" s="1"/>
  <c r="E192" i="2"/>
  <c r="E197" i="2" s="1"/>
  <c r="B74" i="2"/>
  <c r="B73" i="2"/>
  <c r="B98" i="2"/>
  <c r="B97" i="2"/>
  <c r="B170" i="2"/>
  <c r="B169" i="2"/>
  <c r="B194" i="2"/>
  <c r="B193" i="2"/>
  <c r="B218" i="2"/>
  <c r="B217" i="2"/>
  <c r="B266" i="2"/>
  <c r="B265" i="2"/>
  <c r="B290" i="2"/>
  <c r="B289" i="2"/>
  <c r="B314" i="2"/>
  <c r="B313" i="2"/>
  <c r="B337" i="2"/>
  <c r="B338" i="2"/>
  <c r="B386" i="2"/>
  <c r="B385" i="2"/>
  <c r="B410" i="2"/>
  <c r="B409" i="2"/>
  <c r="B433" i="2"/>
  <c r="B434" i="2"/>
  <c r="E24" i="2"/>
  <c r="E8" i="2"/>
  <c r="E120" i="2"/>
  <c r="E125" i="2" s="1"/>
  <c r="E113" i="2"/>
  <c r="E115" i="2" s="1"/>
  <c r="E216" i="2"/>
  <c r="E221" i="2" s="1"/>
  <c r="E209" i="2"/>
  <c r="E211" i="2" s="1"/>
  <c r="E312" i="2"/>
  <c r="E317" i="2" s="1"/>
  <c r="E305" i="2"/>
  <c r="E307" i="2" s="1"/>
  <c r="E413" i="2"/>
  <c r="A237" i="1"/>
  <c r="D7" i="15"/>
  <c r="E22" i="2"/>
  <c r="D24" i="15" s="1"/>
  <c r="L24" i="15" s="1"/>
  <c r="E72" i="2"/>
  <c r="E77" i="2" s="1"/>
  <c r="B361" i="2"/>
  <c r="E401" i="2"/>
  <c r="E403" i="2" s="1"/>
  <c r="E264" i="2"/>
  <c r="E269" i="2" s="1"/>
  <c r="E257" i="2"/>
  <c r="E259" i="2" s="1"/>
  <c r="E360" i="2"/>
  <c r="E365" i="2" s="1"/>
  <c r="E353" i="2"/>
  <c r="E355" i="2" s="1"/>
  <c r="E101" i="2"/>
  <c r="E281" i="2"/>
  <c r="E283" i="2" s="1"/>
  <c r="E288" i="2"/>
  <c r="E293" i="2" s="1"/>
  <c r="E377" i="2"/>
  <c r="E379" i="2" s="1"/>
  <c r="E384" i="2"/>
  <c r="E389" i="2" s="1"/>
  <c r="B25" i="2"/>
  <c r="E13" i="15" s="1"/>
  <c r="B122" i="2"/>
  <c r="D20" i="15"/>
  <c r="D211" i="1" l="1"/>
  <c r="E211" i="1" s="1"/>
  <c r="B212" i="1" s="1"/>
  <c r="D212" i="1" s="1"/>
  <c r="D103" i="1"/>
  <c r="E103" i="1" s="1"/>
  <c r="D354" i="2"/>
  <c r="D258" i="2"/>
  <c r="D426" i="2"/>
  <c r="D330" i="2"/>
  <c r="D234" i="2"/>
  <c r="D402" i="2"/>
  <c r="D306" i="2"/>
  <c r="D210" i="2"/>
  <c r="D378" i="2"/>
  <c r="D138" i="2"/>
  <c r="D42" i="2"/>
  <c r="D114" i="2"/>
  <c r="D9" i="2"/>
  <c r="B21" i="15" s="1"/>
  <c r="I21" i="15" s="1"/>
  <c r="D90" i="2"/>
  <c r="D162" i="2"/>
  <c r="D282" i="2"/>
  <c r="D66" i="2"/>
  <c r="D186" i="2"/>
  <c r="E11" i="2"/>
  <c r="C22" i="15"/>
  <c r="H22" i="15" s="1"/>
  <c r="H26" i="15" s="1"/>
  <c r="D22" i="15"/>
  <c r="E33" i="2"/>
  <c r="E58" i="2" s="1"/>
  <c r="E82" i="2" s="1"/>
  <c r="E106" i="2" s="1"/>
  <c r="E130" i="2" s="1"/>
  <c r="E154" i="2" s="1"/>
  <c r="E178" i="2" s="1"/>
  <c r="E202" i="2" s="1"/>
  <c r="E226" i="2" s="1"/>
  <c r="E250" i="2" s="1"/>
  <c r="E274" i="2" s="1"/>
  <c r="E298" i="2" s="1"/>
  <c r="E322" i="2" s="1"/>
  <c r="E346" i="2" s="1"/>
  <c r="E370" i="2" s="1"/>
  <c r="E394" i="2" s="1"/>
  <c r="E418" i="2" s="1"/>
  <c r="E442" i="2" s="1"/>
  <c r="E28" i="2"/>
  <c r="L20" i="15"/>
  <c r="L26" i="15" s="1"/>
  <c r="E31" i="2"/>
  <c r="D47" i="2"/>
  <c r="D53" i="2" s="1"/>
  <c r="D40" i="2"/>
  <c r="D43" i="2" s="1"/>
  <c r="D23" i="15"/>
  <c r="D28" i="2"/>
  <c r="L7" i="15"/>
  <c r="B23" i="15"/>
  <c r="I23" i="15" s="1"/>
  <c r="D11" i="2"/>
  <c r="D105" i="1"/>
  <c r="E105" i="1" s="1"/>
  <c r="A106" i="1"/>
  <c r="G27" i="15" l="1"/>
  <c r="D71" i="2"/>
  <c r="D77" i="2" s="1"/>
  <c r="D64" i="2"/>
  <c r="D67" i="2" s="1"/>
  <c r="E34" i="2"/>
  <c r="E56" i="2"/>
  <c r="E212" i="1"/>
  <c r="B213" i="1" s="1"/>
  <c r="I26" i="15"/>
  <c r="D106" i="1"/>
  <c r="E106" i="1" s="1"/>
  <c r="A107" i="1"/>
  <c r="D213" i="1" l="1"/>
  <c r="E213" i="1" s="1"/>
  <c r="B214" i="1" s="1"/>
  <c r="A108" i="1"/>
  <c r="D107" i="1"/>
  <c r="E107" i="1" s="1"/>
  <c r="E59" i="2"/>
  <c r="E80" i="2"/>
  <c r="D108" i="1" l="1"/>
  <c r="E108" i="1" s="1"/>
  <c r="A109" i="1"/>
  <c r="E83" i="2"/>
  <c r="D95" i="2"/>
  <c r="D101" i="2" s="1"/>
  <c r="D88" i="2"/>
  <c r="D91" i="2" s="1"/>
  <c r="D214" i="1"/>
  <c r="D112" i="2" l="1"/>
  <c r="D115" i="2" s="1"/>
  <c r="D119" i="2"/>
  <c r="D125" i="2" s="1"/>
  <c r="E104" i="2"/>
  <c r="E214" i="1"/>
  <c r="B215" i="1" s="1"/>
  <c r="D109" i="1"/>
  <c r="E109" i="1" s="1"/>
  <c r="A110" i="1"/>
  <c r="E107" i="2" l="1"/>
  <c r="E128" i="2"/>
  <c r="D215" i="1"/>
  <c r="E215" i="1" s="1"/>
  <c r="B216" i="1" s="1"/>
  <c r="A111" i="1"/>
  <c r="D110" i="1"/>
  <c r="E110" i="1" s="1"/>
  <c r="D216" i="1" l="1"/>
  <c r="E216" i="1" s="1"/>
  <c r="B217" i="1" s="1"/>
  <c r="A112" i="1"/>
  <c r="D111" i="1"/>
  <c r="E111" i="1" s="1"/>
  <c r="D143" i="2"/>
  <c r="D149" i="2" s="1"/>
  <c r="D136" i="2"/>
  <c r="D139" i="2" s="1"/>
  <c r="E131" i="2"/>
  <c r="E152" i="2"/>
  <c r="E155" i="2" l="1"/>
  <c r="A113" i="1"/>
  <c r="D112" i="1"/>
  <c r="E112" i="1" s="1"/>
  <c r="D167" i="2"/>
  <c r="D173" i="2" s="1"/>
  <c r="D160" i="2"/>
  <c r="D163" i="2" s="1"/>
  <c r="D217" i="1"/>
  <c r="E217" i="1" s="1"/>
  <c r="B218" i="1" s="1"/>
  <c r="D218" i="1" l="1"/>
  <c r="D113" i="1"/>
  <c r="E113" i="1" s="1"/>
  <c r="A114" i="1"/>
  <c r="E176" i="2"/>
  <c r="D191" i="2"/>
  <c r="D197" i="2" s="1"/>
  <c r="D184" i="2"/>
  <c r="D187" i="2" s="1"/>
  <c r="D114" i="1" l="1"/>
  <c r="E114" i="1" s="1"/>
  <c r="A115" i="1"/>
  <c r="D215" i="2"/>
  <c r="D221" i="2" s="1"/>
  <c r="D208" i="2"/>
  <c r="D211" i="2" s="1"/>
  <c r="E200" i="2"/>
  <c r="E179" i="2"/>
  <c r="E218" i="1"/>
  <c r="B219" i="1" s="1"/>
  <c r="A116" i="1" l="1"/>
  <c r="D115" i="1"/>
  <c r="E115" i="1" s="1"/>
  <c r="D219" i="1"/>
  <c r="E219" i="1" s="1"/>
  <c r="B220" i="1" s="1"/>
  <c r="E224" i="2"/>
  <c r="E203" i="2"/>
  <c r="D220" i="1" l="1"/>
  <c r="E220" i="1" s="1"/>
  <c r="B221" i="1" s="1"/>
  <c r="D232" i="2"/>
  <c r="D235" i="2" s="1"/>
  <c r="D239" i="2"/>
  <c r="D245" i="2" s="1"/>
  <c r="E227" i="2"/>
  <c r="A117" i="1"/>
  <c r="D116" i="1"/>
  <c r="E116" i="1" s="1"/>
  <c r="D117" i="1" l="1"/>
  <c r="E117" i="1" s="1"/>
  <c r="A118" i="1"/>
  <c r="D118" i="1" s="1"/>
  <c r="E118" i="1" s="1"/>
  <c r="E248" i="2"/>
  <c r="D263" i="2"/>
  <c r="D269" i="2" s="1"/>
  <c r="D256" i="2"/>
  <c r="D259" i="2" s="1"/>
  <c r="D221" i="1"/>
  <c r="E251" i="2" l="1"/>
  <c r="E272" i="2"/>
  <c r="D287" i="2"/>
  <c r="D293" i="2" s="1"/>
  <c r="D280" i="2"/>
  <c r="D283" i="2" s="1"/>
  <c r="E221" i="1"/>
  <c r="B222" i="1" s="1"/>
  <c r="E119" i="1"/>
  <c r="B19" i="2" l="1"/>
  <c r="A131" i="1"/>
  <c r="B134" i="1" s="1"/>
  <c r="E121" i="1"/>
  <c r="E275" i="2"/>
  <c r="E296" i="2"/>
  <c r="D222" i="1"/>
  <c r="D311" i="2" l="1"/>
  <c r="D317" i="2" s="1"/>
  <c r="D304" i="2"/>
  <c r="D307" i="2" s="1"/>
  <c r="C163" i="1"/>
  <c r="C165" i="1" s="1"/>
  <c r="C81" i="1"/>
  <c r="C10" i="2" s="1"/>
  <c r="B9" i="15" s="1"/>
  <c r="I9" i="15" s="1"/>
  <c r="C79" i="1"/>
  <c r="E222" i="1"/>
  <c r="B223" i="1" s="1"/>
  <c r="C134" i="1"/>
  <c r="E320" i="2"/>
  <c r="E299" i="2"/>
  <c r="F10" i="15"/>
  <c r="B20" i="2" l="1"/>
  <c r="B7" i="2"/>
  <c r="C17" i="2"/>
  <c r="C167" i="1"/>
  <c r="E134" i="1"/>
  <c r="B135" i="1" s="1"/>
  <c r="D223" i="1"/>
  <c r="E323" i="2"/>
  <c r="C401" i="2" l="1"/>
  <c r="C403" i="2" s="1"/>
  <c r="C384" i="2"/>
  <c r="C389" i="2" s="1"/>
  <c r="C305" i="2"/>
  <c r="C307" i="2" s="1"/>
  <c r="C288" i="2"/>
  <c r="C293" i="2" s="1"/>
  <c r="C209" i="2"/>
  <c r="C211" i="2" s="1"/>
  <c r="C192" i="2"/>
  <c r="C197" i="2" s="1"/>
  <c r="C377" i="2"/>
  <c r="C379" i="2" s="1"/>
  <c r="C360" i="2"/>
  <c r="C365" i="2" s="1"/>
  <c r="C281" i="2"/>
  <c r="C283" i="2" s="1"/>
  <c r="C264" i="2"/>
  <c r="C269" i="2" s="1"/>
  <c r="C432" i="2"/>
  <c r="C437" i="2" s="1"/>
  <c r="C353" i="2"/>
  <c r="C355" i="2" s="1"/>
  <c r="C336" i="2"/>
  <c r="C341" i="2" s="1"/>
  <c r="C257" i="2"/>
  <c r="C259" i="2" s="1"/>
  <c r="C240" i="2"/>
  <c r="C245" i="2" s="1"/>
  <c r="C425" i="2"/>
  <c r="C427" i="2" s="1"/>
  <c r="C312" i="2"/>
  <c r="C317" i="2" s="1"/>
  <c r="C185" i="2"/>
  <c r="C187" i="2" s="1"/>
  <c r="C168" i="2"/>
  <c r="C173" i="2" s="1"/>
  <c r="C89" i="2"/>
  <c r="C91" i="2" s="1"/>
  <c r="C72" i="2"/>
  <c r="C77" i="2" s="1"/>
  <c r="C408" i="2"/>
  <c r="C413" i="2" s="1"/>
  <c r="C161" i="2"/>
  <c r="C163" i="2" s="1"/>
  <c r="C144" i="2"/>
  <c r="C149" i="2" s="1"/>
  <c r="C65" i="2"/>
  <c r="C67" i="2" s="1"/>
  <c r="C48" i="2"/>
  <c r="C53" i="2" s="1"/>
  <c r="C24" i="2"/>
  <c r="D12" i="15" s="1"/>
  <c r="C233" i="2"/>
  <c r="C235" i="2" s="1"/>
  <c r="C137" i="2"/>
  <c r="C139" i="2" s="1"/>
  <c r="C120" i="2"/>
  <c r="C125" i="2" s="1"/>
  <c r="C41" i="2"/>
  <c r="C43" i="2" s="1"/>
  <c r="C329" i="2"/>
  <c r="C331" i="2" s="1"/>
  <c r="C96" i="2"/>
  <c r="C101" i="2" s="1"/>
  <c r="C113" i="2"/>
  <c r="C115" i="2" s="1"/>
  <c r="C8" i="2"/>
  <c r="C216" i="2"/>
  <c r="C221" i="2" s="1"/>
  <c r="D328" i="2"/>
  <c r="D331" i="2" s="1"/>
  <c r="D335" i="2"/>
  <c r="D8" i="15"/>
  <c r="C32" i="2"/>
  <c r="C28" i="2"/>
  <c r="E223" i="1"/>
  <c r="B224" i="1" s="1"/>
  <c r="C11" i="15"/>
  <c r="I11" i="15" s="1"/>
  <c r="I14" i="15" s="1"/>
  <c r="B11" i="2"/>
  <c r="C135" i="1"/>
  <c r="F11" i="15"/>
  <c r="B28" i="2"/>
  <c r="B30" i="2"/>
  <c r="C57" i="2" l="1"/>
  <c r="C34" i="2"/>
  <c r="L8" i="15"/>
  <c r="L14" i="15" s="1"/>
  <c r="G15" i="15"/>
  <c r="C12" i="15"/>
  <c r="H12" i="15" s="1"/>
  <c r="H14" i="15" s="1"/>
  <c r="C11" i="2"/>
  <c r="B40" i="2"/>
  <c r="B43" i="2" s="1"/>
  <c r="B46" i="2"/>
  <c r="B53" i="2" s="1"/>
  <c r="D224" i="1"/>
  <c r="E224" i="1" s="1"/>
  <c r="B225" i="1" s="1"/>
  <c r="D341" i="2"/>
  <c r="E344" i="2"/>
  <c r="B34" i="2"/>
  <c r="E135" i="1"/>
  <c r="B136" i="1" s="1"/>
  <c r="E347" i="2" l="1"/>
  <c r="C136" i="1"/>
  <c r="D359" i="2"/>
  <c r="D365" i="2" s="1"/>
  <c r="D352" i="2"/>
  <c r="D355" i="2" s="1"/>
  <c r="B55" i="2"/>
  <c r="D225" i="1"/>
  <c r="E225" i="1" s="1"/>
  <c r="B226" i="1" s="1"/>
  <c r="C81" i="2"/>
  <c r="C59" i="2"/>
  <c r="E368" i="2" l="1"/>
  <c r="D226" i="1"/>
  <c r="B70" i="2"/>
  <c r="B77" i="2" s="1"/>
  <c r="B64" i="2"/>
  <c r="B67" i="2" s="1"/>
  <c r="B59" i="2"/>
  <c r="E136" i="1"/>
  <c r="B137" i="1" s="1"/>
  <c r="E371" i="2"/>
  <c r="C83" i="2"/>
  <c r="C105" i="2"/>
  <c r="D383" i="2"/>
  <c r="D389" i="2" s="1"/>
  <c r="D376" i="2"/>
  <c r="D379" i="2" s="1"/>
  <c r="C107" i="2" l="1"/>
  <c r="C129" i="2"/>
  <c r="C137" i="1"/>
  <c r="D407" i="2"/>
  <c r="D413" i="2" s="1"/>
  <c r="D400" i="2"/>
  <c r="D403" i="2" s="1"/>
  <c r="E392" i="2"/>
  <c r="B79" i="2"/>
  <c r="E226" i="1"/>
  <c r="B227" i="1" s="1"/>
  <c r="B94" i="2" l="1"/>
  <c r="B101" i="2" s="1"/>
  <c r="B88" i="2"/>
  <c r="B91" i="2" s="1"/>
  <c r="B103" i="2"/>
  <c r="B83" i="2"/>
  <c r="E416" i="2"/>
  <c r="E395" i="2"/>
  <c r="E137" i="1"/>
  <c r="B138" i="1" s="1"/>
  <c r="C153" i="2"/>
  <c r="C131" i="2"/>
  <c r="D227" i="1"/>
  <c r="E227" i="1" s="1"/>
  <c r="C177" i="2" l="1"/>
  <c r="C155" i="2"/>
  <c r="D424" i="2"/>
  <c r="D427" i="2" s="1"/>
  <c r="D431" i="2"/>
  <c r="D437" i="2" s="1"/>
  <c r="C138" i="1"/>
  <c r="B107" i="2"/>
  <c r="E419" i="2"/>
  <c r="E440" i="2"/>
  <c r="E443" i="2" s="1"/>
  <c r="B118" i="2" l="1"/>
  <c r="B112" i="2"/>
  <c r="B115" i="2" s="1"/>
  <c r="E138" i="1"/>
  <c r="B139" i="1" s="1"/>
  <c r="C201" i="2"/>
  <c r="C179" i="2"/>
  <c r="C139" i="1" l="1"/>
  <c r="C203" i="2"/>
  <c r="C225" i="2"/>
  <c r="B125" i="2"/>
  <c r="B127" i="2"/>
  <c r="C227" i="2" l="1"/>
  <c r="C249" i="2"/>
  <c r="B136" i="2"/>
  <c r="B139" i="2" s="1"/>
  <c r="B142" i="2"/>
  <c r="B149" i="2" s="1"/>
  <c r="B131" i="2"/>
  <c r="E139" i="1"/>
  <c r="B140" i="1" s="1"/>
  <c r="C273" i="2" l="1"/>
  <c r="C251" i="2"/>
  <c r="C140" i="1"/>
  <c r="B151" i="2"/>
  <c r="B166" i="2" l="1"/>
  <c r="B173" i="2" s="1"/>
  <c r="B160" i="2"/>
  <c r="B163" i="2" s="1"/>
  <c r="E140" i="1"/>
  <c r="B141" i="1" s="1"/>
  <c r="B175" i="2"/>
  <c r="B155" i="2"/>
  <c r="C297" i="2"/>
  <c r="C275" i="2"/>
  <c r="B179" i="2" l="1"/>
  <c r="C141" i="1"/>
  <c r="C299" i="2"/>
  <c r="C321" i="2"/>
  <c r="B190" i="2" l="1"/>
  <c r="B184" i="2"/>
  <c r="B187" i="2" s="1"/>
  <c r="E141" i="1"/>
  <c r="B142" i="1" s="1"/>
  <c r="C323" i="2"/>
  <c r="C345" i="2"/>
  <c r="C142" i="1" l="1"/>
  <c r="C369" i="2"/>
  <c r="C347" i="2"/>
  <c r="B197" i="2"/>
  <c r="B199" i="2"/>
  <c r="C393" i="2" l="1"/>
  <c r="C371" i="2"/>
  <c r="B214" i="2"/>
  <c r="B221" i="2" s="1"/>
  <c r="B208" i="2"/>
  <c r="B211" i="2" s="1"/>
  <c r="B203" i="2"/>
  <c r="E142" i="1"/>
  <c r="B143" i="1" s="1"/>
  <c r="C143" i="1" l="1"/>
  <c r="B223" i="2"/>
  <c r="C395" i="2"/>
  <c r="C417" i="2"/>
  <c r="B227" i="2" l="1"/>
  <c r="B238" i="2"/>
  <c r="B245" i="2" s="1"/>
  <c r="B232" i="2"/>
  <c r="B235" i="2" s="1"/>
  <c r="C419" i="2"/>
  <c r="C441" i="2"/>
  <c r="C443" i="2" s="1"/>
  <c r="E143" i="1"/>
  <c r="B144" i="1" s="1"/>
  <c r="C144" i="1" l="1"/>
  <c r="B247" i="2"/>
  <c r="B251" i="2" l="1"/>
  <c r="B256" i="2"/>
  <c r="B259" i="2" s="1"/>
  <c r="B262" i="2"/>
  <c r="B269" i="2" s="1"/>
  <c r="E144" i="1"/>
  <c r="B145" i="1" s="1"/>
  <c r="B271" i="2" l="1"/>
  <c r="C145" i="1"/>
  <c r="B286" i="2" l="1"/>
  <c r="B293" i="2" s="1"/>
  <c r="B280" i="2"/>
  <c r="B283" i="2" s="1"/>
  <c r="E145" i="1"/>
  <c r="B146" i="1" s="1"/>
  <c r="B275" i="2"/>
  <c r="B295" i="2" l="1"/>
  <c r="C146" i="1"/>
  <c r="B310" i="2" l="1"/>
  <c r="B317" i="2" s="1"/>
  <c r="B304" i="2"/>
  <c r="B307" i="2" s="1"/>
  <c r="E146" i="1"/>
  <c r="B147" i="1" s="1"/>
  <c r="B319" i="2"/>
  <c r="B299" i="2"/>
  <c r="B323" i="2" l="1"/>
  <c r="C147" i="1"/>
  <c r="B334" i="2" l="1"/>
  <c r="B328" i="2"/>
  <c r="B331" i="2" s="1"/>
  <c r="E147" i="1"/>
  <c r="B148" i="1" s="1"/>
  <c r="C148" i="1" l="1"/>
  <c r="B341" i="2"/>
  <c r="B343" i="2"/>
  <c r="B352" i="2" l="1"/>
  <c r="B355" i="2" s="1"/>
  <c r="B358" i="2"/>
  <c r="B365" i="2" s="1"/>
  <c r="B347" i="2"/>
  <c r="E148" i="1"/>
  <c r="B149" i="1" s="1"/>
  <c r="B367" i="2" l="1"/>
  <c r="C149" i="1"/>
  <c r="B382" i="2" l="1"/>
  <c r="B389" i="2" s="1"/>
  <c r="B376" i="2"/>
  <c r="B379" i="2" s="1"/>
  <c r="E149" i="1"/>
  <c r="B150" i="1" s="1"/>
  <c r="B391" i="2"/>
  <c r="B371" i="2"/>
  <c r="B395" i="2" l="1"/>
  <c r="C150" i="1"/>
  <c r="B406" i="2" l="1"/>
  <c r="B400" i="2"/>
  <c r="B403" i="2" s="1"/>
  <c r="E150" i="1"/>
  <c r="B151" i="1" s="1"/>
  <c r="C151" i="1" l="1"/>
  <c r="B413" i="2"/>
  <c r="B415" i="2"/>
  <c r="B430" i="2" l="1"/>
  <c r="B437" i="2" s="1"/>
  <c r="B424" i="2"/>
  <c r="B427" i="2" s="1"/>
  <c r="B439" i="2"/>
  <c r="B443" i="2" s="1"/>
  <c r="B419" i="2"/>
  <c r="E151" i="1"/>
</calcChain>
</file>

<file path=xl/sharedStrings.xml><?xml version="1.0" encoding="utf-8"?>
<sst xmlns="http://schemas.openxmlformats.org/spreadsheetml/2006/main" count="737" uniqueCount="252">
  <si>
    <t>Depreciation</t>
  </si>
  <si>
    <t>I &amp; E</t>
  </si>
  <si>
    <t>Accumulated Depreciation</t>
  </si>
  <si>
    <t>TOTAL</t>
  </si>
  <si>
    <t>Lessee (Lease)</t>
  </si>
  <si>
    <t>Lessor (Lease)</t>
  </si>
  <si>
    <t>Lessee (Right of Use Asset)</t>
  </si>
  <si>
    <t>Lessor (Asset)</t>
  </si>
  <si>
    <t xml:space="preserve">Closing </t>
  </si>
  <si>
    <t>Lease liability</t>
  </si>
  <si>
    <t>Lease Liability C/F</t>
  </si>
  <si>
    <t>Right of Use of Asset NBV C/F</t>
  </si>
  <si>
    <t>Payment</t>
  </si>
  <si>
    <t>Date of payment</t>
  </si>
  <si>
    <t>Discount Factor</t>
  </si>
  <si>
    <t>Discounted Amount</t>
  </si>
  <si>
    <t>Year</t>
  </si>
  <si>
    <t>Opening (1 Apr)</t>
  </si>
  <si>
    <t>BALANCE SHEET Movements</t>
  </si>
  <si>
    <t>Lease Unwinding of Discount</t>
  </si>
  <si>
    <t>At the commencement of the lease:</t>
  </si>
  <si>
    <t>Underlying Asset</t>
  </si>
  <si>
    <t>Scenario details</t>
  </si>
  <si>
    <t>ACCOUNTS</t>
  </si>
  <si>
    <t>BUDGETS</t>
  </si>
  <si>
    <t>NATIONAL ACCOUNTS</t>
  </si>
  <si>
    <t>OSCAR coding</t>
  </si>
  <si>
    <t>SOCNE
("I&amp;E")</t>
  </si>
  <si>
    <t>SOFP
("Bal sheet")</t>
  </si>
  <si>
    <t>RDEL RF</t>
  </si>
  <si>
    <t>RDEL NRF</t>
  </si>
  <si>
    <t>RDEL Total</t>
  </si>
  <si>
    <t>RAME</t>
  </si>
  <si>
    <t>CDEL</t>
  </si>
  <si>
    <t>CAME</t>
  </si>
  <si>
    <t>PSNB</t>
  </si>
  <si>
    <t>PSND</t>
  </si>
  <si>
    <t>Check Accounting DR/CR</t>
  </si>
  <si>
    <t>Notes and Relevant Guidance</t>
  </si>
  <si>
    <t>Worked Example</t>
  </si>
  <si>
    <t>Note 5</t>
  </si>
  <si>
    <t>Commencement date</t>
  </si>
  <si>
    <t>Calculation of the PV of future payments</t>
  </si>
  <si>
    <t xml:space="preserve">Lease liability at initial recognition: </t>
  </si>
  <si>
    <t>ROU Asset</t>
  </si>
  <si>
    <t>Lease Liability</t>
  </si>
  <si>
    <t>Interest</t>
  </si>
  <si>
    <t>Cash Paid</t>
  </si>
  <si>
    <t>Lease Income</t>
  </si>
  <si>
    <t xml:space="preserve">Cash </t>
  </si>
  <si>
    <t xml:space="preserve">Total budgeting </t>
  </si>
  <si>
    <t xml:space="preserve">Income - Lease payment </t>
  </si>
  <si>
    <t>Income - Lease payment</t>
  </si>
  <si>
    <t>Income</t>
  </si>
  <si>
    <t>Expense</t>
  </si>
  <si>
    <t>Assets</t>
  </si>
  <si>
    <t>Cash</t>
  </si>
  <si>
    <t>Liability</t>
  </si>
  <si>
    <t>Equity</t>
  </si>
  <si>
    <t>IFRS16 Worked Example - Sale and Leaseback - Scenario and Data</t>
  </si>
  <si>
    <t>IFRS16 Worked Example - Sale and Leaseback - Accounting Entries</t>
  </si>
  <si>
    <t>IFRS16 Worked Example - Sale and Leaseback - Budget</t>
  </si>
  <si>
    <t>18 years</t>
  </si>
  <si>
    <t>Term of the lease</t>
  </si>
  <si>
    <t>Excess Sale price (2,000,000 - 1,800,000)</t>
  </si>
  <si>
    <t>(a) any below-market terms shall be accounted for as a prepayment of lease payments; and</t>
  </si>
  <si>
    <t>(b) any above-market terms shall be accounted for as additional financing provided by the buyer-lessor to the seller-lessee.</t>
  </si>
  <si>
    <t>the sale proceeds at fair value: (IFRS16.101)</t>
  </si>
  <si>
    <t>SELLER-LESSEE - Liability (IFRS 16.26)</t>
  </si>
  <si>
    <t>Asset Sale Price</t>
  </si>
  <si>
    <t>Carried Value at the date of transfer</t>
  </si>
  <si>
    <t>Annual lease payments paid at the end of the year</t>
  </si>
  <si>
    <t>Fair Value of the Asset</t>
  </si>
  <si>
    <t>Lease element</t>
  </si>
  <si>
    <t>PV of annual payments</t>
  </si>
  <si>
    <t>SELLER-LESSEE - Gain/Loss on rights transferred to lessor</t>
  </si>
  <si>
    <t>SELLER-LESSEE</t>
  </si>
  <si>
    <t>Cash from Sale of the Asset</t>
  </si>
  <si>
    <t xml:space="preserve">BUYER -LESSOR - financial asset </t>
  </si>
  <si>
    <t>PV of the lease liability</t>
  </si>
  <si>
    <t>Fair Value of the Asset at the time of sale</t>
  </si>
  <si>
    <t xml:space="preserve">Value of the ROU Asset </t>
  </si>
  <si>
    <t>Annual Depreciation (straight line)</t>
  </si>
  <si>
    <t>BUYER -LESSOR - Income</t>
  </si>
  <si>
    <t>Repayment for financial asset</t>
  </si>
  <si>
    <t>Depreciation Term</t>
  </si>
  <si>
    <t>18 Years</t>
  </si>
  <si>
    <t xml:space="preserve">Annual Depreciation </t>
  </si>
  <si>
    <t>Financial Asset C/F</t>
  </si>
  <si>
    <t>Annual Payments - Cash value</t>
  </si>
  <si>
    <t>Annual Lease payments</t>
  </si>
  <si>
    <t>LESSEE - Yr 1</t>
  </si>
  <si>
    <t>LESSOR - Yr 1</t>
  </si>
  <si>
    <t>Financial Asset - Interest Income</t>
  </si>
  <si>
    <t xml:space="preserve">Financial Asset </t>
  </si>
  <si>
    <t>Asset purchase</t>
  </si>
  <si>
    <t>Gain on disposal</t>
  </si>
  <si>
    <t>BUYER-LESSOR</t>
  </si>
  <si>
    <t>Asset NBV C/F</t>
  </si>
  <si>
    <t xml:space="preserve">Gain on carrying value: </t>
  </si>
  <si>
    <t>(1,800,000 - 1,000,000)</t>
  </si>
  <si>
    <t>Rights retained by Seller-lessee:</t>
  </si>
  <si>
    <t>Rights transferred to Buyer-lessor:</t>
  </si>
  <si>
    <t>((800,000/1,800,000)*1,259,199)</t>
  </si>
  <si>
    <t>Gain on disposal - represents rights transferred to buyer - lessor</t>
  </si>
  <si>
    <t>After the commencement date, Buyer-lessor accounts for the lease by treating CU103,553 of the annual payments of CU120,000 as lease payments. The remaining CU16,447 of annual payments received from Seller-lessee are accounted for as (a) payments received to settle the financial asset of CU200,000 and (b) interest revenue.</t>
  </si>
  <si>
    <t xml:space="preserve">At the commencement date, Seller-lessee measures the right-of-use asset arising from the leaseback of the building at the proportion of the previous carrying amount of the building that relates to the right of use </t>
  </si>
  <si>
    <t xml:space="preserve">retained by Seller-lessee, which is CU699,555. This is calculated as: CU1,000,000 (the carrying amount of the building) ÷ CU1,800,000 (the fair value of the building) × CU1,259,200 (the discounted lease payments for </t>
  </si>
  <si>
    <t>the 18-year right-of-use asset).</t>
  </si>
  <si>
    <t>After the commencement date, Buyer-lessor accounts for the lease by treating CU103,553 of the annual payments of CU120,000 as lease payments. The remaining CU16,447 of annual payments received from Seller-lessee are accounted for as (a) payments received to settle the financial asset of CU200,000 and (b) interest revenue. (extract from example)</t>
  </si>
  <si>
    <t>£200,000 difference between fair value of the asset and price paid represents financing arrangement as per point b in the note 4. It is accounted for in accordance with note 3 and IFRS16.101</t>
  </si>
  <si>
    <t xml:space="preserve">C/F value of the financial asset. Reduced by annual payment 16,447 and increased by interest income recognised in the year 9,000, </t>
  </si>
  <si>
    <t>Sale proceeds paid by lessor to lessee</t>
  </si>
  <si>
    <t xml:space="preserve">Recognition of financial asset. </t>
  </si>
  <si>
    <t>Recognition of ROU asset as per calculations in data tab</t>
  </si>
  <si>
    <t>Lease liability discounted 4.5%</t>
  </si>
  <si>
    <t>The treatment for any gain on disposal that exceeds the lower 5% of NBV or £20m should be discussed with Treasury (CBG 7.3).</t>
  </si>
  <si>
    <t>payment (31 Dec)</t>
  </si>
  <si>
    <t>Opening (1 Jan)</t>
  </si>
  <si>
    <t>closing (31 Dec)</t>
  </si>
  <si>
    <t>NBV Closing (31 Dec)</t>
  </si>
  <si>
    <t>The seller-lessee measures the ROU asset arising from the leaseback at the proportion of the previous carrying amount of the asset that relates to the right of use retained by the seller-lessee.</t>
  </si>
  <si>
    <t>Accordingly, the seller-lessee recognises only the amount of any gain or loss that relates to the rights transferred to the buyer-lessor. (IFRS16.100 (a))</t>
  </si>
  <si>
    <t>The buyer-lessor accounts for the purchase of the asset applying applicable standard, and for the lease applying the lessor accounting requirements in IFRS 16. (IFRS16.100 (b))</t>
  </si>
  <si>
    <t>If the fair value of the consideration for the sale of an asset does not equal the fair value of the asset, or if the payments for the lease are not at market rates, lessor makes the following adjustments to measure</t>
  </si>
  <si>
    <t>Gain that would be recognised under IAS 17</t>
  </si>
  <si>
    <t>* Depreciation scores to NRF RDEL for Providers</t>
  </si>
  <si>
    <t xml:space="preserve">Asset is depreciated by the lessor in line with the lessor's policy (IFRS16.84). </t>
  </si>
  <si>
    <t>Discount rate</t>
  </si>
  <si>
    <t>The underlying asset is depreciated by the lessor on a straight line basis and in line with Lessor's depreciation policy.</t>
  </si>
  <si>
    <t>Below calculation of the excess sale price is provided.</t>
  </si>
  <si>
    <t>it represents a difference between fair value of the asset and price paid and is a financing arrangement provided by the buyer-lessor to the seller-lessee.</t>
  </si>
  <si>
    <t xml:space="preserve">Lease payments are made at the end of the year. </t>
  </si>
  <si>
    <t>Discount factor is calculated using interest rate provided in the scenario (4.5%). Present Value of the lease payments is broken down into finance element and lease element.</t>
  </si>
  <si>
    <t xml:space="preserve">If the fair value of the consideration for the sale of an asset does not equal the fair value of the asset, or if the payments for the lease are not at market rates, lessor </t>
  </si>
  <si>
    <t>accounts for any above-market terms as additional financing provided by the buyer-lessor to the seller-lessee.</t>
  </si>
  <si>
    <t>Annual payments are broken down into lease repayments and financial asset repayments.</t>
  </si>
  <si>
    <t>Opening balance of the financial asset represents difference between value paid and fair value of the asset at the time of transfer (2,000,000 - 1,800,000)</t>
  </si>
  <si>
    <t>Interest is calculated using rate provided in the scenario (4.5%).</t>
  </si>
  <si>
    <t xml:space="preserve">Lease interest has been calculated on the "Scenario and Data" tab. </t>
  </si>
  <si>
    <t>Recognition of the RoU asset scores to CDEL</t>
  </si>
  <si>
    <t xml:space="preserve">Profit or loss on disposal scores to RDEL (CBG 4.45). In this scenario gain is above 5% of the NBV therefore need to contact treasury and it may be required for some or all of the additional profit to be retained in CDEL. </t>
  </si>
  <si>
    <t>Purchase of the asset scores to CDEL</t>
  </si>
  <si>
    <t>Lease income scores to NRF RDEL</t>
  </si>
  <si>
    <t>Financial Asset recognition scores to CDEL</t>
  </si>
  <si>
    <t xml:space="preserve">Seller-Lessee. The gain on disposal is 240,355 and it passes the lower of 5% of NBV or £20m rule (CBG 7.2 and 7.3). </t>
  </si>
  <si>
    <t>Objectives</t>
  </si>
  <si>
    <t>1. Scenario and Data</t>
  </si>
  <si>
    <t>2. Accounting</t>
  </si>
  <si>
    <t>3. Budgeting</t>
  </si>
  <si>
    <t>Firstly, We need to complete few calculations based on the scenario details provided above. These calculations are:</t>
  </si>
  <si>
    <t>Lessee:</t>
  </si>
  <si>
    <t>Step 1</t>
  </si>
  <si>
    <t>Identify discount rate that can be used to calculate present value of the future lease payments</t>
  </si>
  <si>
    <t>Step 2</t>
  </si>
  <si>
    <t>Calculate PV of future lease payments using the discount rate</t>
  </si>
  <si>
    <t>Step 3</t>
  </si>
  <si>
    <t xml:space="preserve">Calculate lease liability  </t>
  </si>
  <si>
    <t>Step 4</t>
  </si>
  <si>
    <t>Calculate value of the RoU asset considering any potential upfront payments, lease incentives etc.</t>
  </si>
  <si>
    <t>Step 5</t>
  </si>
  <si>
    <t>Decide what depreciation period of the RoU asset is appropriate considering length of the lease and the useful life of the asset</t>
  </si>
  <si>
    <t>Step 6</t>
  </si>
  <si>
    <t>Step 7</t>
  </si>
  <si>
    <t>Step 8</t>
  </si>
  <si>
    <t>Lessor:</t>
  </si>
  <si>
    <t>Calculate depreciation cost of the underlying asset</t>
  </si>
  <si>
    <t>Calculate lessor's lease income</t>
  </si>
  <si>
    <t>The lessee presents interest expense in  the P&amp;L separately from depreciation expense of the ROU asset (IFRS16.49) (IFRS16 BC209)</t>
  </si>
  <si>
    <t xml:space="preserve">The discount rate implicit in this scenario has been provided (4.5%). The rate of interest that causes the present value of (a) the lease payments and (b) the unguaranteed residual value to equal the sum of (i) </t>
  </si>
  <si>
    <t>The seller-lessee recognises a right of use (ROU) asset, replacing the previously held asset, measured at the proportion of the previous carrying amount which is retained for use by the seller-lessee</t>
  </si>
  <si>
    <t>Calculate Gain / Loss on sale of the asset.</t>
  </si>
  <si>
    <r>
      <t xml:space="preserve">Financing element - </t>
    </r>
    <r>
      <rPr>
        <sz val="10"/>
        <color rgb="FFFF0000"/>
        <rFont val="Calibri"/>
        <family val="2"/>
        <scheme val="minor"/>
      </rPr>
      <t>note 4</t>
    </r>
  </si>
  <si>
    <t>Using the present value of the lease payments We can establish lease liability.</t>
  </si>
  <si>
    <t>The lessee is required to present finance cost of the lease in  the P&amp;L separately from depreciation expense of the ROU asset.</t>
  </si>
  <si>
    <t>Below calculation also provides closing balance of the lease liability recognised by the lessee every year over the term of the contract.</t>
  </si>
  <si>
    <r>
      <t xml:space="preserve">BUYER -LESSOR - asset - </t>
    </r>
    <r>
      <rPr>
        <sz val="10"/>
        <color rgb="FFFF0000"/>
        <rFont val="Calibri"/>
        <family val="2"/>
        <scheme val="minor"/>
      </rPr>
      <t>Note 3</t>
    </r>
  </si>
  <si>
    <t>Step 5 and 6</t>
  </si>
  <si>
    <t>Gain on rights transferred to buyer-lessor</t>
  </si>
  <si>
    <t>Asset - (derecognition) / recognition</t>
  </si>
  <si>
    <t>Recognition of Right of use of Asset</t>
  </si>
  <si>
    <t>Financial Asset - recognition</t>
  </si>
  <si>
    <t>Financial Asset - payment</t>
  </si>
  <si>
    <t>Cash Lease (payment) / receipt</t>
  </si>
  <si>
    <t>Financial Asset - interest</t>
  </si>
  <si>
    <t>Financial asset - payment</t>
  </si>
  <si>
    <t>Interest cost / (income)</t>
  </si>
  <si>
    <t xml:space="preserve">Under IFRS 16, the ROU asset is capped as the proportion of the previous carrying amount retained for use by the entity. </t>
  </si>
  <si>
    <t>No exemptions apply  in this scenario. The asset is not considered to be low value and the contract does not meet definition of a short-term lease (IFRS16.5-8) (IFRS16 B3-B8)</t>
  </si>
  <si>
    <t>the fair value of the underlying asset and (ii) any initial direct costs of the lessor. If this rate is not readily available entities will use interest rates published by HMT</t>
  </si>
  <si>
    <t>Lessee depreciates ROU asset over 18 years, lessor in line with IAS 16 and its policies.</t>
  </si>
  <si>
    <t>TOTAL MOVEMENTS</t>
  </si>
  <si>
    <t>Cost</t>
  </si>
  <si>
    <t>Accumulated Depreciation - derecognition</t>
  </si>
  <si>
    <t>Asset cost - derecognition</t>
  </si>
  <si>
    <t>recognition by buyer at fair value and excess paid of 200,00 is finance asset</t>
  </si>
  <si>
    <t>Derecognition of the cost of the asset by the seller</t>
  </si>
  <si>
    <t>Derecognition of the accumulated depreciation by the seller</t>
  </si>
  <si>
    <t>2022-23</t>
  </si>
  <si>
    <t>2023-24</t>
  </si>
  <si>
    <t>2024-25</t>
  </si>
  <si>
    <t>2025-26</t>
  </si>
  <si>
    <t>2026-27</t>
  </si>
  <si>
    <t>2027-28</t>
  </si>
  <si>
    <t>2028-29</t>
  </si>
  <si>
    <t>2029-30</t>
  </si>
  <si>
    <t>2030-31</t>
  </si>
  <si>
    <t>2031-32</t>
  </si>
  <si>
    <t>2032-33</t>
  </si>
  <si>
    <t>2033-34</t>
  </si>
  <si>
    <t>2034-35</t>
  </si>
  <si>
    <t>2035-36</t>
  </si>
  <si>
    <t>2036-37</t>
  </si>
  <si>
    <t>2037-38</t>
  </si>
  <si>
    <t>Asset Sale</t>
  </si>
  <si>
    <t>note 8</t>
  </si>
  <si>
    <r>
      <t xml:space="preserve">Interest Expense - </t>
    </r>
    <r>
      <rPr>
        <sz val="11"/>
        <color rgb="FFFF0000"/>
        <rFont val="Calibri"/>
        <family val="2"/>
        <scheme val="minor"/>
      </rPr>
      <t>note 7</t>
    </r>
  </si>
  <si>
    <t>Note 11</t>
  </si>
  <si>
    <r>
      <t xml:space="preserve">Depreciation - </t>
    </r>
    <r>
      <rPr>
        <sz val="10"/>
        <color rgb="FFFF0000"/>
        <rFont val="Calibri"/>
        <family val="2"/>
        <scheme val="minor"/>
      </rPr>
      <t>Note 6</t>
    </r>
  </si>
  <si>
    <r>
      <t xml:space="preserve">SELLER-LESSEE - Value of the ROU Asset - </t>
    </r>
    <r>
      <rPr>
        <sz val="10"/>
        <color rgb="FFFF0000"/>
        <rFont val="Calibri"/>
        <family val="2"/>
        <scheme val="minor"/>
      </rPr>
      <t>Notes 2&amp;4</t>
    </r>
  </si>
  <si>
    <t xml:space="preserve">retained by Seller-lessee, which is £699,555. This is calculated as: £1,000,000 (the carrying amount of the building) ÷ £1,800,000 (the fair value of the building) × £1,259,200 (the discounted lease payments for </t>
  </si>
  <si>
    <t xml:space="preserve">The seller-lessee's gain on disposal is £240,355 and it does not pass the lower of 5% of NBV or £20m rule (CBG 7.2 and 7.3), therefore it cannot be treated as RDEL. </t>
  </si>
  <si>
    <t>((800,000/1,800,000)*(1,800,000-1,259,199))</t>
  </si>
  <si>
    <t>the 18-year right-of-use asset). Detailed calculation can be found in step 2.</t>
  </si>
  <si>
    <t>The treatment for any gain on disposal that exceeds the lower 5% of NBV or £20m should be discussed with Treasury (CBG 7.3). Detailed calculation can be found in step 2.</t>
  </si>
  <si>
    <t>Finance Expenditure</t>
  </si>
  <si>
    <t>Interest Income</t>
  </si>
  <si>
    <t>Carrying Value (31 Mar)</t>
  </si>
  <si>
    <t>There are three tabs in this workbook:</t>
  </si>
  <si>
    <t>The purpose of this example is to show accounting entries and budgeting impact of the sale and leaseback arrangement between two entities.</t>
  </si>
  <si>
    <r>
      <t xml:space="preserve">[This scenario is based on the example 24 in IFRS 16]
On the </t>
    </r>
    <r>
      <rPr>
        <sz val="10"/>
        <rFont val="Calibri"/>
        <family val="2"/>
        <scheme val="minor"/>
      </rPr>
      <t>1st of April 2022</t>
    </r>
    <r>
      <rPr>
        <sz val="10"/>
        <color theme="1"/>
        <rFont val="Calibri"/>
        <family val="2"/>
        <scheme val="minor"/>
      </rPr>
      <t xml:space="preserve">, the Seller-lessee sells a building to Buyer-lessor for cash of £2,000,000. Immediately before the transaction, the building is carried at a cost of £1,000,000. At the same time, the Seller-lessee enters into a contract with the Buyer-lessor for the right to use the building for 18 years, with annual payments of £120,000 payable at the end of each year. The terms and conditions of the transaction are such that the transfer of the building by Seller-lessee satisfies the requirements for determining when a performance obligation is satisfied in IFRS 15 Revenue from Contracts with Customers. Accordingly, Seller-lessee and Buyer-lessor account for the transaction as a sale and leaseback. This example ignores any initial direct costs. 
The fair value of the building at the date of sale is £1,800,000. Because the consideration for the sale of the building is not at fair value, both entities make adjustments to measure the sale proceeds at fair value. The amount of the excess sale price of £200,000 (£2,000,000 – £1,800,000) is recognised as additional financing provided by Buyer-lessor to Seller-lessee.
The interest rate implicit in the lease is 4.5 % per annum, which is readily determinable by Seller-lessee. </t>
    </r>
  </si>
  <si>
    <t>Contract starts on 1st April 2022.</t>
  </si>
  <si>
    <t>2038-39</t>
  </si>
  <si>
    <t>2039-40</t>
  </si>
  <si>
    <t>YEAR 1 (31/03/2023)</t>
  </si>
  <si>
    <t>YEAR 2 (31/03/2024)</t>
  </si>
  <si>
    <t>YEAR 3 (31/03/2025)</t>
  </si>
  <si>
    <t>YEAR 4 (31/03/2026)</t>
  </si>
  <si>
    <t>YEAR 5 (31/03/2027)</t>
  </si>
  <si>
    <t>YEAR 6 (31/03/2028)</t>
  </si>
  <si>
    <t>YEAR 7 (31/03/2029)</t>
  </si>
  <si>
    <t>YEAR 8 (31/03/2030)</t>
  </si>
  <si>
    <t>YEAR 9 (31/03/2031)</t>
  </si>
  <si>
    <t>YEAR 10 (31/03/2032)</t>
  </si>
  <si>
    <t>YEAR 11 (31/03/2033)</t>
  </si>
  <si>
    <t>YEAR 12 (31/03/2034)</t>
  </si>
  <si>
    <t>YEAR 13 (31/03/2035)</t>
  </si>
  <si>
    <t>YEAR 14 (31/03/2036)</t>
  </si>
  <si>
    <t>YEAR 15 (31/03/2037)</t>
  </si>
  <si>
    <t>YEAR 16 (31/03/2038)</t>
  </si>
  <si>
    <t>YEAR 17 (31/03/2039)</t>
  </si>
  <si>
    <t>YEAR 18 (31/03/2040)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</si>
</sst>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000"/>
    <numFmt numFmtId="165" formatCode="#,##0;\(#,##0\);&quot;-&quot;"/>
    <numFmt numFmtId="166" formatCode="#,##0;[Red]\(#,##0\)"/>
    <numFmt numFmtId="167" formatCode="_-* #,##0_-;\-* #,##0_-;_-* &quot;-&quot;??_-;_-@_-"/>
    <numFmt numFmtId="168" formatCode="_-* #,##0.0000_-;\-* #,##0.0000_-;_-* &quot;-&quot;??_-;_-@_-"/>
  </numFmts>
  <fonts count="18" x14ac:knownFonts="1">
    <font>
      <sz val="11"/>
      <color theme="1"/>
      <name val="Calibri"/>
      <family val="2"/>
      <scheme val="minor"/>
    </font>
    <font>
      <b/>
      <sz val="11"/>
      <color theme="1"/>
      <name val="Calibri"/>
      <family val="2"/>
      <scheme val="minor"/>
    </font>
    <font>
      <b/>
      <sz val="11"/>
      <color theme="1"/>
      <name val="Calibri"/>
      <family val="2"/>
      <charset val="238"/>
      <scheme val="minor"/>
    </font>
    <font>
      <b/>
      <u/>
      <sz val="11"/>
      <color theme="1"/>
      <name val="Calibri"/>
      <family val="2"/>
      <scheme val="minor"/>
    </font>
    <font>
      <b/>
      <sz val="16"/>
      <color theme="1"/>
      <name val="Calibri"/>
      <family val="2"/>
      <scheme val="minor"/>
    </font>
    <font>
      <b/>
      <sz val="14"/>
      <color theme="1"/>
      <name val="Calibri"/>
      <family val="2"/>
      <scheme val="minor"/>
    </font>
    <font>
      <sz val="11"/>
      <color rgb="FFFF0000"/>
      <name val="Calibri"/>
      <family val="2"/>
      <scheme val="minor"/>
    </font>
    <font>
      <b/>
      <sz val="11"/>
      <color rgb="FFFF0000"/>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b/>
      <sz val="10"/>
      <name val="Calibri"/>
      <family val="2"/>
      <scheme val="minor"/>
    </font>
    <font>
      <b/>
      <sz val="11"/>
      <name val="Calibri"/>
      <family val="2"/>
      <scheme val="minor"/>
    </font>
    <font>
      <sz val="9"/>
      <color theme="1"/>
      <name val="Calibri"/>
      <family val="2"/>
      <scheme val="minor"/>
    </font>
    <font>
      <i/>
      <sz val="11"/>
      <color rgb="FFFF0000"/>
      <name val="Calibri"/>
      <family val="2"/>
      <scheme val="minor"/>
    </font>
    <font>
      <sz val="10"/>
      <name val="Calibri"/>
      <family val="2"/>
      <scheme val="minor"/>
    </font>
    <font>
      <sz val="10"/>
      <color rgb="FFFF0000"/>
      <name val="Calibri"/>
      <family val="2"/>
      <scheme val="minor"/>
    </font>
    <font>
      <u/>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tint="-4.9989318521683403E-2"/>
        <bgColor indexed="64"/>
      </patternFill>
    </fill>
  </fills>
  <borders count="5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bottom style="medium">
        <color indexed="64"/>
      </bottom>
      <diagonal/>
    </border>
    <border>
      <left style="medium">
        <color auto="1"/>
      </left>
      <right/>
      <top style="thin">
        <color auto="1"/>
      </top>
      <bottom style="double">
        <color auto="1"/>
      </bottom>
      <diagonal/>
    </border>
    <border>
      <left/>
      <right style="medium">
        <color auto="1"/>
      </right>
      <top style="thin">
        <color auto="1"/>
      </top>
      <bottom style="double">
        <color auto="1"/>
      </bottom>
      <diagonal/>
    </border>
    <border>
      <left/>
      <right style="medium">
        <color auto="1"/>
      </right>
      <top style="thin">
        <color auto="1"/>
      </top>
      <bottom style="medium">
        <color auto="1"/>
      </bottom>
      <diagonal/>
    </border>
    <border>
      <left style="medium">
        <color indexed="64"/>
      </left>
      <right style="medium">
        <color indexed="64"/>
      </right>
      <top style="medium">
        <color indexed="64"/>
      </top>
      <bottom/>
      <diagonal/>
    </border>
    <border>
      <left/>
      <right/>
      <top style="double">
        <color auto="1"/>
      </top>
      <bottom/>
      <diagonal/>
    </border>
    <border>
      <left/>
      <right/>
      <top style="double">
        <color auto="1"/>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style="thin">
        <color auto="1"/>
      </top>
      <bottom style="double">
        <color auto="1"/>
      </bottom>
      <diagonal/>
    </border>
    <border>
      <left/>
      <right/>
      <top style="thin">
        <color auto="1"/>
      </top>
      <bottom style="medium">
        <color auto="1"/>
      </bottom>
      <diagonal/>
    </border>
    <border>
      <left style="thin">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s>
  <cellStyleXfs count="3">
    <xf numFmtId="0" fontId="0" fillId="0" borderId="0"/>
    <xf numFmtId="43" fontId="8" fillId="0" borderId="0" applyFont="0" applyFill="0" applyBorder="0" applyAlignment="0" applyProtection="0"/>
    <xf numFmtId="9" fontId="8" fillId="0" borderId="0" applyFont="0" applyFill="0" applyBorder="0" applyAlignment="0" applyProtection="0"/>
  </cellStyleXfs>
  <cellXfs count="326">
    <xf numFmtId="0" fontId="0" fillId="0" borderId="0" xfId="0"/>
    <xf numFmtId="0" fontId="0" fillId="2" borderId="0" xfId="0" applyFill="1"/>
    <xf numFmtId="0" fontId="0" fillId="0" borderId="0" xfId="0" applyAlignment="1">
      <alignment horizontal="left"/>
    </xf>
    <xf numFmtId="0" fontId="1" fillId="0" borderId="0" xfId="0" applyFont="1" applyAlignment="1">
      <alignment horizontal="left"/>
    </xf>
    <xf numFmtId="0" fontId="0" fillId="0" borderId="0" xfId="0" applyAlignment="1">
      <alignment horizontal="center"/>
    </xf>
    <xf numFmtId="0" fontId="0" fillId="0" borderId="0" xfId="0" applyBorder="1" applyAlignment="1">
      <alignment horizontal="center"/>
    </xf>
    <xf numFmtId="0" fontId="0" fillId="0" borderId="0" xfId="0" applyFont="1" applyAlignment="1">
      <alignment horizontal="center"/>
    </xf>
    <xf numFmtId="0" fontId="0" fillId="2" borderId="0" xfId="0" applyNumberFormat="1" applyFill="1" applyAlignment="1">
      <alignment horizontal="left"/>
    </xf>
    <xf numFmtId="0" fontId="0" fillId="0" borderId="0" xfId="0" applyFont="1" applyAlignment="1">
      <alignment horizontal="left"/>
    </xf>
    <xf numFmtId="0" fontId="0" fillId="0" borderId="0" xfId="0" applyNumberFormat="1" applyFont="1" applyAlignment="1">
      <alignment horizontal="left" wrapText="1"/>
    </xf>
    <xf numFmtId="0" fontId="0" fillId="0" borderId="7" xfId="0" applyBorder="1" applyAlignment="1">
      <alignment horizontal="center"/>
    </xf>
    <xf numFmtId="0" fontId="0" fillId="0" borderId="8" xfId="0" applyFont="1" applyBorder="1" applyAlignment="1">
      <alignment horizontal="center"/>
    </xf>
    <xf numFmtId="166" fontId="0" fillId="0" borderId="7" xfId="0" applyNumberFormat="1" applyBorder="1" applyAlignment="1">
      <alignment horizontal="center"/>
    </xf>
    <xf numFmtId="166" fontId="0" fillId="0" borderId="8" xfId="0" applyNumberFormat="1" applyBorder="1" applyAlignment="1">
      <alignment horizontal="center"/>
    </xf>
    <xf numFmtId="166" fontId="0" fillId="0" borderId="11" xfId="0" applyNumberFormat="1" applyBorder="1" applyAlignment="1">
      <alignment horizontal="center"/>
    </xf>
    <xf numFmtId="166" fontId="0" fillId="0" borderId="12" xfId="0" applyNumberFormat="1" applyBorder="1" applyAlignment="1">
      <alignment horizontal="center"/>
    </xf>
    <xf numFmtId="166" fontId="0" fillId="0" borderId="8" xfId="0" applyNumberFormat="1" applyFont="1" applyBorder="1" applyAlignment="1">
      <alignment horizontal="center"/>
    </xf>
    <xf numFmtId="166" fontId="0" fillId="0" borderId="7" xfId="0" applyNumberFormat="1" applyFill="1" applyBorder="1" applyAlignment="1">
      <alignment horizontal="center"/>
    </xf>
    <xf numFmtId="0" fontId="0" fillId="0" borderId="8" xfId="0" applyFont="1" applyFill="1" applyBorder="1" applyAlignment="1">
      <alignment horizontal="center"/>
    </xf>
    <xf numFmtId="0" fontId="0" fillId="0" borderId="7" xfId="0" applyFill="1" applyBorder="1" applyAlignment="1">
      <alignment horizontal="center"/>
    </xf>
    <xf numFmtId="166" fontId="0" fillId="0" borderId="8" xfId="0" applyNumberFormat="1" applyFill="1" applyBorder="1" applyAlignment="1">
      <alignment horizontal="center"/>
    </xf>
    <xf numFmtId="166" fontId="0" fillId="0" borderId="9" xfId="0" applyNumberFormat="1" applyBorder="1" applyAlignment="1">
      <alignment horizontal="center"/>
    </xf>
    <xf numFmtId="166" fontId="0" fillId="0" borderId="13" xfId="0" applyNumberFormat="1" applyBorder="1" applyAlignment="1">
      <alignment horizontal="center"/>
    </xf>
    <xf numFmtId="0" fontId="0" fillId="0" borderId="8" xfId="0" applyBorder="1" applyAlignment="1">
      <alignment horizontal="center"/>
    </xf>
    <xf numFmtId="166" fontId="0" fillId="0" borderId="15" xfId="0" applyNumberFormat="1" applyBorder="1" applyAlignment="1">
      <alignment horizontal="center"/>
    </xf>
    <xf numFmtId="0" fontId="4" fillId="0" borderId="0" xfId="0" applyFont="1" applyAlignment="1">
      <alignment horizontal="left"/>
    </xf>
    <xf numFmtId="0" fontId="5" fillId="0" borderId="0" xfId="0" applyFont="1" applyAlignment="1">
      <alignment horizontal="left"/>
    </xf>
    <xf numFmtId="0" fontId="0" fillId="2" borderId="0" xfId="0" applyFill="1" applyAlignment="1">
      <alignment horizontal="center"/>
    </xf>
    <xf numFmtId="164" fontId="0" fillId="2" borderId="0" xfId="0" applyNumberFormat="1" applyFill="1" applyAlignment="1">
      <alignment horizontal="center"/>
    </xf>
    <xf numFmtId="9" fontId="0" fillId="2" borderId="0" xfId="0" applyNumberFormat="1" applyFill="1" applyAlignment="1">
      <alignment horizontal="center" vertical="top"/>
    </xf>
    <xf numFmtId="9" fontId="0" fillId="2" borderId="0" xfId="0" applyNumberFormat="1" applyFill="1" applyAlignment="1">
      <alignment horizontal="center"/>
    </xf>
    <xf numFmtId="166" fontId="0" fillId="0" borderId="15" xfId="0" applyNumberFormat="1" applyFill="1" applyBorder="1" applyAlignment="1">
      <alignment horizontal="center"/>
    </xf>
    <xf numFmtId="166" fontId="0" fillId="0" borderId="0" xfId="0" applyNumberFormat="1" applyFill="1" applyBorder="1" applyAlignment="1">
      <alignment horizontal="center"/>
    </xf>
    <xf numFmtId="0" fontId="0" fillId="0" borderId="4" xfId="0" applyBorder="1" applyAlignment="1">
      <alignment horizontal="center"/>
    </xf>
    <xf numFmtId="0" fontId="0" fillId="0" borderId="6" xfId="0" applyFont="1" applyBorder="1" applyAlignment="1">
      <alignment horizontal="center"/>
    </xf>
    <xf numFmtId="166" fontId="0" fillId="0" borderId="6" xfId="0" applyNumberFormat="1" applyBorder="1" applyAlignment="1">
      <alignment horizontal="center"/>
    </xf>
    <xf numFmtId="166" fontId="0" fillId="0" borderId="16" xfId="0" applyNumberFormat="1" applyBorder="1" applyAlignment="1">
      <alignment horizontal="center"/>
    </xf>
    <xf numFmtId="166" fontId="0" fillId="0" borderId="16" xfId="0" applyNumberFormat="1" applyFill="1" applyBorder="1" applyAlignment="1">
      <alignment horizontal="center"/>
    </xf>
    <xf numFmtId="0" fontId="3" fillId="0" borderId="0" xfId="0" applyFont="1" applyAlignment="1">
      <alignment horizontal="left"/>
    </xf>
    <xf numFmtId="9" fontId="6" fillId="2" borderId="0" xfId="0" applyNumberFormat="1" applyFont="1" applyFill="1" applyAlignment="1">
      <alignment horizontal="left"/>
    </xf>
    <xf numFmtId="0" fontId="6" fillId="0" borderId="0" xfId="0" applyFont="1" applyAlignment="1">
      <alignment horizontal="left"/>
    </xf>
    <xf numFmtId="0" fontId="7" fillId="0" borderId="0" xfId="0" applyFont="1" applyAlignment="1">
      <alignment horizontal="left"/>
    </xf>
    <xf numFmtId="166" fontId="0" fillId="0" borderId="11" xfId="0" applyNumberFormat="1" applyFill="1" applyBorder="1" applyAlignment="1">
      <alignment horizontal="center"/>
    </xf>
    <xf numFmtId="166" fontId="0" fillId="0" borderId="12" xfId="0" applyNumberFormat="1" applyFill="1" applyBorder="1" applyAlignment="1">
      <alignment horizontal="center"/>
    </xf>
    <xf numFmtId="166" fontId="0" fillId="0" borderId="8" xfId="0" applyNumberFormat="1" applyFont="1" applyFill="1" applyBorder="1" applyAlignment="1">
      <alignment horizontal="center"/>
    </xf>
    <xf numFmtId="0" fontId="0" fillId="0" borderId="0" xfId="0" applyFill="1" applyBorder="1" applyAlignment="1">
      <alignment horizontal="center"/>
    </xf>
    <xf numFmtId="0" fontId="0" fillId="0" borderId="0" xfId="0" applyFont="1" applyFill="1" applyBorder="1" applyAlignment="1">
      <alignment horizontal="center"/>
    </xf>
    <xf numFmtId="0" fontId="0" fillId="0" borderId="7" xfId="0" applyFont="1" applyFill="1" applyBorder="1" applyAlignment="1">
      <alignment horizontal="center"/>
    </xf>
    <xf numFmtId="166" fontId="0" fillId="0" borderId="7" xfId="0" applyNumberFormat="1" applyFont="1" applyFill="1" applyBorder="1" applyAlignment="1">
      <alignment horizontal="center"/>
    </xf>
    <xf numFmtId="0" fontId="0" fillId="0" borderId="0" xfId="0" applyFont="1" applyFill="1" applyAlignment="1">
      <alignment horizontal="center"/>
    </xf>
    <xf numFmtId="0" fontId="1" fillId="0" borderId="0" xfId="0" applyFont="1" applyFill="1" applyBorder="1" applyAlignment="1">
      <alignment horizontal="left"/>
    </xf>
    <xf numFmtId="0" fontId="0" fillId="0" borderId="4" xfId="0" applyFont="1" applyFill="1" applyBorder="1" applyAlignment="1">
      <alignment horizontal="center"/>
    </xf>
    <xf numFmtId="166" fontId="0" fillId="0" borderId="9" xfId="0" applyNumberFormat="1" applyFill="1" applyBorder="1" applyAlignment="1">
      <alignment horizontal="center"/>
    </xf>
    <xf numFmtId="0" fontId="1" fillId="4" borderId="1" xfId="0" applyFont="1" applyFill="1" applyBorder="1" applyAlignment="1">
      <alignment horizontal="center"/>
    </xf>
    <xf numFmtId="0" fontId="1" fillId="4" borderId="3" xfId="0" applyFont="1" applyFill="1" applyBorder="1" applyAlignment="1">
      <alignment horizontal="center"/>
    </xf>
    <xf numFmtId="0" fontId="1" fillId="4" borderId="2" xfId="0" applyFont="1" applyFill="1" applyBorder="1" applyAlignment="1">
      <alignment horizontal="center"/>
    </xf>
    <xf numFmtId="0" fontId="1" fillId="4" borderId="0" xfId="0" applyFont="1" applyFill="1" applyAlignment="1">
      <alignment horizontal="center"/>
    </xf>
    <xf numFmtId="0" fontId="3" fillId="2" borderId="0" xfId="0" applyFont="1" applyFill="1" applyAlignment="1">
      <alignment horizontal="left"/>
    </xf>
    <xf numFmtId="3" fontId="10" fillId="0" borderId="22" xfId="0" applyNumberFormat="1" applyFont="1" applyBorder="1" applyAlignment="1">
      <alignment horizontal="center" vertical="top" wrapText="1"/>
    </xf>
    <xf numFmtId="3" fontId="10" fillId="0" borderId="23" xfId="0" applyNumberFormat="1" applyFont="1" applyBorder="1" applyAlignment="1">
      <alignment horizontal="center" vertical="top" wrapText="1"/>
    </xf>
    <xf numFmtId="3" fontId="10" fillId="0" borderId="22" xfId="0" applyNumberFormat="1" applyFont="1" applyFill="1" applyBorder="1" applyAlignment="1">
      <alignment horizontal="center" vertical="top" wrapText="1"/>
    </xf>
    <xf numFmtId="3" fontId="10" fillId="0" borderId="24" xfId="0" applyNumberFormat="1" applyFont="1" applyFill="1" applyBorder="1" applyAlignment="1">
      <alignment horizontal="center" vertical="top" wrapText="1"/>
    </xf>
    <xf numFmtId="3" fontId="10" fillId="0" borderId="23" xfId="0" applyNumberFormat="1" applyFont="1" applyFill="1" applyBorder="1" applyAlignment="1">
      <alignment horizontal="center" vertical="top" wrapText="1"/>
    </xf>
    <xf numFmtId="3" fontId="9" fillId="0" borderId="27" xfId="0" applyNumberFormat="1" applyFont="1" applyBorder="1" applyAlignment="1">
      <alignment horizontal="right" vertical="top" wrapText="1"/>
    </xf>
    <xf numFmtId="3" fontId="9" fillId="0" borderId="28" xfId="0" applyNumberFormat="1" applyFont="1" applyBorder="1" applyAlignment="1">
      <alignment horizontal="right" vertical="top" wrapText="1"/>
    </xf>
    <xf numFmtId="0" fontId="0" fillId="0" borderId="26" xfId="0" applyBorder="1" applyAlignment="1">
      <alignment vertical="top"/>
    </xf>
    <xf numFmtId="3" fontId="9" fillId="0" borderId="26" xfId="0" applyNumberFormat="1" applyFont="1" applyBorder="1" applyAlignment="1">
      <alignment vertical="top" wrapText="1"/>
    </xf>
    <xf numFmtId="3" fontId="11" fillId="0" borderId="1" xfId="0" applyNumberFormat="1" applyFont="1" applyBorder="1" applyAlignment="1">
      <alignment vertical="top" wrapText="1"/>
    </xf>
    <xf numFmtId="3" fontId="11" fillId="4" borderId="1" xfId="0" applyNumberFormat="1" applyFont="1" applyFill="1" applyBorder="1" applyAlignment="1">
      <alignment horizontal="right" vertical="top" wrapText="1"/>
    </xf>
    <xf numFmtId="3" fontId="11" fillId="4" borderId="3" xfId="0" applyNumberFormat="1" applyFont="1" applyFill="1" applyBorder="1" applyAlignment="1">
      <alignment horizontal="right" vertical="top" wrapText="1"/>
    </xf>
    <xf numFmtId="3" fontId="11" fillId="4" borderId="2" xfId="0" applyNumberFormat="1" applyFont="1" applyFill="1" applyBorder="1" applyAlignment="1">
      <alignment horizontal="right" vertical="top" wrapText="1"/>
    </xf>
    <xf numFmtId="0" fontId="12" fillId="4" borderId="3" xfId="0" applyFont="1" applyFill="1" applyBorder="1" applyAlignment="1">
      <alignment vertical="top"/>
    </xf>
    <xf numFmtId="3" fontId="6" fillId="0" borderId="0" xfId="0" applyNumberFormat="1" applyFont="1" applyAlignment="1">
      <alignment vertical="top"/>
    </xf>
    <xf numFmtId="3" fontId="7" fillId="0" borderId="33" xfId="0" applyNumberFormat="1" applyFont="1" applyBorder="1" applyAlignment="1">
      <alignment vertical="top"/>
    </xf>
    <xf numFmtId="0" fontId="0" fillId="0" borderId="0" xfId="0" applyFill="1" applyAlignment="1">
      <alignment vertical="top"/>
    </xf>
    <xf numFmtId="0" fontId="0" fillId="0" borderId="0" xfId="0" applyAlignment="1">
      <alignment vertical="top"/>
    </xf>
    <xf numFmtId="0" fontId="0" fillId="2" borderId="0" xfId="0" applyFill="1" applyBorder="1" applyAlignment="1">
      <alignment horizontal="center"/>
    </xf>
    <xf numFmtId="164" fontId="0" fillId="2" borderId="0" xfId="0" applyNumberFormat="1" applyFill="1" applyBorder="1" applyAlignment="1">
      <alignment horizontal="center"/>
    </xf>
    <xf numFmtId="0" fontId="0" fillId="2" borderId="0" xfId="0" applyFill="1" applyBorder="1"/>
    <xf numFmtId="3" fontId="10" fillId="3" borderId="17" xfId="0" applyNumberFormat="1" applyFont="1" applyFill="1" applyBorder="1" applyAlignment="1">
      <alignment horizontal="center" vertical="top"/>
    </xf>
    <xf numFmtId="3" fontId="10" fillId="0" borderId="21" xfId="0" applyNumberFormat="1" applyFont="1" applyBorder="1" applyAlignment="1">
      <alignment vertical="center" wrapText="1"/>
    </xf>
    <xf numFmtId="0" fontId="0" fillId="2" borderId="0" xfId="0" applyFill="1" applyBorder="1" applyAlignment="1">
      <alignment horizontal="left"/>
    </xf>
    <xf numFmtId="0" fontId="1" fillId="0" borderId="0" xfId="0" applyFont="1" applyFill="1"/>
    <xf numFmtId="0" fontId="0" fillId="0" borderId="0" xfId="0" applyFill="1" applyAlignment="1">
      <alignment horizontal="center"/>
    </xf>
    <xf numFmtId="164" fontId="0" fillId="0" borderId="0" xfId="0" applyNumberFormat="1" applyFill="1" applyAlignment="1">
      <alignment horizontal="center"/>
    </xf>
    <xf numFmtId="0" fontId="0" fillId="0" borderId="0" xfId="0" applyFill="1"/>
    <xf numFmtId="0" fontId="0" fillId="0" borderId="0" xfId="0" applyNumberFormat="1" applyFill="1" applyAlignment="1">
      <alignment horizontal="left"/>
    </xf>
    <xf numFmtId="0" fontId="0" fillId="0" borderId="0" xfId="0" applyFill="1" applyBorder="1"/>
    <xf numFmtId="164" fontId="0" fillId="0" borderId="0" xfId="0" applyNumberFormat="1" applyFill="1" applyBorder="1" applyAlignment="1">
      <alignment horizontal="center"/>
    </xf>
    <xf numFmtId="164" fontId="1" fillId="0" borderId="0" xfId="0" applyNumberFormat="1" applyFont="1" applyFill="1" applyBorder="1" applyAlignment="1">
      <alignment horizontal="right"/>
    </xf>
    <xf numFmtId="0" fontId="1" fillId="0" borderId="0" xfId="0" applyFont="1" applyFill="1" applyBorder="1" applyAlignment="1">
      <alignment horizontal="right"/>
    </xf>
    <xf numFmtId="165" fontId="0" fillId="0" borderId="0" xfId="0" applyNumberFormat="1" applyFill="1" applyBorder="1" applyAlignment="1">
      <alignment horizontal="right"/>
    </xf>
    <xf numFmtId="0" fontId="0" fillId="0" borderId="0" xfId="0" applyFill="1" applyBorder="1" applyAlignment="1">
      <alignment horizontal="left" wrapText="1"/>
    </xf>
    <xf numFmtId="0" fontId="0" fillId="0" borderId="0" xfId="0" applyNumberFormat="1" applyFill="1" applyBorder="1" applyAlignment="1">
      <alignment horizontal="left"/>
    </xf>
    <xf numFmtId="3" fontId="1" fillId="0" borderId="0" xfId="0" applyNumberFormat="1" applyFont="1" applyFill="1" applyAlignment="1">
      <alignment horizontal="left"/>
    </xf>
    <xf numFmtId="3" fontId="1" fillId="0" borderId="0" xfId="0" applyNumberFormat="1" applyFont="1" applyFill="1"/>
    <xf numFmtId="3" fontId="0" fillId="0" borderId="0" xfId="0" applyNumberFormat="1" applyFill="1"/>
    <xf numFmtId="3" fontId="0" fillId="0" borderId="0" xfId="0" applyNumberFormat="1" applyFill="1" applyAlignment="1">
      <alignment horizontal="left"/>
    </xf>
    <xf numFmtId="49" fontId="0" fillId="0" borderId="0" xfId="1" applyNumberFormat="1" applyFont="1" applyFill="1"/>
    <xf numFmtId="165" fontId="0" fillId="0" borderId="0" xfId="0" applyNumberFormat="1" applyFill="1" applyAlignment="1">
      <alignment horizontal="left"/>
    </xf>
    <xf numFmtId="165" fontId="0" fillId="2" borderId="0" xfId="0" applyNumberFormat="1" applyFill="1" applyBorder="1" applyAlignment="1">
      <alignment horizontal="center"/>
    </xf>
    <xf numFmtId="14" fontId="0" fillId="2" borderId="0" xfId="0" applyNumberFormat="1" applyFill="1" applyBorder="1" applyAlignment="1">
      <alignment horizontal="center"/>
    </xf>
    <xf numFmtId="14" fontId="0" fillId="2" borderId="0" xfId="0" applyNumberFormat="1" applyFill="1" applyBorder="1" applyAlignment="1">
      <alignment horizontal="left"/>
    </xf>
    <xf numFmtId="167" fontId="0" fillId="0" borderId="0" xfId="0" applyNumberFormat="1" applyFill="1" applyBorder="1" applyAlignment="1">
      <alignment horizontal="center"/>
    </xf>
    <xf numFmtId="165" fontId="0" fillId="0" borderId="0" xfId="0" applyNumberFormat="1" applyFill="1" applyBorder="1" applyAlignment="1">
      <alignment horizontal="center"/>
    </xf>
    <xf numFmtId="165" fontId="9" fillId="0" borderId="27" xfId="0" applyNumberFormat="1" applyFont="1" applyBorder="1" applyAlignment="1">
      <alignment horizontal="right" vertical="top" wrapText="1"/>
    </xf>
    <xf numFmtId="165" fontId="9" fillId="0" borderId="28" xfId="0" applyNumberFormat="1" applyFont="1" applyBorder="1" applyAlignment="1">
      <alignment horizontal="right" vertical="top" wrapText="1"/>
    </xf>
    <xf numFmtId="165" fontId="9" fillId="0" borderId="27" xfId="0" applyNumberFormat="1" applyFont="1" applyFill="1" applyBorder="1" applyAlignment="1">
      <alignment horizontal="right" vertical="top" wrapText="1"/>
    </xf>
    <xf numFmtId="165" fontId="9" fillId="0" borderId="28" xfId="0" applyNumberFormat="1" applyFont="1" applyFill="1" applyBorder="1" applyAlignment="1">
      <alignment horizontal="right" vertical="top" wrapText="1"/>
    </xf>
    <xf numFmtId="165" fontId="9" fillId="0" borderId="30" xfId="0" applyNumberFormat="1" applyFont="1" applyFill="1" applyBorder="1" applyAlignment="1">
      <alignment horizontal="right" vertical="top" wrapText="1"/>
    </xf>
    <xf numFmtId="164" fontId="0" fillId="2" borderId="0" xfId="0" applyNumberFormat="1" applyFill="1" applyBorder="1" applyAlignment="1">
      <alignment horizontal="left"/>
    </xf>
    <xf numFmtId="0" fontId="1" fillId="0" borderId="25" xfId="0" applyFont="1" applyBorder="1" applyAlignment="1">
      <alignment horizontal="center" vertical="top" wrapText="1"/>
    </xf>
    <xf numFmtId="3" fontId="10" fillId="0" borderId="25" xfId="0" applyNumberFormat="1" applyFont="1" applyBorder="1" applyAlignment="1">
      <alignment vertical="center" wrapText="1"/>
    </xf>
    <xf numFmtId="3" fontId="10" fillId="0" borderId="40" xfId="0" applyNumberFormat="1" applyFont="1" applyBorder="1" applyAlignment="1">
      <alignment horizontal="center" vertical="center" wrapText="1"/>
    </xf>
    <xf numFmtId="3" fontId="10" fillId="0" borderId="30" xfId="0" applyNumberFormat="1" applyFont="1" applyBorder="1" applyAlignment="1">
      <alignment horizontal="center" vertical="center" wrapText="1"/>
    </xf>
    <xf numFmtId="3" fontId="10" fillId="0" borderId="41" xfId="0" applyNumberFormat="1" applyFont="1" applyBorder="1" applyAlignment="1">
      <alignment horizontal="center" vertical="center" wrapText="1"/>
    </xf>
    <xf numFmtId="3" fontId="10" fillId="0" borderId="28" xfId="0" applyNumberFormat="1" applyFont="1" applyBorder="1" applyAlignment="1">
      <alignment horizontal="center" vertical="top" wrapText="1"/>
    </xf>
    <xf numFmtId="3" fontId="10" fillId="0" borderId="27" xfId="0" applyNumberFormat="1" applyFont="1" applyFill="1" applyBorder="1" applyAlignment="1">
      <alignment horizontal="center" vertical="top" wrapText="1"/>
    </xf>
    <xf numFmtId="3" fontId="10" fillId="0" borderId="42" xfId="0" applyNumberFormat="1" applyFont="1" applyFill="1" applyBorder="1" applyAlignment="1">
      <alignment horizontal="center" vertical="top" wrapText="1"/>
    </xf>
    <xf numFmtId="3" fontId="10" fillId="0" borderId="28" xfId="0" applyNumberFormat="1" applyFont="1" applyFill="1" applyBorder="1" applyAlignment="1">
      <alignment horizontal="center" vertical="top" wrapText="1"/>
    </xf>
    <xf numFmtId="3" fontId="10" fillId="0" borderId="27" xfId="0" applyNumberFormat="1" applyFont="1" applyBorder="1" applyAlignment="1">
      <alignment horizontal="center" vertical="top" wrapText="1"/>
    </xf>
    <xf numFmtId="165" fontId="9" fillId="0" borderId="40" xfId="0" applyNumberFormat="1" applyFont="1" applyBorder="1" applyAlignment="1">
      <alignment horizontal="right" vertical="top" wrapText="1"/>
    </xf>
    <xf numFmtId="165" fontId="9" fillId="0" borderId="42" xfId="0" applyNumberFormat="1" applyFont="1" applyBorder="1" applyAlignment="1">
      <alignment horizontal="right" vertical="top" wrapText="1"/>
    </xf>
    <xf numFmtId="165" fontId="9" fillId="0" borderId="43" xfId="0" applyNumberFormat="1" applyFont="1" applyBorder="1" applyAlignment="1">
      <alignment horizontal="right" vertical="top" wrapText="1"/>
    </xf>
    <xf numFmtId="165" fontId="9" fillId="0" borderId="29" xfId="0" applyNumberFormat="1" applyFont="1" applyFill="1" applyBorder="1" applyAlignment="1">
      <alignment horizontal="right" vertical="top" wrapText="1"/>
    </xf>
    <xf numFmtId="165" fontId="10" fillId="0" borderId="30" xfId="0" applyNumberFormat="1" applyFont="1" applyFill="1" applyBorder="1" applyAlignment="1">
      <alignment horizontal="right" vertical="top" wrapText="1"/>
    </xf>
    <xf numFmtId="165" fontId="9" fillId="0" borderId="31" xfId="0" applyNumberFormat="1" applyFont="1" applyFill="1" applyBorder="1" applyAlignment="1">
      <alignment horizontal="right" vertical="top" wrapText="1"/>
    </xf>
    <xf numFmtId="165" fontId="9" fillId="0" borderId="40" xfId="0" applyNumberFormat="1" applyFont="1" applyFill="1" applyBorder="1" applyAlignment="1">
      <alignment horizontal="right" vertical="top" wrapText="1"/>
    </xf>
    <xf numFmtId="165" fontId="9" fillId="0" borderId="42" xfId="0" applyNumberFormat="1" applyFont="1" applyFill="1" applyBorder="1" applyAlignment="1">
      <alignment horizontal="right" vertical="top" wrapText="1"/>
    </xf>
    <xf numFmtId="165" fontId="9" fillId="0" borderId="43" xfId="0" applyNumberFormat="1" applyFont="1" applyFill="1" applyBorder="1" applyAlignment="1">
      <alignment horizontal="right" vertical="top" wrapText="1"/>
    </xf>
    <xf numFmtId="165" fontId="9" fillId="0" borderId="44" xfId="0" applyNumberFormat="1" applyFont="1" applyFill="1" applyBorder="1" applyAlignment="1">
      <alignment horizontal="right" vertical="top" wrapText="1"/>
    </xf>
    <xf numFmtId="165" fontId="9" fillId="0" borderId="45" xfId="0" applyNumberFormat="1" applyFont="1" applyFill="1" applyBorder="1" applyAlignment="1">
      <alignment horizontal="right" vertical="top" wrapText="1"/>
    </xf>
    <xf numFmtId="165" fontId="11" fillId="0" borderId="32" xfId="0" applyNumberFormat="1" applyFont="1" applyFill="1" applyBorder="1" applyAlignment="1">
      <alignment horizontal="right" vertical="top" wrapText="1"/>
    </xf>
    <xf numFmtId="165" fontId="10" fillId="0" borderId="42" xfId="0" applyNumberFormat="1" applyFont="1" applyFill="1" applyBorder="1" applyAlignment="1">
      <alignment horizontal="center" vertical="top" wrapText="1"/>
    </xf>
    <xf numFmtId="165" fontId="10" fillId="0" borderId="28" xfId="0" applyNumberFormat="1" applyFont="1" applyFill="1" applyBorder="1" applyAlignment="1">
      <alignment horizontal="center" vertical="top" wrapText="1"/>
    </xf>
    <xf numFmtId="3" fontId="9" fillId="0" borderId="26" xfId="0" applyNumberFormat="1" applyFont="1" applyBorder="1" applyAlignment="1">
      <alignment vertical="top"/>
    </xf>
    <xf numFmtId="165" fontId="9" fillId="0" borderId="34" xfId="0" applyNumberFormat="1" applyFont="1" applyBorder="1" applyAlignment="1">
      <alignment horizontal="right" vertical="top" wrapText="1"/>
    </xf>
    <xf numFmtId="165" fontId="9" fillId="0" borderId="41" xfId="0" applyNumberFormat="1" applyFont="1" applyBorder="1" applyAlignment="1">
      <alignment horizontal="right" vertical="top" wrapText="1"/>
    </xf>
    <xf numFmtId="165" fontId="9" fillId="0" borderId="30" xfId="0" applyNumberFormat="1" applyFont="1" applyBorder="1" applyAlignment="1">
      <alignment horizontal="right" vertical="top" wrapText="1"/>
    </xf>
    <xf numFmtId="165" fontId="9" fillId="0" borderId="34" xfId="0" applyNumberFormat="1" applyFont="1" applyFill="1" applyBorder="1" applyAlignment="1">
      <alignment horizontal="right" vertical="top" wrapText="1"/>
    </xf>
    <xf numFmtId="165" fontId="9" fillId="0" borderId="46" xfId="0" applyNumberFormat="1" applyFont="1" applyFill="1" applyBorder="1" applyAlignment="1">
      <alignment horizontal="right" vertical="top" wrapText="1"/>
    </xf>
    <xf numFmtId="3" fontId="1" fillId="2" borderId="0" xfId="0" applyNumberFormat="1" applyFont="1" applyFill="1" applyBorder="1" applyAlignment="1">
      <alignment horizontal="center"/>
    </xf>
    <xf numFmtId="3" fontId="0" fillId="0" borderId="0" xfId="0" applyNumberFormat="1"/>
    <xf numFmtId="165" fontId="0" fillId="0" borderId="8" xfId="0" applyNumberFormat="1" applyBorder="1" applyAlignment="1">
      <alignment horizontal="center"/>
    </xf>
    <xf numFmtId="165" fontId="0" fillId="2" borderId="0" xfId="0" applyNumberFormat="1" applyFill="1"/>
    <xf numFmtId="165" fontId="0" fillId="2" borderId="0" xfId="0" applyNumberFormat="1" applyFill="1" applyAlignment="1">
      <alignment horizontal="left"/>
    </xf>
    <xf numFmtId="167" fontId="0" fillId="0" borderId="0" xfId="0" applyNumberFormat="1" applyFill="1" applyBorder="1"/>
    <xf numFmtId="164" fontId="14" fillId="0" borderId="0" xfId="0" applyNumberFormat="1" applyFont="1" applyFill="1" applyAlignment="1">
      <alignment horizontal="left"/>
    </xf>
    <xf numFmtId="3" fontId="0" fillId="0" borderId="7" xfId="0" applyNumberFormat="1" applyFont="1" applyFill="1" applyBorder="1" applyAlignment="1">
      <alignment horizontal="center"/>
    </xf>
    <xf numFmtId="166" fontId="0" fillId="0" borderId="0" xfId="0" applyNumberFormat="1" applyFont="1" applyBorder="1" applyAlignment="1">
      <alignment horizontal="center"/>
    </xf>
    <xf numFmtId="0" fontId="0" fillId="0" borderId="5" xfId="0" applyFont="1" applyBorder="1" applyAlignment="1">
      <alignment horizontal="center"/>
    </xf>
    <xf numFmtId="0" fontId="0" fillId="0" borderId="0" xfId="0" applyFont="1" applyBorder="1" applyAlignment="1">
      <alignment horizontal="center"/>
    </xf>
    <xf numFmtId="166" fontId="0" fillId="0" borderId="47" xfId="0" applyNumberFormat="1" applyBorder="1" applyAlignment="1">
      <alignment horizontal="center"/>
    </xf>
    <xf numFmtId="166" fontId="0" fillId="0" borderId="0" xfId="0" applyNumberFormat="1" applyBorder="1" applyAlignment="1">
      <alignment horizontal="center"/>
    </xf>
    <xf numFmtId="166" fontId="0" fillId="0" borderId="48" xfId="0" applyNumberFormat="1" applyBorder="1" applyAlignment="1">
      <alignment horizontal="center"/>
    </xf>
    <xf numFmtId="0" fontId="13" fillId="2" borderId="0" xfId="0" applyFont="1" applyFill="1" applyBorder="1" applyAlignment="1">
      <alignment vertical="top" wrapText="1"/>
    </xf>
    <xf numFmtId="0" fontId="0" fillId="0" borderId="0" xfId="0" applyFill="1" applyBorder="1" applyAlignment="1">
      <alignment horizontal="left"/>
    </xf>
    <xf numFmtId="165" fontId="9" fillId="0" borderId="49" xfId="0" applyNumberFormat="1" applyFont="1" applyFill="1" applyBorder="1" applyAlignment="1">
      <alignment horizontal="right" vertical="top" wrapText="1"/>
    </xf>
    <xf numFmtId="165" fontId="9" fillId="0" borderId="50" xfId="0" applyNumberFormat="1" applyFont="1" applyFill="1" applyBorder="1" applyAlignment="1">
      <alignment horizontal="right" vertical="top" wrapText="1"/>
    </xf>
    <xf numFmtId="165" fontId="9" fillId="0" borderId="51" xfId="0" applyNumberFormat="1" applyFont="1" applyFill="1" applyBorder="1" applyAlignment="1">
      <alignment horizontal="right" vertical="top" wrapText="1"/>
    </xf>
    <xf numFmtId="9" fontId="0" fillId="0" borderId="0" xfId="2" applyFont="1" applyFill="1" applyAlignment="1">
      <alignment horizontal="center"/>
    </xf>
    <xf numFmtId="43" fontId="0" fillId="0" borderId="0" xfId="0" applyNumberFormat="1" applyFill="1" applyAlignment="1">
      <alignment horizontal="center"/>
    </xf>
    <xf numFmtId="0" fontId="1" fillId="0" borderId="0" xfId="0" applyFont="1" applyFill="1" applyBorder="1" applyAlignment="1">
      <alignment horizontal="center"/>
    </xf>
    <xf numFmtId="165" fontId="10" fillId="0" borderId="40" xfId="0" applyNumberFormat="1" applyFont="1" applyFill="1" applyBorder="1" applyAlignment="1">
      <alignment horizontal="right" vertical="top" wrapText="1"/>
    </xf>
    <xf numFmtId="0" fontId="16" fillId="0" borderId="0" xfId="0" applyFont="1"/>
    <xf numFmtId="165" fontId="15" fillId="0" borderId="30" xfId="0" applyNumberFormat="1" applyFont="1" applyFill="1" applyBorder="1" applyAlignment="1">
      <alignment horizontal="right" vertical="top" wrapText="1"/>
    </xf>
    <xf numFmtId="0" fontId="1" fillId="2" borderId="54" xfId="0" applyFont="1" applyFill="1" applyBorder="1" applyAlignment="1">
      <alignment horizontal="left"/>
    </xf>
    <xf numFmtId="0" fontId="0" fillId="2" borderId="55" xfId="0" applyFill="1" applyBorder="1" applyAlignment="1">
      <alignment horizontal="center"/>
    </xf>
    <xf numFmtId="164" fontId="0" fillId="2" borderId="55" xfId="0" applyNumberFormat="1" applyFill="1" applyBorder="1" applyAlignment="1">
      <alignment horizontal="center"/>
    </xf>
    <xf numFmtId="0" fontId="0" fillId="2" borderId="55" xfId="0" applyFill="1" applyBorder="1"/>
    <xf numFmtId="0" fontId="0" fillId="2" borderId="56" xfId="0" applyNumberFormat="1" applyFill="1" applyBorder="1" applyAlignment="1">
      <alignment horizontal="left"/>
    </xf>
    <xf numFmtId="0" fontId="0" fillId="0" borderId="49" xfId="0" applyFont="1" applyFill="1" applyBorder="1" applyAlignment="1">
      <alignment horizontal="center"/>
    </xf>
    <xf numFmtId="0" fontId="0" fillId="0" borderId="57" xfId="0" applyNumberFormat="1" applyFill="1" applyBorder="1" applyAlignment="1">
      <alignment horizontal="left"/>
    </xf>
    <xf numFmtId="0" fontId="0" fillId="2" borderId="49" xfId="0" applyFont="1" applyFill="1" applyBorder="1" applyAlignment="1">
      <alignment horizontal="center"/>
    </xf>
    <xf numFmtId="0" fontId="0" fillId="2" borderId="57" xfId="0" applyNumberFormat="1" applyFill="1" applyBorder="1" applyAlignment="1">
      <alignment horizontal="left"/>
    </xf>
    <xf numFmtId="0" fontId="0" fillId="2" borderId="49" xfId="0" applyFont="1" applyFill="1" applyBorder="1" applyAlignment="1">
      <alignment horizontal="left"/>
    </xf>
    <xf numFmtId="0" fontId="3" fillId="2" borderId="43" xfId="0" applyFont="1" applyFill="1" applyBorder="1" applyAlignment="1">
      <alignment horizontal="left"/>
    </xf>
    <xf numFmtId="0" fontId="0" fillId="2" borderId="34" xfId="0" applyFill="1" applyBorder="1" applyAlignment="1">
      <alignment horizontal="left"/>
    </xf>
    <xf numFmtId="0" fontId="0" fillId="2" borderId="34" xfId="0" applyFill="1" applyBorder="1" applyAlignment="1">
      <alignment horizontal="center"/>
    </xf>
    <xf numFmtId="164" fontId="0" fillId="2" borderId="34" xfId="0" applyNumberFormat="1" applyFill="1" applyBorder="1" applyAlignment="1">
      <alignment horizontal="center"/>
    </xf>
    <xf numFmtId="0" fontId="0" fillId="2" borderId="34" xfId="0" applyFill="1" applyBorder="1"/>
    <xf numFmtId="0" fontId="0" fillId="2" borderId="53" xfId="0" applyNumberFormat="1" applyFill="1" applyBorder="1" applyAlignment="1">
      <alignment horizontal="left"/>
    </xf>
    <xf numFmtId="0" fontId="0" fillId="5" borderId="52" xfId="0" applyFill="1" applyBorder="1" applyAlignment="1">
      <alignment horizontal="center"/>
    </xf>
    <xf numFmtId="0" fontId="1" fillId="5" borderId="41" xfId="0" applyFont="1" applyFill="1" applyBorder="1" applyAlignment="1">
      <alignment horizontal="left"/>
    </xf>
    <xf numFmtId="0" fontId="0" fillId="5" borderId="58" xfId="0" applyFill="1" applyBorder="1" applyAlignment="1">
      <alignment horizontal="center"/>
    </xf>
    <xf numFmtId="164" fontId="0" fillId="5" borderId="52" xfId="0" applyNumberFormat="1" applyFill="1" applyBorder="1" applyAlignment="1">
      <alignment horizontal="center"/>
    </xf>
    <xf numFmtId="167" fontId="0" fillId="2" borderId="49" xfId="1" applyNumberFormat="1" applyFont="1" applyFill="1" applyBorder="1" applyAlignment="1">
      <alignment horizontal="right"/>
    </xf>
    <xf numFmtId="164" fontId="0" fillId="2" borderId="57" xfId="0" applyNumberFormat="1" applyFill="1" applyBorder="1" applyAlignment="1">
      <alignment horizontal="center"/>
    </xf>
    <xf numFmtId="167" fontId="0" fillId="2" borderId="43" xfId="1" applyNumberFormat="1" applyFont="1" applyFill="1" applyBorder="1" applyAlignment="1">
      <alignment horizontal="right"/>
    </xf>
    <xf numFmtId="164" fontId="0" fillId="2" borderId="53" xfId="0" applyNumberFormat="1" applyFill="1" applyBorder="1" applyAlignment="1">
      <alignment horizontal="center"/>
    </xf>
    <xf numFmtId="165" fontId="0" fillId="2" borderId="49" xfId="0" applyNumberFormat="1" applyFill="1" applyBorder="1" applyAlignment="1">
      <alignment horizontal="right"/>
    </xf>
    <xf numFmtId="165" fontId="0" fillId="2" borderId="43" xfId="0" applyNumberFormat="1" applyFill="1" applyBorder="1" applyAlignment="1">
      <alignment horizontal="right"/>
    </xf>
    <xf numFmtId="0" fontId="1" fillId="2" borderId="0" xfId="0" applyFont="1" applyFill="1" applyBorder="1" applyAlignment="1">
      <alignment horizontal="center"/>
    </xf>
    <xf numFmtId="164" fontId="1" fillId="2" borderId="0" xfId="0" applyNumberFormat="1" applyFont="1" applyFill="1" applyBorder="1" applyAlignment="1">
      <alignment horizontal="center"/>
    </xf>
    <xf numFmtId="0" fontId="0" fillId="5" borderId="58" xfId="0" applyFill="1" applyBorder="1"/>
    <xf numFmtId="164" fontId="0" fillId="5" borderId="58" xfId="0" applyNumberFormat="1" applyFill="1" applyBorder="1" applyAlignment="1">
      <alignment horizontal="center"/>
    </xf>
    <xf numFmtId="0" fontId="0" fillId="2" borderId="49" xfId="0" applyFill="1" applyBorder="1"/>
    <xf numFmtId="0" fontId="1" fillId="2" borderId="57" xfId="0" applyFont="1" applyFill="1" applyBorder="1" applyAlignment="1">
      <alignment horizontal="center"/>
    </xf>
    <xf numFmtId="3" fontId="0" fillId="2" borderId="57" xfId="0" applyNumberFormat="1" applyFill="1" applyBorder="1" applyAlignment="1">
      <alignment horizontal="center"/>
    </xf>
    <xf numFmtId="3" fontId="0" fillId="2" borderId="53" xfId="0" applyNumberFormat="1" applyFill="1" applyBorder="1" applyAlignment="1">
      <alignment horizontal="center"/>
    </xf>
    <xf numFmtId="3" fontId="1" fillId="2" borderId="52" xfId="0" applyNumberFormat="1" applyFont="1" applyFill="1" applyBorder="1" applyAlignment="1">
      <alignment horizontal="center"/>
    </xf>
    <xf numFmtId="165" fontId="1" fillId="2" borderId="57" xfId="0" applyNumberFormat="1" applyFont="1" applyFill="1" applyBorder="1" applyAlignment="1">
      <alignment horizontal="center"/>
    </xf>
    <xf numFmtId="0" fontId="0" fillId="2" borderId="43" xfId="0" applyFill="1" applyBorder="1"/>
    <xf numFmtId="165" fontId="0" fillId="2" borderId="34" xfId="0" applyNumberFormat="1" applyFill="1" applyBorder="1" applyAlignment="1">
      <alignment horizontal="center"/>
    </xf>
    <xf numFmtId="14" fontId="0" fillId="2" borderId="34" xfId="0" applyNumberFormat="1" applyFill="1" applyBorder="1" applyAlignment="1">
      <alignment horizontal="center"/>
    </xf>
    <xf numFmtId="164" fontId="0" fillId="2" borderId="34" xfId="0" applyNumberFormat="1" applyFill="1" applyBorder="1" applyAlignment="1">
      <alignment horizontal="left"/>
    </xf>
    <xf numFmtId="3" fontId="1" fillId="2" borderId="53" xfId="0" applyNumberFormat="1" applyFont="1" applyFill="1" applyBorder="1" applyAlignment="1">
      <alignment horizontal="center"/>
    </xf>
    <xf numFmtId="0" fontId="0" fillId="0" borderId="49" xfId="0" applyFont="1" applyFill="1" applyBorder="1"/>
    <xf numFmtId="0" fontId="0" fillId="0" borderId="57" xfId="0" applyFont="1" applyFill="1" applyBorder="1"/>
    <xf numFmtId="167" fontId="0" fillId="0" borderId="57" xfId="0" applyNumberFormat="1" applyFont="1" applyFill="1" applyBorder="1" applyAlignment="1">
      <alignment horizontal="center"/>
    </xf>
    <xf numFmtId="167" fontId="8" fillId="0" borderId="57" xfId="1" applyNumberFormat="1" applyFont="1" applyFill="1" applyBorder="1" applyAlignment="1">
      <alignment horizontal="right"/>
    </xf>
    <xf numFmtId="0" fontId="0" fillId="0" borderId="43" xfId="0" applyFont="1" applyFill="1" applyBorder="1"/>
    <xf numFmtId="0" fontId="0" fillId="0" borderId="34" xfId="0" applyFont="1" applyFill="1" applyBorder="1" applyAlignment="1">
      <alignment horizontal="center"/>
    </xf>
    <xf numFmtId="167" fontId="0" fillId="0" borderId="53" xfId="0" applyNumberFormat="1" applyFont="1" applyFill="1" applyBorder="1" applyAlignment="1">
      <alignment horizontal="center"/>
    </xf>
    <xf numFmtId="0" fontId="0" fillId="0" borderId="49" xfId="0" applyFill="1" applyBorder="1"/>
    <xf numFmtId="14" fontId="0" fillId="0" borderId="57" xfId="0" applyNumberFormat="1" applyFill="1" applyBorder="1" applyAlignment="1">
      <alignment horizontal="center"/>
    </xf>
    <xf numFmtId="167" fontId="0" fillId="0" borderId="57" xfId="0" applyNumberFormat="1" applyFill="1" applyBorder="1" applyAlignment="1">
      <alignment horizontal="center"/>
    </xf>
    <xf numFmtId="167" fontId="0" fillId="0" borderId="57" xfId="1" applyNumberFormat="1" applyFont="1" applyFill="1" applyBorder="1" applyAlignment="1">
      <alignment horizontal="right"/>
    </xf>
    <xf numFmtId="167" fontId="0" fillId="0" borderId="57" xfId="0" applyNumberFormat="1" applyFill="1" applyBorder="1" applyAlignment="1">
      <alignment horizontal="right"/>
    </xf>
    <xf numFmtId="167" fontId="0" fillId="0" borderId="53" xfId="0" applyNumberFormat="1" applyFill="1" applyBorder="1" applyAlignment="1">
      <alignment horizontal="center"/>
    </xf>
    <xf numFmtId="0" fontId="2" fillId="5" borderId="41" xfId="0" applyFont="1" applyFill="1" applyBorder="1"/>
    <xf numFmtId="0" fontId="1" fillId="0" borderId="49" xfId="0" applyFont="1" applyFill="1" applyBorder="1" applyAlignment="1">
      <alignment horizontal="left"/>
    </xf>
    <xf numFmtId="0" fontId="0" fillId="0" borderId="57" xfId="0" applyFill="1" applyBorder="1"/>
    <xf numFmtId="3" fontId="1" fillId="0" borderId="49" xfId="0" applyNumberFormat="1" applyFont="1" applyFill="1" applyBorder="1" applyAlignment="1">
      <alignment horizontal="left"/>
    </xf>
    <xf numFmtId="0" fontId="0" fillId="0" borderId="49" xfId="0" applyFill="1" applyBorder="1" applyAlignment="1">
      <alignment horizontal="center"/>
    </xf>
    <xf numFmtId="0" fontId="1" fillId="0" borderId="49" xfId="0" applyFont="1" applyFill="1" applyBorder="1" applyAlignment="1">
      <alignment horizontal="right"/>
    </xf>
    <xf numFmtId="0" fontId="1" fillId="0" borderId="57" xfId="0" applyFont="1" applyFill="1" applyBorder="1" applyAlignment="1">
      <alignment horizontal="right"/>
    </xf>
    <xf numFmtId="0" fontId="0" fillId="0" borderId="49" xfId="0" applyNumberFormat="1" applyFill="1" applyBorder="1" applyAlignment="1">
      <alignment horizontal="right"/>
    </xf>
    <xf numFmtId="165" fontId="0" fillId="0" borderId="57" xfId="0" applyNumberFormat="1" applyFill="1" applyBorder="1" applyAlignment="1">
      <alignment horizontal="right"/>
    </xf>
    <xf numFmtId="0" fontId="0" fillId="0" borderId="43" xfId="0" applyNumberFormat="1" applyFill="1" applyBorder="1" applyAlignment="1">
      <alignment horizontal="right"/>
    </xf>
    <xf numFmtId="165" fontId="0" fillId="0" borderId="34" xfId="0" applyNumberFormat="1" applyFill="1" applyBorder="1" applyAlignment="1">
      <alignment horizontal="right"/>
    </xf>
    <xf numFmtId="165" fontId="0" fillId="0" borderId="53" xfId="0" applyNumberFormat="1" applyFill="1" applyBorder="1" applyAlignment="1">
      <alignment horizontal="right"/>
    </xf>
    <xf numFmtId="0" fontId="1" fillId="0" borderId="57" xfId="0" applyFont="1" applyFill="1" applyBorder="1" applyAlignment="1">
      <alignment horizontal="left"/>
    </xf>
    <xf numFmtId="167" fontId="0" fillId="0" borderId="34" xfId="0" applyNumberFormat="1" applyFill="1" applyBorder="1" applyAlignment="1">
      <alignment horizontal="center"/>
    </xf>
    <xf numFmtId="165" fontId="0" fillId="0" borderId="34" xfId="0" applyNumberFormat="1" applyFill="1" applyBorder="1" applyAlignment="1">
      <alignment horizontal="center"/>
    </xf>
    <xf numFmtId="167" fontId="0" fillId="0" borderId="34" xfId="0" applyNumberFormat="1" applyFill="1" applyBorder="1"/>
    <xf numFmtId="43" fontId="0" fillId="0" borderId="53" xfId="0" applyNumberFormat="1" applyFill="1" applyBorder="1" applyAlignment="1">
      <alignment horizontal="center"/>
    </xf>
    <xf numFmtId="0" fontId="0" fillId="2" borderId="0" xfId="0" applyFill="1" applyBorder="1" applyAlignment="1">
      <alignment horizontal="center"/>
    </xf>
    <xf numFmtId="165" fontId="0" fillId="0" borderId="49" xfId="0" applyNumberFormat="1" applyFill="1" applyBorder="1"/>
    <xf numFmtId="165" fontId="0" fillId="0" borderId="43" xfId="0" applyNumberFormat="1" applyFill="1" applyBorder="1"/>
    <xf numFmtId="0" fontId="0" fillId="2" borderId="0" xfId="0" applyFill="1" applyAlignment="1">
      <alignment horizontal="left"/>
    </xf>
    <xf numFmtId="0" fontId="0" fillId="0" borderId="0" xfId="0" applyFont="1" applyFill="1" applyBorder="1" applyAlignment="1">
      <alignment horizontal="left"/>
    </xf>
    <xf numFmtId="0" fontId="0" fillId="0" borderId="0" xfId="0" applyFont="1" applyFill="1" applyBorder="1"/>
    <xf numFmtId="164" fontId="0" fillId="0" borderId="0" xfId="0" applyNumberFormat="1" applyFont="1" applyFill="1" applyBorder="1" applyAlignment="1">
      <alignment horizontal="center"/>
    </xf>
    <xf numFmtId="0" fontId="0" fillId="0" borderId="57" xfId="0" applyNumberFormat="1" applyFont="1" applyFill="1" applyBorder="1" applyAlignment="1">
      <alignment horizontal="left"/>
    </xf>
    <xf numFmtId="0" fontId="0" fillId="0" borderId="0" xfId="0" applyFont="1" applyFill="1"/>
    <xf numFmtId="0" fontId="0" fillId="2" borderId="0" xfId="0" applyFont="1" applyFill="1" applyBorder="1" applyAlignment="1">
      <alignment horizontal="left"/>
    </xf>
    <xf numFmtId="0" fontId="0" fillId="2" borderId="0" xfId="0" applyFont="1" applyFill="1" applyBorder="1" applyAlignment="1">
      <alignment horizontal="center"/>
    </xf>
    <xf numFmtId="164" fontId="0" fillId="2" borderId="0" xfId="0" applyNumberFormat="1" applyFont="1" applyFill="1" applyBorder="1" applyAlignment="1">
      <alignment horizontal="center"/>
    </xf>
    <xf numFmtId="0" fontId="0" fillId="2" borderId="0" xfId="0" applyFont="1" applyFill="1" applyBorder="1"/>
    <xf numFmtId="0" fontId="0" fillId="2" borderId="57" xfId="0" applyNumberFormat="1" applyFont="1" applyFill="1" applyBorder="1" applyAlignment="1">
      <alignment horizontal="left"/>
    </xf>
    <xf numFmtId="0" fontId="0" fillId="2" borderId="0" xfId="0" applyFont="1" applyFill="1"/>
    <xf numFmtId="164" fontId="0" fillId="0" borderId="0" xfId="0" applyNumberFormat="1" applyFont="1" applyFill="1" applyBorder="1" applyAlignment="1">
      <alignment horizontal="left"/>
    </xf>
    <xf numFmtId="165" fontId="0" fillId="5" borderId="58" xfId="0" applyNumberFormat="1" applyFill="1" applyBorder="1" applyAlignment="1">
      <alignment horizontal="center"/>
    </xf>
    <xf numFmtId="14" fontId="0" fillId="5" borderId="52" xfId="0" applyNumberFormat="1" applyFill="1" applyBorder="1" applyAlignment="1">
      <alignment horizontal="center"/>
    </xf>
    <xf numFmtId="0" fontId="0" fillId="2" borderId="0" xfId="0" applyFill="1" applyBorder="1" applyAlignment="1">
      <alignment horizontal="center"/>
    </xf>
    <xf numFmtId="43" fontId="0" fillId="0" borderId="0" xfId="0" applyNumberFormat="1" applyFill="1"/>
    <xf numFmtId="0" fontId="0" fillId="5" borderId="52" xfId="0" applyNumberFormat="1" applyFill="1" applyBorder="1" applyAlignment="1">
      <alignment horizontal="left"/>
    </xf>
    <xf numFmtId="0" fontId="0" fillId="0" borderId="49" xfId="0" applyFont="1" applyFill="1" applyBorder="1" applyAlignment="1">
      <alignment horizontal="left"/>
    </xf>
    <xf numFmtId="0" fontId="17" fillId="0" borderId="49" xfId="0" applyFont="1" applyFill="1" applyBorder="1" applyAlignment="1">
      <alignment horizontal="left"/>
    </xf>
    <xf numFmtId="0" fontId="0" fillId="0" borderId="0" xfId="0" applyFont="1" applyFill="1" applyBorder="1" applyAlignment="1">
      <alignment horizontal="left" vertical="top" wrapText="1"/>
    </xf>
    <xf numFmtId="0" fontId="3" fillId="0" borderId="0" xfId="0" applyFont="1" applyFill="1" applyBorder="1" applyAlignment="1">
      <alignment horizontal="left" vertical="top" wrapText="1"/>
    </xf>
    <xf numFmtId="0" fontId="17" fillId="2" borderId="0" xfId="0" applyFont="1" applyFill="1" applyBorder="1" applyAlignment="1">
      <alignment horizontal="center"/>
    </xf>
    <xf numFmtId="0" fontId="0" fillId="0" borderId="54" xfId="0" applyFill="1" applyBorder="1" applyAlignment="1">
      <alignment horizontal="left"/>
    </xf>
    <xf numFmtId="0" fontId="0" fillId="0" borderId="55" xfId="0" applyFill="1" applyBorder="1"/>
    <xf numFmtId="0" fontId="0" fillId="0" borderId="43" xfId="0" applyFill="1" applyBorder="1" applyAlignment="1">
      <alignment horizontal="left"/>
    </xf>
    <xf numFmtId="0" fontId="0" fillId="0" borderId="34" xfId="0" applyFill="1" applyBorder="1" applyAlignment="1">
      <alignment horizontal="left"/>
    </xf>
    <xf numFmtId="10" fontId="0" fillId="0" borderId="53" xfId="0" applyNumberFormat="1" applyFill="1" applyBorder="1" applyAlignment="1">
      <alignment horizontal="center" vertical="top"/>
    </xf>
    <xf numFmtId="164" fontId="16" fillId="2" borderId="0" xfId="0" applyNumberFormat="1" applyFont="1" applyFill="1" applyAlignment="1">
      <alignment horizontal="left"/>
    </xf>
    <xf numFmtId="168" fontId="0" fillId="0" borderId="0" xfId="0" applyNumberFormat="1" applyFill="1" applyAlignment="1">
      <alignment horizontal="center"/>
    </xf>
    <xf numFmtId="0" fontId="1" fillId="0" borderId="25" xfId="0" applyFont="1" applyBorder="1" applyAlignment="1">
      <alignment horizontal="center" vertical="top" wrapText="1"/>
    </xf>
    <xf numFmtId="0" fontId="1" fillId="0" borderId="7" xfId="0" applyFont="1" applyFill="1" applyBorder="1" applyAlignment="1">
      <alignment horizontal="center"/>
    </xf>
    <xf numFmtId="0" fontId="1" fillId="0" borderId="8" xfId="0" applyFont="1" applyFill="1" applyBorder="1" applyAlignment="1">
      <alignment horizontal="center"/>
    </xf>
    <xf numFmtId="165" fontId="6" fillId="0" borderId="8" xfId="0" applyNumberFormat="1" applyFont="1" applyFill="1" applyBorder="1" applyAlignment="1">
      <alignment horizontal="center"/>
    </xf>
    <xf numFmtId="0" fontId="0" fillId="0" borderId="49" xfId="0" applyFill="1" applyBorder="1" applyAlignment="1">
      <alignment horizontal="right"/>
    </xf>
    <xf numFmtId="0" fontId="0" fillId="0" borderId="43" xfId="0" applyFill="1" applyBorder="1" applyAlignment="1">
      <alignment horizontal="right"/>
    </xf>
    <xf numFmtId="3" fontId="10" fillId="0" borderId="42" xfId="0" applyNumberFormat="1" applyFont="1" applyBorder="1" applyAlignment="1">
      <alignment horizontal="center" vertical="center" wrapText="1"/>
    </xf>
    <xf numFmtId="3" fontId="10" fillId="0" borderId="43" xfId="0" applyNumberFormat="1" applyFont="1" applyBorder="1" applyAlignment="1">
      <alignment horizontal="center" vertical="center" wrapText="1"/>
    </xf>
    <xf numFmtId="3" fontId="9" fillId="0" borderId="25" xfId="0" applyNumberFormat="1" applyFont="1" applyBorder="1" applyAlignment="1">
      <alignment vertical="center" wrapText="1"/>
    </xf>
    <xf numFmtId="165" fontId="9" fillId="0" borderId="43" xfId="0" applyNumberFormat="1" applyFont="1" applyBorder="1" applyAlignment="1">
      <alignment horizontal="right" vertical="center" wrapText="1"/>
    </xf>
    <xf numFmtId="166" fontId="0" fillId="0" borderId="8" xfId="1" applyNumberFormat="1" applyFont="1" applyFill="1" applyBorder="1" applyAlignment="1">
      <alignment horizontal="center"/>
    </xf>
    <xf numFmtId="3" fontId="0" fillId="0" borderId="8" xfId="0" applyNumberFormat="1" applyFont="1" applyFill="1" applyBorder="1" applyAlignment="1">
      <alignment horizontal="center"/>
    </xf>
    <xf numFmtId="0" fontId="0" fillId="0" borderId="0" xfId="0" applyFont="1" applyFill="1" applyAlignment="1">
      <alignment horizontal="left"/>
    </xf>
    <xf numFmtId="14" fontId="0" fillId="0" borderId="56" xfId="0" applyNumberFormat="1" applyFill="1" applyBorder="1" applyAlignment="1">
      <alignment horizontal="center"/>
    </xf>
    <xf numFmtId="167" fontId="0" fillId="0" borderId="49" xfId="1" applyNumberFormat="1" applyFont="1" applyFill="1" applyBorder="1" applyAlignment="1">
      <alignment horizontal="right"/>
    </xf>
    <xf numFmtId="165" fontId="0" fillId="0" borderId="49" xfId="1" applyNumberFormat="1" applyFont="1" applyFill="1" applyBorder="1" applyAlignment="1">
      <alignment horizontal="right"/>
    </xf>
    <xf numFmtId="165" fontId="10" fillId="0" borderId="27" xfId="0" applyNumberFormat="1" applyFont="1" applyFill="1" applyBorder="1" applyAlignment="1">
      <alignment horizontal="center" vertical="top" wrapText="1"/>
    </xf>
    <xf numFmtId="165" fontId="11" fillId="0" borderId="17" xfId="0" applyNumberFormat="1" applyFont="1" applyFill="1" applyBorder="1" applyAlignment="1">
      <alignment horizontal="right" vertical="top" wrapText="1"/>
    </xf>
    <xf numFmtId="164" fontId="16" fillId="0" borderId="0" xfId="0" applyNumberFormat="1" applyFont="1" applyFill="1" applyAlignment="1">
      <alignment horizontal="left"/>
    </xf>
    <xf numFmtId="9" fontId="16" fillId="2" borderId="0" xfId="0" applyNumberFormat="1" applyFont="1" applyFill="1" applyAlignment="1">
      <alignment horizontal="left"/>
    </xf>
    <xf numFmtId="0" fontId="3" fillId="2" borderId="49" xfId="0" applyFont="1" applyFill="1" applyBorder="1" applyAlignment="1">
      <alignment horizontal="left" vertical="top" wrapText="1"/>
    </xf>
    <xf numFmtId="0" fontId="3" fillId="2" borderId="0" xfId="0" applyFont="1" applyFill="1" applyBorder="1" applyAlignment="1">
      <alignment horizontal="left" vertical="top" wrapText="1"/>
    </xf>
    <xf numFmtId="0" fontId="3" fillId="2" borderId="57" xfId="0" applyFont="1" applyFill="1" applyBorder="1" applyAlignment="1">
      <alignment horizontal="left" vertical="top" wrapText="1"/>
    </xf>
    <xf numFmtId="0" fontId="9" fillId="2" borderId="49" xfId="0" applyFont="1" applyFill="1" applyBorder="1" applyAlignment="1">
      <alignment horizontal="left" vertical="top" wrapText="1"/>
    </xf>
    <xf numFmtId="0" fontId="9" fillId="2" borderId="0" xfId="0" applyFont="1" applyFill="1" applyBorder="1" applyAlignment="1">
      <alignment horizontal="left" vertical="top" wrapText="1"/>
    </xf>
    <xf numFmtId="0" fontId="9" fillId="2" borderId="57" xfId="0" applyFont="1" applyFill="1" applyBorder="1" applyAlignment="1">
      <alignment horizontal="left" vertical="top" wrapText="1"/>
    </xf>
    <xf numFmtId="0" fontId="9" fillId="2" borderId="43" xfId="0" applyFont="1" applyFill="1" applyBorder="1" applyAlignment="1">
      <alignment horizontal="left" vertical="top" wrapText="1"/>
    </xf>
    <xf numFmtId="0" fontId="9" fillId="2" borderId="34" xfId="0" applyFont="1" applyFill="1" applyBorder="1" applyAlignment="1">
      <alignment horizontal="left" vertical="top" wrapText="1"/>
    </xf>
    <xf numFmtId="0" fontId="9" fillId="2" borderId="53" xfId="0" applyFont="1" applyFill="1" applyBorder="1" applyAlignment="1">
      <alignment horizontal="left" vertical="top" wrapText="1"/>
    </xf>
    <xf numFmtId="0" fontId="0" fillId="0" borderId="34" xfId="0" applyFill="1" applyBorder="1" applyAlignment="1">
      <alignment horizontal="center"/>
    </xf>
    <xf numFmtId="0" fontId="0" fillId="0" borderId="53" xfId="0" applyFill="1" applyBorder="1" applyAlignment="1">
      <alignment horizontal="center"/>
    </xf>
    <xf numFmtId="0" fontId="0" fillId="0" borderId="8" xfId="0" applyFill="1" applyBorder="1" applyAlignment="1">
      <alignment horizontal="center"/>
    </xf>
    <xf numFmtId="0" fontId="0" fillId="0" borderId="57" xfId="0" applyFill="1" applyBorder="1" applyAlignment="1">
      <alignment horizontal="center"/>
    </xf>
    <xf numFmtId="0" fontId="0" fillId="2" borderId="0" xfId="0" applyFill="1" applyBorder="1" applyAlignment="1">
      <alignment horizontal="center"/>
    </xf>
    <xf numFmtId="0" fontId="0" fillId="2" borderId="57" xfId="0" applyFill="1" applyBorder="1" applyAlignment="1">
      <alignment horizontal="center"/>
    </xf>
    <xf numFmtId="0" fontId="2" fillId="5" borderId="41" xfId="0" applyFont="1" applyFill="1" applyBorder="1" applyAlignment="1">
      <alignment horizontal="left"/>
    </xf>
    <xf numFmtId="0" fontId="2" fillId="5" borderId="58" xfId="0" applyFont="1" applyFill="1" applyBorder="1" applyAlignment="1">
      <alignment horizontal="left"/>
    </xf>
    <xf numFmtId="0" fontId="2" fillId="5" borderId="52" xfId="0" applyFont="1" applyFill="1" applyBorder="1" applyAlignment="1">
      <alignment horizontal="left"/>
    </xf>
    <xf numFmtId="0" fontId="0" fillId="0" borderId="43" xfId="0" applyFont="1" applyFill="1" applyBorder="1" applyAlignment="1">
      <alignment horizontal="left" vertical="top" wrapText="1"/>
    </xf>
    <xf numFmtId="0" fontId="3" fillId="0" borderId="34" xfId="0" applyFont="1" applyFill="1" applyBorder="1" applyAlignment="1">
      <alignment horizontal="left" vertical="top" wrapText="1"/>
    </xf>
    <xf numFmtId="0" fontId="3" fillId="0" borderId="53" xfId="0" applyFont="1" applyFill="1" applyBorder="1" applyAlignment="1">
      <alignment horizontal="left" vertical="top" wrapText="1"/>
    </xf>
    <xf numFmtId="0" fontId="1" fillId="0" borderId="10" xfId="0" applyFont="1" applyBorder="1" applyAlignment="1">
      <alignment horizontal="left"/>
    </xf>
    <xf numFmtId="0" fontId="0" fillId="0" borderId="10" xfId="0" applyBorder="1" applyAlignment="1">
      <alignment horizontal="left"/>
    </xf>
    <xf numFmtId="3" fontId="10" fillId="0" borderId="2" xfId="0" applyNumberFormat="1" applyFont="1" applyBorder="1" applyAlignment="1">
      <alignment horizontal="center" vertical="top"/>
    </xf>
    <xf numFmtId="0" fontId="1" fillId="0" borderId="14" xfId="0" applyFont="1" applyBorder="1" applyAlignment="1">
      <alignment horizontal="center" vertical="top" wrapText="1"/>
    </xf>
    <xf numFmtId="0" fontId="1" fillId="0" borderId="25" xfId="0" applyFont="1" applyBorder="1" applyAlignment="1">
      <alignment horizontal="center" vertical="top" wrapText="1"/>
    </xf>
    <xf numFmtId="3" fontId="10" fillId="0" borderId="35" xfId="0" applyNumberFormat="1" applyFont="1" applyBorder="1" applyAlignment="1">
      <alignment horizontal="center" vertical="top" wrapText="1"/>
    </xf>
    <xf numFmtId="3" fontId="10" fillId="0" borderId="36" xfId="0" applyNumberFormat="1" applyFont="1" applyBorder="1" applyAlignment="1">
      <alignment horizontal="center" vertical="top" wrapText="1"/>
    </xf>
    <xf numFmtId="3" fontId="10" fillId="0" borderId="37" xfId="0" applyNumberFormat="1" applyFont="1" applyBorder="1" applyAlignment="1">
      <alignment horizontal="center" vertical="top" wrapText="1"/>
    </xf>
    <xf numFmtId="3" fontId="10" fillId="0" borderId="38" xfId="0" applyNumberFormat="1" applyFont="1" applyBorder="1" applyAlignment="1">
      <alignment horizontal="center" vertical="top" wrapText="1"/>
    </xf>
    <xf numFmtId="3" fontId="10" fillId="0" borderId="39" xfId="0" applyNumberFormat="1" applyFont="1" applyBorder="1" applyAlignment="1">
      <alignment horizontal="center" vertical="top" wrapText="1"/>
    </xf>
    <xf numFmtId="3" fontId="10" fillId="0" borderId="1" xfId="0" applyNumberFormat="1" applyFont="1" applyBorder="1" applyAlignment="1">
      <alignment horizontal="center" vertical="top"/>
    </xf>
    <xf numFmtId="3" fontId="10" fillId="0" borderId="3" xfId="0" applyNumberFormat="1" applyFont="1" applyBorder="1" applyAlignment="1">
      <alignment horizontal="center" vertical="top"/>
    </xf>
    <xf numFmtId="3" fontId="10" fillId="0" borderId="18" xfId="0" applyNumberFormat="1" applyFont="1" applyFill="1" applyBorder="1" applyAlignment="1">
      <alignment horizontal="center" vertical="top"/>
    </xf>
    <xf numFmtId="3" fontId="10" fillId="0" borderId="19" xfId="0" applyNumberFormat="1" applyFont="1" applyFill="1" applyBorder="1" applyAlignment="1">
      <alignment horizontal="center" vertical="top"/>
    </xf>
    <xf numFmtId="3" fontId="10" fillId="0" borderId="20" xfId="0" applyNumberFormat="1" applyFont="1" applyFill="1" applyBorder="1" applyAlignment="1">
      <alignment horizontal="center" vertical="top"/>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37"/>
  <sheetViews>
    <sheetView showGridLines="0" tabSelected="1" workbookViewId="0">
      <selection activeCell="B238" sqref="B238"/>
    </sheetView>
  </sheetViews>
  <sheetFormatPr defaultColWidth="8.875" defaultRowHeight="14.3" x14ac:dyDescent="0.25"/>
  <cols>
    <col min="1" max="1" width="19.75" style="1" customWidth="1"/>
    <col min="2" max="2" width="22.25" style="27" customWidth="1"/>
    <col min="3" max="3" width="49.25" style="27" customWidth="1"/>
    <col min="4" max="4" width="24.125" style="28" customWidth="1"/>
    <col min="5" max="5" width="21.125" style="27" customWidth="1"/>
    <col min="6" max="6" width="15" style="27" bestFit="1" customWidth="1"/>
    <col min="7" max="7" width="15.125" style="1" bestFit="1" customWidth="1"/>
    <col min="8" max="8" width="11.875" style="1" customWidth="1"/>
    <col min="9" max="9" width="14.25" style="1" customWidth="1"/>
    <col min="10" max="10" width="12.125" style="7" customWidth="1"/>
    <col min="11" max="11" width="20.625" style="1" customWidth="1"/>
    <col min="12" max="12" width="15.375" style="1" customWidth="1"/>
    <col min="13" max="13" width="19.25" style="1" bestFit="1" customWidth="1"/>
    <col min="14" max="16384" width="8.875" style="1"/>
  </cols>
  <sheetData>
    <row r="1" spans="1:10" ht="14.95" x14ac:dyDescent="0.25">
      <c r="A1" s="57" t="s">
        <v>59</v>
      </c>
    </row>
    <row r="2" spans="1:10" ht="14.95" x14ac:dyDescent="0.25">
      <c r="A2" s="57"/>
    </row>
    <row r="3" spans="1:10" ht="14.95" x14ac:dyDescent="0.25">
      <c r="A3" s="166" t="s">
        <v>22</v>
      </c>
      <c r="B3" s="167"/>
      <c r="C3" s="167"/>
      <c r="D3" s="168"/>
      <c r="E3" s="167"/>
      <c r="F3" s="167"/>
      <c r="G3" s="169"/>
      <c r="H3" s="169"/>
      <c r="I3" s="169"/>
      <c r="J3" s="170"/>
    </row>
    <row r="4" spans="1:10" ht="22.95" customHeight="1" x14ac:dyDescent="0.25">
      <c r="A4" s="293" t="s">
        <v>230</v>
      </c>
      <c r="B4" s="294"/>
      <c r="C4" s="294"/>
      <c r="D4" s="294"/>
      <c r="E4" s="294"/>
      <c r="F4" s="294"/>
      <c r="G4" s="294"/>
      <c r="H4" s="294"/>
      <c r="I4" s="294"/>
      <c r="J4" s="295"/>
    </row>
    <row r="5" spans="1:10" ht="22.95" customHeight="1" x14ac:dyDescent="0.25">
      <c r="A5" s="293"/>
      <c r="B5" s="294"/>
      <c r="C5" s="294"/>
      <c r="D5" s="294"/>
      <c r="E5" s="294"/>
      <c r="F5" s="294"/>
      <c r="G5" s="294"/>
      <c r="H5" s="294"/>
      <c r="I5" s="294"/>
      <c r="J5" s="295"/>
    </row>
    <row r="6" spans="1:10" ht="22.95" customHeight="1" x14ac:dyDescent="0.25">
      <c r="A6" s="293"/>
      <c r="B6" s="294"/>
      <c r="C6" s="294"/>
      <c r="D6" s="294"/>
      <c r="E6" s="294"/>
      <c r="F6" s="294"/>
      <c r="G6" s="294"/>
      <c r="H6" s="294"/>
      <c r="I6" s="294"/>
      <c r="J6" s="295"/>
    </row>
    <row r="7" spans="1:10" ht="22.95" customHeight="1" x14ac:dyDescent="0.25">
      <c r="A7" s="293"/>
      <c r="B7" s="294"/>
      <c r="C7" s="294"/>
      <c r="D7" s="294"/>
      <c r="E7" s="294"/>
      <c r="F7" s="294"/>
      <c r="G7" s="294"/>
      <c r="H7" s="294"/>
      <c r="I7" s="294"/>
      <c r="J7" s="295"/>
    </row>
    <row r="8" spans="1:10" ht="22.95" customHeight="1" x14ac:dyDescent="0.25">
      <c r="A8" s="293"/>
      <c r="B8" s="294"/>
      <c r="C8" s="294"/>
      <c r="D8" s="294"/>
      <c r="E8" s="294"/>
      <c r="F8" s="294"/>
      <c r="G8" s="294"/>
      <c r="H8" s="294"/>
      <c r="I8" s="294"/>
      <c r="J8" s="295"/>
    </row>
    <row r="9" spans="1:10" ht="22.95" customHeight="1" x14ac:dyDescent="0.25">
      <c r="A9" s="296"/>
      <c r="B9" s="297"/>
      <c r="C9" s="297"/>
      <c r="D9" s="297"/>
      <c r="E9" s="297"/>
      <c r="F9" s="297"/>
      <c r="G9" s="297"/>
      <c r="H9" s="297"/>
      <c r="I9" s="297"/>
      <c r="J9" s="298"/>
    </row>
    <row r="10" spans="1:10" ht="22.95" customHeight="1" x14ac:dyDescent="0.25">
      <c r="A10" s="155"/>
      <c r="B10" s="155"/>
      <c r="C10" s="155"/>
      <c r="D10" s="155"/>
      <c r="E10" s="155"/>
      <c r="F10" s="155"/>
      <c r="G10" s="155"/>
      <c r="H10" s="155"/>
      <c r="I10" s="155"/>
      <c r="J10" s="155"/>
    </row>
    <row r="11" spans="1:10" ht="13.95" customHeight="1" x14ac:dyDescent="0.25">
      <c r="A11" s="183" t="s">
        <v>146</v>
      </c>
      <c r="B11" s="184"/>
      <c r="C11" s="184"/>
      <c r="D11" s="195"/>
      <c r="E11" s="184"/>
      <c r="F11" s="184"/>
      <c r="G11" s="194"/>
      <c r="H11" s="194"/>
      <c r="I11" s="194"/>
      <c r="J11" s="257"/>
    </row>
    <row r="12" spans="1:10" ht="13.95" customHeight="1" x14ac:dyDescent="0.25">
      <c r="A12" s="221"/>
      <c r="B12" s="45"/>
      <c r="C12" s="45"/>
      <c r="D12" s="88"/>
      <c r="E12" s="45"/>
      <c r="F12" s="45"/>
      <c r="G12" s="87"/>
      <c r="H12" s="87"/>
      <c r="I12" s="87"/>
      <c r="J12" s="172"/>
    </row>
    <row r="13" spans="1:10" ht="13.95" customHeight="1" x14ac:dyDescent="0.25">
      <c r="A13" s="258" t="s">
        <v>229</v>
      </c>
      <c r="B13" s="46"/>
      <c r="C13" s="46"/>
      <c r="D13" s="243"/>
      <c r="E13" s="46"/>
      <c r="F13" s="46"/>
      <c r="G13" s="242"/>
      <c r="H13" s="242"/>
      <c r="I13" s="242"/>
      <c r="J13" s="244"/>
    </row>
    <row r="14" spans="1:10" ht="13.95" customHeight="1" x14ac:dyDescent="0.25">
      <c r="A14" s="258" t="s">
        <v>228</v>
      </c>
      <c r="B14" s="46"/>
      <c r="C14" s="46"/>
      <c r="D14" s="243"/>
      <c r="E14" s="46"/>
      <c r="F14" s="46"/>
      <c r="G14" s="242"/>
      <c r="H14" s="242"/>
      <c r="I14" s="242"/>
      <c r="J14" s="244"/>
    </row>
    <row r="15" spans="1:10" ht="13.95" customHeight="1" x14ac:dyDescent="0.25">
      <c r="A15" s="258"/>
      <c r="B15" s="46"/>
      <c r="C15" s="46"/>
      <c r="D15" s="243"/>
      <c r="E15" s="46"/>
      <c r="F15" s="46"/>
      <c r="G15" s="242"/>
      <c r="H15" s="242"/>
      <c r="I15" s="242"/>
      <c r="J15" s="244"/>
    </row>
    <row r="16" spans="1:10" ht="13.95" customHeight="1" x14ac:dyDescent="0.25">
      <c r="A16" s="258" t="s">
        <v>147</v>
      </c>
      <c r="B16" s="46"/>
      <c r="C16" s="46"/>
      <c r="D16" s="243"/>
      <c r="E16" s="46"/>
      <c r="F16" s="46"/>
      <c r="G16" s="242"/>
      <c r="H16" s="242"/>
      <c r="I16" s="242"/>
      <c r="J16" s="244"/>
    </row>
    <row r="17" spans="1:10" ht="13.95" customHeight="1" x14ac:dyDescent="0.25">
      <c r="A17" s="258" t="s">
        <v>148</v>
      </c>
      <c r="B17" s="46"/>
      <c r="C17" s="46"/>
      <c r="D17" s="243"/>
      <c r="E17" s="46"/>
      <c r="F17" s="46"/>
      <c r="G17" s="242"/>
      <c r="H17" s="242"/>
      <c r="I17" s="242"/>
      <c r="J17" s="244"/>
    </row>
    <row r="18" spans="1:10" ht="13.95" customHeight="1" x14ac:dyDescent="0.25">
      <c r="A18" s="258" t="s">
        <v>149</v>
      </c>
      <c r="B18" s="46"/>
      <c r="C18" s="46"/>
      <c r="D18" s="243"/>
      <c r="E18" s="46"/>
      <c r="F18" s="46"/>
      <c r="G18" s="242"/>
      <c r="H18" s="242"/>
      <c r="I18" s="242"/>
      <c r="J18" s="244"/>
    </row>
    <row r="19" spans="1:10" ht="13.95" customHeight="1" x14ac:dyDescent="0.25">
      <c r="A19" s="221"/>
      <c r="B19" s="45"/>
      <c r="C19" s="45"/>
      <c r="D19" s="88"/>
      <c r="E19" s="45"/>
      <c r="F19" s="45"/>
      <c r="G19" s="87"/>
      <c r="H19" s="87"/>
      <c r="I19" s="87"/>
      <c r="J19" s="172"/>
    </row>
    <row r="20" spans="1:10" ht="13.95" customHeight="1" x14ac:dyDescent="0.25">
      <c r="A20" s="258" t="s">
        <v>150</v>
      </c>
      <c r="B20" s="45"/>
      <c r="C20" s="45"/>
      <c r="D20" s="88"/>
      <c r="E20" s="45"/>
      <c r="F20" s="45"/>
      <c r="G20" s="87"/>
      <c r="H20" s="87"/>
      <c r="I20" s="87"/>
      <c r="J20" s="172"/>
    </row>
    <row r="21" spans="1:10" ht="13.95" customHeight="1" x14ac:dyDescent="0.25">
      <c r="A21" s="259" t="s">
        <v>151</v>
      </c>
      <c r="B21" s="45"/>
      <c r="C21" s="45"/>
      <c r="D21" s="88"/>
      <c r="E21" s="45"/>
      <c r="F21" s="45"/>
      <c r="G21" s="87"/>
      <c r="H21" s="87"/>
      <c r="I21" s="87"/>
      <c r="J21" s="172"/>
    </row>
    <row r="22" spans="1:10" ht="13.95" customHeight="1" x14ac:dyDescent="0.25">
      <c r="A22" s="259"/>
      <c r="B22" s="45"/>
      <c r="C22" s="45"/>
      <c r="D22" s="88"/>
      <c r="E22" s="45"/>
      <c r="F22" s="45"/>
      <c r="G22" s="87"/>
      <c r="H22" s="87"/>
      <c r="I22" s="87"/>
      <c r="J22" s="172"/>
    </row>
    <row r="23" spans="1:10" ht="13.95" customHeight="1" x14ac:dyDescent="0.25">
      <c r="A23" s="171" t="s">
        <v>152</v>
      </c>
      <c r="B23" s="156" t="s">
        <v>153</v>
      </c>
      <c r="C23" s="45"/>
      <c r="D23" s="88"/>
      <c r="E23" s="45"/>
      <c r="F23" s="45"/>
      <c r="G23" s="87"/>
      <c r="H23" s="87"/>
      <c r="I23" s="87"/>
      <c r="J23" s="172"/>
    </row>
    <row r="24" spans="1:10" ht="13.95" customHeight="1" x14ac:dyDescent="0.25">
      <c r="A24" s="171" t="s">
        <v>154</v>
      </c>
      <c r="B24" s="156" t="s">
        <v>171</v>
      </c>
      <c r="C24" s="45"/>
      <c r="D24" s="88"/>
      <c r="E24" s="45"/>
      <c r="F24" s="45"/>
      <c r="G24" s="87"/>
      <c r="H24" s="87"/>
      <c r="I24" s="87"/>
      <c r="J24" s="172"/>
    </row>
    <row r="25" spans="1:10" ht="13.95" customHeight="1" x14ac:dyDescent="0.25">
      <c r="A25" s="171" t="s">
        <v>156</v>
      </c>
      <c r="B25" s="156" t="s">
        <v>155</v>
      </c>
      <c r="C25" s="45"/>
      <c r="D25" s="88"/>
      <c r="E25" s="45"/>
      <c r="F25" s="45"/>
      <c r="G25" s="87"/>
      <c r="H25" s="87"/>
      <c r="I25" s="87"/>
      <c r="J25" s="172"/>
    </row>
    <row r="26" spans="1:10" ht="13.95" customHeight="1" x14ac:dyDescent="0.25">
      <c r="A26" s="171" t="s">
        <v>158</v>
      </c>
      <c r="B26" s="156" t="s">
        <v>157</v>
      </c>
      <c r="C26" s="45"/>
      <c r="D26" s="88"/>
      <c r="E26" s="45"/>
      <c r="F26" s="45"/>
      <c r="G26" s="87"/>
      <c r="H26" s="87"/>
      <c r="I26" s="87"/>
      <c r="J26" s="172"/>
    </row>
    <row r="27" spans="1:10" ht="13.95" customHeight="1" x14ac:dyDescent="0.25">
      <c r="A27" s="171" t="s">
        <v>160</v>
      </c>
      <c r="B27" s="156" t="s">
        <v>159</v>
      </c>
      <c r="C27" s="45"/>
      <c r="D27" s="88"/>
      <c r="E27" s="45"/>
      <c r="F27" s="45"/>
      <c r="G27" s="87"/>
      <c r="H27" s="87"/>
      <c r="I27" s="87"/>
      <c r="J27" s="172"/>
    </row>
    <row r="28" spans="1:10" ht="13.95" customHeight="1" x14ac:dyDescent="0.25">
      <c r="A28" s="171" t="s">
        <v>162</v>
      </c>
      <c r="B28" s="156" t="s">
        <v>161</v>
      </c>
      <c r="C28" s="45"/>
      <c r="D28" s="88"/>
      <c r="E28" s="45"/>
      <c r="F28" s="45"/>
      <c r="G28" s="87"/>
      <c r="H28" s="87"/>
      <c r="I28" s="87"/>
      <c r="J28" s="172"/>
    </row>
    <row r="29" spans="1:10" ht="13.95" customHeight="1" x14ac:dyDescent="0.25">
      <c r="A29" s="171"/>
      <c r="B29" s="156"/>
      <c r="C29" s="45"/>
      <c r="D29" s="88"/>
      <c r="E29" s="45"/>
      <c r="F29" s="45"/>
      <c r="G29" s="87"/>
      <c r="H29" s="87"/>
      <c r="I29" s="87"/>
      <c r="J29" s="172"/>
    </row>
    <row r="30" spans="1:10" ht="13.95" customHeight="1" x14ac:dyDescent="0.25">
      <c r="A30" s="259" t="s">
        <v>165</v>
      </c>
      <c r="B30" s="45"/>
      <c r="C30" s="45"/>
      <c r="D30" s="88"/>
      <c r="E30" s="45"/>
      <c r="F30" s="45"/>
      <c r="G30" s="87"/>
      <c r="H30" s="87"/>
      <c r="I30" s="87"/>
      <c r="J30" s="172"/>
    </row>
    <row r="31" spans="1:10" ht="13.95" customHeight="1" x14ac:dyDescent="0.25">
      <c r="A31" s="259"/>
      <c r="B31" s="45"/>
      <c r="C31" s="45"/>
      <c r="D31" s="88"/>
      <c r="E31" s="45"/>
      <c r="F31" s="45"/>
      <c r="G31" s="87"/>
      <c r="H31" s="87"/>
      <c r="I31" s="87"/>
      <c r="J31" s="172"/>
    </row>
    <row r="32" spans="1:10" ht="13.95" customHeight="1" x14ac:dyDescent="0.25">
      <c r="A32" s="171" t="s">
        <v>163</v>
      </c>
      <c r="B32" s="156" t="s">
        <v>166</v>
      </c>
      <c r="C32" s="45"/>
      <c r="D32" s="88"/>
      <c r="E32" s="45"/>
      <c r="F32" s="45"/>
      <c r="G32" s="87"/>
      <c r="H32" s="87"/>
      <c r="I32" s="87"/>
      <c r="J32" s="172"/>
    </row>
    <row r="33" spans="1:10" ht="13.95" customHeight="1" x14ac:dyDescent="0.25">
      <c r="A33" s="171" t="s">
        <v>164</v>
      </c>
      <c r="B33" s="156" t="s">
        <v>167</v>
      </c>
      <c r="C33" s="45"/>
      <c r="D33" s="88"/>
      <c r="E33" s="45"/>
      <c r="F33" s="45"/>
      <c r="G33" s="87"/>
      <c r="H33" s="87"/>
      <c r="I33" s="87"/>
      <c r="J33" s="172"/>
    </row>
    <row r="34" spans="1:10" ht="15.65" customHeight="1" x14ac:dyDescent="0.25">
      <c r="A34" s="308"/>
      <c r="B34" s="309"/>
      <c r="C34" s="309"/>
      <c r="D34" s="309"/>
      <c r="E34" s="309"/>
      <c r="F34" s="309"/>
      <c r="G34" s="309"/>
      <c r="H34" s="309"/>
      <c r="I34" s="309"/>
      <c r="J34" s="310"/>
    </row>
    <row r="35" spans="1:10" ht="15.65" customHeight="1" x14ac:dyDescent="0.25">
      <c r="A35" s="260"/>
      <c r="B35" s="261"/>
      <c r="C35" s="261"/>
      <c r="D35" s="261"/>
      <c r="E35" s="261"/>
      <c r="F35" s="261"/>
      <c r="G35" s="261"/>
      <c r="H35" s="261"/>
      <c r="I35" s="261"/>
      <c r="J35" s="261"/>
    </row>
    <row r="36" spans="1:10" x14ac:dyDescent="0.25">
      <c r="A36" s="57"/>
    </row>
    <row r="37" spans="1:10" ht="14.95" customHeight="1" x14ac:dyDescent="0.25">
      <c r="A37" s="166" t="s">
        <v>38</v>
      </c>
      <c r="B37" s="167"/>
      <c r="C37" s="167"/>
      <c r="D37" s="168"/>
      <c r="E37" s="167"/>
      <c r="F37" s="167"/>
      <c r="G37" s="169"/>
      <c r="H37" s="169"/>
      <c r="I37" s="169"/>
      <c r="J37" s="170"/>
    </row>
    <row r="38" spans="1:10" ht="12.1" customHeight="1" x14ac:dyDescent="0.25">
      <c r="A38" s="290"/>
      <c r="B38" s="291"/>
      <c r="C38" s="291"/>
      <c r="D38" s="291"/>
      <c r="E38" s="291"/>
      <c r="F38" s="291"/>
      <c r="G38" s="291"/>
      <c r="H38" s="291"/>
      <c r="I38" s="291"/>
      <c r="J38" s="292"/>
    </row>
    <row r="39" spans="1:10" s="85" customFormat="1" x14ac:dyDescent="0.25">
      <c r="A39" s="171">
        <v>1</v>
      </c>
      <c r="B39" s="156" t="s">
        <v>188</v>
      </c>
      <c r="C39" s="45"/>
      <c r="D39" s="88"/>
      <c r="E39" s="45"/>
      <c r="F39" s="45"/>
      <c r="G39" s="87"/>
      <c r="H39" s="87"/>
      <c r="I39" s="87"/>
      <c r="J39" s="172"/>
    </row>
    <row r="40" spans="1:10" s="85" customFormat="1" x14ac:dyDescent="0.25">
      <c r="A40" s="171">
        <v>2</v>
      </c>
      <c r="B40" s="156" t="s">
        <v>121</v>
      </c>
      <c r="C40" s="45"/>
      <c r="D40" s="88"/>
      <c r="E40" s="45"/>
      <c r="F40" s="45"/>
      <c r="G40" s="87"/>
      <c r="H40" s="87"/>
      <c r="I40" s="87"/>
      <c r="J40" s="172"/>
    </row>
    <row r="41" spans="1:10" s="85" customFormat="1" x14ac:dyDescent="0.25">
      <c r="A41" s="171"/>
      <c r="B41" s="156" t="s">
        <v>122</v>
      </c>
      <c r="C41" s="45"/>
      <c r="D41" s="88"/>
      <c r="E41" s="45"/>
      <c r="F41" s="45"/>
      <c r="G41" s="87"/>
      <c r="H41" s="87"/>
      <c r="I41" s="87"/>
      <c r="J41" s="172"/>
    </row>
    <row r="42" spans="1:10" s="85" customFormat="1" x14ac:dyDescent="0.25">
      <c r="A42" s="171">
        <v>3</v>
      </c>
      <c r="B42" s="156" t="s">
        <v>123</v>
      </c>
      <c r="C42" s="45"/>
      <c r="D42" s="88"/>
      <c r="E42" s="45"/>
      <c r="F42" s="45"/>
      <c r="G42" s="87"/>
      <c r="H42" s="87"/>
      <c r="I42" s="87"/>
      <c r="J42" s="172"/>
    </row>
    <row r="43" spans="1:10" s="85" customFormat="1" x14ac:dyDescent="0.25">
      <c r="A43" s="171">
        <v>4</v>
      </c>
      <c r="B43" s="156" t="s">
        <v>124</v>
      </c>
      <c r="C43" s="87"/>
      <c r="D43" s="88"/>
      <c r="E43" s="45"/>
      <c r="F43" s="45"/>
      <c r="G43" s="87"/>
      <c r="H43" s="87"/>
      <c r="I43" s="87"/>
      <c r="J43" s="172"/>
    </row>
    <row r="44" spans="1:10" s="85" customFormat="1" x14ac:dyDescent="0.25">
      <c r="A44" s="171"/>
      <c r="B44" s="156" t="s">
        <v>67</v>
      </c>
      <c r="C44" s="45"/>
      <c r="D44" s="88"/>
      <c r="E44" s="45"/>
      <c r="F44" s="45"/>
      <c r="G44" s="87"/>
      <c r="H44" s="87"/>
      <c r="I44" s="87"/>
      <c r="J44" s="172"/>
    </row>
    <row r="45" spans="1:10" s="85" customFormat="1" x14ac:dyDescent="0.25">
      <c r="A45" s="171"/>
      <c r="B45" s="156" t="s">
        <v>65</v>
      </c>
      <c r="C45" s="45"/>
      <c r="D45" s="88"/>
      <c r="E45" s="45"/>
      <c r="F45" s="45"/>
      <c r="G45" s="87"/>
      <c r="H45" s="87"/>
      <c r="I45" s="87"/>
      <c r="J45" s="172"/>
    </row>
    <row r="46" spans="1:10" s="85" customFormat="1" x14ac:dyDescent="0.25">
      <c r="A46" s="171"/>
      <c r="B46" s="156" t="s">
        <v>66</v>
      </c>
      <c r="C46" s="87"/>
      <c r="D46" s="88"/>
      <c r="E46" s="45"/>
      <c r="F46" s="45"/>
      <c r="G46" s="87"/>
      <c r="H46" s="87"/>
      <c r="I46" s="87"/>
      <c r="J46" s="172"/>
    </row>
    <row r="47" spans="1:10" s="245" customFormat="1" x14ac:dyDescent="0.25">
      <c r="A47" s="171">
        <v>5</v>
      </c>
      <c r="B47" s="241" t="s">
        <v>110</v>
      </c>
      <c r="C47" s="242"/>
      <c r="D47" s="243"/>
      <c r="E47" s="46"/>
      <c r="F47" s="46"/>
      <c r="G47" s="242"/>
      <c r="H47" s="242"/>
      <c r="I47" s="242"/>
      <c r="J47" s="244"/>
    </row>
    <row r="48" spans="1:10" s="245" customFormat="1" x14ac:dyDescent="0.25">
      <c r="A48" s="171">
        <v>6</v>
      </c>
      <c r="B48" s="241" t="s">
        <v>127</v>
      </c>
      <c r="C48" s="46"/>
      <c r="D48" s="243"/>
      <c r="E48" s="46"/>
      <c r="F48" s="46"/>
      <c r="G48" s="242"/>
      <c r="H48" s="242"/>
      <c r="I48" s="242"/>
      <c r="J48" s="244"/>
    </row>
    <row r="49" spans="1:10" s="245" customFormat="1" x14ac:dyDescent="0.25">
      <c r="A49" s="171">
        <v>7</v>
      </c>
      <c r="B49" s="241" t="s">
        <v>168</v>
      </c>
      <c r="C49" s="46"/>
      <c r="D49" s="243"/>
      <c r="E49" s="46"/>
      <c r="F49" s="46"/>
      <c r="G49" s="242"/>
      <c r="H49" s="242"/>
      <c r="I49" s="242"/>
      <c r="J49" s="244"/>
    </row>
    <row r="50" spans="1:10" s="251" customFormat="1" x14ac:dyDescent="0.25">
      <c r="A50" s="173">
        <v>8</v>
      </c>
      <c r="B50" s="246" t="s">
        <v>169</v>
      </c>
      <c r="C50" s="247"/>
      <c r="D50" s="248"/>
      <c r="E50" s="247"/>
      <c r="F50" s="247"/>
      <c r="G50" s="249"/>
      <c r="H50" s="249"/>
      <c r="I50" s="249"/>
      <c r="J50" s="250"/>
    </row>
    <row r="51" spans="1:10" s="251" customFormat="1" x14ac:dyDescent="0.25">
      <c r="A51" s="173"/>
      <c r="B51" s="246" t="s">
        <v>189</v>
      </c>
      <c r="C51" s="247"/>
      <c r="D51" s="248"/>
      <c r="E51" s="247"/>
      <c r="F51" s="247"/>
      <c r="G51" s="249"/>
      <c r="H51" s="249"/>
      <c r="I51" s="249"/>
      <c r="J51" s="250"/>
    </row>
    <row r="52" spans="1:10" s="251" customFormat="1" x14ac:dyDescent="0.25">
      <c r="A52" s="173">
        <v>9</v>
      </c>
      <c r="B52" s="241" t="s">
        <v>170</v>
      </c>
      <c r="C52" s="46"/>
      <c r="D52" s="243"/>
      <c r="E52" s="46"/>
      <c r="F52" s="46"/>
      <c r="G52" s="242"/>
      <c r="H52" s="242"/>
      <c r="I52" s="242"/>
      <c r="J52" s="244"/>
    </row>
    <row r="53" spans="1:10" s="251" customFormat="1" x14ac:dyDescent="0.25">
      <c r="A53" s="173">
        <v>10</v>
      </c>
      <c r="B53" s="241" t="s">
        <v>106</v>
      </c>
      <c r="C53" s="46"/>
      <c r="D53" s="243"/>
      <c r="E53" s="46"/>
      <c r="F53" s="46"/>
      <c r="G53" s="242"/>
      <c r="H53" s="242"/>
      <c r="I53" s="242"/>
      <c r="J53" s="244"/>
    </row>
    <row r="54" spans="1:10" s="251" customFormat="1" x14ac:dyDescent="0.25">
      <c r="A54" s="173"/>
      <c r="B54" s="241" t="s">
        <v>220</v>
      </c>
      <c r="C54" s="46"/>
      <c r="D54" s="243"/>
      <c r="E54" s="46"/>
      <c r="F54" s="46"/>
      <c r="G54" s="242"/>
      <c r="H54" s="242"/>
      <c r="I54" s="242"/>
      <c r="J54" s="244"/>
    </row>
    <row r="55" spans="1:10" s="251" customFormat="1" x14ac:dyDescent="0.25">
      <c r="A55" s="173"/>
      <c r="B55" s="241" t="s">
        <v>223</v>
      </c>
      <c r="C55" s="46"/>
      <c r="D55" s="243"/>
      <c r="E55" s="46"/>
      <c r="F55" s="46"/>
      <c r="G55" s="242"/>
      <c r="H55" s="242"/>
      <c r="I55" s="242"/>
      <c r="J55" s="244"/>
    </row>
    <row r="56" spans="1:10" s="251" customFormat="1" x14ac:dyDescent="0.25">
      <c r="A56" s="173"/>
      <c r="B56" s="252" t="s">
        <v>187</v>
      </c>
      <c r="C56" s="46"/>
      <c r="D56" s="243"/>
      <c r="E56" s="46"/>
      <c r="F56" s="46"/>
      <c r="G56" s="242"/>
      <c r="H56" s="242"/>
      <c r="I56" s="242"/>
      <c r="J56" s="244"/>
    </row>
    <row r="57" spans="1:10" s="251" customFormat="1" x14ac:dyDescent="0.25">
      <c r="A57" s="173">
        <v>11</v>
      </c>
      <c r="B57" s="241" t="s">
        <v>221</v>
      </c>
      <c r="C57" s="46"/>
      <c r="D57" s="243"/>
      <c r="E57" s="46"/>
      <c r="F57" s="46"/>
      <c r="G57" s="242"/>
      <c r="H57" s="242"/>
      <c r="I57" s="242"/>
      <c r="J57" s="244"/>
    </row>
    <row r="58" spans="1:10" s="251" customFormat="1" x14ac:dyDescent="0.25">
      <c r="A58" s="175"/>
      <c r="B58" s="241" t="s">
        <v>224</v>
      </c>
      <c r="C58" s="46"/>
      <c r="D58" s="243"/>
      <c r="E58" s="46"/>
      <c r="F58" s="46"/>
      <c r="G58" s="242"/>
      <c r="H58" s="242"/>
      <c r="I58" s="242"/>
      <c r="J58" s="244"/>
    </row>
    <row r="59" spans="1:10" x14ac:dyDescent="0.25">
      <c r="A59" s="175"/>
      <c r="B59" s="81"/>
      <c r="C59" s="76"/>
      <c r="D59" s="77"/>
      <c r="E59" s="76"/>
      <c r="F59" s="76"/>
      <c r="G59" s="78"/>
      <c r="H59" s="78"/>
      <c r="I59" s="78"/>
      <c r="J59" s="174"/>
    </row>
    <row r="60" spans="1:10" ht="9.6999999999999993" customHeight="1" x14ac:dyDescent="0.25">
      <c r="A60" s="176"/>
      <c r="B60" s="177"/>
      <c r="C60" s="178"/>
      <c r="D60" s="179"/>
      <c r="E60" s="178"/>
      <c r="F60" s="178"/>
      <c r="G60" s="180"/>
      <c r="H60" s="180"/>
      <c r="I60" s="180"/>
      <c r="J60" s="181"/>
    </row>
    <row r="61" spans="1:10" x14ac:dyDescent="0.25">
      <c r="A61" s="57"/>
    </row>
    <row r="62" spans="1:10" x14ac:dyDescent="0.25">
      <c r="A62" s="262" t="s">
        <v>152</v>
      </c>
    </row>
    <row r="63" spans="1:10" x14ac:dyDescent="0.25">
      <c r="A63" s="57"/>
    </row>
    <row r="64" spans="1:10" x14ac:dyDescent="0.25">
      <c r="A64" s="282" t="s">
        <v>231</v>
      </c>
      <c r="B64" s="83"/>
      <c r="C64" s="83"/>
    </row>
    <row r="65" spans="1:10" x14ac:dyDescent="0.25">
      <c r="A65" s="282"/>
      <c r="B65" s="83"/>
      <c r="C65" s="83"/>
    </row>
    <row r="66" spans="1:10" x14ac:dyDescent="0.25">
      <c r="A66" s="263" t="s">
        <v>41</v>
      </c>
      <c r="B66" s="264"/>
      <c r="C66" s="283">
        <v>44652</v>
      </c>
      <c r="E66" s="1"/>
    </row>
    <row r="67" spans="1:10" x14ac:dyDescent="0.25">
      <c r="A67" s="265" t="s">
        <v>128</v>
      </c>
      <c r="B67" s="266"/>
      <c r="C67" s="267">
        <v>4.4999999999999998E-2</v>
      </c>
      <c r="D67" s="268" t="s">
        <v>215</v>
      </c>
    </row>
    <row r="68" spans="1:10" x14ac:dyDescent="0.25">
      <c r="A68" s="102"/>
      <c r="B68" s="81"/>
      <c r="C68" s="76"/>
    </row>
    <row r="69" spans="1:10" x14ac:dyDescent="0.25">
      <c r="A69" s="262" t="s">
        <v>154</v>
      </c>
      <c r="B69" s="81"/>
      <c r="C69" s="255"/>
    </row>
    <row r="70" spans="1:10" x14ac:dyDescent="0.25">
      <c r="A70" s="102"/>
      <c r="B70" s="81"/>
      <c r="C70" s="255"/>
    </row>
    <row r="71" spans="1:10" x14ac:dyDescent="0.25">
      <c r="A71" s="78" t="s">
        <v>187</v>
      </c>
      <c r="B71" s="100"/>
      <c r="C71" s="101"/>
      <c r="D71" s="77"/>
      <c r="E71" s="141"/>
    </row>
    <row r="72" spans="1:10" x14ac:dyDescent="0.25">
      <c r="A72" s="78" t="s">
        <v>145</v>
      </c>
      <c r="B72" s="100"/>
      <c r="C72" s="101"/>
      <c r="D72" s="77"/>
      <c r="E72" s="141"/>
    </row>
    <row r="73" spans="1:10" x14ac:dyDescent="0.25">
      <c r="A73" s="78" t="s">
        <v>116</v>
      </c>
      <c r="B73" s="100"/>
      <c r="C73" s="101"/>
      <c r="D73" s="77"/>
      <c r="E73" s="141"/>
    </row>
    <row r="74" spans="1:10" x14ac:dyDescent="0.25">
      <c r="A74" s="78"/>
      <c r="B74" s="100"/>
      <c r="C74" s="101"/>
      <c r="D74" s="77"/>
      <c r="E74" s="141"/>
    </row>
    <row r="75" spans="1:10" x14ac:dyDescent="0.25">
      <c r="A75" s="220" t="s">
        <v>75</v>
      </c>
      <c r="B75" s="253"/>
      <c r="C75" s="254"/>
      <c r="D75" s="77"/>
      <c r="E75" s="141"/>
    </row>
    <row r="76" spans="1:10" s="85" customFormat="1" x14ac:dyDescent="0.25">
      <c r="A76" s="207" t="s">
        <v>99</v>
      </c>
      <c r="B76" s="46"/>
      <c r="C76" s="208"/>
      <c r="E76" s="83"/>
      <c r="F76" s="83"/>
      <c r="J76" s="86"/>
    </row>
    <row r="77" spans="1:10" s="85" customFormat="1" x14ac:dyDescent="0.25">
      <c r="A77" s="207" t="s">
        <v>100</v>
      </c>
      <c r="B77" s="46"/>
      <c r="C77" s="209">
        <f>A178-A177</f>
        <v>800000</v>
      </c>
      <c r="D77" s="147" t="s">
        <v>125</v>
      </c>
      <c r="E77" s="83"/>
      <c r="F77" s="83"/>
      <c r="J77" s="86"/>
    </row>
    <row r="78" spans="1:10" s="85" customFormat="1" x14ac:dyDescent="0.25">
      <c r="A78" s="207" t="s">
        <v>101</v>
      </c>
      <c r="B78" s="46"/>
      <c r="C78" s="208"/>
      <c r="D78" s="84"/>
      <c r="E78" s="83"/>
      <c r="F78" s="83"/>
      <c r="G78" s="256"/>
      <c r="J78" s="86"/>
    </row>
    <row r="79" spans="1:10" s="85" customFormat="1" x14ac:dyDescent="0.25">
      <c r="A79" s="207" t="s">
        <v>103</v>
      </c>
      <c r="B79" s="46"/>
      <c r="C79" s="210">
        <f>C77/A178*E121</f>
        <v>559644.00729237695</v>
      </c>
      <c r="D79" s="84"/>
      <c r="E79" s="83"/>
      <c r="F79" s="83"/>
      <c r="J79" s="86"/>
    </row>
    <row r="80" spans="1:10" s="85" customFormat="1" x14ac:dyDescent="0.25">
      <c r="A80" s="207" t="s">
        <v>102</v>
      </c>
      <c r="B80" s="46"/>
      <c r="C80" s="208"/>
      <c r="D80" s="84"/>
      <c r="E80" s="83"/>
      <c r="F80" s="83"/>
      <c r="J80" s="86"/>
    </row>
    <row r="81" spans="1:10" s="85" customFormat="1" x14ac:dyDescent="0.25">
      <c r="A81" s="211" t="s">
        <v>222</v>
      </c>
      <c r="B81" s="212"/>
      <c r="C81" s="213">
        <f>C77/A178*(A178-E121)</f>
        <v>240355.99270762305</v>
      </c>
      <c r="D81" s="288" t="s">
        <v>217</v>
      </c>
      <c r="E81" s="83"/>
      <c r="F81" s="83"/>
      <c r="J81" s="86"/>
    </row>
    <row r="82" spans="1:10" x14ac:dyDescent="0.25">
      <c r="A82" s="102"/>
      <c r="B82" s="81"/>
      <c r="C82" s="255"/>
    </row>
    <row r="83" spans="1:10" x14ac:dyDescent="0.25">
      <c r="A83" s="262" t="s">
        <v>156</v>
      </c>
      <c r="B83" s="81"/>
      <c r="C83" s="255"/>
    </row>
    <row r="84" spans="1:10" x14ac:dyDescent="0.25">
      <c r="A84" s="102"/>
      <c r="B84" s="81"/>
      <c r="C84" s="255"/>
    </row>
    <row r="85" spans="1:10" x14ac:dyDescent="0.25">
      <c r="A85" s="240" t="s">
        <v>130</v>
      </c>
      <c r="C85" s="28"/>
      <c r="D85" s="29"/>
      <c r="E85" s="1"/>
    </row>
    <row r="86" spans="1:10" x14ac:dyDescent="0.25">
      <c r="A86" s="240" t="s">
        <v>131</v>
      </c>
      <c r="C86" s="28"/>
      <c r="D86" s="29"/>
      <c r="E86" s="1"/>
    </row>
    <row r="87" spans="1:10" x14ac:dyDescent="0.25">
      <c r="A87" s="27"/>
      <c r="C87" s="28"/>
      <c r="D87" s="29"/>
      <c r="E87" s="1"/>
    </row>
    <row r="88" spans="1:10" x14ac:dyDescent="0.25">
      <c r="A88" s="183" t="s">
        <v>20</v>
      </c>
      <c r="B88" s="184"/>
      <c r="C88" s="185"/>
      <c r="D88" s="30"/>
      <c r="E88" s="1"/>
    </row>
    <row r="89" spans="1:10" x14ac:dyDescent="0.25">
      <c r="A89" s="190" t="s">
        <v>62</v>
      </c>
      <c r="B89" s="81" t="s">
        <v>63</v>
      </c>
      <c r="C89" s="187"/>
      <c r="D89" s="39"/>
      <c r="E89" s="1"/>
    </row>
    <row r="90" spans="1:10" x14ac:dyDescent="0.25">
      <c r="A90" s="190">
        <v>120000</v>
      </c>
      <c r="B90" s="81" t="s">
        <v>71</v>
      </c>
      <c r="C90" s="187"/>
      <c r="D90" s="39"/>
      <c r="E90" s="1"/>
    </row>
    <row r="91" spans="1:10" x14ac:dyDescent="0.25">
      <c r="A91" s="190">
        <v>200000</v>
      </c>
      <c r="B91" s="81" t="s">
        <v>64</v>
      </c>
      <c r="C91" s="187"/>
      <c r="D91" s="289" t="s">
        <v>40</v>
      </c>
      <c r="E91" s="1"/>
    </row>
    <row r="92" spans="1:10" x14ac:dyDescent="0.25">
      <c r="A92" s="191"/>
      <c r="B92" s="177"/>
      <c r="C92" s="189"/>
      <c r="D92" s="39"/>
      <c r="E92" s="1"/>
    </row>
    <row r="93" spans="1:10" x14ac:dyDescent="0.25">
      <c r="A93" s="102"/>
      <c r="B93" s="81"/>
      <c r="C93" s="255"/>
    </row>
    <row r="94" spans="1:10" x14ac:dyDescent="0.25">
      <c r="A94" s="1" t="s">
        <v>132</v>
      </c>
      <c r="E94" s="30"/>
    </row>
    <row r="95" spans="1:10" x14ac:dyDescent="0.25">
      <c r="A95" s="1" t="s">
        <v>133</v>
      </c>
      <c r="E95" s="30"/>
    </row>
    <row r="96" spans="1:10" x14ac:dyDescent="0.25">
      <c r="A96" s="1" t="s">
        <v>134</v>
      </c>
      <c r="E96" s="30"/>
    </row>
    <row r="97" spans="1:10" x14ac:dyDescent="0.25">
      <c r="A97" s="1" t="s">
        <v>135</v>
      </c>
      <c r="E97" s="30"/>
    </row>
    <row r="98" spans="1:10" x14ac:dyDescent="0.25">
      <c r="E98" s="30"/>
    </row>
    <row r="99" spans="1:10" x14ac:dyDescent="0.25">
      <c r="A99" s="183" t="s">
        <v>42</v>
      </c>
      <c r="B99" s="194"/>
      <c r="C99" s="184"/>
      <c r="D99" s="195"/>
      <c r="E99" s="182"/>
    </row>
    <row r="100" spans="1:10" x14ac:dyDescent="0.25">
      <c r="A100" s="196"/>
      <c r="B100" s="192" t="s">
        <v>12</v>
      </c>
      <c r="C100" s="192" t="s">
        <v>13</v>
      </c>
      <c r="D100" s="193" t="s">
        <v>14</v>
      </c>
      <c r="E100" s="197" t="s">
        <v>15</v>
      </c>
    </row>
    <row r="101" spans="1:10" x14ac:dyDescent="0.25">
      <c r="A101" s="196">
        <v>1</v>
      </c>
      <c r="B101" s="100">
        <v>120000</v>
      </c>
      <c r="C101" s="101">
        <v>45017</v>
      </c>
      <c r="D101" s="77">
        <f t="shared" ref="D101:D118" si="0">1/(1+$C$67)^A101</f>
        <v>0.95693779904306231</v>
      </c>
      <c r="E101" s="198">
        <f t="shared" ref="E101:E118" si="1">B101*D101</f>
        <v>114832.53588516748</v>
      </c>
      <c r="F101" s="76"/>
      <c r="G101" s="78"/>
      <c r="H101" s="78"/>
      <c r="I101" s="144"/>
      <c r="J101" s="145"/>
    </row>
    <row r="102" spans="1:10" x14ac:dyDescent="0.25">
      <c r="A102" s="196">
        <f t="shared" ref="A102:A118" si="2">A101+1</f>
        <v>2</v>
      </c>
      <c r="B102" s="100">
        <v>120000</v>
      </c>
      <c r="C102" s="101">
        <v>45383</v>
      </c>
      <c r="D102" s="77">
        <f t="shared" si="0"/>
        <v>0.91572995123738021</v>
      </c>
      <c r="E102" s="198">
        <f t="shared" si="1"/>
        <v>109887.59414848563</v>
      </c>
      <c r="F102" s="76"/>
      <c r="G102" s="78"/>
      <c r="H102" s="78"/>
      <c r="I102" s="144"/>
      <c r="J102" s="145"/>
    </row>
    <row r="103" spans="1:10" x14ac:dyDescent="0.25">
      <c r="A103" s="196">
        <f t="shared" si="2"/>
        <v>3</v>
      </c>
      <c r="B103" s="100">
        <v>120000</v>
      </c>
      <c r="C103" s="101">
        <v>45748</v>
      </c>
      <c r="D103" s="77">
        <f t="shared" si="0"/>
        <v>0.87629660405490928</v>
      </c>
      <c r="E103" s="198">
        <f t="shared" si="1"/>
        <v>105155.59248658911</v>
      </c>
      <c r="F103" s="76"/>
      <c r="G103" s="78"/>
      <c r="H103" s="78"/>
      <c r="I103" s="144"/>
      <c r="J103" s="145"/>
    </row>
    <row r="104" spans="1:10" x14ac:dyDescent="0.25">
      <c r="A104" s="196">
        <f t="shared" si="2"/>
        <v>4</v>
      </c>
      <c r="B104" s="100">
        <v>120000</v>
      </c>
      <c r="C104" s="101">
        <v>46113</v>
      </c>
      <c r="D104" s="77">
        <f t="shared" si="0"/>
        <v>0.83856134359321488</v>
      </c>
      <c r="E104" s="198">
        <f t="shared" si="1"/>
        <v>100627.36123118579</v>
      </c>
      <c r="F104" s="76"/>
      <c r="G104" s="78"/>
      <c r="H104" s="78"/>
      <c r="I104" s="144"/>
      <c r="J104" s="145"/>
    </row>
    <row r="105" spans="1:10" x14ac:dyDescent="0.25">
      <c r="A105" s="196">
        <f t="shared" si="2"/>
        <v>5</v>
      </c>
      <c r="B105" s="100">
        <v>120000</v>
      </c>
      <c r="C105" s="101">
        <v>46478</v>
      </c>
      <c r="D105" s="77">
        <f t="shared" si="0"/>
        <v>0.80245104650068411</v>
      </c>
      <c r="E105" s="198">
        <f t="shared" si="1"/>
        <v>96294.125580082095</v>
      </c>
      <c r="F105" s="76"/>
      <c r="G105" s="78"/>
      <c r="H105" s="78"/>
      <c r="I105" s="144"/>
      <c r="J105" s="145"/>
    </row>
    <row r="106" spans="1:10" x14ac:dyDescent="0.25">
      <c r="A106" s="196">
        <f t="shared" si="2"/>
        <v>6</v>
      </c>
      <c r="B106" s="100">
        <v>120000</v>
      </c>
      <c r="C106" s="101">
        <v>46844</v>
      </c>
      <c r="D106" s="77">
        <f t="shared" si="0"/>
        <v>0.76789573827816682</v>
      </c>
      <c r="E106" s="198">
        <f t="shared" si="1"/>
        <v>92147.488593380025</v>
      </c>
      <c r="F106" s="76"/>
      <c r="G106" s="78"/>
      <c r="H106" s="78"/>
      <c r="I106" s="144"/>
      <c r="J106" s="145"/>
    </row>
    <row r="107" spans="1:10" x14ac:dyDescent="0.25">
      <c r="A107" s="196">
        <f t="shared" si="2"/>
        <v>7</v>
      </c>
      <c r="B107" s="100">
        <v>120000</v>
      </c>
      <c r="C107" s="101">
        <v>47209</v>
      </c>
      <c r="D107" s="77">
        <f t="shared" si="0"/>
        <v>0.73482845768245619</v>
      </c>
      <c r="E107" s="198">
        <f t="shared" si="1"/>
        <v>88179.414921894742</v>
      </c>
      <c r="F107" s="76"/>
      <c r="G107" s="78"/>
      <c r="H107" s="78"/>
      <c r="I107" s="144"/>
      <c r="J107" s="145"/>
    </row>
    <row r="108" spans="1:10" x14ac:dyDescent="0.25">
      <c r="A108" s="196">
        <f t="shared" si="2"/>
        <v>8</v>
      </c>
      <c r="B108" s="100">
        <v>120000</v>
      </c>
      <c r="C108" s="101">
        <v>47574</v>
      </c>
      <c r="D108" s="77">
        <f t="shared" si="0"/>
        <v>0.70318512696885782</v>
      </c>
      <c r="E108" s="198">
        <f t="shared" si="1"/>
        <v>84382.215236262942</v>
      </c>
      <c r="F108" s="76"/>
      <c r="G108" s="78"/>
      <c r="H108" s="78"/>
      <c r="I108" s="144"/>
      <c r="J108" s="145"/>
    </row>
    <row r="109" spans="1:10" x14ac:dyDescent="0.25">
      <c r="A109" s="196">
        <f t="shared" si="2"/>
        <v>9</v>
      </c>
      <c r="B109" s="100">
        <v>120000</v>
      </c>
      <c r="C109" s="101">
        <v>47939</v>
      </c>
      <c r="D109" s="77">
        <f t="shared" si="0"/>
        <v>0.67290442772139514</v>
      </c>
      <c r="E109" s="198">
        <f t="shared" si="1"/>
        <v>80748.531326567419</v>
      </c>
      <c r="F109" s="76"/>
      <c r="G109" s="78"/>
      <c r="H109" s="78"/>
      <c r="I109" s="144"/>
      <c r="J109" s="145"/>
    </row>
    <row r="110" spans="1:10" x14ac:dyDescent="0.25">
      <c r="A110" s="196">
        <f t="shared" si="2"/>
        <v>10</v>
      </c>
      <c r="B110" s="100">
        <v>120000</v>
      </c>
      <c r="C110" s="101">
        <v>48304</v>
      </c>
      <c r="D110" s="77">
        <f t="shared" si="0"/>
        <v>0.64392768203004325</v>
      </c>
      <c r="E110" s="198">
        <f t="shared" si="1"/>
        <v>77271.321843605183</v>
      </c>
      <c r="F110" s="76"/>
      <c r="G110" s="78"/>
      <c r="H110" s="78"/>
      <c r="I110" s="144"/>
      <c r="J110" s="145"/>
    </row>
    <row r="111" spans="1:10" x14ac:dyDescent="0.25">
      <c r="A111" s="196">
        <f t="shared" si="2"/>
        <v>11</v>
      </c>
      <c r="B111" s="100">
        <v>120000</v>
      </c>
      <c r="C111" s="101">
        <v>48669</v>
      </c>
      <c r="D111" s="77">
        <f t="shared" si="0"/>
        <v>0.61619873878473042</v>
      </c>
      <c r="E111" s="198">
        <f t="shared" si="1"/>
        <v>73943.848654167654</v>
      </c>
      <c r="F111" s="76"/>
      <c r="G111" s="78"/>
      <c r="H111" s="78"/>
      <c r="I111" s="144"/>
      <c r="J111" s="145"/>
    </row>
    <row r="112" spans="1:10" x14ac:dyDescent="0.25">
      <c r="A112" s="196">
        <f t="shared" si="2"/>
        <v>12</v>
      </c>
      <c r="B112" s="100">
        <v>120000</v>
      </c>
      <c r="C112" s="101">
        <v>49034</v>
      </c>
      <c r="D112" s="77">
        <f t="shared" si="0"/>
        <v>0.58966386486577083</v>
      </c>
      <c r="E112" s="198">
        <f t="shared" si="1"/>
        <v>70759.663783892494</v>
      </c>
      <c r="F112" s="76"/>
      <c r="G112" s="78"/>
      <c r="H112" s="78"/>
      <c r="I112" s="144"/>
      <c r="J112" s="145"/>
    </row>
    <row r="113" spans="1:10" x14ac:dyDescent="0.25">
      <c r="A113" s="196">
        <f t="shared" si="2"/>
        <v>13</v>
      </c>
      <c r="B113" s="100">
        <v>120000</v>
      </c>
      <c r="C113" s="101">
        <v>49399</v>
      </c>
      <c r="D113" s="77">
        <f t="shared" si="0"/>
        <v>0.56427164101987637</v>
      </c>
      <c r="E113" s="198">
        <f t="shared" si="1"/>
        <v>67712.596922385157</v>
      </c>
      <c r="F113" s="76"/>
      <c r="G113" s="78"/>
      <c r="H113" s="78"/>
      <c r="I113" s="144"/>
      <c r="J113" s="145"/>
    </row>
    <row r="114" spans="1:10" x14ac:dyDescent="0.25">
      <c r="A114" s="196">
        <f t="shared" si="2"/>
        <v>14</v>
      </c>
      <c r="B114" s="100">
        <v>120000</v>
      </c>
      <c r="C114" s="101">
        <v>49765</v>
      </c>
      <c r="D114" s="77">
        <f t="shared" si="0"/>
        <v>0.53997286221997753</v>
      </c>
      <c r="E114" s="198">
        <f t="shared" si="1"/>
        <v>64796.743466397304</v>
      </c>
      <c r="F114" s="76"/>
      <c r="G114" s="78"/>
      <c r="H114" s="78"/>
      <c r="I114" s="144"/>
      <c r="J114" s="145"/>
    </row>
    <row r="115" spans="1:10" x14ac:dyDescent="0.25">
      <c r="A115" s="196">
        <f t="shared" si="2"/>
        <v>15</v>
      </c>
      <c r="B115" s="100">
        <v>120000</v>
      </c>
      <c r="C115" s="101">
        <v>50130</v>
      </c>
      <c r="D115" s="77">
        <f t="shared" si="0"/>
        <v>0.51672044231576797</v>
      </c>
      <c r="E115" s="198">
        <f t="shared" si="1"/>
        <v>62006.453077892154</v>
      </c>
      <c r="F115" s="76"/>
      <c r="G115" s="78"/>
      <c r="H115" s="78"/>
      <c r="I115" s="144"/>
      <c r="J115" s="145"/>
    </row>
    <row r="116" spans="1:10" x14ac:dyDescent="0.25">
      <c r="A116" s="196">
        <f t="shared" si="2"/>
        <v>16</v>
      </c>
      <c r="B116" s="100">
        <v>120000</v>
      </c>
      <c r="C116" s="101">
        <v>50495</v>
      </c>
      <c r="D116" s="77">
        <f t="shared" si="0"/>
        <v>0.49446932279020878</v>
      </c>
      <c r="E116" s="198">
        <f t="shared" si="1"/>
        <v>59336.31873482505</v>
      </c>
      <c r="F116" s="76"/>
      <c r="G116" s="78"/>
      <c r="H116" s="78"/>
      <c r="I116" s="144"/>
      <c r="J116" s="145"/>
    </row>
    <row r="117" spans="1:10" x14ac:dyDescent="0.25">
      <c r="A117" s="196">
        <f t="shared" si="2"/>
        <v>17</v>
      </c>
      <c r="B117" s="100">
        <v>120000</v>
      </c>
      <c r="C117" s="101">
        <v>50860</v>
      </c>
      <c r="D117" s="77">
        <f t="shared" si="0"/>
        <v>0.47317638544517582</v>
      </c>
      <c r="E117" s="198">
        <f t="shared" si="1"/>
        <v>56781.166253421099</v>
      </c>
      <c r="F117" s="76"/>
      <c r="G117" s="78"/>
      <c r="H117" s="78"/>
      <c r="I117" s="144"/>
      <c r="J117" s="145"/>
    </row>
    <row r="118" spans="1:10" x14ac:dyDescent="0.25">
      <c r="A118" s="196">
        <f t="shared" si="2"/>
        <v>18</v>
      </c>
      <c r="B118" s="100">
        <v>120000</v>
      </c>
      <c r="C118" s="101">
        <v>51226</v>
      </c>
      <c r="D118" s="77">
        <f t="shared" si="0"/>
        <v>0.45280036884705832</v>
      </c>
      <c r="E118" s="199">
        <f t="shared" si="1"/>
        <v>54336.044261646995</v>
      </c>
      <c r="F118" s="76"/>
      <c r="G118" s="78"/>
      <c r="H118" s="78"/>
      <c r="I118" s="144"/>
      <c r="J118" s="145"/>
    </row>
    <row r="119" spans="1:10" x14ac:dyDescent="0.25">
      <c r="A119" s="196"/>
      <c r="B119" s="100"/>
      <c r="C119" s="101"/>
      <c r="D119" s="110" t="s">
        <v>74</v>
      </c>
      <c r="E119" s="200">
        <f>SUM(E101:E118)</f>
        <v>1459199.0164078481</v>
      </c>
      <c r="F119" s="76"/>
      <c r="G119" s="76"/>
      <c r="I119" s="144"/>
      <c r="J119" s="144"/>
    </row>
    <row r="120" spans="1:10" x14ac:dyDescent="0.25">
      <c r="A120" s="196"/>
      <c r="B120" s="100"/>
      <c r="C120" s="101"/>
      <c r="D120" s="110" t="s">
        <v>172</v>
      </c>
      <c r="E120" s="201">
        <f>-A91</f>
        <v>-200000</v>
      </c>
    </row>
    <row r="121" spans="1:10" x14ac:dyDescent="0.25">
      <c r="A121" s="202"/>
      <c r="B121" s="203"/>
      <c r="C121" s="204"/>
      <c r="D121" s="205" t="s">
        <v>73</v>
      </c>
      <c r="E121" s="206">
        <f>SUM(E119:E120)</f>
        <v>1259199.0164078481</v>
      </c>
    </row>
    <row r="122" spans="1:10" x14ac:dyDescent="0.25">
      <c r="A122" s="102"/>
      <c r="B122" s="81"/>
      <c r="C122" s="255"/>
    </row>
    <row r="123" spans="1:10" x14ac:dyDescent="0.25">
      <c r="A123" s="262" t="s">
        <v>158</v>
      </c>
      <c r="B123" s="81"/>
      <c r="C123" s="255"/>
    </row>
    <row r="124" spans="1:10" x14ac:dyDescent="0.25">
      <c r="A124" s="102"/>
      <c r="B124" s="81"/>
      <c r="C124" s="255"/>
    </row>
    <row r="125" spans="1:10" x14ac:dyDescent="0.25">
      <c r="A125" s="78" t="s">
        <v>173</v>
      </c>
      <c r="E125" s="1"/>
    </row>
    <row r="126" spans="1:10" x14ac:dyDescent="0.25">
      <c r="A126" s="78" t="s">
        <v>174</v>
      </c>
      <c r="B126" s="100"/>
      <c r="C126" s="101"/>
      <c r="D126" s="77"/>
      <c r="E126" s="141"/>
    </row>
    <row r="127" spans="1:10" x14ac:dyDescent="0.25">
      <c r="A127" s="78" t="s">
        <v>175</v>
      </c>
      <c r="B127" s="100"/>
      <c r="C127" s="101"/>
      <c r="D127" s="77"/>
      <c r="E127" s="141"/>
    </row>
    <row r="128" spans="1:10" x14ac:dyDescent="0.25">
      <c r="A128" s="102"/>
      <c r="B128" s="81"/>
      <c r="C128" s="255"/>
    </row>
    <row r="129" spans="1:6" s="85" customFormat="1" x14ac:dyDescent="0.25">
      <c r="A129" s="220" t="s">
        <v>68</v>
      </c>
      <c r="B129" s="184"/>
      <c r="C129" s="184"/>
      <c r="D129" s="195"/>
      <c r="E129" s="182"/>
      <c r="F129" s="83"/>
    </row>
    <row r="130" spans="1:6" s="85" customFormat="1" x14ac:dyDescent="0.25">
      <c r="A130" s="221" t="s">
        <v>43</v>
      </c>
      <c r="B130" s="87"/>
      <c r="C130" s="87"/>
      <c r="D130" s="87"/>
      <c r="E130" s="222"/>
    </row>
    <row r="131" spans="1:6" s="85" customFormat="1" x14ac:dyDescent="0.25">
      <c r="A131" s="223">
        <f>E119</f>
        <v>1459199.0164078481</v>
      </c>
      <c r="B131" s="87"/>
      <c r="C131" s="45"/>
      <c r="D131" s="45"/>
      <c r="E131" s="222"/>
    </row>
    <row r="132" spans="1:6" s="85" customFormat="1" x14ac:dyDescent="0.25">
      <c r="A132" s="224"/>
      <c r="B132" s="88"/>
      <c r="C132" s="45"/>
      <c r="D132" s="45"/>
      <c r="E132" s="222"/>
    </row>
    <row r="133" spans="1:6" s="85" customFormat="1" x14ac:dyDescent="0.25">
      <c r="A133" s="225" t="s">
        <v>16</v>
      </c>
      <c r="B133" s="89" t="s">
        <v>118</v>
      </c>
      <c r="C133" s="90" t="s">
        <v>216</v>
      </c>
      <c r="D133" s="90" t="s">
        <v>117</v>
      </c>
      <c r="E133" s="226" t="s">
        <v>119</v>
      </c>
    </row>
    <row r="134" spans="1:6" s="85" customFormat="1" x14ac:dyDescent="0.25">
      <c r="A134" s="227" t="s">
        <v>198</v>
      </c>
      <c r="B134" s="91">
        <f>A131</f>
        <v>1459199.0164078481</v>
      </c>
      <c r="C134" s="91">
        <f>B134*$C$67</f>
        <v>65663.955738353165</v>
      </c>
      <c r="D134" s="91">
        <f t="shared" ref="D134:D151" si="3">-B101</f>
        <v>-120000</v>
      </c>
      <c r="E134" s="228">
        <f t="shared" ref="E134:E151" si="4">B134+C134+D134</f>
        <v>1404862.9721462012</v>
      </c>
    </row>
    <row r="135" spans="1:6" s="85" customFormat="1" x14ac:dyDescent="0.25">
      <c r="A135" s="227" t="s">
        <v>199</v>
      </c>
      <c r="B135" s="91">
        <f>E134</f>
        <v>1404862.9721462012</v>
      </c>
      <c r="C135" s="91">
        <f t="shared" ref="C135:C151" si="5">B135*$C$67</f>
        <v>63218.833746579054</v>
      </c>
      <c r="D135" s="91">
        <f t="shared" si="3"/>
        <v>-120000</v>
      </c>
      <c r="E135" s="228">
        <f t="shared" si="4"/>
        <v>1348081.8058927802</v>
      </c>
    </row>
    <row r="136" spans="1:6" s="85" customFormat="1" x14ac:dyDescent="0.25">
      <c r="A136" s="227" t="s">
        <v>200</v>
      </c>
      <c r="B136" s="91">
        <f>E135</f>
        <v>1348081.8058927802</v>
      </c>
      <c r="C136" s="91">
        <f t="shared" si="5"/>
        <v>60663.68126517511</v>
      </c>
      <c r="D136" s="91">
        <f t="shared" si="3"/>
        <v>-120000</v>
      </c>
      <c r="E136" s="228">
        <f t="shared" si="4"/>
        <v>1288745.4871579553</v>
      </c>
    </row>
    <row r="137" spans="1:6" s="85" customFormat="1" x14ac:dyDescent="0.25">
      <c r="A137" s="227" t="s">
        <v>201</v>
      </c>
      <c r="B137" s="91">
        <f t="shared" ref="B137:B151" si="6">E136</f>
        <v>1288745.4871579553</v>
      </c>
      <c r="C137" s="91">
        <f t="shared" si="5"/>
        <v>57993.546922107984</v>
      </c>
      <c r="D137" s="91">
        <f t="shared" si="3"/>
        <v>-120000</v>
      </c>
      <c r="E137" s="228">
        <f t="shared" si="4"/>
        <v>1226739.0340800632</v>
      </c>
    </row>
    <row r="138" spans="1:6" s="85" customFormat="1" x14ac:dyDescent="0.25">
      <c r="A138" s="227" t="s">
        <v>202</v>
      </c>
      <c r="B138" s="91">
        <f t="shared" si="6"/>
        <v>1226739.0340800632</v>
      </c>
      <c r="C138" s="91">
        <f t="shared" si="5"/>
        <v>55203.256533602842</v>
      </c>
      <c r="D138" s="91">
        <f t="shared" si="3"/>
        <v>-120000</v>
      </c>
      <c r="E138" s="228">
        <f t="shared" si="4"/>
        <v>1161942.2906136662</v>
      </c>
    </row>
    <row r="139" spans="1:6" s="85" customFormat="1" x14ac:dyDescent="0.25">
      <c r="A139" s="227" t="s">
        <v>203</v>
      </c>
      <c r="B139" s="91">
        <f t="shared" si="6"/>
        <v>1161942.2906136662</v>
      </c>
      <c r="C139" s="91">
        <f t="shared" si="5"/>
        <v>52287.403077614974</v>
      </c>
      <c r="D139" s="91">
        <f t="shared" si="3"/>
        <v>-120000</v>
      </c>
      <c r="E139" s="228">
        <f t="shared" si="4"/>
        <v>1094229.6936912811</v>
      </c>
    </row>
    <row r="140" spans="1:6" s="85" customFormat="1" x14ac:dyDescent="0.25">
      <c r="A140" s="227" t="s">
        <v>204</v>
      </c>
      <c r="B140" s="91">
        <f t="shared" si="6"/>
        <v>1094229.6936912811</v>
      </c>
      <c r="C140" s="91">
        <f t="shared" si="5"/>
        <v>49240.336216107651</v>
      </c>
      <c r="D140" s="91">
        <f t="shared" si="3"/>
        <v>-120000</v>
      </c>
      <c r="E140" s="228">
        <f t="shared" si="4"/>
        <v>1023470.0299073888</v>
      </c>
    </row>
    <row r="141" spans="1:6" s="85" customFormat="1" x14ac:dyDescent="0.25">
      <c r="A141" s="227" t="s">
        <v>205</v>
      </c>
      <c r="B141" s="91">
        <f t="shared" si="6"/>
        <v>1023470.0299073888</v>
      </c>
      <c r="C141" s="91">
        <f t="shared" si="5"/>
        <v>46056.151345832499</v>
      </c>
      <c r="D141" s="91">
        <f t="shared" si="3"/>
        <v>-120000</v>
      </c>
      <c r="E141" s="228">
        <f t="shared" si="4"/>
        <v>949526.18125322135</v>
      </c>
    </row>
    <row r="142" spans="1:6" s="85" customFormat="1" x14ac:dyDescent="0.25">
      <c r="A142" s="227" t="s">
        <v>206</v>
      </c>
      <c r="B142" s="91">
        <f t="shared" si="6"/>
        <v>949526.18125322135</v>
      </c>
      <c r="C142" s="91">
        <f t="shared" si="5"/>
        <v>42728.678156394963</v>
      </c>
      <c r="D142" s="91">
        <f t="shared" si="3"/>
        <v>-120000</v>
      </c>
      <c r="E142" s="228">
        <f t="shared" si="4"/>
        <v>872254.85940961633</v>
      </c>
    </row>
    <row r="143" spans="1:6" s="85" customFormat="1" x14ac:dyDescent="0.25">
      <c r="A143" s="227" t="s">
        <v>207</v>
      </c>
      <c r="B143" s="91">
        <f t="shared" si="6"/>
        <v>872254.85940961633</v>
      </c>
      <c r="C143" s="91">
        <f t="shared" si="5"/>
        <v>39251.468673432733</v>
      </c>
      <c r="D143" s="91">
        <f t="shared" si="3"/>
        <v>-120000</v>
      </c>
      <c r="E143" s="228">
        <f t="shared" si="4"/>
        <v>791506.32808304904</v>
      </c>
    </row>
    <row r="144" spans="1:6" s="85" customFormat="1" x14ac:dyDescent="0.25">
      <c r="A144" s="227" t="s">
        <v>208</v>
      </c>
      <c r="B144" s="91">
        <f t="shared" si="6"/>
        <v>791506.32808304904</v>
      </c>
      <c r="C144" s="91">
        <f t="shared" si="5"/>
        <v>35617.784763737203</v>
      </c>
      <c r="D144" s="91">
        <f t="shared" si="3"/>
        <v>-120000</v>
      </c>
      <c r="E144" s="228">
        <f t="shared" si="4"/>
        <v>707124.11284678627</v>
      </c>
    </row>
    <row r="145" spans="1:10" s="85" customFormat="1" x14ac:dyDescent="0.25">
      <c r="A145" s="227" t="s">
        <v>209</v>
      </c>
      <c r="B145" s="91">
        <f t="shared" si="6"/>
        <v>707124.11284678627</v>
      </c>
      <c r="C145" s="91">
        <f t="shared" si="5"/>
        <v>31820.585078105381</v>
      </c>
      <c r="D145" s="91">
        <f t="shared" si="3"/>
        <v>-120000</v>
      </c>
      <c r="E145" s="228">
        <f t="shared" si="4"/>
        <v>618944.6979248916</v>
      </c>
    </row>
    <row r="146" spans="1:10" s="85" customFormat="1" x14ac:dyDescent="0.25">
      <c r="A146" s="227" t="s">
        <v>210</v>
      </c>
      <c r="B146" s="91">
        <f t="shared" si="6"/>
        <v>618944.6979248916</v>
      </c>
      <c r="C146" s="91">
        <f t="shared" si="5"/>
        <v>27852.51140662012</v>
      </c>
      <c r="D146" s="91">
        <f t="shared" si="3"/>
        <v>-120000</v>
      </c>
      <c r="E146" s="228">
        <f t="shared" si="4"/>
        <v>526797.20933151175</v>
      </c>
    </row>
    <row r="147" spans="1:10" s="85" customFormat="1" x14ac:dyDescent="0.25">
      <c r="A147" s="227" t="s">
        <v>211</v>
      </c>
      <c r="B147" s="91">
        <f t="shared" si="6"/>
        <v>526797.20933151175</v>
      </c>
      <c r="C147" s="91">
        <f t="shared" si="5"/>
        <v>23705.874419918029</v>
      </c>
      <c r="D147" s="91">
        <f t="shared" si="3"/>
        <v>-120000</v>
      </c>
      <c r="E147" s="228">
        <f t="shared" si="4"/>
        <v>430503.0837514298</v>
      </c>
    </row>
    <row r="148" spans="1:10" s="85" customFormat="1" x14ac:dyDescent="0.25">
      <c r="A148" s="227" t="s">
        <v>212</v>
      </c>
      <c r="B148" s="91">
        <f t="shared" si="6"/>
        <v>430503.0837514298</v>
      </c>
      <c r="C148" s="91">
        <f t="shared" si="5"/>
        <v>19372.63876881434</v>
      </c>
      <c r="D148" s="91">
        <f t="shared" si="3"/>
        <v>-120000</v>
      </c>
      <c r="E148" s="228">
        <f t="shared" si="4"/>
        <v>329875.72252024413</v>
      </c>
    </row>
    <row r="149" spans="1:10" s="85" customFormat="1" x14ac:dyDescent="0.25">
      <c r="A149" s="227" t="s">
        <v>213</v>
      </c>
      <c r="B149" s="91">
        <f t="shared" si="6"/>
        <v>329875.72252024413</v>
      </c>
      <c r="C149" s="91">
        <f t="shared" si="5"/>
        <v>14844.407513410986</v>
      </c>
      <c r="D149" s="91">
        <f t="shared" si="3"/>
        <v>-120000</v>
      </c>
      <c r="E149" s="228">
        <f t="shared" si="4"/>
        <v>224720.13003365509</v>
      </c>
    </row>
    <row r="150" spans="1:10" s="85" customFormat="1" x14ac:dyDescent="0.25">
      <c r="A150" s="227" t="s">
        <v>232</v>
      </c>
      <c r="B150" s="91">
        <f t="shared" si="6"/>
        <v>224720.13003365509</v>
      </c>
      <c r="C150" s="91">
        <f t="shared" si="5"/>
        <v>10112.405851514479</v>
      </c>
      <c r="D150" s="91">
        <f t="shared" si="3"/>
        <v>-120000</v>
      </c>
      <c r="E150" s="228">
        <f t="shared" si="4"/>
        <v>114832.53588516958</v>
      </c>
    </row>
    <row r="151" spans="1:10" s="85" customFormat="1" x14ac:dyDescent="0.25">
      <c r="A151" s="227" t="s">
        <v>233</v>
      </c>
      <c r="B151" s="91">
        <f t="shared" si="6"/>
        <v>114832.53588516958</v>
      </c>
      <c r="C151" s="91">
        <f t="shared" si="5"/>
        <v>5167.4641148326309</v>
      </c>
      <c r="D151" s="91">
        <f t="shared" si="3"/>
        <v>-120000</v>
      </c>
      <c r="E151" s="228">
        <f t="shared" si="4"/>
        <v>2.2118911147117615E-9</v>
      </c>
    </row>
    <row r="152" spans="1:10" s="85" customFormat="1" x14ac:dyDescent="0.25">
      <c r="A152" s="229"/>
      <c r="B152" s="230"/>
      <c r="C152" s="230"/>
      <c r="D152" s="230"/>
      <c r="E152" s="231"/>
    </row>
    <row r="153" spans="1:10" x14ac:dyDescent="0.25">
      <c r="A153" s="102"/>
      <c r="B153" s="81"/>
      <c r="C153" s="255"/>
    </row>
    <row r="154" spans="1:10" x14ac:dyDescent="0.25">
      <c r="A154" s="262" t="s">
        <v>177</v>
      </c>
      <c r="B154" s="81"/>
      <c r="C154" s="255"/>
    </row>
    <row r="155" spans="1:10" x14ac:dyDescent="0.25">
      <c r="A155" s="102"/>
      <c r="B155" s="81"/>
      <c r="C155" s="255"/>
    </row>
    <row r="156" spans="1:10" s="85" customFormat="1" x14ac:dyDescent="0.25">
      <c r="A156" s="78" t="s">
        <v>106</v>
      </c>
      <c r="B156" s="83"/>
      <c r="C156" s="83"/>
      <c r="D156" s="84"/>
      <c r="E156" s="83"/>
      <c r="F156" s="83"/>
      <c r="J156" s="86"/>
    </row>
    <row r="157" spans="1:10" s="85" customFormat="1" x14ac:dyDescent="0.25">
      <c r="A157" s="78" t="s">
        <v>107</v>
      </c>
      <c r="B157" s="83"/>
      <c r="C157" s="83"/>
      <c r="D157" s="84"/>
      <c r="E157" s="83"/>
      <c r="F157" s="83"/>
      <c r="J157" s="86"/>
    </row>
    <row r="158" spans="1:10" s="85" customFormat="1" x14ac:dyDescent="0.25">
      <c r="A158" s="78" t="s">
        <v>108</v>
      </c>
      <c r="B158" s="83"/>
      <c r="C158" s="83"/>
      <c r="D158" s="84"/>
      <c r="E158" s="83"/>
      <c r="F158" s="83"/>
      <c r="J158" s="86"/>
    </row>
    <row r="159" spans="1:10" s="85" customFormat="1" x14ac:dyDescent="0.25">
      <c r="A159" s="82"/>
      <c r="B159" s="83"/>
      <c r="C159" s="83"/>
      <c r="D159" s="84"/>
      <c r="E159" s="83"/>
      <c r="F159" s="83"/>
      <c r="J159" s="86"/>
    </row>
    <row r="160" spans="1:10" s="85" customFormat="1" x14ac:dyDescent="0.25">
      <c r="A160" s="220" t="s">
        <v>219</v>
      </c>
      <c r="B160" s="253"/>
      <c r="C160" s="254"/>
      <c r="D160" s="84"/>
      <c r="E160" s="83"/>
      <c r="F160" s="83"/>
      <c r="J160" s="86"/>
    </row>
    <row r="161" spans="1:10" s="85" customFormat="1" x14ac:dyDescent="0.25">
      <c r="A161" s="214"/>
      <c r="B161" s="104"/>
      <c r="C161" s="215"/>
      <c r="D161" s="84"/>
      <c r="E161" s="83"/>
      <c r="F161" s="83"/>
      <c r="J161" s="86"/>
    </row>
    <row r="162" spans="1:10" s="85" customFormat="1" x14ac:dyDescent="0.25">
      <c r="A162" s="207" t="s">
        <v>70</v>
      </c>
      <c r="B162" s="46"/>
      <c r="C162" s="216">
        <f>A177</f>
        <v>1000000</v>
      </c>
      <c r="D162" s="160"/>
      <c r="E162" s="161"/>
      <c r="F162" s="83"/>
      <c r="J162" s="86"/>
    </row>
    <row r="163" spans="1:10" s="85" customFormat="1" x14ac:dyDescent="0.25">
      <c r="A163" s="207" t="s">
        <v>79</v>
      </c>
      <c r="B163" s="46"/>
      <c r="C163" s="217">
        <f>E121</f>
        <v>1259199.0164078481</v>
      </c>
      <c r="D163" s="84"/>
      <c r="E163" s="269"/>
      <c r="F163" s="83"/>
      <c r="J163" s="86"/>
    </row>
    <row r="164" spans="1:10" s="85" customFormat="1" x14ac:dyDescent="0.25">
      <c r="A164" s="207" t="s">
        <v>80</v>
      </c>
      <c r="B164" s="46"/>
      <c r="C164" s="217">
        <f>A178</f>
        <v>1800000</v>
      </c>
      <c r="E164" s="83"/>
      <c r="F164" s="83"/>
      <c r="J164" s="86"/>
    </row>
    <row r="165" spans="1:10" s="85" customFormat="1" x14ac:dyDescent="0.25">
      <c r="A165" s="207" t="s">
        <v>81</v>
      </c>
      <c r="B165" s="46"/>
      <c r="C165" s="216">
        <f>C163*C162/C164</f>
        <v>699555.00911547116</v>
      </c>
      <c r="E165" s="161"/>
      <c r="F165" s="83"/>
      <c r="J165" s="86"/>
    </row>
    <row r="166" spans="1:10" s="85" customFormat="1" x14ac:dyDescent="0.25">
      <c r="A166" s="207" t="s">
        <v>85</v>
      </c>
      <c r="B166" s="46"/>
      <c r="C166" s="218" t="s">
        <v>86</v>
      </c>
      <c r="D166" s="84"/>
      <c r="E166" s="83"/>
      <c r="F166" s="83"/>
      <c r="J166" s="86"/>
    </row>
    <row r="167" spans="1:10" s="85" customFormat="1" x14ac:dyDescent="0.25">
      <c r="A167" s="211" t="s">
        <v>87</v>
      </c>
      <c r="B167" s="212"/>
      <c r="C167" s="219">
        <f>C165/18</f>
        <v>38864.167173081732</v>
      </c>
      <c r="D167" s="84"/>
      <c r="E167" s="83"/>
      <c r="F167" s="83"/>
      <c r="J167" s="86"/>
    </row>
    <row r="168" spans="1:10" x14ac:dyDescent="0.25">
      <c r="A168" s="102"/>
      <c r="B168" s="81"/>
      <c r="C168" s="255"/>
    </row>
    <row r="169" spans="1:10" x14ac:dyDescent="0.25">
      <c r="A169" s="262" t="s">
        <v>163</v>
      </c>
      <c r="B169" s="81"/>
      <c r="C169" s="255"/>
    </row>
    <row r="170" spans="1:10" x14ac:dyDescent="0.25">
      <c r="A170" s="102"/>
      <c r="B170" s="81"/>
      <c r="C170" s="255"/>
    </row>
    <row r="171" spans="1:10" x14ac:dyDescent="0.25">
      <c r="A171" s="102" t="s">
        <v>129</v>
      </c>
      <c r="B171" s="81"/>
      <c r="C171" s="237"/>
    </row>
    <row r="172" spans="1:10" x14ac:dyDescent="0.25">
      <c r="E172" s="1"/>
    </row>
    <row r="173" spans="1:10" x14ac:dyDescent="0.25">
      <c r="A173" s="183" t="s">
        <v>21</v>
      </c>
      <c r="B173" s="184"/>
      <c r="C173" s="185"/>
      <c r="D173" s="29"/>
      <c r="E173" s="1"/>
    </row>
    <row r="174" spans="1:10" x14ac:dyDescent="0.25">
      <c r="A174" s="284">
        <v>2000000</v>
      </c>
      <c r="B174" s="81" t="s">
        <v>69</v>
      </c>
      <c r="C174" s="187"/>
      <c r="D174" s="29"/>
      <c r="E174" s="1"/>
    </row>
    <row r="175" spans="1:10" x14ac:dyDescent="0.25">
      <c r="A175" s="284">
        <v>3200000</v>
      </c>
      <c r="B175" s="81" t="s">
        <v>192</v>
      </c>
      <c r="C175" s="187"/>
      <c r="D175" s="29"/>
      <c r="E175" s="1"/>
    </row>
    <row r="176" spans="1:10" x14ac:dyDescent="0.25">
      <c r="A176" s="285">
        <v>-2200000</v>
      </c>
      <c r="B176" s="81" t="s">
        <v>2</v>
      </c>
      <c r="C176" s="187"/>
      <c r="D176" s="29"/>
      <c r="E176" s="1"/>
    </row>
    <row r="177" spans="1:10" x14ac:dyDescent="0.25">
      <c r="A177" s="284">
        <v>1000000</v>
      </c>
      <c r="B177" s="81" t="s">
        <v>70</v>
      </c>
      <c r="C177" s="187"/>
      <c r="D177" s="29"/>
      <c r="E177" s="1"/>
    </row>
    <row r="178" spans="1:10" x14ac:dyDescent="0.25">
      <c r="A178" s="186">
        <v>1800000</v>
      </c>
      <c r="B178" s="81" t="s">
        <v>72</v>
      </c>
      <c r="C178" s="187"/>
      <c r="D178" s="29"/>
      <c r="E178" s="1"/>
    </row>
    <row r="179" spans="1:10" x14ac:dyDescent="0.25">
      <c r="A179" s="188">
        <v>40000</v>
      </c>
      <c r="B179" s="177" t="s">
        <v>82</v>
      </c>
      <c r="C179" s="189"/>
      <c r="D179" s="29"/>
      <c r="E179" s="1"/>
    </row>
    <row r="180" spans="1:10" x14ac:dyDescent="0.25">
      <c r="A180" s="27"/>
      <c r="C180" s="28"/>
      <c r="D180" s="29"/>
      <c r="E180" s="1"/>
    </row>
    <row r="181" spans="1:10" s="87" customFormat="1" x14ac:dyDescent="0.25">
      <c r="A181" s="92"/>
      <c r="B181" s="32"/>
      <c r="C181" s="45"/>
      <c r="D181" s="88"/>
      <c r="E181" s="45"/>
      <c r="F181" s="45"/>
      <c r="J181" s="93"/>
    </row>
    <row r="182" spans="1:10" s="85" customFormat="1" x14ac:dyDescent="0.25">
      <c r="A182" s="220" t="s">
        <v>176</v>
      </c>
      <c r="B182" s="184"/>
      <c r="C182" s="184"/>
      <c r="D182" s="182"/>
      <c r="E182" s="94"/>
      <c r="F182" s="95"/>
      <c r="G182" s="94"/>
      <c r="H182" s="95"/>
      <c r="I182" s="96"/>
    </row>
    <row r="183" spans="1:10" s="85" customFormat="1" x14ac:dyDescent="0.25">
      <c r="A183" s="225" t="s">
        <v>16</v>
      </c>
      <c r="B183" s="162" t="s">
        <v>118</v>
      </c>
      <c r="C183" s="162" t="s">
        <v>218</v>
      </c>
      <c r="D183" s="232" t="s">
        <v>120</v>
      </c>
      <c r="E183" s="96"/>
      <c r="F183" s="96"/>
      <c r="G183" s="97"/>
      <c r="H183" s="96"/>
      <c r="I183" s="96"/>
    </row>
    <row r="184" spans="1:10" s="85" customFormat="1" x14ac:dyDescent="0.25">
      <c r="A184" s="274" t="s">
        <v>198</v>
      </c>
      <c r="B184" s="103">
        <f>A178</f>
        <v>1800000</v>
      </c>
      <c r="C184" s="104">
        <f t="shared" ref="C184:C201" si="7">-$A$179</f>
        <v>-40000</v>
      </c>
      <c r="D184" s="216">
        <f t="shared" ref="D184:D201" si="8">B184+C184</f>
        <v>1760000</v>
      </c>
      <c r="E184" s="96"/>
      <c r="F184" s="96"/>
      <c r="G184" s="97"/>
      <c r="H184" s="96"/>
      <c r="I184" s="96"/>
    </row>
    <row r="185" spans="1:10" s="85" customFormat="1" x14ac:dyDescent="0.25">
      <c r="A185" s="274" t="s">
        <v>199</v>
      </c>
      <c r="B185" s="103">
        <f>D184</f>
        <v>1760000</v>
      </c>
      <c r="C185" s="104">
        <f t="shared" si="7"/>
        <v>-40000</v>
      </c>
      <c r="D185" s="216">
        <f t="shared" si="8"/>
        <v>1720000</v>
      </c>
      <c r="E185" s="98"/>
      <c r="F185" s="96"/>
      <c r="G185" s="99"/>
      <c r="H185" s="96"/>
      <c r="I185" s="96"/>
    </row>
    <row r="186" spans="1:10" s="85" customFormat="1" x14ac:dyDescent="0.25">
      <c r="A186" s="274" t="s">
        <v>200</v>
      </c>
      <c r="B186" s="103">
        <f>D185</f>
        <v>1720000</v>
      </c>
      <c r="C186" s="104">
        <f t="shared" si="7"/>
        <v>-40000</v>
      </c>
      <c r="D186" s="216">
        <f t="shared" si="8"/>
        <v>1680000</v>
      </c>
      <c r="E186" s="96"/>
      <c r="F186" s="96"/>
      <c r="G186" s="99"/>
      <c r="H186" s="96"/>
      <c r="I186" s="96"/>
    </row>
    <row r="187" spans="1:10" s="85" customFormat="1" x14ac:dyDescent="0.25">
      <c r="A187" s="274" t="s">
        <v>201</v>
      </c>
      <c r="B187" s="103">
        <f>D186</f>
        <v>1680000</v>
      </c>
      <c r="C187" s="104">
        <f t="shared" si="7"/>
        <v>-40000</v>
      </c>
      <c r="D187" s="216">
        <f t="shared" si="8"/>
        <v>1640000</v>
      </c>
      <c r="E187" s="98"/>
      <c r="F187" s="96"/>
      <c r="G187" s="99"/>
      <c r="H187" s="96"/>
      <c r="I187" s="96"/>
    </row>
    <row r="188" spans="1:10" s="85" customFormat="1" x14ac:dyDescent="0.25">
      <c r="A188" s="274" t="s">
        <v>202</v>
      </c>
      <c r="B188" s="103">
        <f t="shared" ref="B188:B198" si="9">D187</f>
        <v>1640000</v>
      </c>
      <c r="C188" s="104">
        <f t="shared" si="7"/>
        <v>-40000</v>
      </c>
      <c r="D188" s="216">
        <f t="shared" si="8"/>
        <v>1600000</v>
      </c>
      <c r="E188" s="96"/>
      <c r="F188" s="96"/>
      <c r="G188" s="99"/>
      <c r="H188" s="96"/>
      <c r="I188" s="96"/>
    </row>
    <row r="189" spans="1:10" s="85" customFormat="1" x14ac:dyDescent="0.25">
      <c r="A189" s="274" t="s">
        <v>203</v>
      </c>
      <c r="B189" s="103">
        <f t="shared" si="9"/>
        <v>1600000</v>
      </c>
      <c r="C189" s="104">
        <f t="shared" si="7"/>
        <v>-40000</v>
      </c>
      <c r="D189" s="216">
        <f t="shared" si="8"/>
        <v>1560000</v>
      </c>
      <c r="E189" s="98"/>
      <c r="F189" s="96"/>
      <c r="G189" s="99"/>
      <c r="H189" s="96"/>
      <c r="I189" s="96"/>
    </row>
    <row r="190" spans="1:10" s="85" customFormat="1" x14ac:dyDescent="0.25">
      <c r="A190" s="274" t="s">
        <v>204</v>
      </c>
      <c r="B190" s="103">
        <f t="shared" si="9"/>
        <v>1560000</v>
      </c>
      <c r="C190" s="104">
        <f t="shared" si="7"/>
        <v>-40000</v>
      </c>
      <c r="D190" s="216">
        <f t="shared" si="8"/>
        <v>1520000</v>
      </c>
      <c r="E190" s="96"/>
      <c r="F190" s="96"/>
      <c r="G190" s="99"/>
      <c r="H190" s="96"/>
      <c r="I190" s="96"/>
    </row>
    <row r="191" spans="1:10" s="85" customFormat="1" x14ac:dyDescent="0.25">
      <c r="A191" s="274" t="s">
        <v>205</v>
      </c>
      <c r="B191" s="103">
        <f t="shared" si="9"/>
        <v>1520000</v>
      </c>
      <c r="C191" s="104">
        <f t="shared" si="7"/>
        <v>-40000</v>
      </c>
      <c r="D191" s="216">
        <f t="shared" si="8"/>
        <v>1480000</v>
      </c>
      <c r="E191" s="98"/>
      <c r="F191" s="96"/>
      <c r="G191" s="99"/>
      <c r="H191" s="96"/>
      <c r="I191" s="96"/>
    </row>
    <row r="192" spans="1:10" s="85" customFormat="1" x14ac:dyDescent="0.25">
      <c r="A192" s="274" t="s">
        <v>206</v>
      </c>
      <c r="B192" s="103">
        <f t="shared" si="9"/>
        <v>1480000</v>
      </c>
      <c r="C192" s="104">
        <f t="shared" si="7"/>
        <v>-40000</v>
      </c>
      <c r="D192" s="216">
        <f t="shared" si="8"/>
        <v>1440000</v>
      </c>
      <c r="E192" s="96"/>
      <c r="F192" s="96"/>
      <c r="G192" s="99"/>
      <c r="H192" s="96"/>
      <c r="I192" s="96"/>
    </row>
    <row r="193" spans="1:12" s="85" customFormat="1" x14ac:dyDescent="0.25">
      <c r="A193" s="274" t="s">
        <v>207</v>
      </c>
      <c r="B193" s="103">
        <f t="shared" si="9"/>
        <v>1440000</v>
      </c>
      <c r="C193" s="104">
        <f t="shared" si="7"/>
        <v>-40000</v>
      </c>
      <c r="D193" s="216">
        <f t="shared" si="8"/>
        <v>1400000</v>
      </c>
      <c r="E193" s="98"/>
      <c r="F193" s="96"/>
      <c r="G193" s="99"/>
      <c r="H193" s="96"/>
      <c r="I193" s="96"/>
    </row>
    <row r="194" spans="1:12" s="85" customFormat="1" x14ac:dyDescent="0.25">
      <c r="A194" s="274" t="s">
        <v>208</v>
      </c>
      <c r="B194" s="103">
        <f t="shared" si="9"/>
        <v>1400000</v>
      </c>
      <c r="C194" s="104">
        <f t="shared" si="7"/>
        <v>-40000</v>
      </c>
      <c r="D194" s="216">
        <f t="shared" si="8"/>
        <v>1360000</v>
      </c>
      <c r="E194" s="96"/>
      <c r="F194" s="96"/>
      <c r="G194" s="99"/>
      <c r="H194" s="96"/>
      <c r="I194" s="96"/>
    </row>
    <row r="195" spans="1:12" s="85" customFormat="1" x14ac:dyDescent="0.25">
      <c r="A195" s="274" t="s">
        <v>209</v>
      </c>
      <c r="B195" s="103">
        <f t="shared" si="9"/>
        <v>1360000</v>
      </c>
      <c r="C195" s="104">
        <f t="shared" si="7"/>
        <v>-40000</v>
      </c>
      <c r="D195" s="216">
        <f t="shared" si="8"/>
        <v>1320000</v>
      </c>
      <c r="E195" s="98"/>
      <c r="F195" s="96"/>
      <c r="G195" s="99"/>
      <c r="H195" s="96"/>
      <c r="I195" s="96"/>
    </row>
    <row r="196" spans="1:12" s="85" customFormat="1" x14ac:dyDescent="0.25">
      <c r="A196" s="274" t="s">
        <v>210</v>
      </c>
      <c r="B196" s="103">
        <f t="shared" si="9"/>
        <v>1320000</v>
      </c>
      <c r="C196" s="104">
        <f t="shared" si="7"/>
        <v>-40000</v>
      </c>
      <c r="D196" s="216">
        <f t="shared" si="8"/>
        <v>1280000</v>
      </c>
      <c r="E196" s="96"/>
      <c r="F196" s="96"/>
      <c r="G196" s="99"/>
      <c r="H196" s="96"/>
      <c r="I196" s="96"/>
    </row>
    <row r="197" spans="1:12" s="85" customFormat="1" x14ac:dyDescent="0.25">
      <c r="A197" s="274" t="s">
        <v>211</v>
      </c>
      <c r="B197" s="103">
        <f t="shared" si="9"/>
        <v>1280000</v>
      </c>
      <c r="C197" s="104">
        <f t="shared" si="7"/>
        <v>-40000</v>
      </c>
      <c r="D197" s="216">
        <f t="shared" si="8"/>
        <v>1240000</v>
      </c>
      <c r="E197" s="98"/>
      <c r="F197" s="96"/>
      <c r="G197" s="99"/>
      <c r="H197" s="96"/>
      <c r="I197" s="96"/>
    </row>
    <row r="198" spans="1:12" s="85" customFormat="1" x14ac:dyDescent="0.25">
      <c r="A198" s="274" t="s">
        <v>212</v>
      </c>
      <c r="B198" s="103">
        <f t="shared" si="9"/>
        <v>1240000</v>
      </c>
      <c r="C198" s="104">
        <f t="shared" si="7"/>
        <v>-40000</v>
      </c>
      <c r="D198" s="216">
        <f t="shared" si="8"/>
        <v>1200000</v>
      </c>
      <c r="E198" s="96"/>
      <c r="F198" s="96"/>
      <c r="G198" s="99"/>
      <c r="H198" s="96"/>
      <c r="I198" s="96"/>
    </row>
    <row r="199" spans="1:12" s="85" customFormat="1" x14ac:dyDescent="0.25">
      <c r="A199" s="274" t="s">
        <v>213</v>
      </c>
      <c r="B199" s="103">
        <f>D198</f>
        <v>1200000</v>
      </c>
      <c r="C199" s="104">
        <f t="shared" si="7"/>
        <v>-40000</v>
      </c>
      <c r="D199" s="216">
        <f t="shared" si="8"/>
        <v>1160000</v>
      </c>
      <c r="E199" s="98"/>
      <c r="F199" s="96"/>
      <c r="G199" s="99"/>
      <c r="H199" s="96"/>
      <c r="I199" s="96"/>
    </row>
    <row r="200" spans="1:12" s="85" customFormat="1" x14ac:dyDescent="0.25">
      <c r="A200" s="274" t="s">
        <v>232</v>
      </c>
      <c r="B200" s="103">
        <f>D199</f>
        <v>1160000</v>
      </c>
      <c r="C200" s="104">
        <f t="shared" si="7"/>
        <v>-40000</v>
      </c>
      <c r="D200" s="216">
        <f t="shared" si="8"/>
        <v>1120000</v>
      </c>
      <c r="E200" s="96"/>
      <c r="F200" s="96"/>
      <c r="G200" s="99"/>
      <c r="H200" s="96"/>
      <c r="I200" s="96"/>
    </row>
    <row r="201" spans="1:12" s="85" customFormat="1" x14ac:dyDescent="0.25">
      <c r="A201" s="275" t="s">
        <v>233</v>
      </c>
      <c r="B201" s="233">
        <f>D200</f>
        <v>1120000</v>
      </c>
      <c r="C201" s="234">
        <f t="shared" si="7"/>
        <v>-40000</v>
      </c>
      <c r="D201" s="219">
        <f t="shared" si="8"/>
        <v>1080000</v>
      </c>
      <c r="E201" s="98"/>
      <c r="F201" s="96"/>
      <c r="G201" s="99"/>
      <c r="H201" s="96"/>
      <c r="I201" s="96"/>
    </row>
    <row r="202" spans="1:12" s="85" customFormat="1" x14ac:dyDescent="0.25">
      <c r="B202" s="83"/>
      <c r="C202" s="83"/>
      <c r="D202" s="84"/>
      <c r="E202" s="83"/>
      <c r="F202" s="83"/>
      <c r="H202" s="98"/>
      <c r="I202" s="96"/>
      <c r="J202" s="99"/>
      <c r="K202" s="96"/>
      <c r="L202" s="96"/>
    </row>
    <row r="203" spans="1:12" s="85" customFormat="1" x14ac:dyDescent="0.25">
      <c r="A203" s="262" t="s">
        <v>164</v>
      </c>
      <c r="B203" s="83"/>
      <c r="C203" s="83"/>
      <c r="D203" s="84"/>
      <c r="E203" s="83"/>
      <c r="F203" s="83"/>
      <c r="H203" s="98"/>
      <c r="I203" s="96"/>
      <c r="J203" s="99"/>
      <c r="K203" s="96"/>
      <c r="L203" s="96"/>
    </row>
    <row r="204" spans="1:12" s="85" customFormat="1" x14ac:dyDescent="0.25">
      <c r="B204" s="83"/>
      <c r="C204" s="83"/>
      <c r="D204" s="84"/>
      <c r="E204" s="83"/>
      <c r="F204" s="83"/>
      <c r="H204" s="98"/>
      <c r="I204" s="96"/>
      <c r="J204" s="99"/>
      <c r="K204" s="96"/>
      <c r="L204" s="96"/>
    </row>
    <row r="205" spans="1:12" s="85" customFormat="1" x14ac:dyDescent="0.25">
      <c r="A205" s="85" t="s">
        <v>137</v>
      </c>
      <c r="B205" s="83"/>
      <c r="C205" s="83"/>
      <c r="D205" s="84"/>
      <c r="E205" s="83"/>
      <c r="F205" s="83"/>
      <c r="H205" s="98"/>
      <c r="I205" s="96"/>
      <c r="J205" s="99"/>
      <c r="K205" s="96"/>
      <c r="L205" s="96"/>
    </row>
    <row r="206" spans="1:12" s="85" customFormat="1" x14ac:dyDescent="0.25">
      <c r="A206" s="85" t="s">
        <v>138</v>
      </c>
      <c r="B206" s="83"/>
      <c r="C206" s="83"/>
      <c r="D206" s="84"/>
      <c r="E206" s="83"/>
      <c r="F206" s="83"/>
      <c r="H206" s="98"/>
      <c r="I206" s="96"/>
      <c r="J206" s="99"/>
      <c r="K206" s="96"/>
      <c r="L206" s="96"/>
    </row>
    <row r="207" spans="1:12" s="85" customFormat="1" x14ac:dyDescent="0.25">
      <c r="B207" s="83"/>
      <c r="C207" s="83"/>
      <c r="D207" s="84"/>
      <c r="E207" s="83"/>
      <c r="F207" s="83"/>
      <c r="J207" s="86"/>
    </row>
    <row r="208" spans="1:12" s="85" customFormat="1" x14ac:dyDescent="0.25">
      <c r="A208" s="220" t="s">
        <v>78</v>
      </c>
      <c r="B208" s="184"/>
      <c r="C208" s="184"/>
      <c r="D208" s="194"/>
      <c r="E208" s="182"/>
      <c r="F208" s="83"/>
      <c r="J208" s="86"/>
    </row>
    <row r="209" spans="1:10" s="85" customFormat="1" x14ac:dyDescent="0.25">
      <c r="A209" s="225" t="s">
        <v>16</v>
      </c>
      <c r="B209" s="162" t="s">
        <v>17</v>
      </c>
      <c r="C209" s="162" t="s">
        <v>225</v>
      </c>
      <c r="D209" s="162" t="s">
        <v>226</v>
      </c>
      <c r="E209" s="232" t="s">
        <v>227</v>
      </c>
      <c r="F209" s="83"/>
      <c r="J209" s="86"/>
    </row>
    <row r="210" spans="1:10" s="85" customFormat="1" x14ac:dyDescent="0.25">
      <c r="A210" s="274" t="s">
        <v>198</v>
      </c>
      <c r="B210" s="103">
        <f>A91</f>
        <v>200000</v>
      </c>
      <c r="C210" s="104">
        <f>-16447.3795</f>
        <v>-16447.379499999999</v>
      </c>
      <c r="D210" s="146">
        <f>B210*$C$67</f>
        <v>9000</v>
      </c>
      <c r="E210" s="216">
        <f>B210+C210+D210</f>
        <v>192552.62049999999</v>
      </c>
      <c r="F210" s="83"/>
      <c r="J210" s="86"/>
    </row>
    <row r="211" spans="1:10" s="85" customFormat="1" x14ac:dyDescent="0.25">
      <c r="A211" s="274" t="s">
        <v>199</v>
      </c>
      <c r="B211" s="103">
        <f t="shared" ref="B211:B227" si="10">E210</f>
        <v>192552.62049999999</v>
      </c>
      <c r="C211" s="104">
        <f t="shared" ref="C211:C227" si="11">-16447.3795</f>
        <v>-16447.379499999999</v>
      </c>
      <c r="D211" s="146">
        <f t="shared" ref="D211:D227" si="12">B211*$C$67</f>
        <v>8664.8679224999996</v>
      </c>
      <c r="E211" s="216">
        <f t="shared" ref="E211:E227" si="13">B211+C211+D211</f>
        <v>184770.10892249999</v>
      </c>
      <c r="F211" s="83"/>
      <c r="J211" s="86"/>
    </row>
    <row r="212" spans="1:10" s="85" customFormat="1" x14ac:dyDescent="0.25">
      <c r="A212" s="274" t="s">
        <v>200</v>
      </c>
      <c r="B212" s="103">
        <f t="shared" si="10"/>
        <v>184770.10892249999</v>
      </c>
      <c r="C212" s="104">
        <f t="shared" si="11"/>
        <v>-16447.379499999999</v>
      </c>
      <c r="D212" s="146">
        <f t="shared" si="12"/>
        <v>8314.6549015124983</v>
      </c>
      <c r="E212" s="216">
        <f t="shared" si="13"/>
        <v>176637.38432401247</v>
      </c>
      <c r="F212" s="83"/>
      <c r="J212" s="86"/>
    </row>
    <row r="213" spans="1:10" s="85" customFormat="1" x14ac:dyDescent="0.25">
      <c r="A213" s="274" t="s">
        <v>201</v>
      </c>
      <c r="B213" s="103">
        <f t="shared" si="10"/>
        <v>176637.38432401247</v>
      </c>
      <c r="C213" s="104">
        <f t="shared" si="11"/>
        <v>-16447.379499999999</v>
      </c>
      <c r="D213" s="146">
        <f t="shared" si="12"/>
        <v>7948.6822945805607</v>
      </c>
      <c r="E213" s="216">
        <f t="shared" si="13"/>
        <v>168138.68711859302</v>
      </c>
      <c r="F213" s="83"/>
      <c r="J213" s="86"/>
    </row>
    <row r="214" spans="1:10" s="85" customFormat="1" x14ac:dyDescent="0.25">
      <c r="A214" s="274" t="s">
        <v>202</v>
      </c>
      <c r="B214" s="103">
        <f t="shared" si="10"/>
        <v>168138.68711859302</v>
      </c>
      <c r="C214" s="104">
        <f t="shared" si="11"/>
        <v>-16447.379499999999</v>
      </c>
      <c r="D214" s="146">
        <f t="shared" si="12"/>
        <v>7566.240920336686</v>
      </c>
      <c r="E214" s="216">
        <f t="shared" si="13"/>
        <v>159257.5485389297</v>
      </c>
      <c r="F214" s="83"/>
      <c r="J214" s="86"/>
    </row>
    <row r="215" spans="1:10" s="85" customFormat="1" x14ac:dyDescent="0.25">
      <c r="A215" s="274" t="s">
        <v>203</v>
      </c>
      <c r="B215" s="103">
        <f t="shared" si="10"/>
        <v>159257.5485389297</v>
      </c>
      <c r="C215" s="104">
        <f t="shared" si="11"/>
        <v>-16447.379499999999</v>
      </c>
      <c r="D215" s="146">
        <f t="shared" si="12"/>
        <v>7166.5896842518359</v>
      </c>
      <c r="E215" s="216">
        <f t="shared" si="13"/>
        <v>149976.75872318153</v>
      </c>
      <c r="F215" s="83"/>
      <c r="J215" s="86"/>
    </row>
    <row r="216" spans="1:10" s="85" customFormat="1" x14ac:dyDescent="0.25">
      <c r="A216" s="274" t="s">
        <v>204</v>
      </c>
      <c r="B216" s="103">
        <f t="shared" si="10"/>
        <v>149976.75872318153</v>
      </c>
      <c r="C216" s="104">
        <f t="shared" si="11"/>
        <v>-16447.379499999999</v>
      </c>
      <c r="D216" s="146">
        <f t="shared" si="12"/>
        <v>6748.954142543168</v>
      </c>
      <c r="E216" s="216">
        <f t="shared" si="13"/>
        <v>140278.33336572468</v>
      </c>
      <c r="F216" s="83"/>
      <c r="J216" s="86"/>
    </row>
    <row r="217" spans="1:10" s="85" customFormat="1" x14ac:dyDescent="0.25">
      <c r="A217" s="274" t="s">
        <v>205</v>
      </c>
      <c r="B217" s="103">
        <f t="shared" si="10"/>
        <v>140278.33336572468</v>
      </c>
      <c r="C217" s="104">
        <f t="shared" si="11"/>
        <v>-16447.379499999999</v>
      </c>
      <c r="D217" s="146">
        <f t="shared" si="12"/>
        <v>6312.5250014576104</v>
      </c>
      <c r="E217" s="216">
        <f t="shared" si="13"/>
        <v>130143.4788671823</v>
      </c>
      <c r="F217" s="83"/>
      <c r="J217" s="86"/>
    </row>
    <row r="218" spans="1:10" s="85" customFormat="1" x14ac:dyDescent="0.25">
      <c r="A218" s="274" t="s">
        <v>206</v>
      </c>
      <c r="B218" s="103">
        <f t="shared" si="10"/>
        <v>130143.4788671823</v>
      </c>
      <c r="C218" s="104">
        <f t="shared" si="11"/>
        <v>-16447.379499999999</v>
      </c>
      <c r="D218" s="146">
        <f t="shared" si="12"/>
        <v>5856.4565490232035</v>
      </c>
      <c r="E218" s="216">
        <f t="shared" si="13"/>
        <v>119552.55591620551</v>
      </c>
      <c r="F218" s="83"/>
      <c r="J218" s="86"/>
    </row>
    <row r="219" spans="1:10" s="85" customFormat="1" x14ac:dyDescent="0.25">
      <c r="A219" s="274" t="s">
        <v>207</v>
      </c>
      <c r="B219" s="103">
        <f t="shared" si="10"/>
        <v>119552.55591620551</v>
      </c>
      <c r="C219" s="104">
        <f t="shared" si="11"/>
        <v>-16447.379499999999</v>
      </c>
      <c r="D219" s="146">
        <f t="shared" si="12"/>
        <v>5379.8650162292479</v>
      </c>
      <c r="E219" s="216">
        <f t="shared" si="13"/>
        <v>108485.04143243477</v>
      </c>
      <c r="F219" s="83"/>
      <c r="J219" s="86"/>
    </row>
    <row r="220" spans="1:10" x14ac:dyDescent="0.25">
      <c r="A220" s="274" t="s">
        <v>208</v>
      </c>
      <c r="B220" s="103">
        <f t="shared" si="10"/>
        <v>108485.04143243477</v>
      </c>
      <c r="C220" s="104">
        <f t="shared" si="11"/>
        <v>-16447.379499999999</v>
      </c>
      <c r="D220" s="146">
        <f t="shared" si="12"/>
        <v>4881.8268644595646</v>
      </c>
      <c r="E220" s="216">
        <f t="shared" si="13"/>
        <v>96919.488796894337</v>
      </c>
    </row>
    <row r="221" spans="1:10" x14ac:dyDescent="0.25">
      <c r="A221" s="274" t="s">
        <v>209</v>
      </c>
      <c r="B221" s="103">
        <f t="shared" si="10"/>
        <v>96919.488796894337</v>
      </c>
      <c r="C221" s="104">
        <f t="shared" si="11"/>
        <v>-16447.379499999999</v>
      </c>
      <c r="D221" s="146">
        <f t="shared" si="12"/>
        <v>4361.3769958602452</v>
      </c>
      <c r="E221" s="216">
        <f t="shared" si="13"/>
        <v>84833.486292754591</v>
      </c>
    </row>
    <row r="222" spans="1:10" x14ac:dyDescent="0.25">
      <c r="A222" s="274" t="s">
        <v>210</v>
      </c>
      <c r="B222" s="103">
        <f t="shared" si="10"/>
        <v>84833.486292754591</v>
      </c>
      <c r="C222" s="104">
        <f t="shared" si="11"/>
        <v>-16447.379499999999</v>
      </c>
      <c r="D222" s="146">
        <f t="shared" si="12"/>
        <v>3817.5068831739563</v>
      </c>
      <c r="E222" s="216">
        <f t="shared" si="13"/>
        <v>72203.613675928558</v>
      </c>
    </row>
    <row r="223" spans="1:10" x14ac:dyDescent="0.25">
      <c r="A223" s="274" t="s">
        <v>211</v>
      </c>
      <c r="B223" s="103">
        <f t="shared" si="10"/>
        <v>72203.613675928558</v>
      </c>
      <c r="C223" s="104">
        <f t="shared" si="11"/>
        <v>-16447.379499999999</v>
      </c>
      <c r="D223" s="146">
        <f t="shared" si="12"/>
        <v>3249.1626154167848</v>
      </c>
      <c r="E223" s="216">
        <f t="shared" si="13"/>
        <v>59005.396791345345</v>
      </c>
    </row>
    <row r="224" spans="1:10" x14ac:dyDescent="0.25">
      <c r="A224" s="274" t="s">
        <v>212</v>
      </c>
      <c r="B224" s="103">
        <f t="shared" si="10"/>
        <v>59005.396791345345</v>
      </c>
      <c r="C224" s="104">
        <f t="shared" si="11"/>
        <v>-16447.379499999999</v>
      </c>
      <c r="D224" s="146">
        <f t="shared" si="12"/>
        <v>2655.2428556105406</v>
      </c>
      <c r="E224" s="216">
        <f t="shared" si="13"/>
        <v>45213.260146955887</v>
      </c>
    </row>
    <row r="225" spans="1:5" x14ac:dyDescent="0.25">
      <c r="A225" s="274" t="s">
        <v>213</v>
      </c>
      <c r="B225" s="103">
        <f t="shared" si="10"/>
        <v>45213.260146955887</v>
      </c>
      <c r="C225" s="104">
        <f t="shared" si="11"/>
        <v>-16447.379499999999</v>
      </c>
      <c r="D225" s="146">
        <f t="shared" si="12"/>
        <v>2034.5967066130149</v>
      </c>
      <c r="E225" s="216">
        <f t="shared" si="13"/>
        <v>30800.477353568902</v>
      </c>
    </row>
    <row r="226" spans="1:5" x14ac:dyDescent="0.25">
      <c r="A226" s="274" t="s">
        <v>232</v>
      </c>
      <c r="B226" s="103">
        <f t="shared" si="10"/>
        <v>30800.477353568902</v>
      </c>
      <c r="C226" s="104">
        <f t="shared" si="11"/>
        <v>-16447.379499999999</v>
      </c>
      <c r="D226" s="146">
        <f t="shared" si="12"/>
        <v>1386.0214809106005</v>
      </c>
      <c r="E226" s="216">
        <f t="shared" si="13"/>
        <v>15739.119334479503</v>
      </c>
    </row>
    <row r="227" spans="1:5" x14ac:dyDescent="0.25">
      <c r="A227" s="275" t="s">
        <v>233</v>
      </c>
      <c r="B227" s="233">
        <f t="shared" si="10"/>
        <v>15739.119334479503</v>
      </c>
      <c r="C227" s="234">
        <f t="shared" si="11"/>
        <v>-16447.379499999999</v>
      </c>
      <c r="D227" s="235">
        <f t="shared" si="12"/>
        <v>708.26037005157764</v>
      </c>
      <c r="E227" s="236">
        <f t="shared" si="13"/>
        <v>2.045310814082768E-4</v>
      </c>
    </row>
    <row r="229" spans="1:5" x14ac:dyDescent="0.25">
      <c r="A229" s="262" t="s">
        <v>164</v>
      </c>
    </row>
    <row r="231" spans="1:5" x14ac:dyDescent="0.25">
      <c r="A231" s="1" t="s">
        <v>136</v>
      </c>
    </row>
    <row r="233" spans="1:5" x14ac:dyDescent="0.25">
      <c r="A233" s="305" t="s">
        <v>83</v>
      </c>
      <c r="B233" s="306"/>
      <c r="C233" s="307"/>
    </row>
    <row r="234" spans="1:5" x14ac:dyDescent="0.25">
      <c r="A234" s="196"/>
      <c r="B234" s="303"/>
      <c r="C234" s="304"/>
    </row>
    <row r="235" spans="1:5" x14ac:dyDescent="0.25">
      <c r="A235" s="238">
        <f>A90</f>
        <v>120000</v>
      </c>
      <c r="B235" s="301" t="s">
        <v>89</v>
      </c>
      <c r="C235" s="302"/>
    </row>
    <row r="236" spans="1:5" x14ac:dyDescent="0.25">
      <c r="A236" s="238">
        <f>-C210</f>
        <v>16447.379499999999</v>
      </c>
      <c r="B236" s="301" t="s">
        <v>84</v>
      </c>
      <c r="C236" s="302"/>
    </row>
    <row r="237" spans="1:5" x14ac:dyDescent="0.25">
      <c r="A237" s="239">
        <f>A235-A236</f>
        <v>103552.6205</v>
      </c>
      <c r="B237" s="299" t="s">
        <v>90</v>
      </c>
      <c r="C237" s="300"/>
    </row>
  </sheetData>
  <mergeCells count="8">
    <mergeCell ref="A38:J38"/>
    <mergeCell ref="A4:J9"/>
    <mergeCell ref="B237:C237"/>
    <mergeCell ref="B236:C236"/>
    <mergeCell ref="B235:C235"/>
    <mergeCell ref="B234:C234"/>
    <mergeCell ref="A233:C233"/>
    <mergeCell ref="A34:J3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443"/>
  <sheetViews>
    <sheetView showGridLines="0" workbookViewId="0">
      <selection activeCell="A456" sqref="A456"/>
    </sheetView>
  </sheetViews>
  <sheetFormatPr defaultRowHeight="14.3" outlineLevelCol="1" x14ac:dyDescent="0.25"/>
  <cols>
    <col min="1" max="1" width="41.25" style="2" customWidth="1"/>
    <col min="2" max="2" width="15.125" style="4" customWidth="1"/>
    <col min="3" max="3" width="24.75" style="6" customWidth="1"/>
    <col min="4" max="4" width="15.75" style="49" customWidth="1"/>
    <col min="5" max="5" width="26.375" style="4" customWidth="1"/>
    <col min="6" max="6" width="8.875" style="2" hidden="1" customWidth="1" outlineLevel="1"/>
    <col min="7" max="7" width="8.875" hidden="1" customWidth="1" outlineLevel="1"/>
    <col min="8" max="8" width="3.875" customWidth="1" collapsed="1"/>
    <col min="9" max="9" width="3.875" customWidth="1"/>
  </cols>
  <sheetData>
    <row r="1" spans="1:7" ht="14.95" x14ac:dyDescent="0.25">
      <c r="A1" s="57" t="s">
        <v>60</v>
      </c>
    </row>
    <row r="3" spans="1:7" ht="14.95" x14ac:dyDescent="0.25">
      <c r="B3" s="38"/>
    </row>
    <row r="4" spans="1:7" ht="15.8" thickBot="1" x14ac:dyDescent="0.3">
      <c r="A4" s="3"/>
      <c r="B4" s="311" t="s">
        <v>76</v>
      </c>
      <c r="C4" s="312"/>
      <c r="D4" s="50" t="s">
        <v>97</v>
      </c>
    </row>
    <row r="5" spans="1:7" ht="18.7" customHeight="1" thickBot="1" x14ac:dyDescent="0.3">
      <c r="A5" s="56" t="s">
        <v>234</v>
      </c>
      <c r="B5" s="53" t="s">
        <v>4</v>
      </c>
      <c r="C5" s="54" t="s">
        <v>6</v>
      </c>
      <c r="D5" s="53" t="s">
        <v>5</v>
      </c>
      <c r="E5" s="54" t="s">
        <v>7</v>
      </c>
    </row>
    <row r="6" spans="1:7" ht="21.1" x14ac:dyDescent="0.35">
      <c r="A6" s="25" t="s">
        <v>1</v>
      </c>
      <c r="B6" s="10"/>
      <c r="C6" s="11"/>
      <c r="D6" s="47"/>
      <c r="E6" s="23"/>
    </row>
    <row r="7" spans="1:7" ht="14.95" x14ac:dyDescent="0.25">
      <c r="A7" s="2" t="s">
        <v>186</v>
      </c>
      <c r="B7" s="17">
        <f>'Scenario and Data'!C134</f>
        <v>65663.955738353165</v>
      </c>
      <c r="C7" s="18"/>
      <c r="D7" s="17">
        <f>-'Scenario and Data'!D210</f>
        <v>-9000</v>
      </c>
      <c r="E7" s="23"/>
      <c r="F7" s="41"/>
      <c r="G7" t="s">
        <v>139</v>
      </c>
    </row>
    <row r="8" spans="1:7" ht="14.95" x14ac:dyDescent="0.25">
      <c r="A8" s="2" t="s">
        <v>0</v>
      </c>
      <c r="B8" s="19"/>
      <c r="C8" s="20">
        <f>'Scenario and Data'!C167</f>
        <v>38864.167173081732</v>
      </c>
      <c r="D8" s="17"/>
      <c r="E8" s="13">
        <f>-'Scenario and Data'!C184</f>
        <v>40000</v>
      </c>
      <c r="F8" s="40"/>
    </row>
    <row r="9" spans="1:7" x14ac:dyDescent="0.25">
      <c r="A9" s="2" t="s">
        <v>52</v>
      </c>
      <c r="B9" s="19"/>
      <c r="C9" s="18"/>
      <c r="D9" s="48">
        <f>-'Scenario and Data'!A237</f>
        <v>-103552.6205</v>
      </c>
      <c r="E9" s="23"/>
      <c r="G9" t="s">
        <v>105</v>
      </c>
    </row>
    <row r="10" spans="1:7" ht="14.95" x14ac:dyDescent="0.25">
      <c r="A10" s="2" t="s">
        <v>178</v>
      </c>
      <c r="B10" s="19"/>
      <c r="C10" s="44">
        <f>-'Scenario and Data'!C81</f>
        <v>-240355.99270762305</v>
      </c>
      <c r="D10" s="17"/>
      <c r="E10" s="23"/>
      <c r="G10" t="s">
        <v>104</v>
      </c>
    </row>
    <row r="11" spans="1:7" ht="15.8" thickBot="1" x14ac:dyDescent="0.3">
      <c r="A11" s="3" t="s">
        <v>3</v>
      </c>
      <c r="B11" s="42">
        <f>SUM(B7:B10)</f>
        <v>65663.955738353165</v>
      </c>
      <c r="C11" s="43">
        <f>SUM(C7:C10)</f>
        <v>-201491.82553454133</v>
      </c>
      <c r="D11" s="42">
        <f>SUM(D7:D10)</f>
        <v>-112552.6205</v>
      </c>
      <c r="E11" s="15">
        <f>SUM(E7:E10)</f>
        <v>40000</v>
      </c>
    </row>
    <row r="12" spans="1:7" ht="16.5" thickTop="1" thickBot="1" x14ac:dyDescent="0.3">
      <c r="A12" s="3"/>
      <c r="B12" s="31"/>
      <c r="C12" s="31"/>
      <c r="D12" s="31"/>
      <c r="E12" s="24"/>
    </row>
    <row r="13" spans="1:7" ht="19.55" thickBot="1" x14ac:dyDescent="0.35">
      <c r="A13" s="26" t="s">
        <v>18</v>
      </c>
      <c r="B13" s="53" t="s">
        <v>4</v>
      </c>
      <c r="C13" s="54" t="s">
        <v>6</v>
      </c>
      <c r="D13" s="53" t="s">
        <v>5</v>
      </c>
      <c r="E13" s="54" t="s">
        <v>7</v>
      </c>
    </row>
    <row r="14" spans="1:7" ht="16.149999999999999" customHeight="1" x14ac:dyDescent="0.25">
      <c r="A14" s="9" t="s">
        <v>194</v>
      </c>
      <c r="B14" s="271"/>
      <c r="C14" s="280">
        <f>-'Scenario and Data'!A175</f>
        <v>-3200000</v>
      </c>
      <c r="D14" s="271"/>
      <c r="E14" s="272"/>
      <c r="G14" t="s">
        <v>196</v>
      </c>
    </row>
    <row r="15" spans="1:7" ht="16.149999999999999" customHeight="1" x14ac:dyDescent="0.25">
      <c r="A15" s="9" t="s">
        <v>193</v>
      </c>
      <c r="B15" s="271"/>
      <c r="C15" s="280">
        <f>-'Scenario and Data'!A176</f>
        <v>2200000</v>
      </c>
      <c r="D15" s="271"/>
      <c r="E15" s="272"/>
      <c r="G15" t="s">
        <v>197</v>
      </c>
    </row>
    <row r="16" spans="1:7" ht="14.95" x14ac:dyDescent="0.25">
      <c r="A16" s="9" t="s">
        <v>179</v>
      </c>
      <c r="B16" s="19"/>
      <c r="C16" s="273"/>
      <c r="D16" s="47"/>
      <c r="E16" s="13">
        <f>'Scenario and Data'!A178</f>
        <v>1800000</v>
      </c>
      <c r="G16" t="s">
        <v>195</v>
      </c>
    </row>
    <row r="17" spans="1:13" ht="14.95" x14ac:dyDescent="0.25">
      <c r="A17" s="9" t="s">
        <v>180</v>
      </c>
      <c r="B17" s="19"/>
      <c r="C17" s="281">
        <f>'Scenario and Data'!C165</f>
        <v>699555.00911547116</v>
      </c>
      <c r="D17" s="47"/>
      <c r="E17" s="13"/>
      <c r="G17" t="s">
        <v>114</v>
      </c>
      <c r="M17" s="142"/>
    </row>
    <row r="18" spans="1:13" ht="14.95" x14ac:dyDescent="0.25">
      <c r="A18" s="9" t="s">
        <v>181</v>
      </c>
      <c r="B18" s="19"/>
      <c r="C18" s="44"/>
      <c r="D18" s="47"/>
      <c r="E18" s="13">
        <f>'Scenario and Data'!A91</f>
        <v>200000</v>
      </c>
      <c r="G18" t="s">
        <v>113</v>
      </c>
    </row>
    <row r="19" spans="1:13" x14ac:dyDescent="0.25">
      <c r="A19" s="8" t="s">
        <v>115</v>
      </c>
      <c r="B19" s="17">
        <f>-'Scenario and Data'!E119</f>
        <v>-1459199.0164078481</v>
      </c>
      <c r="C19" s="18"/>
      <c r="D19" s="47"/>
      <c r="E19" s="23"/>
      <c r="G19" t="s">
        <v>109</v>
      </c>
    </row>
    <row r="20" spans="1:13" ht="14.95" x14ac:dyDescent="0.25">
      <c r="A20" s="2" t="s">
        <v>19</v>
      </c>
      <c r="B20" s="17">
        <f>-'Scenario and Data'!C134</f>
        <v>-65663.955738353165</v>
      </c>
      <c r="C20" s="18"/>
      <c r="D20" s="47"/>
      <c r="E20" s="13"/>
    </row>
    <row r="21" spans="1:13" ht="14.95" x14ac:dyDescent="0.25">
      <c r="A21" s="2" t="s">
        <v>184</v>
      </c>
      <c r="B21" s="17"/>
      <c r="C21" s="18"/>
      <c r="D21" s="48">
        <f>'Scenario and Data'!D210</f>
        <v>9000</v>
      </c>
      <c r="E21" s="13"/>
    </row>
    <row r="22" spans="1:13" ht="14.95" x14ac:dyDescent="0.25">
      <c r="A22" s="2" t="s">
        <v>182</v>
      </c>
      <c r="B22" s="17"/>
      <c r="C22" s="18"/>
      <c r="D22" s="48"/>
      <c r="E22" s="44">
        <f>'Scenario and Data'!C210</f>
        <v>-16447.379499999999</v>
      </c>
    </row>
    <row r="23" spans="1:13" ht="14.95" x14ac:dyDescent="0.25">
      <c r="A23" s="2" t="s">
        <v>9</v>
      </c>
      <c r="B23" s="148">
        <f>-'Scenario and Data'!D134</f>
        <v>120000</v>
      </c>
      <c r="C23" s="18"/>
      <c r="D23" s="48"/>
      <c r="E23" s="13"/>
    </row>
    <row r="24" spans="1:13" ht="14.95" x14ac:dyDescent="0.25">
      <c r="A24" s="2" t="s">
        <v>2</v>
      </c>
      <c r="B24" s="19"/>
      <c r="C24" s="20">
        <f>-'Scenario and Data'!C167</f>
        <v>-38864.167173081732</v>
      </c>
      <c r="D24" s="17"/>
      <c r="E24" s="13">
        <f>'Scenario and Data'!C184</f>
        <v>-40000</v>
      </c>
      <c r="G24" t="s">
        <v>190</v>
      </c>
    </row>
    <row r="25" spans="1:13" ht="14.95" x14ac:dyDescent="0.25">
      <c r="A25" s="2" t="s">
        <v>183</v>
      </c>
      <c r="B25" s="17">
        <f>'Scenario and Data'!D134</f>
        <v>-120000</v>
      </c>
      <c r="C25" s="44"/>
      <c r="D25" s="48">
        <f>'Scenario and Data'!B101</f>
        <v>120000</v>
      </c>
      <c r="E25" s="23"/>
    </row>
    <row r="26" spans="1:13" ht="14.95" x14ac:dyDescent="0.25">
      <c r="A26" s="2" t="s">
        <v>77</v>
      </c>
      <c r="B26" s="17"/>
      <c r="C26" s="44">
        <f>'Scenario and Data'!A174</f>
        <v>2000000</v>
      </c>
      <c r="D26" s="17"/>
      <c r="E26" s="13">
        <f>-'Scenario and Data'!A174</f>
        <v>-2000000</v>
      </c>
      <c r="G26" t="s">
        <v>112</v>
      </c>
    </row>
    <row r="27" spans="1:13" ht="14.95" x14ac:dyDescent="0.25">
      <c r="B27" s="17"/>
      <c r="C27" s="18"/>
      <c r="D27" s="47"/>
      <c r="E27" s="13"/>
    </row>
    <row r="28" spans="1:13" ht="15.8" thickBot="1" x14ac:dyDescent="0.3">
      <c r="A28" s="3" t="s">
        <v>191</v>
      </c>
      <c r="B28" s="42">
        <f>SUM(B14:B27)</f>
        <v>-1524862.9721462012</v>
      </c>
      <c r="C28" s="43">
        <f>SUM(C14:C27)</f>
        <v>1660690.8419423895</v>
      </c>
      <c r="D28" s="42">
        <f>SUM(D16:D27)</f>
        <v>129000</v>
      </c>
      <c r="E28" s="15">
        <f>SUM(E16:E27)</f>
        <v>-56447.379500000039</v>
      </c>
    </row>
    <row r="29" spans="1:13" ht="15.8" thickTop="1" x14ac:dyDescent="0.25">
      <c r="B29" s="19"/>
      <c r="C29" s="18"/>
      <c r="D29" s="47"/>
      <c r="E29" s="13"/>
    </row>
    <row r="30" spans="1:13" ht="14.95" x14ac:dyDescent="0.25">
      <c r="A30" s="2" t="s">
        <v>10</v>
      </c>
      <c r="B30" s="17">
        <f>B19+B23+B20</f>
        <v>-1404862.9721462012</v>
      </c>
      <c r="C30" s="18"/>
      <c r="D30" s="47"/>
      <c r="E30" s="23"/>
    </row>
    <row r="31" spans="1:13" x14ac:dyDescent="0.25">
      <c r="A31" s="2" t="s">
        <v>88</v>
      </c>
      <c r="B31" s="17"/>
      <c r="C31" s="18"/>
      <c r="D31" s="47"/>
      <c r="E31" s="13">
        <f>E18+E22+D21</f>
        <v>192552.62049999999</v>
      </c>
      <c r="G31" t="s">
        <v>111</v>
      </c>
    </row>
    <row r="32" spans="1:13" x14ac:dyDescent="0.25">
      <c r="A32" s="2" t="s">
        <v>11</v>
      </c>
      <c r="B32" s="17"/>
      <c r="C32" s="44">
        <f>C17+C24</f>
        <v>660690.84194238938</v>
      </c>
      <c r="D32" s="47"/>
      <c r="E32" s="13"/>
    </row>
    <row r="33" spans="1:5" x14ac:dyDescent="0.25">
      <c r="A33" s="2" t="s">
        <v>98</v>
      </c>
      <c r="B33" s="19"/>
      <c r="C33" s="20"/>
      <c r="D33" s="17"/>
      <c r="E33" s="13">
        <f>'Scenario and Data'!A178+Accounting!E24+E23</f>
        <v>1760000</v>
      </c>
    </row>
    <row r="34" spans="1:5" ht="14.95" thickBot="1" x14ac:dyDescent="0.3">
      <c r="A34" s="3" t="s">
        <v>8</v>
      </c>
      <c r="B34" s="42">
        <f>SUM(B30:B33)</f>
        <v>-1404862.9721462012</v>
      </c>
      <c r="C34" s="43">
        <f>SUM(C30:C33)</f>
        <v>660690.84194238938</v>
      </c>
      <c r="D34" s="42"/>
      <c r="E34" s="15">
        <f>SUM(E31:E33)</f>
        <v>1952552.6205</v>
      </c>
    </row>
    <row r="35" spans="1:5" ht="14.95" thickTop="1" x14ac:dyDescent="0.25">
      <c r="B35" s="45"/>
      <c r="C35" s="46"/>
      <c r="D35" s="46"/>
      <c r="E35" s="5"/>
    </row>
    <row r="36" spans="1:5" x14ac:dyDescent="0.25">
      <c r="B36" s="45"/>
      <c r="C36" s="46"/>
      <c r="D36" s="46"/>
      <c r="E36" s="5"/>
    </row>
    <row r="37" spans="1:5" ht="14.95" thickBot="1" x14ac:dyDescent="0.3">
      <c r="B37" s="311" t="s">
        <v>76</v>
      </c>
      <c r="C37" s="312"/>
      <c r="D37" s="50" t="s">
        <v>97</v>
      </c>
      <c r="E37" s="5"/>
    </row>
    <row r="38" spans="1:5" ht="17" customHeight="1" thickBot="1" x14ac:dyDescent="0.3">
      <c r="A38" s="56" t="s">
        <v>235</v>
      </c>
      <c r="B38" s="53" t="s">
        <v>4</v>
      </c>
      <c r="C38" s="55" t="s">
        <v>6</v>
      </c>
      <c r="D38" s="53" t="s">
        <v>5</v>
      </c>
      <c r="E38" s="54" t="s">
        <v>7</v>
      </c>
    </row>
    <row r="39" spans="1:5" ht="19.05" x14ac:dyDescent="0.35">
      <c r="A39" s="26" t="s">
        <v>1</v>
      </c>
      <c r="B39" s="19"/>
      <c r="C39" s="46"/>
      <c r="D39" s="47"/>
      <c r="E39" s="23"/>
    </row>
    <row r="40" spans="1:5" x14ac:dyDescent="0.25">
      <c r="A40" s="2" t="s">
        <v>186</v>
      </c>
      <c r="B40" s="17">
        <f>'Scenario and Data'!C135</f>
        <v>63218.833746579054</v>
      </c>
      <c r="C40" s="18"/>
      <c r="D40" s="17">
        <f>-'Scenario and Data'!D211</f>
        <v>-8664.8679224999996</v>
      </c>
      <c r="E40" s="23"/>
    </row>
    <row r="41" spans="1:5" x14ac:dyDescent="0.25">
      <c r="A41" s="2" t="s">
        <v>0</v>
      </c>
      <c r="B41" s="19"/>
      <c r="C41" s="20">
        <f>'Scenario and Data'!C167</f>
        <v>38864.167173081732</v>
      </c>
      <c r="D41" s="17"/>
      <c r="E41" s="13">
        <f>-'Scenario and Data'!C185</f>
        <v>40000</v>
      </c>
    </row>
    <row r="42" spans="1:5" x14ac:dyDescent="0.25">
      <c r="A42" s="2" t="s">
        <v>51</v>
      </c>
      <c r="B42" s="10"/>
      <c r="C42" s="11"/>
      <c r="D42" s="17">
        <f>-'Scenario and Data'!A237</f>
        <v>-103552.6205</v>
      </c>
      <c r="E42" s="23"/>
    </row>
    <row r="43" spans="1:5" ht="14.95" thickBot="1" x14ac:dyDescent="0.3">
      <c r="A43" s="3" t="s">
        <v>3</v>
      </c>
      <c r="B43" s="14">
        <f>SUM(B40:B42)</f>
        <v>63218.833746579054</v>
      </c>
      <c r="C43" s="15">
        <f>SUM(C40:C42)</f>
        <v>38864.167173081732</v>
      </c>
      <c r="D43" s="42">
        <f>SUM(D40:D42)</f>
        <v>-112217.4884225</v>
      </c>
      <c r="E43" s="15">
        <f>SUM(E40:E42)</f>
        <v>40000</v>
      </c>
    </row>
    <row r="44" spans="1:5" ht="15.65" thickTop="1" thickBot="1" x14ac:dyDescent="0.3">
      <c r="A44" s="3"/>
      <c r="B44" s="36"/>
      <c r="C44" s="36"/>
      <c r="D44" s="37"/>
      <c r="E44" s="36"/>
    </row>
    <row r="45" spans="1:5" ht="19.05" x14ac:dyDescent="0.35">
      <c r="A45" s="26" t="s">
        <v>18</v>
      </c>
      <c r="B45" s="33"/>
      <c r="C45" s="150"/>
      <c r="D45" s="51"/>
      <c r="E45" s="35"/>
    </row>
    <row r="46" spans="1:5" x14ac:dyDescent="0.25">
      <c r="A46" s="2" t="s">
        <v>19</v>
      </c>
      <c r="B46" s="17">
        <f>-'Scenario and Data'!C135</f>
        <v>-63218.833746579054</v>
      </c>
      <c r="C46" s="46"/>
      <c r="D46" s="47"/>
      <c r="E46" s="13"/>
    </row>
    <row r="47" spans="1:5" x14ac:dyDescent="0.25">
      <c r="A47" s="2" t="s">
        <v>184</v>
      </c>
      <c r="B47" s="17"/>
      <c r="C47" s="46"/>
      <c r="D47" s="48">
        <f>'Scenario and Data'!D211</f>
        <v>8664.8679224999996</v>
      </c>
      <c r="E47" s="13"/>
    </row>
    <row r="48" spans="1:5" x14ac:dyDescent="0.25">
      <c r="A48" s="2" t="s">
        <v>2</v>
      </c>
      <c r="B48" s="19"/>
      <c r="C48" s="32">
        <f>-'Scenario and Data'!C167</f>
        <v>-38864.167173081732</v>
      </c>
      <c r="D48" s="17"/>
      <c r="E48" s="13">
        <f>'Scenario and Data'!C185</f>
        <v>-40000</v>
      </c>
    </row>
    <row r="49" spans="1:5" x14ac:dyDescent="0.25">
      <c r="A49" s="2" t="s">
        <v>9</v>
      </c>
      <c r="B49" s="17">
        <f>-'Scenario and Data'!D135</f>
        <v>120000</v>
      </c>
      <c r="C49" s="32"/>
      <c r="D49" s="17"/>
      <c r="E49" s="13"/>
    </row>
    <row r="50" spans="1:5" x14ac:dyDescent="0.25">
      <c r="A50" s="2" t="s">
        <v>183</v>
      </c>
      <c r="B50" s="12">
        <f>'Scenario and Data'!D135</f>
        <v>-120000</v>
      </c>
      <c r="C50" s="149"/>
      <c r="D50" s="17">
        <f>'Scenario and Data'!B102</f>
        <v>120000</v>
      </c>
      <c r="E50" s="23"/>
    </row>
    <row r="51" spans="1:5" ht="14.95" customHeight="1" x14ac:dyDescent="0.25">
      <c r="A51" s="2" t="s">
        <v>185</v>
      </c>
      <c r="B51" s="12"/>
      <c r="C51" s="149"/>
      <c r="D51" s="47"/>
      <c r="E51" s="20">
        <f>'Scenario and Data'!C211</f>
        <v>-16447.379499999999</v>
      </c>
    </row>
    <row r="52" spans="1:5" ht="10.199999999999999" customHeight="1" x14ac:dyDescent="0.25">
      <c r="B52" s="12"/>
      <c r="C52" s="151"/>
      <c r="D52" s="47"/>
      <c r="E52" s="13"/>
    </row>
    <row r="53" spans="1:5" ht="14.95" thickBot="1" x14ac:dyDescent="0.3">
      <c r="A53" s="3" t="s">
        <v>191</v>
      </c>
      <c r="B53" s="14">
        <f>SUM(B46:B50)</f>
        <v>-63218.833746579054</v>
      </c>
      <c r="C53" s="152">
        <f t="shared" ref="C53" si="0">SUM(C46:C50)</f>
        <v>-38864.167173081732</v>
      </c>
      <c r="D53" s="42">
        <f>SUM(D47:D51)</f>
        <v>128664.86792249999</v>
      </c>
      <c r="E53" s="15">
        <f>SUM(E46:E51)</f>
        <v>-56447.379499999995</v>
      </c>
    </row>
    <row r="54" spans="1:5" ht="14.95" thickTop="1" x14ac:dyDescent="0.25">
      <c r="B54" s="10"/>
      <c r="C54" s="151"/>
      <c r="D54" s="47"/>
      <c r="E54" s="13"/>
    </row>
    <row r="55" spans="1:5" x14ac:dyDescent="0.25">
      <c r="A55" s="2" t="s">
        <v>10</v>
      </c>
      <c r="B55" s="12">
        <f>B30+B46+B49</f>
        <v>-1348081.8058927802</v>
      </c>
      <c r="C55" s="151"/>
      <c r="D55" s="47"/>
      <c r="E55" s="13"/>
    </row>
    <row r="56" spans="1:5" x14ac:dyDescent="0.25">
      <c r="A56" s="2" t="s">
        <v>88</v>
      </c>
      <c r="B56" s="12"/>
      <c r="C56" s="151"/>
      <c r="D56" s="47"/>
      <c r="E56" s="13">
        <f>E31+D47+E51</f>
        <v>184770.10892249999</v>
      </c>
    </row>
    <row r="57" spans="1:5" x14ac:dyDescent="0.25">
      <c r="A57" s="2" t="s">
        <v>11</v>
      </c>
      <c r="B57" s="12"/>
      <c r="C57" s="149">
        <f>C32+C48</f>
        <v>621826.6747693076</v>
      </c>
      <c r="D57" s="47"/>
      <c r="E57" s="13"/>
    </row>
    <row r="58" spans="1:5" x14ac:dyDescent="0.25">
      <c r="A58" s="2" t="s">
        <v>98</v>
      </c>
      <c r="B58" s="10"/>
      <c r="C58" s="153"/>
      <c r="D58" s="17"/>
      <c r="E58" s="13">
        <f>E33+E48</f>
        <v>1720000</v>
      </c>
    </row>
    <row r="59" spans="1:5" ht="14.95" thickBot="1" x14ac:dyDescent="0.3">
      <c r="A59" s="3" t="s">
        <v>8</v>
      </c>
      <c r="B59" s="21">
        <f>SUM(B55:B58)</f>
        <v>-1348081.8058927802</v>
      </c>
      <c r="C59" s="154">
        <f t="shared" ref="C59:D59" si="1">SUM(C55:C58)</f>
        <v>621826.6747693076</v>
      </c>
      <c r="D59" s="52">
        <f t="shared" si="1"/>
        <v>0</v>
      </c>
      <c r="E59" s="22">
        <f>SUM(E55:E58)</f>
        <v>1904770.1089224999</v>
      </c>
    </row>
    <row r="61" spans="1:5" ht="14.95" thickBot="1" x14ac:dyDescent="0.3">
      <c r="B61" s="311" t="s">
        <v>76</v>
      </c>
      <c r="C61" s="312"/>
      <c r="D61" s="50" t="s">
        <v>97</v>
      </c>
      <c r="E61" s="5"/>
    </row>
    <row r="62" spans="1:5" ht="16.149999999999999" customHeight="1" thickBot="1" x14ac:dyDescent="0.3">
      <c r="A62" s="56" t="s">
        <v>236</v>
      </c>
      <c r="B62" s="53" t="s">
        <v>4</v>
      </c>
      <c r="C62" s="55" t="s">
        <v>6</v>
      </c>
      <c r="D62" s="53" t="s">
        <v>5</v>
      </c>
      <c r="E62" s="54" t="s">
        <v>7</v>
      </c>
    </row>
    <row r="63" spans="1:5" ht="19.05" x14ac:dyDescent="0.35">
      <c r="A63" s="26" t="s">
        <v>1</v>
      </c>
      <c r="B63" s="19"/>
      <c r="C63" s="46"/>
      <c r="D63" s="47"/>
      <c r="E63" s="23"/>
    </row>
    <row r="64" spans="1:5" x14ac:dyDescent="0.25">
      <c r="A64" s="2" t="s">
        <v>186</v>
      </c>
      <c r="B64" s="17">
        <f>'Scenario and Data'!C136</f>
        <v>60663.68126517511</v>
      </c>
      <c r="C64" s="18"/>
      <c r="D64" s="17">
        <f>-'Scenario and Data'!D212</f>
        <v>-8314.6549015124983</v>
      </c>
      <c r="E64" s="23"/>
    </row>
    <row r="65" spans="1:5" x14ac:dyDescent="0.25">
      <c r="A65" s="2" t="s">
        <v>0</v>
      </c>
      <c r="B65" s="19"/>
      <c r="C65" s="20">
        <f>'Scenario and Data'!C167</f>
        <v>38864.167173081732</v>
      </c>
      <c r="D65" s="17"/>
      <c r="E65" s="13">
        <f>-'Scenario and Data'!C186</f>
        <v>40000</v>
      </c>
    </row>
    <row r="66" spans="1:5" x14ac:dyDescent="0.25">
      <c r="A66" s="2" t="s">
        <v>51</v>
      </c>
      <c r="B66" s="10"/>
      <c r="C66" s="11"/>
      <c r="D66" s="17">
        <f>-'Scenario and Data'!$A$237</f>
        <v>-103552.6205</v>
      </c>
      <c r="E66" s="23"/>
    </row>
    <row r="67" spans="1:5" ht="14.95" thickBot="1" x14ac:dyDescent="0.3">
      <c r="A67" s="3" t="s">
        <v>3</v>
      </c>
      <c r="B67" s="14">
        <f>SUM(B64:B66)</f>
        <v>60663.68126517511</v>
      </c>
      <c r="C67" s="15">
        <f>SUM(C64:C66)</f>
        <v>38864.167173081732</v>
      </c>
      <c r="D67" s="42">
        <f>SUM(D64:D66)</f>
        <v>-111867.27540151251</v>
      </c>
      <c r="E67" s="15">
        <f>SUM(E64:E66)</f>
        <v>40000</v>
      </c>
    </row>
    <row r="68" spans="1:5" ht="15.65" thickTop="1" thickBot="1" x14ac:dyDescent="0.3">
      <c r="A68" s="3"/>
      <c r="B68" s="36"/>
      <c r="C68" s="36"/>
      <c r="D68" s="37"/>
      <c r="E68" s="36"/>
    </row>
    <row r="69" spans="1:5" ht="19.05" x14ac:dyDescent="0.35">
      <c r="A69" s="26" t="s">
        <v>18</v>
      </c>
      <c r="B69" s="33"/>
      <c r="C69" s="34"/>
      <c r="D69" s="51"/>
      <c r="E69" s="35"/>
    </row>
    <row r="70" spans="1:5" x14ac:dyDescent="0.25">
      <c r="A70" s="2" t="s">
        <v>19</v>
      </c>
      <c r="B70" s="17">
        <f>-'Scenario and Data'!C136</f>
        <v>-60663.68126517511</v>
      </c>
      <c r="C70" s="18"/>
      <c r="E70" s="13"/>
    </row>
    <row r="71" spans="1:5" x14ac:dyDescent="0.25">
      <c r="A71" s="2" t="s">
        <v>184</v>
      </c>
      <c r="B71" s="17"/>
      <c r="C71" s="18"/>
      <c r="D71" s="48">
        <f>'Scenario and Data'!D212</f>
        <v>8314.6549015124983</v>
      </c>
      <c r="E71" s="13"/>
    </row>
    <row r="72" spans="1:5" x14ac:dyDescent="0.25">
      <c r="A72" s="2" t="s">
        <v>2</v>
      </c>
      <c r="B72" s="19"/>
      <c r="C72" s="20">
        <f>-'Scenario and Data'!C167</f>
        <v>-38864.167173081732</v>
      </c>
      <c r="D72" s="17"/>
      <c r="E72" s="13">
        <f>'Scenario and Data'!C186</f>
        <v>-40000</v>
      </c>
    </row>
    <row r="73" spans="1:5" x14ac:dyDescent="0.25">
      <c r="A73" s="2" t="s">
        <v>9</v>
      </c>
      <c r="B73" s="17">
        <f>-'Scenario and Data'!D136</f>
        <v>120000</v>
      </c>
      <c r="C73" s="20"/>
      <c r="D73" s="17"/>
      <c r="E73" s="13"/>
    </row>
    <row r="74" spans="1:5" x14ac:dyDescent="0.25">
      <c r="A74" s="2" t="s">
        <v>183</v>
      </c>
      <c r="B74" s="12">
        <f>'Scenario and Data'!D136</f>
        <v>-120000</v>
      </c>
      <c r="C74" s="16"/>
      <c r="D74" s="17">
        <f>'Scenario and Data'!B103</f>
        <v>120000</v>
      </c>
      <c r="E74" s="23"/>
    </row>
    <row r="75" spans="1:5" x14ac:dyDescent="0.25">
      <c r="A75" s="2" t="s">
        <v>185</v>
      </c>
      <c r="B75" s="12"/>
      <c r="C75" s="16"/>
      <c r="D75" s="17"/>
      <c r="E75" s="13">
        <f>'Scenario and Data'!C212</f>
        <v>-16447.379499999999</v>
      </c>
    </row>
    <row r="76" spans="1:5" ht="7.15" customHeight="1" x14ac:dyDescent="0.25">
      <c r="B76" s="12"/>
      <c r="C76" s="11"/>
      <c r="D76" s="47"/>
      <c r="E76" s="13"/>
    </row>
    <row r="77" spans="1:5" ht="14.95" thickBot="1" x14ac:dyDescent="0.3">
      <c r="A77" s="3" t="s">
        <v>191</v>
      </c>
      <c r="B77" s="14">
        <f>SUM(B70:B74)</f>
        <v>-60663.68126517511</v>
      </c>
      <c r="C77" s="15">
        <f t="shared" ref="C77" si="2">SUM(C70:C74)</f>
        <v>-38864.167173081732</v>
      </c>
      <c r="D77" s="42">
        <f>SUM(D71:D75)</f>
        <v>128314.65490151249</v>
      </c>
      <c r="E77" s="15">
        <f>SUM(E70:E75)</f>
        <v>-56447.379499999995</v>
      </c>
    </row>
    <row r="78" spans="1:5" ht="14.95" thickTop="1" x14ac:dyDescent="0.25">
      <c r="B78" s="10"/>
      <c r="C78" s="11"/>
      <c r="D78" s="47"/>
      <c r="E78" s="13"/>
    </row>
    <row r="79" spans="1:5" x14ac:dyDescent="0.25">
      <c r="A79" s="2" t="s">
        <v>10</v>
      </c>
      <c r="B79" s="12">
        <f>B55+B70+B73</f>
        <v>-1288745.4871579553</v>
      </c>
      <c r="C79" s="11"/>
      <c r="D79" s="47"/>
      <c r="E79" s="13"/>
    </row>
    <row r="80" spans="1:5" x14ac:dyDescent="0.25">
      <c r="A80" s="2" t="s">
        <v>88</v>
      </c>
      <c r="B80" s="12"/>
      <c r="C80" s="11"/>
      <c r="D80" s="47"/>
      <c r="E80" s="13">
        <f>E56+D71+E75</f>
        <v>176637.38432401247</v>
      </c>
    </row>
    <row r="81" spans="1:5" x14ac:dyDescent="0.25">
      <c r="A81" s="2" t="s">
        <v>11</v>
      </c>
      <c r="B81" s="12"/>
      <c r="C81" s="16">
        <f>C57+C72</f>
        <v>582962.50759622583</v>
      </c>
      <c r="D81" s="47"/>
      <c r="E81" s="13"/>
    </row>
    <row r="82" spans="1:5" x14ac:dyDescent="0.25">
      <c r="A82" s="2" t="s">
        <v>98</v>
      </c>
      <c r="B82" s="10"/>
      <c r="C82" s="13"/>
      <c r="D82" s="17"/>
      <c r="E82" s="13">
        <f>E58+E72</f>
        <v>1680000</v>
      </c>
    </row>
    <row r="83" spans="1:5" ht="14.95" thickBot="1" x14ac:dyDescent="0.3">
      <c r="A83" s="3" t="s">
        <v>8</v>
      </c>
      <c r="B83" s="21">
        <f>SUM(B79:B82)</f>
        <v>-1288745.4871579553</v>
      </c>
      <c r="C83" s="22">
        <f t="shared" ref="C83:E83" si="3">SUM(C79:C82)</f>
        <v>582962.50759622583</v>
      </c>
      <c r="D83" s="52">
        <f t="shared" si="3"/>
        <v>0</v>
      </c>
      <c r="E83" s="22">
        <f t="shared" si="3"/>
        <v>1856637.3843240126</v>
      </c>
    </row>
    <row r="85" spans="1:5" ht="14.95" thickBot="1" x14ac:dyDescent="0.3">
      <c r="B85" s="311" t="s">
        <v>76</v>
      </c>
      <c r="C85" s="312"/>
      <c r="D85" s="50" t="s">
        <v>97</v>
      </c>
      <c r="E85" s="5"/>
    </row>
    <row r="86" spans="1:5" ht="14.95" thickBot="1" x14ac:dyDescent="0.3">
      <c r="A86" s="56" t="s">
        <v>237</v>
      </c>
      <c r="B86" s="53" t="s">
        <v>4</v>
      </c>
      <c r="C86" s="55" t="s">
        <v>6</v>
      </c>
      <c r="D86" s="53" t="s">
        <v>5</v>
      </c>
      <c r="E86" s="54" t="s">
        <v>7</v>
      </c>
    </row>
    <row r="87" spans="1:5" ht="19.05" x14ac:dyDescent="0.35">
      <c r="A87" s="26" t="s">
        <v>1</v>
      </c>
      <c r="B87" s="19"/>
      <c r="C87" s="46"/>
      <c r="D87" s="47"/>
      <c r="E87" s="23"/>
    </row>
    <row r="88" spans="1:5" x14ac:dyDescent="0.25">
      <c r="A88" s="2" t="s">
        <v>186</v>
      </c>
      <c r="B88" s="17">
        <f>'Scenario and Data'!C137</f>
        <v>57993.546922107984</v>
      </c>
      <c r="C88" s="18"/>
      <c r="D88" s="48">
        <f>-'Scenario and Data'!D213</f>
        <v>-7948.6822945805607</v>
      </c>
      <c r="E88" s="23"/>
    </row>
    <row r="89" spans="1:5" x14ac:dyDescent="0.25">
      <c r="A89" s="2" t="s">
        <v>0</v>
      </c>
      <c r="B89" s="19"/>
      <c r="C89" s="20">
        <f>'Scenario and Data'!C167</f>
        <v>38864.167173081732</v>
      </c>
      <c r="D89" s="17"/>
      <c r="E89" s="13">
        <f>-'Scenario and Data'!C187</f>
        <v>40000</v>
      </c>
    </row>
    <row r="90" spans="1:5" x14ac:dyDescent="0.25">
      <c r="A90" s="2" t="s">
        <v>51</v>
      </c>
      <c r="B90" s="10"/>
      <c r="C90" s="11"/>
      <c r="D90" s="17">
        <f>-'Scenario and Data'!$A$237</f>
        <v>-103552.6205</v>
      </c>
      <c r="E90" s="23"/>
    </row>
    <row r="91" spans="1:5" ht="14.95" thickBot="1" x14ac:dyDescent="0.3">
      <c r="A91" s="3" t="s">
        <v>3</v>
      </c>
      <c r="B91" s="14">
        <f>SUM(B88:B90)</f>
        <v>57993.546922107984</v>
      </c>
      <c r="C91" s="15">
        <f>SUM(C88:C90)</f>
        <v>38864.167173081732</v>
      </c>
      <c r="D91" s="42">
        <f>SUM(D88:D90)</f>
        <v>-111501.30279458057</v>
      </c>
      <c r="E91" s="15">
        <f>SUM(E88:E90)</f>
        <v>40000</v>
      </c>
    </row>
    <row r="92" spans="1:5" ht="15.65" thickTop="1" thickBot="1" x14ac:dyDescent="0.3">
      <c r="A92" s="3"/>
      <c r="B92" s="36"/>
      <c r="C92" s="36"/>
      <c r="D92" s="37"/>
      <c r="E92" s="36"/>
    </row>
    <row r="93" spans="1:5" ht="19.05" x14ac:dyDescent="0.35">
      <c r="A93" s="26" t="s">
        <v>18</v>
      </c>
      <c r="B93" s="33"/>
      <c r="C93" s="34"/>
      <c r="D93" s="51"/>
      <c r="E93" s="35"/>
    </row>
    <row r="94" spans="1:5" x14ac:dyDescent="0.25">
      <c r="A94" s="2" t="s">
        <v>19</v>
      </c>
      <c r="B94" s="17">
        <f>-'Scenario and Data'!C137</f>
        <v>-57993.546922107984</v>
      </c>
      <c r="C94" s="18"/>
      <c r="E94" s="13"/>
    </row>
    <row r="95" spans="1:5" x14ac:dyDescent="0.25">
      <c r="A95" s="2" t="s">
        <v>184</v>
      </c>
      <c r="B95" s="17"/>
      <c r="C95" s="18"/>
      <c r="D95" s="48">
        <f>'Scenario and Data'!D213</f>
        <v>7948.6822945805607</v>
      </c>
      <c r="E95" s="13"/>
    </row>
    <row r="96" spans="1:5" x14ac:dyDescent="0.25">
      <c r="A96" s="2" t="s">
        <v>2</v>
      </c>
      <c r="B96" s="19"/>
      <c r="C96" s="20">
        <f>-'Scenario and Data'!C167</f>
        <v>-38864.167173081732</v>
      </c>
      <c r="D96" s="17"/>
      <c r="E96" s="13">
        <f>'Scenario and Data'!C187</f>
        <v>-40000</v>
      </c>
    </row>
    <row r="97" spans="1:5" x14ac:dyDescent="0.25">
      <c r="A97" s="2" t="s">
        <v>9</v>
      </c>
      <c r="B97" s="17">
        <f>-'Scenario and Data'!D137</f>
        <v>120000</v>
      </c>
      <c r="C97" s="20"/>
      <c r="D97" s="17"/>
      <c r="E97" s="13"/>
    </row>
    <row r="98" spans="1:5" x14ac:dyDescent="0.25">
      <c r="A98" s="2" t="s">
        <v>183</v>
      </c>
      <c r="B98" s="12">
        <f>'Scenario and Data'!D137</f>
        <v>-120000</v>
      </c>
      <c r="C98" s="16"/>
      <c r="D98" s="17">
        <f>'Scenario and Data'!B104</f>
        <v>120000</v>
      </c>
      <c r="E98" s="23"/>
    </row>
    <row r="99" spans="1:5" x14ac:dyDescent="0.25">
      <c r="A99" s="2" t="s">
        <v>185</v>
      </c>
      <c r="B99" s="12"/>
      <c r="C99" s="16"/>
      <c r="D99" s="17"/>
      <c r="E99" s="13">
        <f>'Scenario and Data'!C213</f>
        <v>-16447.379499999999</v>
      </c>
    </row>
    <row r="100" spans="1:5" ht="7.15" customHeight="1" x14ac:dyDescent="0.25">
      <c r="B100" s="12"/>
      <c r="C100" s="11"/>
      <c r="D100" s="47"/>
      <c r="E100" s="13"/>
    </row>
    <row r="101" spans="1:5" ht="14.95" thickBot="1" x14ac:dyDescent="0.3">
      <c r="A101" s="3" t="s">
        <v>191</v>
      </c>
      <c r="B101" s="14">
        <f>SUM(B94:B98)</f>
        <v>-57993.546922107984</v>
      </c>
      <c r="C101" s="15">
        <f t="shared" ref="C101" si="4">SUM(C94:C98)</f>
        <v>-38864.167173081732</v>
      </c>
      <c r="D101" s="42">
        <f>SUM(D95:D99)</f>
        <v>127948.68229458056</v>
      </c>
      <c r="E101" s="15">
        <f>SUM(E94:E99)</f>
        <v>-56447.379499999995</v>
      </c>
    </row>
    <row r="102" spans="1:5" ht="14.95" thickTop="1" x14ac:dyDescent="0.25">
      <c r="B102" s="10"/>
      <c r="C102" s="11"/>
      <c r="D102" s="47"/>
      <c r="E102" s="13"/>
    </row>
    <row r="103" spans="1:5" x14ac:dyDescent="0.25">
      <c r="A103" s="2" t="s">
        <v>10</v>
      </c>
      <c r="B103" s="12">
        <f>B79+B94+B97</f>
        <v>-1226739.0340800632</v>
      </c>
      <c r="C103" s="11"/>
      <c r="D103" s="47"/>
      <c r="E103" s="13"/>
    </row>
    <row r="104" spans="1:5" x14ac:dyDescent="0.25">
      <c r="A104" s="2" t="s">
        <v>88</v>
      </c>
      <c r="B104" s="12"/>
      <c r="C104" s="11"/>
      <c r="D104" s="47"/>
      <c r="E104" s="13">
        <f>E80+D95+E99</f>
        <v>168138.68711859302</v>
      </c>
    </row>
    <row r="105" spans="1:5" x14ac:dyDescent="0.25">
      <c r="A105" s="2" t="s">
        <v>11</v>
      </c>
      <c r="B105" s="12"/>
      <c r="C105" s="16">
        <f>C81+C96</f>
        <v>544098.34042314405</v>
      </c>
      <c r="D105" s="47"/>
      <c r="E105" s="13"/>
    </row>
    <row r="106" spans="1:5" x14ac:dyDescent="0.25">
      <c r="A106" s="2" t="s">
        <v>98</v>
      </c>
      <c r="B106" s="10"/>
      <c r="C106" s="13"/>
      <c r="D106" s="17"/>
      <c r="E106" s="13">
        <f>E82+E96</f>
        <v>1640000</v>
      </c>
    </row>
    <row r="107" spans="1:5" ht="14.95" thickBot="1" x14ac:dyDescent="0.3">
      <c r="A107" s="3" t="s">
        <v>8</v>
      </c>
      <c r="B107" s="21">
        <f>SUM(B103:B106)</f>
        <v>-1226739.0340800632</v>
      </c>
      <c r="C107" s="22">
        <f t="shared" ref="C107:E107" si="5">SUM(C103:C106)</f>
        <v>544098.34042314405</v>
      </c>
      <c r="D107" s="52">
        <f t="shared" si="5"/>
        <v>0</v>
      </c>
      <c r="E107" s="22">
        <f t="shared" si="5"/>
        <v>1808138.6871185931</v>
      </c>
    </row>
    <row r="109" spans="1:5" ht="14.95" thickBot="1" x14ac:dyDescent="0.3">
      <c r="B109" s="311" t="s">
        <v>76</v>
      </c>
      <c r="C109" s="312"/>
      <c r="D109" s="50" t="s">
        <v>97</v>
      </c>
      <c r="E109" s="5"/>
    </row>
    <row r="110" spans="1:5" ht="18.7" customHeight="1" thickBot="1" x14ac:dyDescent="0.3">
      <c r="A110" s="56" t="s">
        <v>238</v>
      </c>
      <c r="B110" s="53" t="s">
        <v>4</v>
      </c>
      <c r="C110" s="55" t="s">
        <v>6</v>
      </c>
      <c r="D110" s="53" t="s">
        <v>5</v>
      </c>
      <c r="E110" s="54" t="s">
        <v>7</v>
      </c>
    </row>
    <row r="111" spans="1:5" ht="19.05" x14ac:dyDescent="0.35">
      <c r="A111" s="26" t="s">
        <v>1</v>
      </c>
      <c r="B111" s="19"/>
      <c r="C111" s="46"/>
      <c r="D111" s="47"/>
      <c r="E111" s="23"/>
    </row>
    <row r="112" spans="1:5" x14ac:dyDescent="0.25">
      <c r="A112" s="2" t="s">
        <v>186</v>
      </c>
      <c r="B112" s="17">
        <f>'Scenario and Data'!C138</f>
        <v>55203.256533602842</v>
      </c>
      <c r="C112" s="18"/>
      <c r="D112" s="17">
        <f>-'Scenario and Data'!D214</f>
        <v>-7566.240920336686</v>
      </c>
      <c r="E112" s="23"/>
    </row>
    <row r="113" spans="1:5" x14ac:dyDescent="0.25">
      <c r="A113" s="2" t="s">
        <v>0</v>
      </c>
      <c r="B113" s="19"/>
      <c r="C113" s="20">
        <f>'Scenario and Data'!C167</f>
        <v>38864.167173081732</v>
      </c>
      <c r="D113" s="17"/>
      <c r="E113" s="13">
        <f>-'Scenario and Data'!C188</f>
        <v>40000</v>
      </c>
    </row>
    <row r="114" spans="1:5" x14ac:dyDescent="0.25">
      <c r="A114" s="2" t="s">
        <v>51</v>
      </c>
      <c r="B114" s="10"/>
      <c r="C114" s="11"/>
      <c r="D114" s="17">
        <f>-'Scenario and Data'!$A$237</f>
        <v>-103552.6205</v>
      </c>
      <c r="E114" s="23"/>
    </row>
    <row r="115" spans="1:5" ht="14.95" thickBot="1" x14ac:dyDescent="0.3">
      <c r="A115" s="3" t="s">
        <v>3</v>
      </c>
      <c r="B115" s="14">
        <f>SUM(B112:B114)</f>
        <v>55203.256533602842</v>
      </c>
      <c r="C115" s="15">
        <f>SUM(C112:C114)</f>
        <v>38864.167173081732</v>
      </c>
      <c r="D115" s="42">
        <f>SUM(D112:D114)</f>
        <v>-111118.86142033669</v>
      </c>
      <c r="E115" s="15">
        <f>SUM(E112:E114)</f>
        <v>40000</v>
      </c>
    </row>
    <row r="116" spans="1:5" ht="15.65" thickTop="1" thickBot="1" x14ac:dyDescent="0.3">
      <c r="A116" s="3"/>
      <c r="B116" s="36"/>
      <c r="C116" s="36"/>
      <c r="D116" s="37"/>
      <c r="E116" s="36"/>
    </row>
    <row r="117" spans="1:5" ht="19.05" x14ac:dyDescent="0.35">
      <c r="A117" s="26" t="s">
        <v>18</v>
      </c>
      <c r="B117" s="33"/>
      <c r="C117" s="34"/>
      <c r="D117" s="51"/>
      <c r="E117" s="35"/>
    </row>
    <row r="118" spans="1:5" x14ac:dyDescent="0.25">
      <c r="A118" s="2" t="s">
        <v>19</v>
      </c>
      <c r="B118" s="17">
        <f>-'Scenario and Data'!C138</f>
        <v>-55203.256533602842</v>
      </c>
      <c r="C118" s="18"/>
      <c r="E118" s="13"/>
    </row>
    <row r="119" spans="1:5" x14ac:dyDescent="0.25">
      <c r="A119" s="2" t="s">
        <v>184</v>
      </c>
      <c r="B119" s="17"/>
      <c r="C119" s="18"/>
      <c r="D119" s="48">
        <f>'Scenario and Data'!D214</f>
        <v>7566.240920336686</v>
      </c>
      <c r="E119" s="13"/>
    </row>
    <row r="120" spans="1:5" x14ac:dyDescent="0.25">
      <c r="A120" s="2" t="s">
        <v>2</v>
      </c>
      <c r="B120" s="19"/>
      <c r="C120" s="20">
        <f>-'Scenario and Data'!C167</f>
        <v>-38864.167173081732</v>
      </c>
      <c r="D120" s="17"/>
      <c r="E120" s="13">
        <f>'Scenario and Data'!C188</f>
        <v>-40000</v>
      </c>
    </row>
    <row r="121" spans="1:5" x14ac:dyDescent="0.25">
      <c r="A121" s="2" t="s">
        <v>9</v>
      </c>
      <c r="B121" s="17">
        <f>-'Scenario and Data'!D138</f>
        <v>120000</v>
      </c>
      <c r="C121" s="20"/>
      <c r="D121" s="17"/>
      <c r="E121" s="13"/>
    </row>
    <row r="122" spans="1:5" x14ac:dyDescent="0.25">
      <c r="A122" s="2" t="s">
        <v>183</v>
      </c>
      <c r="B122" s="12">
        <f>'Scenario and Data'!D138</f>
        <v>-120000</v>
      </c>
      <c r="C122" s="16"/>
      <c r="D122" s="17">
        <f>'Scenario and Data'!B105</f>
        <v>120000</v>
      </c>
      <c r="E122" s="23"/>
    </row>
    <row r="123" spans="1:5" x14ac:dyDescent="0.25">
      <c r="A123" s="2" t="s">
        <v>185</v>
      </c>
      <c r="B123" s="12"/>
      <c r="C123" s="16"/>
      <c r="D123" s="17"/>
      <c r="E123" s="13">
        <f>'Scenario and Data'!C214</f>
        <v>-16447.379499999999</v>
      </c>
    </row>
    <row r="124" spans="1:5" ht="10.199999999999999" customHeight="1" x14ac:dyDescent="0.25">
      <c r="B124" s="12"/>
      <c r="C124" s="11"/>
      <c r="D124" s="47"/>
      <c r="E124" s="13"/>
    </row>
    <row r="125" spans="1:5" ht="14.95" thickBot="1" x14ac:dyDescent="0.3">
      <c r="A125" s="3" t="s">
        <v>191</v>
      </c>
      <c r="B125" s="14">
        <f>SUM(B118:B122)</f>
        <v>-55203.256533602842</v>
      </c>
      <c r="C125" s="15">
        <f t="shared" ref="C125" si="6">SUM(C118:C122)</f>
        <v>-38864.167173081732</v>
      </c>
      <c r="D125" s="42">
        <f>SUM(D119:D123)</f>
        <v>127566.24092033668</v>
      </c>
      <c r="E125" s="15">
        <f>SUM(E118:E123)</f>
        <v>-56447.379499999995</v>
      </c>
    </row>
    <row r="126" spans="1:5" ht="14.95" thickTop="1" x14ac:dyDescent="0.25">
      <c r="B126" s="10"/>
      <c r="C126" s="11"/>
      <c r="D126" s="47"/>
      <c r="E126" s="13"/>
    </row>
    <row r="127" spans="1:5" x14ac:dyDescent="0.25">
      <c r="A127" s="2" t="s">
        <v>10</v>
      </c>
      <c r="B127" s="12">
        <f>B103+B118+B121</f>
        <v>-1161942.2906136662</v>
      </c>
      <c r="C127" s="11"/>
      <c r="D127" s="47"/>
      <c r="E127" s="13"/>
    </row>
    <row r="128" spans="1:5" x14ac:dyDescent="0.25">
      <c r="A128" s="2" t="s">
        <v>88</v>
      </c>
      <c r="B128" s="12"/>
      <c r="C128" s="11"/>
      <c r="D128" s="47"/>
      <c r="E128" s="13">
        <f>E104+D119+E123</f>
        <v>159257.5485389297</v>
      </c>
    </row>
    <row r="129" spans="1:5" x14ac:dyDescent="0.25">
      <c r="A129" s="2" t="s">
        <v>11</v>
      </c>
      <c r="B129" s="12"/>
      <c r="C129" s="16">
        <f>C105+C120</f>
        <v>505234.17325006233</v>
      </c>
      <c r="D129" s="47"/>
      <c r="E129" s="13"/>
    </row>
    <row r="130" spans="1:5" x14ac:dyDescent="0.25">
      <c r="A130" s="2" t="s">
        <v>98</v>
      </c>
      <c r="B130" s="10"/>
      <c r="C130" s="13"/>
      <c r="D130" s="17"/>
      <c r="E130" s="13">
        <f>E106+E120</f>
        <v>1600000</v>
      </c>
    </row>
    <row r="131" spans="1:5" ht="14.95" thickBot="1" x14ac:dyDescent="0.3">
      <c r="A131" s="3" t="s">
        <v>8</v>
      </c>
      <c r="B131" s="21">
        <f>SUM(B127:B130)</f>
        <v>-1161942.2906136662</v>
      </c>
      <c r="C131" s="22">
        <f t="shared" ref="C131:E131" si="7">SUM(C127:C130)</f>
        <v>505234.17325006233</v>
      </c>
      <c r="D131" s="52">
        <f t="shared" si="7"/>
        <v>0</v>
      </c>
      <c r="E131" s="22">
        <f t="shared" si="7"/>
        <v>1759257.5485389298</v>
      </c>
    </row>
    <row r="133" spans="1:5" ht="14.95" thickBot="1" x14ac:dyDescent="0.3">
      <c r="B133" s="311" t="s">
        <v>76</v>
      </c>
      <c r="C133" s="312"/>
      <c r="D133" s="50" t="s">
        <v>97</v>
      </c>
      <c r="E133" s="5"/>
    </row>
    <row r="134" spans="1:5" ht="19.2" customHeight="1" thickBot="1" x14ac:dyDescent="0.3">
      <c r="A134" s="56" t="s">
        <v>239</v>
      </c>
      <c r="B134" s="53" t="s">
        <v>4</v>
      </c>
      <c r="C134" s="55" t="s">
        <v>6</v>
      </c>
      <c r="D134" s="53" t="s">
        <v>5</v>
      </c>
      <c r="E134" s="54" t="s">
        <v>7</v>
      </c>
    </row>
    <row r="135" spans="1:5" ht="19.05" x14ac:dyDescent="0.35">
      <c r="A135" s="26" t="s">
        <v>1</v>
      </c>
      <c r="B135" s="19"/>
      <c r="C135" s="46"/>
      <c r="D135" s="47"/>
      <c r="E135" s="23"/>
    </row>
    <row r="136" spans="1:5" x14ac:dyDescent="0.25">
      <c r="A136" s="2" t="s">
        <v>186</v>
      </c>
      <c r="B136" s="17">
        <f>'Scenario and Data'!C139</f>
        <v>52287.403077614974</v>
      </c>
      <c r="C136" s="18"/>
      <c r="D136" s="17">
        <f>-'Scenario and Data'!D215</f>
        <v>-7166.5896842518359</v>
      </c>
      <c r="E136" s="23"/>
    </row>
    <row r="137" spans="1:5" x14ac:dyDescent="0.25">
      <c r="A137" s="2" t="s">
        <v>0</v>
      </c>
      <c r="B137" s="19"/>
      <c r="C137" s="20">
        <f>'Scenario and Data'!C167</f>
        <v>38864.167173081732</v>
      </c>
      <c r="D137" s="17"/>
      <c r="E137" s="13">
        <f>-'Scenario and Data'!C189</f>
        <v>40000</v>
      </c>
    </row>
    <row r="138" spans="1:5" x14ac:dyDescent="0.25">
      <c r="A138" s="2" t="s">
        <v>51</v>
      </c>
      <c r="B138" s="10"/>
      <c r="C138" s="11"/>
      <c r="D138" s="17">
        <f>-'Scenario and Data'!$A$237</f>
        <v>-103552.6205</v>
      </c>
      <c r="E138" s="23"/>
    </row>
    <row r="139" spans="1:5" ht="14.95" thickBot="1" x14ac:dyDescent="0.3">
      <c r="A139" s="3" t="s">
        <v>3</v>
      </c>
      <c r="B139" s="14">
        <f>SUM(B136:B138)</f>
        <v>52287.403077614974</v>
      </c>
      <c r="C139" s="15">
        <f>SUM(C136:C138)</f>
        <v>38864.167173081732</v>
      </c>
      <c r="D139" s="42">
        <f>SUM(D136:D138)</f>
        <v>-110719.21018425185</v>
      </c>
      <c r="E139" s="15">
        <f>SUM(E136:E138)</f>
        <v>40000</v>
      </c>
    </row>
    <row r="140" spans="1:5" ht="15.65" thickTop="1" thickBot="1" x14ac:dyDescent="0.3">
      <c r="A140" s="3"/>
      <c r="B140" s="36"/>
      <c r="C140" s="36"/>
      <c r="D140" s="37"/>
      <c r="E140" s="36"/>
    </row>
    <row r="141" spans="1:5" ht="19.05" x14ac:dyDescent="0.35">
      <c r="A141" s="26" t="s">
        <v>18</v>
      </c>
      <c r="B141" s="33"/>
      <c r="C141" s="34"/>
      <c r="D141" s="51"/>
      <c r="E141" s="35"/>
    </row>
    <row r="142" spans="1:5" x14ac:dyDescent="0.25">
      <c r="A142" s="2" t="s">
        <v>19</v>
      </c>
      <c r="B142" s="17">
        <f>-'Scenario and Data'!C139</f>
        <v>-52287.403077614974</v>
      </c>
      <c r="C142" s="18"/>
      <c r="E142" s="13"/>
    </row>
    <row r="143" spans="1:5" x14ac:dyDescent="0.25">
      <c r="A143" s="2" t="s">
        <v>184</v>
      </c>
      <c r="B143" s="17"/>
      <c r="C143" s="18"/>
      <c r="D143" s="48">
        <f>'Scenario and Data'!D215</f>
        <v>7166.5896842518359</v>
      </c>
      <c r="E143" s="13"/>
    </row>
    <row r="144" spans="1:5" x14ac:dyDescent="0.25">
      <c r="A144" s="2" t="s">
        <v>2</v>
      </c>
      <c r="B144" s="19"/>
      <c r="C144" s="20">
        <f>-'Scenario and Data'!C167</f>
        <v>-38864.167173081732</v>
      </c>
      <c r="D144" s="17"/>
      <c r="E144" s="13">
        <f>'Scenario and Data'!C189</f>
        <v>-40000</v>
      </c>
    </row>
    <row r="145" spans="1:5" x14ac:dyDescent="0.25">
      <c r="A145" s="2" t="s">
        <v>9</v>
      </c>
      <c r="B145" s="17">
        <f>-'Scenario and Data'!D139</f>
        <v>120000</v>
      </c>
      <c r="C145" s="20"/>
      <c r="D145" s="17"/>
      <c r="E145" s="13"/>
    </row>
    <row r="146" spans="1:5" x14ac:dyDescent="0.25">
      <c r="A146" s="2" t="s">
        <v>183</v>
      </c>
      <c r="B146" s="12">
        <f>'Scenario and Data'!D139</f>
        <v>-120000</v>
      </c>
      <c r="C146" s="16"/>
      <c r="D146" s="17">
        <f>'Scenario and Data'!B106</f>
        <v>120000</v>
      </c>
      <c r="E146" s="23"/>
    </row>
    <row r="147" spans="1:5" x14ac:dyDescent="0.25">
      <c r="A147" s="2" t="s">
        <v>185</v>
      </c>
      <c r="B147" s="12"/>
      <c r="C147" s="16"/>
      <c r="D147" s="17"/>
      <c r="E147" s="13">
        <f>'Scenario and Data'!C215</f>
        <v>-16447.379499999999</v>
      </c>
    </row>
    <row r="148" spans="1:5" ht="9.6999999999999993" customHeight="1" x14ac:dyDescent="0.25">
      <c r="B148" s="12"/>
      <c r="C148" s="11"/>
      <c r="D148" s="47"/>
      <c r="E148" s="13"/>
    </row>
    <row r="149" spans="1:5" ht="14.95" thickBot="1" x14ac:dyDescent="0.3">
      <c r="A149" s="3" t="s">
        <v>191</v>
      </c>
      <c r="B149" s="14">
        <f>SUM(B142:B146)</f>
        <v>-52287.403077614974</v>
      </c>
      <c r="C149" s="15">
        <f t="shared" ref="C149" si="8">SUM(C142:C146)</f>
        <v>-38864.167173081732</v>
      </c>
      <c r="D149" s="42">
        <f>SUM(D143:D147)</f>
        <v>127166.58968425184</v>
      </c>
      <c r="E149" s="15">
        <f>SUM(E142:E147)</f>
        <v>-56447.379499999995</v>
      </c>
    </row>
    <row r="150" spans="1:5" ht="14.95" thickTop="1" x14ac:dyDescent="0.25">
      <c r="B150" s="10"/>
      <c r="C150" s="11"/>
      <c r="D150" s="47"/>
      <c r="E150" s="13"/>
    </row>
    <row r="151" spans="1:5" x14ac:dyDescent="0.25">
      <c r="A151" s="2" t="s">
        <v>10</v>
      </c>
      <c r="B151" s="12">
        <f>B127+B142+B145</f>
        <v>-1094229.6936912811</v>
      </c>
      <c r="C151" s="11"/>
      <c r="D151" s="47"/>
      <c r="E151" s="13"/>
    </row>
    <row r="152" spans="1:5" x14ac:dyDescent="0.25">
      <c r="A152" s="2" t="s">
        <v>88</v>
      </c>
      <c r="B152" s="12"/>
      <c r="C152" s="11"/>
      <c r="D152" s="47"/>
      <c r="E152" s="13">
        <f>E128+D143+E147</f>
        <v>149976.75872318153</v>
      </c>
    </row>
    <row r="153" spans="1:5" x14ac:dyDescent="0.25">
      <c r="A153" s="2" t="s">
        <v>11</v>
      </c>
      <c r="B153" s="12"/>
      <c r="C153" s="16">
        <f>C129+C144</f>
        <v>466370.00607698062</v>
      </c>
      <c r="D153" s="47"/>
      <c r="E153" s="13"/>
    </row>
    <row r="154" spans="1:5" x14ac:dyDescent="0.25">
      <c r="A154" s="2" t="s">
        <v>98</v>
      </c>
      <c r="B154" s="10"/>
      <c r="C154" s="13"/>
      <c r="D154" s="17"/>
      <c r="E154" s="13">
        <f>E130+E144</f>
        <v>1560000</v>
      </c>
    </row>
    <row r="155" spans="1:5" ht="14.95" thickBot="1" x14ac:dyDescent="0.3">
      <c r="A155" s="3" t="s">
        <v>8</v>
      </c>
      <c r="B155" s="21">
        <f>SUM(B151:B154)</f>
        <v>-1094229.6936912811</v>
      </c>
      <c r="C155" s="22">
        <f t="shared" ref="C155:E155" si="9">SUM(C151:C154)</f>
        <v>466370.00607698062</v>
      </c>
      <c r="D155" s="52">
        <f t="shared" si="9"/>
        <v>0</v>
      </c>
      <c r="E155" s="22">
        <f t="shared" si="9"/>
        <v>1709976.7587231814</v>
      </c>
    </row>
    <row r="157" spans="1:5" ht="14.95" thickBot="1" x14ac:dyDescent="0.3">
      <c r="B157" s="311" t="s">
        <v>76</v>
      </c>
      <c r="C157" s="312"/>
      <c r="D157" s="50" t="s">
        <v>97</v>
      </c>
      <c r="E157" s="5"/>
    </row>
    <row r="158" spans="1:5" ht="17" customHeight="1" thickBot="1" x14ac:dyDescent="0.3">
      <c r="A158" s="56" t="s">
        <v>240</v>
      </c>
      <c r="B158" s="53" t="s">
        <v>4</v>
      </c>
      <c r="C158" s="55" t="s">
        <v>6</v>
      </c>
      <c r="D158" s="53" t="s">
        <v>5</v>
      </c>
      <c r="E158" s="54" t="s">
        <v>7</v>
      </c>
    </row>
    <row r="159" spans="1:5" ht="19.05" x14ac:dyDescent="0.35">
      <c r="A159" s="26" t="s">
        <v>1</v>
      </c>
      <c r="B159" s="19"/>
      <c r="C159" s="46"/>
      <c r="D159" s="47"/>
      <c r="E159" s="23"/>
    </row>
    <row r="160" spans="1:5" x14ac:dyDescent="0.25">
      <c r="A160" s="2" t="s">
        <v>186</v>
      </c>
      <c r="B160" s="17">
        <f>'Scenario and Data'!C140</f>
        <v>49240.336216107651</v>
      </c>
      <c r="C160" s="18"/>
      <c r="D160" s="17">
        <f>-'Scenario and Data'!D216</f>
        <v>-6748.954142543168</v>
      </c>
      <c r="E160" s="23"/>
    </row>
    <row r="161" spans="1:5" x14ac:dyDescent="0.25">
      <c r="A161" s="2" t="s">
        <v>0</v>
      </c>
      <c r="B161" s="19"/>
      <c r="C161" s="20">
        <f>'Scenario and Data'!C167</f>
        <v>38864.167173081732</v>
      </c>
      <c r="D161" s="17"/>
      <c r="E161" s="13">
        <f>-'Scenario and Data'!C190</f>
        <v>40000</v>
      </c>
    </row>
    <row r="162" spans="1:5" x14ac:dyDescent="0.25">
      <c r="A162" s="2" t="s">
        <v>51</v>
      </c>
      <c r="B162" s="10"/>
      <c r="C162" s="11"/>
      <c r="D162" s="17">
        <f>-'Scenario and Data'!$A$237</f>
        <v>-103552.6205</v>
      </c>
      <c r="E162" s="23"/>
    </row>
    <row r="163" spans="1:5" ht="14.95" thickBot="1" x14ac:dyDescent="0.3">
      <c r="A163" s="3" t="s">
        <v>3</v>
      </c>
      <c r="B163" s="14">
        <f>SUM(B160:B162)</f>
        <v>49240.336216107651</v>
      </c>
      <c r="C163" s="15">
        <f>SUM(C160:C162)</f>
        <v>38864.167173081732</v>
      </c>
      <c r="D163" s="42">
        <f>SUM(D160:D162)</f>
        <v>-110301.57464254317</v>
      </c>
      <c r="E163" s="15">
        <f>SUM(E160:E162)</f>
        <v>40000</v>
      </c>
    </row>
    <row r="164" spans="1:5" ht="15.65" thickTop="1" thickBot="1" x14ac:dyDescent="0.3">
      <c r="A164" s="3"/>
      <c r="B164" s="36"/>
      <c r="C164" s="36"/>
      <c r="D164" s="37"/>
      <c r="E164" s="36"/>
    </row>
    <row r="165" spans="1:5" ht="19.05" x14ac:dyDescent="0.35">
      <c r="A165" s="26" t="s">
        <v>18</v>
      </c>
      <c r="B165" s="33"/>
      <c r="C165" s="34"/>
      <c r="D165" s="51"/>
      <c r="E165" s="35"/>
    </row>
    <row r="166" spans="1:5" x14ac:dyDescent="0.25">
      <c r="A166" s="2" t="s">
        <v>19</v>
      </c>
      <c r="B166" s="17">
        <f>-'Scenario and Data'!C140</f>
        <v>-49240.336216107651</v>
      </c>
      <c r="C166" s="18"/>
      <c r="E166" s="13"/>
    </row>
    <row r="167" spans="1:5" x14ac:dyDescent="0.25">
      <c r="A167" s="2" t="s">
        <v>184</v>
      </c>
      <c r="B167" s="17"/>
      <c r="C167" s="18"/>
      <c r="D167" s="48">
        <f>'Scenario and Data'!D216</f>
        <v>6748.954142543168</v>
      </c>
      <c r="E167" s="13"/>
    </row>
    <row r="168" spans="1:5" x14ac:dyDescent="0.25">
      <c r="A168" s="2" t="s">
        <v>2</v>
      </c>
      <c r="B168" s="19"/>
      <c r="C168" s="20">
        <f>-'Scenario and Data'!C167</f>
        <v>-38864.167173081732</v>
      </c>
      <c r="D168" s="17"/>
      <c r="E168" s="13">
        <f>'Scenario and Data'!C190</f>
        <v>-40000</v>
      </c>
    </row>
    <row r="169" spans="1:5" x14ac:dyDescent="0.25">
      <c r="A169" s="2" t="s">
        <v>9</v>
      </c>
      <c r="B169" s="17">
        <f>-'Scenario and Data'!D140</f>
        <v>120000</v>
      </c>
      <c r="C169" s="20"/>
      <c r="D169" s="17"/>
      <c r="E169" s="13"/>
    </row>
    <row r="170" spans="1:5" x14ac:dyDescent="0.25">
      <c r="A170" s="2" t="s">
        <v>183</v>
      </c>
      <c r="B170" s="12">
        <f>'Scenario and Data'!D140</f>
        <v>-120000</v>
      </c>
      <c r="C170" s="16"/>
      <c r="D170" s="17">
        <f>'Scenario and Data'!B107</f>
        <v>120000</v>
      </c>
      <c r="E170" s="23"/>
    </row>
    <row r="171" spans="1:5" x14ac:dyDescent="0.25">
      <c r="A171" s="2" t="s">
        <v>185</v>
      </c>
      <c r="B171" s="12"/>
      <c r="C171" s="16"/>
      <c r="D171" s="17"/>
      <c r="E171" s="13">
        <f>'Scenario and Data'!C216</f>
        <v>-16447.379499999999</v>
      </c>
    </row>
    <row r="172" spans="1:5" ht="10.199999999999999" customHeight="1" x14ac:dyDescent="0.25">
      <c r="B172" s="12"/>
      <c r="C172" s="11"/>
      <c r="D172" s="47"/>
      <c r="E172" s="13"/>
    </row>
    <row r="173" spans="1:5" ht="14.95" thickBot="1" x14ac:dyDescent="0.3">
      <c r="A173" s="3" t="s">
        <v>191</v>
      </c>
      <c r="B173" s="14">
        <f>SUM(B166:B170)</f>
        <v>-49240.336216107651</v>
      </c>
      <c r="C173" s="15">
        <f>SUM(C166:C170)</f>
        <v>-38864.167173081732</v>
      </c>
      <c r="D173" s="42">
        <f>SUM(D167:D171)</f>
        <v>126748.95414254317</v>
      </c>
      <c r="E173" s="15">
        <f>SUM(E166:E171)</f>
        <v>-56447.379499999995</v>
      </c>
    </row>
    <row r="174" spans="1:5" ht="14.95" thickTop="1" x14ac:dyDescent="0.25">
      <c r="B174" s="10"/>
      <c r="C174" s="11"/>
      <c r="D174" s="47"/>
      <c r="E174" s="13"/>
    </row>
    <row r="175" spans="1:5" x14ac:dyDescent="0.25">
      <c r="A175" s="2" t="s">
        <v>10</v>
      </c>
      <c r="B175" s="12">
        <f>B151+B166+B169</f>
        <v>-1023470.0299073888</v>
      </c>
      <c r="C175" s="11"/>
      <c r="D175" s="47"/>
      <c r="E175" s="13"/>
    </row>
    <row r="176" spans="1:5" x14ac:dyDescent="0.25">
      <c r="A176" s="2" t="s">
        <v>88</v>
      </c>
      <c r="B176" s="12"/>
      <c r="C176" s="11"/>
      <c r="D176" s="47"/>
      <c r="E176" s="13">
        <f>E152+D167+E171</f>
        <v>140278.33336572468</v>
      </c>
    </row>
    <row r="177" spans="1:5" x14ac:dyDescent="0.25">
      <c r="A177" s="2" t="s">
        <v>11</v>
      </c>
      <c r="B177" s="12"/>
      <c r="C177" s="16">
        <f>C153+C168</f>
        <v>427505.8389038989</v>
      </c>
      <c r="D177" s="47"/>
      <c r="E177" s="13"/>
    </row>
    <row r="178" spans="1:5" x14ac:dyDescent="0.25">
      <c r="A178" s="2" t="s">
        <v>98</v>
      </c>
      <c r="B178" s="10"/>
      <c r="C178" s="13"/>
      <c r="D178" s="17"/>
      <c r="E178" s="13">
        <f>E154+E168</f>
        <v>1520000</v>
      </c>
    </row>
    <row r="179" spans="1:5" ht="14.95" thickBot="1" x14ac:dyDescent="0.3">
      <c r="A179" s="3" t="s">
        <v>8</v>
      </c>
      <c r="B179" s="21">
        <f>SUM(B175:B178)</f>
        <v>-1023470.0299073888</v>
      </c>
      <c r="C179" s="22">
        <f t="shared" ref="C179:E179" si="10">SUM(C175:C178)</f>
        <v>427505.8389038989</v>
      </c>
      <c r="D179" s="52">
        <f t="shared" si="10"/>
        <v>0</v>
      </c>
      <c r="E179" s="22">
        <f t="shared" si="10"/>
        <v>1660278.3333657247</v>
      </c>
    </row>
    <row r="181" spans="1:5" ht="14.95" thickBot="1" x14ac:dyDescent="0.3">
      <c r="B181" s="311" t="s">
        <v>76</v>
      </c>
      <c r="C181" s="312"/>
      <c r="D181" s="50" t="s">
        <v>97</v>
      </c>
      <c r="E181" s="5"/>
    </row>
    <row r="182" spans="1:5" ht="14.95" thickBot="1" x14ac:dyDescent="0.3">
      <c r="A182" s="56" t="s">
        <v>241</v>
      </c>
      <c r="B182" s="53" t="s">
        <v>4</v>
      </c>
      <c r="C182" s="55" t="s">
        <v>6</v>
      </c>
      <c r="D182" s="53" t="s">
        <v>5</v>
      </c>
      <c r="E182" s="54" t="s">
        <v>7</v>
      </c>
    </row>
    <row r="183" spans="1:5" ht="19.05" x14ac:dyDescent="0.35">
      <c r="A183" s="26" t="s">
        <v>1</v>
      </c>
      <c r="B183" s="19"/>
      <c r="C183" s="46"/>
      <c r="D183" s="47"/>
      <c r="E183" s="23"/>
    </row>
    <row r="184" spans="1:5" x14ac:dyDescent="0.25">
      <c r="A184" s="2" t="s">
        <v>186</v>
      </c>
      <c r="B184" s="17">
        <f>'Scenario and Data'!C141</f>
        <v>46056.151345832499</v>
      </c>
      <c r="C184" s="18"/>
      <c r="D184" s="17">
        <f>-'Scenario and Data'!D217</f>
        <v>-6312.5250014576104</v>
      </c>
      <c r="E184" s="23"/>
    </row>
    <row r="185" spans="1:5" x14ac:dyDescent="0.25">
      <c r="A185" s="2" t="s">
        <v>0</v>
      </c>
      <c r="B185" s="19"/>
      <c r="C185" s="20">
        <f>'Scenario and Data'!C167</f>
        <v>38864.167173081732</v>
      </c>
      <c r="D185" s="17"/>
      <c r="E185" s="13">
        <f>-'Scenario and Data'!C191</f>
        <v>40000</v>
      </c>
    </row>
    <row r="186" spans="1:5" x14ac:dyDescent="0.25">
      <c r="A186" s="2" t="s">
        <v>51</v>
      </c>
      <c r="B186" s="10"/>
      <c r="C186" s="11"/>
      <c r="D186" s="17">
        <f>-'Scenario and Data'!$A$237</f>
        <v>-103552.6205</v>
      </c>
      <c r="E186" s="23"/>
    </row>
    <row r="187" spans="1:5" ht="14.95" thickBot="1" x14ac:dyDescent="0.3">
      <c r="A187" s="3" t="s">
        <v>3</v>
      </c>
      <c r="B187" s="14">
        <f>SUM(B184:B186)</f>
        <v>46056.151345832499</v>
      </c>
      <c r="C187" s="15">
        <f>SUM(C184:C186)</f>
        <v>38864.167173081732</v>
      </c>
      <c r="D187" s="42">
        <f>SUM(D184:D186)</f>
        <v>-109865.14550145762</v>
      </c>
      <c r="E187" s="15">
        <f>SUM(E184:E186)</f>
        <v>40000</v>
      </c>
    </row>
    <row r="188" spans="1:5" ht="15.65" thickTop="1" thickBot="1" x14ac:dyDescent="0.3">
      <c r="A188" s="3"/>
      <c r="B188" s="36"/>
      <c r="C188" s="36"/>
      <c r="D188" s="37"/>
      <c r="E188" s="36"/>
    </row>
    <row r="189" spans="1:5" ht="19.05" x14ac:dyDescent="0.35">
      <c r="A189" s="26" t="s">
        <v>18</v>
      </c>
      <c r="B189" s="33"/>
      <c r="C189" s="34"/>
      <c r="D189" s="51"/>
      <c r="E189" s="35"/>
    </row>
    <row r="190" spans="1:5" x14ac:dyDescent="0.25">
      <c r="A190" s="2" t="s">
        <v>19</v>
      </c>
      <c r="B190" s="17">
        <f>-'Scenario and Data'!C141</f>
        <v>-46056.151345832499</v>
      </c>
      <c r="C190" s="18"/>
      <c r="E190" s="13"/>
    </row>
    <row r="191" spans="1:5" x14ac:dyDescent="0.25">
      <c r="A191" s="2" t="s">
        <v>184</v>
      </c>
      <c r="B191" s="17"/>
      <c r="C191" s="18"/>
      <c r="D191" s="48">
        <f>'Scenario and Data'!D217</f>
        <v>6312.5250014576104</v>
      </c>
      <c r="E191" s="13"/>
    </row>
    <row r="192" spans="1:5" x14ac:dyDescent="0.25">
      <c r="A192" s="2" t="s">
        <v>2</v>
      </c>
      <c r="B192" s="19"/>
      <c r="C192" s="20">
        <f>-'Scenario and Data'!C167</f>
        <v>-38864.167173081732</v>
      </c>
      <c r="D192" s="17"/>
      <c r="E192" s="13">
        <f>'Scenario and Data'!C191</f>
        <v>-40000</v>
      </c>
    </row>
    <row r="193" spans="1:5" x14ac:dyDescent="0.25">
      <c r="A193" s="2" t="s">
        <v>9</v>
      </c>
      <c r="B193" s="17">
        <f>-'Scenario and Data'!D141</f>
        <v>120000</v>
      </c>
      <c r="C193" s="20"/>
      <c r="D193" s="17"/>
      <c r="E193" s="13"/>
    </row>
    <row r="194" spans="1:5" x14ac:dyDescent="0.25">
      <c r="A194" s="2" t="s">
        <v>183</v>
      </c>
      <c r="B194" s="12">
        <f>'Scenario and Data'!D141</f>
        <v>-120000</v>
      </c>
      <c r="C194" s="16"/>
      <c r="D194" s="17">
        <f>'Scenario and Data'!B108</f>
        <v>120000</v>
      </c>
      <c r="E194" s="23"/>
    </row>
    <row r="195" spans="1:5" x14ac:dyDescent="0.25">
      <c r="A195" s="2" t="s">
        <v>185</v>
      </c>
      <c r="B195" s="12"/>
      <c r="C195" s="16"/>
      <c r="D195" s="17"/>
      <c r="E195" s="13">
        <f>'Scenario and Data'!C217</f>
        <v>-16447.379499999999</v>
      </c>
    </row>
    <row r="196" spans="1:5" ht="8" customHeight="1" x14ac:dyDescent="0.25">
      <c r="B196" s="12"/>
      <c r="C196" s="11"/>
      <c r="D196" s="47"/>
      <c r="E196" s="13"/>
    </row>
    <row r="197" spans="1:5" ht="14.95" thickBot="1" x14ac:dyDescent="0.3">
      <c r="A197" s="3" t="s">
        <v>191</v>
      </c>
      <c r="B197" s="14">
        <f>SUM(B190:B194)</f>
        <v>-46056.151345832506</v>
      </c>
      <c r="C197" s="15">
        <f t="shared" ref="C197" si="11">SUM(C190:C194)</f>
        <v>-38864.167173081732</v>
      </c>
      <c r="D197" s="42">
        <f>SUM(D191:D195)</f>
        <v>126312.52500145762</v>
      </c>
      <c r="E197" s="15">
        <f>SUM(E190:E195)</f>
        <v>-56447.379499999995</v>
      </c>
    </row>
    <row r="198" spans="1:5" ht="14.95" thickTop="1" x14ac:dyDescent="0.25">
      <c r="B198" s="10"/>
      <c r="C198" s="11"/>
      <c r="D198" s="47"/>
      <c r="E198" s="13"/>
    </row>
    <row r="199" spans="1:5" x14ac:dyDescent="0.25">
      <c r="A199" s="2" t="s">
        <v>10</v>
      </c>
      <c r="B199" s="12">
        <f>B175+B190+B193</f>
        <v>-949526.18125322135</v>
      </c>
      <c r="C199" s="11"/>
      <c r="D199" s="47"/>
      <c r="E199" s="13"/>
    </row>
    <row r="200" spans="1:5" x14ac:dyDescent="0.25">
      <c r="A200" s="2" t="s">
        <v>88</v>
      </c>
      <c r="B200" s="12"/>
      <c r="C200" s="11"/>
      <c r="D200" s="47"/>
      <c r="E200" s="13">
        <f>E176+D191+E195</f>
        <v>130143.47886718229</v>
      </c>
    </row>
    <row r="201" spans="1:5" x14ac:dyDescent="0.25">
      <c r="A201" s="2" t="s">
        <v>11</v>
      </c>
      <c r="B201" s="12"/>
      <c r="C201" s="16">
        <f>C177+C192</f>
        <v>388641.67173081718</v>
      </c>
      <c r="D201" s="47"/>
      <c r="E201" s="13"/>
    </row>
    <row r="202" spans="1:5" x14ac:dyDescent="0.25">
      <c r="A202" s="2" t="s">
        <v>98</v>
      </c>
      <c r="B202" s="10"/>
      <c r="C202" s="13"/>
      <c r="D202" s="17"/>
      <c r="E202" s="13">
        <f>E178+E192</f>
        <v>1480000</v>
      </c>
    </row>
    <row r="203" spans="1:5" ht="14.95" thickBot="1" x14ac:dyDescent="0.3">
      <c r="A203" s="3" t="s">
        <v>8</v>
      </c>
      <c r="B203" s="21">
        <f>SUM(B199:B202)</f>
        <v>-949526.18125322135</v>
      </c>
      <c r="C203" s="22">
        <f t="shared" ref="C203:E203" si="12">SUM(C199:C202)</f>
        <v>388641.67173081718</v>
      </c>
      <c r="D203" s="52">
        <f t="shared" si="12"/>
        <v>0</v>
      </c>
      <c r="E203" s="22">
        <f t="shared" si="12"/>
        <v>1610143.4788671823</v>
      </c>
    </row>
    <row r="205" spans="1:5" ht="14.95" thickBot="1" x14ac:dyDescent="0.3">
      <c r="B205" s="311" t="s">
        <v>76</v>
      </c>
      <c r="C205" s="312"/>
      <c r="D205" s="50" t="s">
        <v>97</v>
      </c>
      <c r="E205" s="5"/>
    </row>
    <row r="206" spans="1:5" ht="14.95" thickBot="1" x14ac:dyDescent="0.3">
      <c r="A206" s="56" t="s">
        <v>242</v>
      </c>
      <c r="B206" s="53" t="s">
        <v>4</v>
      </c>
      <c r="C206" s="55" t="s">
        <v>6</v>
      </c>
      <c r="D206" s="53" t="s">
        <v>5</v>
      </c>
      <c r="E206" s="54" t="s">
        <v>7</v>
      </c>
    </row>
    <row r="207" spans="1:5" ht="19.05" x14ac:dyDescent="0.35">
      <c r="A207" s="26" t="s">
        <v>1</v>
      </c>
      <c r="B207" s="19"/>
      <c r="C207" s="46"/>
      <c r="D207" s="47"/>
      <c r="E207" s="23"/>
    </row>
    <row r="208" spans="1:5" x14ac:dyDescent="0.25">
      <c r="A208" s="2" t="s">
        <v>186</v>
      </c>
      <c r="B208" s="17">
        <f>'Scenario and Data'!C142</f>
        <v>42728.678156394963</v>
      </c>
      <c r="C208" s="18"/>
      <c r="D208" s="17">
        <f>-'Scenario and Data'!D218</f>
        <v>-5856.4565490232035</v>
      </c>
      <c r="E208" s="23"/>
    </row>
    <row r="209" spans="1:5" x14ac:dyDescent="0.25">
      <c r="A209" s="2" t="s">
        <v>0</v>
      </c>
      <c r="B209" s="19"/>
      <c r="C209" s="20">
        <f>'Scenario and Data'!C167</f>
        <v>38864.167173081732</v>
      </c>
      <c r="D209" s="17"/>
      <c r="E209" s="13">
        <f>-'Scenario and Data'!C192</f>
        <v>40000</v>
      </c>
    </row>
    <row r="210" spans="1:5" x14ac:dyDescent="0.25">
      <c r="A210" s="2" t="s">
        <v>51</v>
      </c>
      <c r="B210" s="10"/>
      <c r="C210" s="11"/>
      <c r="D210" s="17">
        <f>-'Scenario and Data'!$A$237</f>
        <v>-103552.6205</v>
      </c>
      <c r="E210" s="23"/>
    </row>
    <row r="211" spans="1:5" ht="14.95" thickBot="1" x14ac:dyDescent="0.3">
      <c r="A211" s="3" t="s">
        <v>3</v>
      </c>
      <c r="B211" s="14">
        <f>SUM(B208:B210)</f>
        <v>42728.678156394963</v>
      </c>
      <c r="C211" s="15">
        <f>SUM(C208:C210)</f>
        <v>38864.167173081732</v>
      </c>
      <c r="D211" s="42">
        <f>SUM(D208:D210)</f>
        <v>-109409.07704902321</v>
      </c>
      <c r="E211" s="15">
        <f>SUM(E208:E210)</f>
        <v>40000</v>
      </c>
    </row>
    <row r="212" spans="1:5" ht="15.65" thickTop="1" thickBot="1" x14ac:dyDescent="0.3">
      <c r="A212" s="3"/>
      <c r="B212" s="36"/>
      <c r="C212" s="36"/>
      <c r="D212" s="37"/>
      <c r="E212" s="36"/>
    </row>
    <row r="213" spans="1:5" ht="19.05" x14ac:dyDescent="0.35">
      <c r="A213" s="26" t="s">
        <v>18</v>
      </c>
      <c r="B213" s="33"/>
      <c r="C213" s="34"/>
      <c r="D213" s="51"/>
      <c r="E213" s="35"/>
    </row>
    <row r="214" spans="1:5" x14ac:dyDescent="0.25">
      <c r="A214" s="2" t="s">
        <v>19</v>
      </c>
      <c r="B214" s="17">
        <f>-'Scenario and Data'!C142</f>
        <v>-42728.678156394963</v>
      </c>
      <c r="C214" s="18"/>
      <c r="E214" s="13"/>
    </row>
    <row r="215" spans="1:5" x14ac:dyDescent="0.25">
      <c r="A215" s="2" t="s">
        <v>184</v>
      </c>
      <c r="B215" s="17"/>
      <c r="C215" s="18"/>
      <c r="D215" s="48">
        <f>'Scenario and Data'!D218</f>
        <v>5856.4565490232035</v>
      </c>
      <c r="E215" s="13"/>
    </row>
    <row r="216" spans="1:5" x14ac:dyDescent="0.25">
      <c r="A216" s="2" t="s">
        <v>2</v>
      </c>
      <c r="B216" s="19"/>
      <c r="C216" s="20">
        <f>-'Scenario and Data'!C167</f>
        <v>-38864.167173081732</v>
      </c>
      <c r="D216" s="17"/>
      <c r="E216" s="13">
        <f>'Scenario and Data'!C192</f>
        <v>-40000</v>
      </c>
    </row>
    <row r="217" spans="1:5" x14ac:dyDescent="0.25">
      <c r="A217" s="2" t="s">
        <v>9</v>
      </c>
      <c r="B217" s="17">
        <f>-'Scenario and Data'!D142</f>
        <v>120000</v>
      </c>
      <c r="C217" s="20"/>
      <c r="D217" s="17"/>
      <c r="E217" s="13"/>
    </row>
    <row r="218" spans="1:5" x14ac:dyDescent="0.25">
      <c r="A218" s="2" t="s">
        <v>183</v>
      </c>
      <c r="B218" s="12">
        <f>'Scenario and Data'!D142</f>
        <v>-120000</v>
      </c>
      <c r="C218" s="16"/>
      <c r="D218" s="17">
        <f>'Scenario and Data'!B109</f>
        <v>120000</v>
      </c>
      <c r="E218" s="23"/>
    </row>
    <row r="219" spans="1:5" x14ac:dyDescent="0.25">
      <c r="A219" s="2" t="s">
        <v>185</v>
      </c>
      <c r="B219" s="12"/>
      <c r="C219" s="16"/>
      <c r="D219" s="17"/>
      <c r="E219" s="13">
        <f>'Scenario and Data'!C218</f>
        <v>-16447.379499999999</v>
      </c>
    </row>
    <row r="220" spans="1:5" ht="9" customHeight="1" x14ac:dyDescent="0.25">
      <c r="B220" s="12"/>
      <c r="C220" s="11"/>
      <c r="D220" s="47"/>
      <c r="E220" s="13"/>
    </row>
    <row r="221" spans="1:5" ht="14.95" thickBot="1" x14ac:dyDescent="0.3">
      <c r="A221" s="3" t="s">
        <v>191</v>
      </c>
      <c r="B221" s="14">
        <f>SUM(B214:B218)</f>
        <v>-42728.678156394963</v>
      </c>
      <c r="C221" s="15">
        <f t="shared" ref="C221" si="13">SUM(C214:C218)</f>
        <v>-38864.167173081732</v>
      </c>
      <c r="D221" s="42">
        <f>SUM(D215:D219)</f>
        <v>125856.45654902321</v>
      </c>
      <c r="E221" s="15">
        <f>SUM(E214:E219)</f>
        <v>-56447.379499999995</v>
      </c>
    </row>
    <row r="222" spans="1:5" ht="14.95" thickTop="1" x14ac:dyDescent="0.25">
      <c r="B222" s="10"/>
      <c r="C222" s="11"/>
      <c r="D222" s="47"/>
      <c r="E222" s="13"/>
    </row>
    <row r="223" spans="1:5" x14ac:dyDescent="0.25">
      <c r="A223" s="2" t="s">
        <v>10</v>
      </c>
      <c r="B223" s="12">
        <f>B199+B214+B217</f>
        <v>-872254.85940961633</v>
      </c>
      <c r="C223" s="11"/>
      <c r="D223" s="47"/>
      <c r="E223" s="13"/>
    </row>
    <row r="224" spans="1:5" x14ac:dyDescent="0.25">
      <c r="A224" s="2" t="s">
        <v>88</v>
      </c>
      <c r="B224" s="12"/>
      <c r="C224" s="11"/>
      <c r="D224" s="47"/>
      <c r="E224" s="13">
        <f>E200+D215+E219</f>
        <v>119552.5559162055</v>
      </c>
    </row>
    <row r="225" spans="1:5" x14ac:dyDescent="0.25">
      <c r="A225" s="2" t="s">
        <v>11</v>
      </c>
      <c r="B225" s="12"/>
      <c r="C225" s="16">
        <f>C201+C216</f>
        <v>349777.50455773546</v>
      </c>
      <c r="D225" s="47"/>
      <c r="E225" s="13"/>
    </row>
    <row r="226" spans="1:5" x14ac:dyDescent="0.25">
      <c r="A226" s="2" t="s">
        <v>98</v>
      </c>
      <c r="B226" s="10"/>
      <c r="C226" s="13"/>
      <c r="D226" s="17"/>
      <c r="E226" s="13">
        <f>E202+E216</f>
        <v>1440000</v>
      </c>
    </row>
    <row r="227" spans="1:5" ht="14.95" thickBot="1" x14ac:dyDescent="0.3">
      <c r="A227" s="3" t="s">
        <v>8</v>
      </c>
      <c r="B227" s="21">
        <f>SUM(B223:B226)</f>
        <v>-872254.85940961633</v>
      </c>
      <c r="C227" s="22">
        <f t="shared" ref="C227:E227" si="14">SUM(C223:C226)</f>
        <v>349777.50455773546</v>
      </c>
      <c r="D227" s="52">
        <f t="shared" si="14"/>
        <v>0</v>
      </c>
      <c r="E227" s="22">
        <f t="shared" si="14"/>
        <v>1559552.5559162055</v>
      </c>
    </row>
    <row r="229" spans="1:5" ht="14.95" thickBot="1" x14ac:dyDescent="0.3">
      <c r="B229" s="311" t="s">
        <v>76</v>
      </c>
      <c r="C229" s="312"/>
      <c r="D229" s="50" t="s">
        <v>97</v>
      </c>
      <c r="E229" s="5"/>
    </row>
    <row r="230" spans="1:5" ht="14.95" thickBot="1" x14ac:dyDescent="0.3">
      <c r="A230" s="56" t="s">
        <v>243</v>
      </c>
      <c r="B230" s="53" t="s">
        <v>4</v>
      </c>
      <c r="C230" s="55" t="s">
        <v>6</v>
      </c>
      <c r="D230" s="53" t="s">
        <v>5</v>
      </c>
      <c r="E230" s="54" t="s">
        <v>7</v>
      </c>
    </row>
    <row r="231" spans="1:5" ht="19.05" x14ac:dyDescent="0.35">
      <c r="A231" s="26" t="s">
        <v>1</v>
      </c>
      <c r="B231" s="19"/>
      <c r="C231" s="46"/>
      <c r="D231" s="47"/>
      <c r="E231" s="23"/>
    </row>
    <row r="232" spans="1:5" x14ac:dyDescent="0.25">
      <c r="A232" s="2" t="s">
        <v>186</v>
      </c>
      <c r="B232" s="17">
        <f>'Scenario and Data'!C143</f>
        <v>39251.468673432733</v>
      </c>
      <c r="C232" s="18"/>
      <c r="D232" s="17">
        <f>-'Scenario and Data'!D219</f>
        <v>-5379.8650162292479</v>
      </c>
      <c r="E232" s="23"/>
    </row>
    <row r="233" spans="1:5" x14ac:dyDescent="0.25">
      <c r="A233" s="2" t="s">
        <v>0</v>
      </c>
      <c r="B233" s="19"/>
      <c r="C233" s="20">
        <f>'Scenario and Data'!C167</f>
        <v>38864.167173081732</v>
      </c>
      <c r="D233" s="17"/>
      <c r="E233" s="13">
        <f>-'Scenario and Data'!C193</f>
        <v>40000</v>
      </c>
    </row>
    <row r="234" spans="1:5" x14ac:dyDescent="0.25">
      <c r="A234" s="2" t="s">
        <v>51</v>
      </c>
      <c r="B234" s="10"/>
      <c r="C234" s="11"/>
      <c r="D234" s="17">
        <f>-'Scenario and Data'!$A$237</f>
        <v>-103552.6205</v>
      </c>
      <c r="E234" s="23"/>
    </row>
    <row r="235" spans="1:5" ht="14.95" thickBot="1" x14ac:dyDescent="0.3">
      <c r="A235" s="3" t="s">
        <v>3</v>
      </c>
      <c r="B235" s="14">
        <f>SUM(B232:B234)</f>
        <v>39251.468673432733</v>
      </c>
      <c r="C235" s="15">
        <f>SUM(C232:C234)</f>
        <v>38864.167173081732</v>
      </c>
      <c r="D235" s="42">
        <f>SUM(D232:D234)</f>
        <v>-108932.48551622925</v>
      </c>
      <c r="E235" s="15">
        <f>SUM(E232:E234)</f>
        <v>40000</v>
      </c>
    </row>
    <row r="236" spans="1:5" ht="15.65" thickTop="1" thickBot="1" x14ac:dyDescent="0.3">
      <c r="A236" s="3"/>
      <c r="B236" s="36"/>
      <c r="C236" s="36"/>
      <c r="D236" s="37"/>
      <c r="E236" s="36"/>
    </row>
    <row r="237" spans="1:5" ht="19.05" x14ac:dyDescent="0.35">
      <c r="A237" s="26" t="s">
        <v>18</v>
      </c>
      <c r="B237" s="33"/>
      <c r="C237" s="34"/>
      <c r="D237" s="51"/>
      <c r="E237" s="35"/>
    </row>
    <row r="238" spans="1:5" x14ac:dyDescent="0.25">
      <c r="A238" s="2" t="s">
        <v>19</v>
      </c>
      <c r="B238" s="17">
        <f>-'Scenario and Data'!C143</f>
        <v>-39251.468673432733</v>
      </c>
      <c r="C238" s="18"/>
      <c r="E238" s="13"/>
    </row>
    <row r="239" spans="1:5" x14ac:dyDescent="0.25">
      <c r="A239" s="2" t="s">
        <v>184</v>
      </c>
      <c r="B239" s="17"/>
      <c r="C239" s="18"/>
      <c r="D239" s="17">
        <f>'Scenario and Data'!D219</f>
        <v>5379.8650162292479</v>
      </c>
      <c r="E239" s="13"/>
    </row>
    <row r="240" spans="1:5" x14ac:dyDescent="0.25">
      <c r="A240" s="2" t="s">
        <v>2</v>
      </c>
      <c r="B240" s="19"/>
      <c r="C240" s="20">
        <f>-'Scenario and Data'!C167</f>
        <v>-38864.167173081732</v>
      </c>
      <c r="D240" s="17"/>
      <c r="E240" s="13">
        <f>'Scenario and Data'!C193</f>
        <v>-40000</v>
      </c>
    </row>
    <row r="241" spans="1:5" x14ac:dyDescent="0.25">
      <c r="A241" s="2" t="s">
        <v>9</v>
      </c>
      <c r="B241" s="17">
        <f>-'Scenario and Data'!D143</f>
        <v>120000</v>
      </c>
      <c r="C241" s="20"/>
      <c r="D241" s="17"/>
      <c r="E241" s="13"/>
    </row>
    <row r="242" spans="1:5" x14ac:dyDescent="0.25">
      <c r="A242" s="2" t="s">
        <v>183</v>
      </c>
      <c r="B242" s="12">
        <f>'Scenario and Data'!D143</f>
        <v>-120000</v>
      </c>
      <c r="C242" s="16"/>
      <c r="D242" s="17">
        <f>'Scenario and Data'!B110</f>
        <v>120000</v>
      </c>
      <c r="E242" s="23"/>
    </row>
    <row r="243" spans="1:5" x14ac:dyDescent="0.25">
      <c r="A243" s="2" t="s">
        <v>185</v>
      </c>
      <c r="B243" s="12"/>
      <c r="C243" s="16"/>
      <c r="D243" s="17"/>
      <c r="E243" s="13">
        <f>'Scenario and Data'!C219</f>
        <v>-16447.379499999999</v>
      </c>
    </row>
    <row r="244" spans="1:5" ht="9.6999999999999993" customHeight="1" x14ac:dyDescent="0.25">
      <c r="B244" s="12"/>
      <c r="C244" s="11"/>
      <c r="D244" s="47"/>
      <c r="E244" s="13"/>
    </row>
    <row r="245" spans="1:5" ht="14.95" thickBot="1" x14ac:dyDescent="0.3">
      <c r="A245" s="3" t="s">
        <v>191</v>
      </c>
      <c r="B245" s="14">
        <f>SUM(B238:B242)</f>
        <v>-39251.468673432741</v>
      </c>
      <c r="C245" s="15">
        <f t="shared" ref="C245" si="15">SUM(C238:C242)</f>
        <v>-38864.167173081732</v>
      </c>
      <c r="D245" s="42">
        <f>SUM(D239:D243)</f>
        <v>125379.86501622925</v>
      </c>
      <c r="E245" s="15">
        <f>SUM(E238:E243)</f>
        <v>-56447.379499999995</v>
      </c>
    </row>
    <row r="246" spans="1:5" ht="14.95" thickTop="1" x14ac:dyDescent="0.25">
      <c r="B246" s="10"/>
      <c r="C246" s="11"/>
      <c r="D246" s="47"/>
      <c r="E246" s="13"/>
    </row>
    <row r="247" spans="1:5" x14ac:dyDescent="0.25">
      <c r="A247" s="2" t="s">
        <v>10</v>
      </c>
      <c r="B247" s="12">
        <f>B223+B238+B241</f>
        <v>-791506.32808304904</v>
      </c>
      <c r="C247" s="11"/>
      <c r="D247" s="47"/>
      <c r="E247" s="13"/>
    </row>
    <row r="248" spans="1:5" x14ac:dyDescent="0.25">
      <c r="A248" s="2" t="s">
        <v>88</v>
      </c>
      <c r="B248" s="12"/>
      <c r="C248" s="11"/>
      <c r="D248" s="47"/>
      <c r="E248" s="13">
        <f>E224+D239+E243</f>
        <v>108485.04143243475</v>
      </c>
    </row>
    <row r="249" spans="1:5" x14ac:dyDescent="0.25">
      <c r="A249" s="2" t="s">
        <v>11</v>
      </c>
      <c r="B249" s="12"/>
      <c r="C249" s="16">
        <f>C225+C240</f>
        <v>310913.33738465374</v>
      </c>
      <c r="D249" s="47"/>
      <c r="E249" s="13"/>
    </row>
    <row r="250" spans="1:5" x14ac:dyDescent="0.25">
      <c r="A250" s="2" t="s">
        <v>98</v>
      </c>
      <c r="B250" s="10"/>
      <c r="C250" s="13"/>
      <c r="D250" s="17"/>
      <c r="E250" s="13">
        <f>E226+E240</f>
        <v>1400000</v>
      </c>
    </row>
    <row r="251" spans="1:5" ht="14.95" thickBot="1" x14ac:dyDescent="0.3">
      <c r="A251" s="3" t="s">
        <v>8</v>
      </c>
      <c r="B251" s="21">
        <f>SUM(B247:B250)</f>
        <v>-791506.32808304904</v>
      </c>
      <c r="C251" s="22">
        <f t="shared" ref="C251:E251" si="16">SUM(C247:C250)</f>
        <v>310913.33738465374</v>
      </c>
      <c r="D251" s="52">
        <f t="shared" si="16"/>
        <v>0</v>
      </c>
      <c r="E251" s="22">
        <f t="shared" si="16"/>
        <v>1508485.0414324347</v>
      </c>
    </row>
    <row r="253" spans="1:5" ht="14.95" thickBot="1" x14ac:dyDescent="0.3">
      <c r="B253" s="311" t="s">
        <v>76</v>
      </c>
      <c r="C253" s="312"/>
      <c r="D253" s="50" t="s">
        <v>97</v>
      </c>
      <c r="E253" s="5"/>
    </row>
    <row r="254" spans="1:5" ht="14.95" thickBot="1" x14ac:dyDescent="0.3">
      <c r="A254" s="56" t="s">
        <v>244</v>
      </c>
      <c r="B254" s="53" t="s">
        <v>4</v>
      </c>
      <c r="C254" s="55" t="s">
        <v>6</v>
      </c>
      <c r="D254" s="53" t="s">
        <v>5</v>
      </c>
      <c r="E254" s="54" t="s">
        <v>7</v>
      </c>
    </row>
    <row r="255" spans="1:5" ht="19.05" x14ac:dyDescent="0.35">
      <c r="A255" s="26" t="s">
        <v>1</v>
      </c>
      <c r="B255" s="19"/>
      <c r="C255" s="46"/>
      <c r="D255" s="47"/>
      <c r="E255" s="23"/>
    </row>
    <row r="256" spans="1:5" x14ac:dyDescent="0.25">
      <c r="A256" s="2" t="s">
        <v>186</v>
      </c>
      <c r="B256" s="17">
        <f>'Scenario and Data'!C144</f>
        <v>35617.784763737203</v>
      </c>
      <c r="C256" s="18"/>
      <c r="D256" s="17">
        <f>-'Scenario and Data'!D220</f>
        <v>-4881.8268644595646</v>
      </c>
      <c r="E256" s="23"/>
    </row>
    <row r="257" spans="1:5" x14ac:dyDescent="0.25">
      <c r="A257" s="2" t="s">
        <v>0</v>
      </c>
      <c r="B257" s="19"/>
      <c r="C257" s="20">
        <f>'Scenario and Data'!C167</f>
        <v>38864.167173081732</v>
      </c>
      <c r="D257" s="17"/>
      <c r="E257" s="13">
        <f>-'Scenario and Data'!C194</f>
        <v>40000</v>
      </c>
    </row>
    <row r="258" spans="1:5" x14ac:dyDescent="0.25">
      <c r="A258" s="2" t="s">
        <v>51</v>
      </c>
      <c r="B258" s="10"/>
      <c r="C258" s="11"/>
      <c r="D258" s="17">
        <f>-'Scenario and Data'!$A$237</f>
        <v>-103552.6205</v>
      </c>
      <c r="E258" s="23"/>
    </row>
    <row r="259" spans="1:5" ht="14.95" thickBot="1" x14ac:dyDescent="0.3">
      <c r="A259" s="3" t="s">
        <v>3</v>
      </c>
      <c r="B259" s="14">
        <f>SUM(B256:B258)</f>
        <v>35617.784763737203</v>
      </c>
      <c r="C259" s="15">
        <f>SUM(C256:C258)</f>
        <v>38864.167173081732</v>
      </c>
      <c r="D259" s="42">
        <f>SUM(D256:D258)</f>
        <v>-108434.44736445957</v>
      </c>
      <c r="E259" s="15">
        <f>SUM(E256:E258)</f>
        <v>40000</v>
      </c>
    </row>
    <row r="260" spans="1:5" ht="15.65" thickTop="1" thickBot="1" x14ac:dyDescent="0.3">
      <c r="A260" s="3"/>
      <c r="B260" s="36"/>
      <c r="C260" s="36"/>
      <c r="D260" s="37"/>
      <c r="E260" s="36"/>
    </row>
    <row r="261" spans="1:5" ht="19.05" x14ac:dyDescent="0.35">
      <c r="A261" s="26" t="s">
        <v>18</v>
      </c>
      <c r="B261" s="33"/>
      <c r="C261" s="34"/>
      <c r="D261" s="51"/>
      <c r="E261" s="35"/>
    </row>
    <row r="262" spans="1:5" x14ac:dyDescent="0.25">
      <c r="A262" s="2" t="s">
        <v>19</v>
      </c>
      <c r="B262" s="17">
        <f>-'Scenario and Data'!C144</f>
        <v>-35617.784763737203</v>
      </c>
      <c r="C262" s="18"/>
      <c r="E262" s="13"/>
    </row>
    <row r="263" spans="1:5" x14ac:dyDescent="0.25">
      <c r="A263" s="2" t="s">
        <v>184</v>
      </c>
      <c r="B263" s="17"/>
      <c r="C263" s="18"/>
      <c r="D263" s="17">
        <f>'Scenario and Data'!D220</f>
        <v>4881.8268644595646</v>
      </c>
      <c r="E263" s="13"/>
    </row>
    <row r="264" spans="1:5" x14ac:dyDescent="0.25">
      <c r="A264" s="2" t="s">
        <v>2</v>
      </c>
      <c r="B264" s="19"/>
      <c r="C264" s="20">
        <f>-'Scenario and Data'!C167</f>
        <v>-38864.167173081732</v>
      </c>
      <c r="D264" s="17"/>
      <c r="E264" s="13">
        <f>'Scenario and Data'!C194</f>
        <v>-40000</v>
      </c>
    </row>
    <row r="265" spans="1:5" x14ac:dyDescent="0.25">
      <c r="A265" s="2" t="s">
        <v>9</v>
      </c>
      <c r="B265" s="17">
        <f>-'Scenario and Data'!D144</f>
        <v>120000</v>
      </c>
      <c r="C265" s="20"/>
      <c r="D265" s="17"/>
      <c r="E265" s="13"/>
    </row>
    <row r="266" spans="1:5" x14ac:dyDescent="0.25">
      <c r="A266" s="2" t="s">
        <v>183</v>
      </c>
      <c r="B266" s="12">
        <f>'Scenario and Data'!D144</f>
        <v>-120000</v>
      </c>
      <c r="C266" s="16"/>
      <c r="D266" s="17">
        <f>'Scenario and Data'!B111</f>
        <v>120000</v>
      </c>
      <c r="E266" s="23"/>
    </row>
    <row r="267" spans="1:5" x14ac:dyDescent="0.25">
      <c r="A267" s="2" t="s">
        <v>185</v>
      </c>
      <c r="B267" s="12"/>
      <c r="C267" s="16"/>
      <c r="D267" s="17"/>
      <c r="E267" s="13">
        <f>'Scenario and Data'!C220</f>
        <v>-16447.379499999999</v>
      </c>
    </row>
    <row r="268" spans="1:5" ht="8.5" customHeight="1" x14ac:dyDescent="0.25">
      <c r="B268" s="12"/>
      <c r="C268" s="11"/>
      <c r="D268" s="47"/>
      <c r="E268" s="13"/>
    </row>
    <row r="269" spans="1:5" ht="14.95" thickBot="1" x14ac:dyDescent="0.3">
      <c r="A269" s="3" t="s">
        <v>191</v>
      </c>
      <c r="B269" s="14">
        <f>SUM(B262:B266)</f>
        <v>-35617.784763737203</v>
      </c>
      <c r="C269" s="15">
        <f t="shared" ref="C269" si="17">SUM(C262:C266)</f>
        <v>-38864.167173081732</v>
      </c>
      <c r="D269" s="42">
        <f>SUM(D263:D267)</f>
        <v>124881.82686445957</v>
      </c>
      <c r="E269" s="15">
        <f>SUM(E262:E267)</f>
        <v>-56447.379499999995</v>
      </c>
    </row>
    <row r="270" spans="1:5" ht="14.95" thickTop="1" x14ac:dyDescent="0.25">
      <c r="B270" s="10"/>
      <c r="C270" s="11"/>
      <c r="D270" s="47"/>
      <c r="E270" s="13"/>
    </row>
    <row r="271" spans="1:5" x14ac:dyDescent="0.25">
      <c r="A271" s="2" t="s">
        <v>10</v>
      </c>
      <c r="B271" s="12">
        <f>B247+B262+B265</f>
        <v>-707124.11284678627</v>
      </c>
      <c r="C271" s="11"/>
      <c r="D271" s="47"/>
      <c r="E271" s="13"/>
    </row>
    <row r="272" spans="1:5" x14ac:dyDescent="0.25">
      <c r="A272" s="2" t="s">
        <v>88</v>
      </c>
      <c r="B272" s="12"/>
      <c r="C272" s="11"/>
      <c r="D272" s="47"/>
      <c r="E272" s="13">
        <f>E248+D263+E267</f>
        <v>96919.488796894322</v>
      </c>
    </row>
    <row r="273" spans="1:5" x14ac:dyDescent="0.25">
      <c r="A273" s="2" t="s">
        <v>11</v>
      </c>
      <c r="B273" s="12"/>
      <c r="C273" s="16">
        <f>C249+C264</f>
        <v>272049.17021157203</v>
      </c>
      <c r="D273" s="47"/>
      <c r="E273" s="13"/>
    </row>
    <row r="274" spans="1:5" x14ac:dyDescent="0.25">
      <c r="A274" s="2" t="s">
        <v>98</v>
      </c>
      <c r="B274" s="10"/>
      <c r="C274" s="13"/>
      <c r="D274" s="17"/>
      <c r="E274" s="13">
        <f>E250+E264</f>
        <v>1360000</v>
      </c>
    </row>
    <row r="275" spans="1:5" ht="14.95" thickBot="1" x14ac:dyDescent="0.3">
      <c r="A275" s="3" t="s">
        <v>8</v>
      </c>
      <c r="B275" s="21">
        <f>SUM(B271:B274)</f>
        <v>-707124.11284678627</v>
      </c>
      <c r="C275" s="22">
        <f t="shared" ref="C275:E275" si="18">SUM(C271:C274)</f>
        <v>272049.17021157203</v>
      </c>
      <c r="D275" s="52">
        <f t="shared" si="18"/>
        <v>0</v>
      </c>
      <c r="E275" s="22">
        <f t="shared" si="18"/>
        <v>1456919.4887968944</v>
      </c>
    </row>
    <row r="277" spans="1:5" ht="14.95" thickBot="1" x14ac:dyDescent="0.3">
      <c r="B277" s="311" t="s">
        <v>76</v>
      </c>
      <c r="C277" s="312"/>
      <c r="D277" s="50" t="s">
        <v>97</v>
      </c>
      <c r="E277" s="5"/>
    </row>
    <row r="278" spans="1:5" ht="14.95" thickBot="1" x14ac:dyDescent="0.3">
      <c r="A278" s="56" t="s">
        <v>245</v>
      </c>
      <c r="B278" s="53" t="s">
        <v>4</v>
      </c>
      <c r="C278" s="55" t="s">
        <v>6</v>
      </c>
      <c r="D278" s="53" t="s">
        <v>5</v>
      </c>
      <c r="E278" s="54" t="s">
        <v>7</v>
      </c>
    </row>
    <row r="279" spans="1:5" ht="19.05" x14ac:dyDescent="0.35">
      <c r="A279" s="26" t="s">
        <v>1</v>
      </c>
      <c r="B279" s="19"/>
      <c r="C279" s="46"/>
      <c r="D279" s="47"/>
      <c r="E279" s="23"/>
    </row>
    <row r="280" spans="1:5" x14ac:dyDescent="0.25">
      <c r="A280" s="2" t="s">
        <v>186</v>
      </c>
      <c r="B280" s="17">
        <f>'Scenario and Data'!C145</f>
        <v>31820.585078105381</v>
      </c>
      <c r="C280" s="18"/>
      <c r="D280" s="17">
        <f>-'Scenario and Data'!D221</f>
        <v>-4361.3769958602452</v>
      </c>
      <c r="E280" s="23"/>
    </row>
    <row r="281" spans="1:5" x14ac:dyDescent="0.25">
      <c r="A281" s="2" t="s">
        <v>0</v>
      </c>
      <c r="B281" s="19"/>
      <c r="C281" s="20">
        <f>'Scenario and Data'!C167</f>
        <v>38864.167173081732</v>
      </c>
      <c r="D281" s="17"/>
      <c r="E281" s="13">
        <f>-'Scenario and Data'!C195</f>
        <v>40000</v>
      </c>
    </row>
    <row r="282" spans="1:5" x14ac:dyDescent="0.25">
      <c r="A282" s="2" t="s">
        <v>51</v>
      </c>
      <c r="B282" s="10"/>
      <c r="C282" s="11"/>
      <c r="D282" s="17">
        <f>-'Scenario and Data'!$A$237</f>
        <v>-103552.6205</v>
      </c>
      <c r="E282" s="23"/>
    </row>
    <row r="283" spans="1:5" ht="14.95" thickBot="1" x14ac:dyDescent="0.3">
      <c r="A283" s="3" t="s">
        <v>3</v>
      </c>
      <c r="B283" s="14">
        <f>SUM(B280:B282)</f>
        <v>31820.585078105381</v>
      </c>
      <c r="C283" s="15">
        <f>SUM(C280:C282)</f>
        <v>38864.167173081732</v>
      </c>
      <c r="D283" s="42">
        <f>SUM(D280:D282)</f>
        <v>-107913.99749586025</v>
      </c>
      <c r="E283" s="15">
        <f>SUM(E280:E282)</f>
        <v>40000</v>
      </c>
    </row>
    <row r="284" spans="1:5" ht="15.65" thickTop="1" thickBot="1" x14ac:dyDescent="0.3">
      <c r="A284" s="3"/>
      <c r="B284" s="36"/>
      <c r="C284" s="36"/>
      <c r="D284" s="37"/>
      <c r="E284" s="36"/>
    </row>
    <row r="285" spans="1:5" ht="19.05" x14ac:dyDescent="0.35">
      <c r="A285" s="26" t="s">
        <v>18</v>
      </c>
      <c r="B285" s="33"/>
      <c r="C285" s="34"/>
      <c r="D285" s="51"/>
      <c r="E285" s="35"/>
    </row>
    <row r="286" spans="1:5" x14ac:dyDescent="0.25">
      <c r="A286" s="2" t="s">
        <v>19</v>
      </c>
      <c r="B286" s="17">
        <f>-'Scenario and Data'!C145</f>
        <v>-31820.585078105381</v>
      </c>
      <c r="C286" s="18"/>
      <c r="E286" s="13"/>
    </row>
    <row r="287" spans="1:5" x14ac:dyDescent="0.25">
      <c r="A287" s="2" t="s">
        <v>184</v>
      </c>
      <c r="B287" s="17"/>
      <c r="C287" s="18"/>
      <c r="D287" s="17">
        <f>'Scenario and Data'!D221</f>
        <v>4361.3769958602452</v>
      </c>
      <c r="E287" s="13"/>
    </row>
    <row r="288" spans="1:5" x14ac:dyDescent="0.25">
      <c r="A288" s="2" t="s">
        <v>2</v>
      </c>
      <c r="B288" s="19"/>
      <c r="C288" s="20">
        <f>-'Scenario and Data'!C167</f>
        <v>-38864.167173081732</v>
      </c>
      <c r="D288" s="17"/>
      <c r="E288" s="13">
        <f>'Scenario and Data'!C195</f>
        <v>-40000</v>
      </c>
    </row>
    <row r="289" spans="1:5" x14ac:dyDescent="0.25">
      <c r="A289" s="2" t="s">
        <v>9</v>
      </c>
      <c r="B289" s="17">
        <f>-'Scenario and Data'!D145</f>
        <v>120000</v>
      </c>
      <c r="C289" s="20"/>
      <c r="D289" s="17"/>
      <c r="E289" s="13"/>
    </row>
    <row r="290" spans="1:5" x14ac:dyDescent="0.25">
      <c r="A290" s="2" t="s">
        <v>183</v>
      </c>
      <c r="B290" s="12">
        <f>'Scenario and Data'!D145</f>
        <v>-120000</v>
      </c>
      <c r="C290" s="16"/>
      <c r="D290" s="17">
        <f>'Scenario and Data'!B112</f>
        <v>120000</v>
      </c>
      <c r="E290" s="23"/>
    </row>
    <row r="291" spans="1:5" x14ac:dyDescent="0.25">
      <c r="A291" s="2" t="s">
        <v>185</v>
      </c>
      <c r="B291" s="12"/>
      <c r="C291" s="16"/>
      <c r="D291" s="17"/>
      <c r="E291" s="13">
        <f>'Scenario and Data'!C221</f>
        <v>-16447.379499999999</v>
      </c>
    </row>
    <row r="292" spans="1:5" ht="8.5" customHeight="1" x14ac:dyDescent="0.25">
      <c r="B292" s="12"/>
      <c r="C292" s="11"/>
      <c r="D292" s="47"/>
      <c r="E292" s="13"/>
    </row>
    <row r="293" spans="1:5" ht="14.95" thickBot="1" x14ac:dyDescent="0.3">
      <c r="A293" s="3" t="s">
        <v>191</v>
      </c>
      <c r="B293" s="14">
        <f>SUM(B286:B290)</f>
        <v>-31820.585078105389</v>
      </c>
      <c r="C293" s="15">
        <f t="shared" ref="C293" si="19">SUM(C286:C290)</f>
        <v>-38864.167173081732</v>
      </c>
      <c r="D293" s="42">
        <f>SUM(D287:D291)</f>
        <v>124361.37699586025</v>
      </c>
      <c r="E293" s="15">
        <f>SUM(E286:E291)</f>
        <v>-56447.379499999995</v>
      </c>
    </row>
    <row r="294" spans="1:5" ht="14.95" thickTop="1" x14ac:dyDescent="0.25">
      <c r="B294" s="10"/>
      <c r="C294" s="11"/>
      <c r="D294" s="47"/>
      <c r="E294" s="13"/>
    </row>
    <row r="295" spans="1:5" x14ac:dyDescent="0.25">
      <c r="A295" s="2" t="s">
        <v>10</v>
      </c>
      <c r="B295" s="12">
        <f>B271+B286+B289</f>
        <v>-618944.6979248916</v>
      </c>
      <c r="C295" s="11"/>
      <c r="D295" s="47"/>
      <c r="E295" s="13"/>
    </row>
    <row r="296" spans="1:5" x14ac:dyDescent="0.25">
      <c r="A296" s="2" t="s">
        <v>88</v>
      </c>
      <c r="B296" s="12"/>
      <c r="C296" s="11"/>
      <c r="D296" s="47"/>
      <c r="E296" s="13">
        <f>E272+D287+E291</f>
        <v>84833.486292754576</v>
      </c>
    </row>
    <row r="297" spans="1:5" x14ac:dyDescent="0.25">
      <c r="A297" s="2" t="s">
        <v>11</v>
      </c>
      <c r="B297" s="12"/>
      <c r="C297" s="16">
        <f>C273+C288</f>
        <v>233185.00303849031</v>
      </c>
      <c r="D297" s="47"/>
      <c r="E297" s="13"/>
    </row>
    <row r="298" spans="1:5" x14ac:dyDescent="0.25">
      <c r="A298" s="2" t="s">
        <v>98</v>
      </c>
      <c r="B298" s="10"/>
      <c r="C298" s="13"/>
      <c r="D298" s="17"/>
      <c r="E298" s="13">
        <f>E274+E288</f>
        <v>1320000</v>
      </c>
    </row>
    <row r="299" spans="1:5" ht="14.95" thickBot="1" x14ac:dyDescent="0.3">
      <c r="A299" s="3" t="s">
        <v>8</v>
      </c>
      <c r="B299" s="21">
        <f>SUM(B295:B298)</f>
        <v>-618944.6979248916</v>
      </c>
      <c r="C299" s="22">
        <f t="shared" ref="C299:E299" si="20">SUM(C295:C298)</f>
        <v>233185.00303849031</v>
      </c>
      <c r="D299" s="52">
        <f t="shared" si="20"/>
        <v>0</v>
      </c>
      <c r="E299" s="22">
        <f t="shared" si="20"/>
        <v>1404833.4862927545</v>
      </c>
    </row>
    <row r="301" spans="1:5" ht="14.95" thickBot="1" x14ac:dyDescent="0.3">
      <c r="B301" s="311" t="s">
        <v>76</v>
      </c>
      <c r="C301" s="312"/>
      <c r="D301" s="50" t="s">
        <v>97</v>
      </c>
      <c r="E301" s="5"/>
    </row>
    <row r="302" spans="1:5" ht="14.95" thickBot="1" x14ac:dyDescent="0.3">
      <c r="A302" s="56" t="s">
        <v>246</v>
      </c>
      <c r="B302" s="53" t="s">
        <v>4</v>
      </c>
      <c r="C302" s="55" t="s">
        <v>6</v>
      </c>
      <c r="D302" s="53" t="s">
        <v>5</v>
      </c>
      <c r="E302" s="54" t="s">
        <v>7</v>
      </c>
    </row>
    <row r="303" spans="1:5" ht="19.05" x14ac:dyDescent="0.35">
      <c r="A303" s="26" t="s">
        <v>1</v>
      </c>
      <c r="B303" s="19"/>
      <c r="C303" s="46"/>
      <c r="D303" s="47"/>
      <c r="E303" s="23"/>
    </row>
    <row r="304" spans="1:5" x14ac:dyDescent="0.25">
      <c r="A304" s="2" t="s">
        <v>186</v>
      </c>
      <c r="B304" s="17">
        <f>'Scenario and Data'!C146</f>
        <v>27852.51140662012</v>
      </c>
      <c r="C304" s="18"/>
      <c r="D304" s="17">
        <f>-'Scenario and Data'!D222</f>
        <v>-3817.5068831739563</v>
      </c>
      <c r="E304" s="23"/>
    </row>
    <row r="305" spans="1:5" x14ac:dyDescent="0.25">
      <c r="A305" s="2" t="s">
        <v>0</v>
      </c>
      <c r="B305" s="19"/>
      <c r="C305" s="20">
        <f>'Scenario and Data'!C167</f>
        <v>38864.167173081732</v>
      </c>
      <c r="D305" s="17"/>
      <c r="E305" s="13">
        <f>-'Scenario and Data'!C196</f>
        <v>40000</v>
      </c>
    </row>
    <row r="306" spans="1:5" x14ac:dyDescent="0.25">
      <c r="A306" s="2" t="s">
        <v>51</v>
      </c>
      <c r="B306" s="10"/>
      <c r="C306" s="11"/>
      <c r="D306" s="17">
        <f>-'Scenario and Data'!$A$237</f>
        <v>-103552.6205</v>
      </c>
      <c r="E306" s="23"/>
    </row>
    <row r="307" spans="1:5" ht="14.95" thickBot="1" x14ac:dyDescent="0.3">
      <c r="A307" s="3" t="s">
        <v>3</v>
      </c>
      <c r="B307" s="14">
        <f>SUM(B304:B306)</f>
        <v>27852.51140662012</v>
      </c>
      <c r="C307" s="15">
        <f>SUM(C304:C306)</f>
        <v>38864.167173081732</v>
      </c>
      <c r="D307" s="42">
        <f>SUM(D304:D306)</f>
        <v>-107370.12738317397</v>
      </c>
      <c r="E307" s="15">
        <f>SUM(E304:E306)</f>
        <v>40000</v>
      </c>
    </row>
    <row r="308" spans="1:5" ht="15.65" thickTop="1" thickBot="1" x14ac:dyDescent="0.3">
      <c r="A308" s="3"/>
      <c r="B308" s="36"/>
      <c r="C308" s="36"/>
      <c r="D308" s="37"/>
      <c r="E308" s="36"/>
    </row>
    <row r="309" spans="1:5" ht="19.05" x14ac:dyDescent="0.35">
      <c r="A309" s="26" t="s">
        <v>18</v>
      </c>
      <c r="B309" s="33"/>
      <c r="C309" s="34"/>
      <c r="D309" s="51"/>
      <c r="E309" s="35"/>
    </row>
    <row r="310" spans="1:5" x14ac:dyDescent="0.25">
      <c r="A310" s="2" t="s">
        <v>19</v>
      </c>
      <c r="B310" s="17">
        <f>-'Scenario and Data'!C146</f>
        <v>-27852.51140662012</v>
      </c>
      <c r="C310" s="18"/>
      <c r="E310" s="13"/>
    </row>
    <row r="311" spans="1:5" x14ac:dyDescent="0.25">
      <c r="A311" s="2" t="s">
        <v>184</v>
      </c>
      <c r="B311" s="17"/>
      <c r="C311" s="18"/>
      <c r="D311" s="17">
        <f>'Scenario and Data'!D222</f>
        <v>3817.5068831739563</v>
      </c>
      <c r="E311" s="13"/>
    </row>
    <row r="312" spans="1:5" x14ac:dyDescent="0.25">
      <c r="A312" s="2" t="s">
        <v>2</v>
      </c>
      <c r="B312" s="19"/>
      <c r="C312" s="20">
        <f>-'Scenario and Data'!C167</f>
        <v>-38864.167173081732</v>
      </c>
      <c r="D312" s="17"/>
      <c r="E312" s="13">
        <f>'Scenario and Data'!C196</f>
        <v>-40000</v>
      </c>
    </row>
    <row r="313" spans="1:5" x14ac:dyDescent="0.25">
      <c r="A313" s="2" t="s">
        <v>9</v>
      </c>
      <c r="B313" s="17">
        <f>-'Scenario and Data'!D146</f>
        <v>120000</v>
      </c>
      <c r="C313" s="20"/>
      <c r="D313" s="17"/>
      <c r="E313" s="13"/>
    </row>
    <row r="314" spans="1:5" x14ac:dyDescent="0.25">
      <c r="A314" s="2" t="s">
        <v>183</v>
      </c>
      <c r="B314" s="12">
        <f>'Scenario and Data'!D146</f>
        <v>-120000</v>
      </c>
      <c r="C314" s="16"/>
      <c r="D314" s="17">
        <f>'Scenario and Data'!B113</f>
        <v>120000</v>
      </c>
      <c r="E314" s="23"/>
    </row>
    <row r="315" spans="1:5" x14ac:dyDescent="0.25">
      <c r="A315" s="2" t="s">
        <v>185</v>
      </c>
      <c r="B315" s="12"/>
      <c r="C315" s="16"/>
      <c r="D315" s="17"/>
      <c r="E315" s="13">
        <f>'Scenario and Data'!C222</f>
        <v>-16447.379499999999</v>
      </c>
    </row>
    <row r="316" spans="1:5" ht="8" customHeight="1" x14ac:dyDescent="0.25">
      <c r="B316" s="12"/>
      <c r="C316" s="11"/>
      <c r="D316" s="47"/>
      <c r="E316" s="13"/>
    </row>
    <row r="317" spans="1:5" ht="14.95" thickBot="1" x14ac:dyDescent="0.3">
      <c r="A317" s="3" t="s">
        <v>191</v>
      </c>
      <c r="B317" s="14">
        <f>SUM(B310:B314)</f>
        <v>-27852.51140662012</v>
      </c>
      <c r="C317" s="15">
        <f t="shared" ref="C317" si="21">SUM(C310:C314)</f>
        <v>-38864.167173081732</v>
      </c>
      <c r="D317" s="42">
        <f>SUM(D311:D315)</f>
        <v>123817.50688317396</v>
      </c>
      <c r="E317" s="15">
        <f>SUM(E310:E315)</f>
        <v>-56447.379499999995</v>
      </c>
    </row>
    <row r="318" spans="1:5" ht="14.95" thickTop="1" x14ac:dyDescent="0.25">
      <c r="B318" s="10"/>
      <c r="C318" s="11"/>
      <c r="D318" s="47"/>
      <c r="E318" s="13"/>
    </row>
    <row r="319" spans="1:5" x14ac:dyDescent="0.25">
      <c r="A319" s="2" t="s">
        <v>10</v>
      </c>
      <c r="B319" s="12">
        <f>B295+B310+B313</f>
        <v>-526797.20933151175</v>
      </c>
      <c r="C319" s="11"/>
      <c r="D319" s="47"/>
      <c r="E319" s="13"/>
    </row>
    <row r="320" spans="1:5" x14ac:dyDescent="0.25">
      <c r="A320" s="2" t="s">
        <v>88</v>
      </c>
      <c r="B320" s="12"/>
      <c r="C320" s="11"/>
      <c r="D320" s="47"/>
      <c r="E320" s="13">
        <f>E296+D311+E315</f>
        <v>72203.613675928544</v>
      </c>
    </row>
    <row r="321" spans="1:5" x14ac:dyDescent="0.25">
      <c r="A321" s="2" t="s">
        <v>11</v>
      </c>
      <c r="B321" s="12"/>
      <c r="C321" s="16">
        <f>C297+C312</f>
        <v>194320.83586540859</v>
      </c>
      <c r="D321" s="47"/>
      <c r="E321" s="13"/>
    </row>
    <row r="322" spans="1:5" x14ac:dyDescent="0.25">
      <c r="A322" s="2" t="s">
        <v>98</v>
      </c>
      <c r="B322" s="10"/>
      <c r="C322" s="13"/>
      <c r="D322" s="17"/>
      <c r="E322" s="13">
        <f>E298+E312</f>
        <v>1280000</v>
      </c>
    </row>
    <row r="323" spans="1:5" ht="14.95" thickBot="1" x14ac:dyDescent="0.3">
      <c r="A323" s="3" t="s">
        <v>8</v>
      </c>
      <c r="B323" s="21">
        <f>SUM(B319:B322)</f>
        <v>-526797.20933151175</v>
      </c>
      <c r="C323" s="22">
        <f t="shared" ref="C323:E323" si="22">SUM(C319:C322)</f>
        <v>194320.83586540859</v>
      </c>
      <c r="D323" s="52">
        <f t="shared" si="22"/>
        <v>0</v>
      </c>
      <c r="E323" s="22">
        <f t="shared" si="22"/>
        <v>1352203.6136759284</v>
      </c>
    </row>
    <row r="325" spans="1:5" ht="14.95" thickBot="1" x14ac:dyDescent="0.3">
      <c r="B325" s="311" t="s">
        <v>76</v>
      </c>
      <c r="C325" s="312"/>
      <c r="D325" s="50" t="s">
        <v>97</v>
      </c>
      <c r="E325" s="5"/>
    </row>
    <row r="326" spans="1:5" ht="14.95" thickBot="1" x14ac:dyDescent="0.3">
      <c r="A326" s="56" t="s">
        <v>247</v>
      </c>
      <c r="B326" s="53" t="s">
        <v>4</v>
      </c>
      <c r="C326" s="55" t="s">
        <v>6</v>
      </c>
      <c r="D326" s="53" t="s">
        <v>5</v>
      </c>
      <c r="E326" s="54" t="s">
        <v>7</v>
      </c>
    </row>
    <row r="327" spans="1:5" ht="19.05" x14ac:dyDescent="0.35">
      <c r="A327" s="26" t="s">
        <v>1</v>
      </c>
      <c r="B327" s="19"/>
      <c r="C327" s="46"/>
      <c r="D327" s="47"/>
      <c r="E327" s="23"/>
    </row>
    <row r="328" spans="1:5" x14ac:dyDescent="0.25">
      <c r="A328" s="2" t="s">
        <v>186</v>
      </c>
      <c r="B328" s="17">
        <f>'Scenario and Data'!C147</f>
        <v>23705.874419918029</v>
      </c>
      <c r="C328" s="18"/>
      <c r="D328" s="17">
        <f>-'Scenario and Data'!D223</f>
        <v>-3249.1626154167848</v>
      </c>
      <c r="E328" s="23"/>
    </row>
    <row r="329" spans="1:5" x14ac:dyDescent="0.25">
      <c r="A329" s="2" t="s">
        <v>0</v>
      </c>
      <c r="B329" s="19"/>
      <c r="C329" s="20">
        <f>'Scenario and Data'!C167</f>
        <v>38864.167173081732</v>
      </c>
      <c r="D329" s="17"/>
      <c r="E329" s="13">
        <f>-'Scenario and Data'!C197</f>
        <v>40000</v>
      </c>
    </row>
    <row r="330" spans="1:5" x14ac:dyDescent="0.25">
      <c r="A330" s="2" t="s">
        <v>51</v>
      </c>
      <c r="B330" s="10"/>
      <c r="C330" s="11"/>
      <c r="D330" s="17">
        <f>-'Scenario and Data'!$A$237</f>
        <v>-103552.6205</v>
      </c>
      <c r="E330" s="23"/>
    </row>
    <row r="331" spans="1:5" ht="14.95" thickBot="1" x14ac:dyDescent="0.3">
      <c r="A331" s="3" t="s">
        <v>3</v>
      </c>
      <c r="B331" s="14">
        <f>SUM(B328:B330)</f>
        <v>23705.874419918029</v>
      </c>
      <c r="C331" s="15">
        <f>SUM(C328:C330)</f>
        <v>38864.167173081732</v>
      </c>
      <c r="D331" s="42">
        <f>SUM(D328:D330)</f>
        <v>-106801.78311541679</v>
      </c>
      <c r="E331" s="15">
        <f>SUM(E328:E330)</f>
        <v>40000</v>
      </c>
    </row>
    <row r="332" spans="1:5" ht="15.65" thickTop="1" thickBot="1" x14ac:dyDescent="0.3">
      <c r="A332" s="3"/>
      <c r="B332" s="36"/>
      <c r="C332" s="36"/>
      <c r="D332" s="37"/>
      <c r="E332" s="36"/>
    </row>
    <row r="333" spans="1:5" ht="19.05" x14ac:dyDescent="0.35">
      <c r="A333" s="26" t="s">
        <v>18</v>
      </c>
      <c r="B333" s="33"/>
      <c r="C333" s="34"/>
      <c r="D333" s="51"/>
      <c r="E333" s="35"/>
    </row>
    <row r="334" spans="1:5" x14ac:dyDescent="0.25">
      <c r="A334" s="2" t="s">
        <v>19</v>
      </c>
      <c r="B334" s="17">
        <f>-'Scenario and Data'!C147</f>
        <v>-23705.874419918029</v>
      </c>
      <c r="C334" s="18"/>
      <c r="E334" s="13"/>
    </row>
    <row r="335" spans="1:5" x14ac:dyDescent="0.25">
      <c r="A335" s="2" t="s">
        <v>184</v>
      </c>
      <c r="B335" s="17"/>
      <c r="C335" s="18"/>
      <c r="D335" s="17">
        <f>'Scenario and Data'!D223</f>
        <v>3249.1626154167848</v>
      </c>
      <c r="E335" s="13"/>
    </row>
    <row r="336" spans="1:5" x14ac:dyDescent="0.25">
      <c r="A336" s="2" t="s">
        <v>2</v>
      </c>
      <c r="B336" s="19"/>
      <c r="C336" s="20">
        <f>-'Scenario and Data'!C167</f>
        <v>-38864.167173081732</v>
      </c>
      <c r="D336" s="17"/>
      <c r="E336" s="13">
        <f>'Scenario and Data'!C197</f>
        <v>-40000</v>
      </c>
    </row>
    <row r="337" spans="1:5" x14ac:dyDescent="0.25">
      <c r="A337" s="2" t="s">
        <v>9</v>
      </c>
      <c r="B337" s="17">
        <f>-'Scenario and Data'!D147</f>
        <v>120000</v>
      </c>
      <c r="C337" s="20"/>
      <c r="D337" s="17"/>
      <c r="E337" s="13"/>
    </row>
    <row r="338" spans="1:5" x14ac:dyDescent="0.25">
      <c r="A338" s="2" t="s">
        <v>183</v>
      </c>
      <c r="B338" s="12">
        <f>'Scenario and Data'!D147</f>
        <v>-120000</v>
      </c>
      <c r="C338" s="16"/>
      <c r="D338" s="17">
        <f>'Scenario and Data'!B114</f>
        <v>120000</v>
      </c>
      <c r="E338" s="23"/>
    </row>
    <row r="339" spans="1:5" x14ac:dyDescent="0.25">
      <c r="A339" s="2" t="s">
        <v>185</v>
      </c>
      <c r="B339" s="12"/>
      <c r="C339" s="16"/>
      <c r="D339" s="17"/>
      <c r="E339" s="13">
        <f>'Scenario and Data'!C223</f>
        <v>-16447.379499999999</v>
      </c>
    </row>
    <row r="340" spans="1:5" ht="6.65" customHeight="1" x14ac:dyDescent="0.25">
      <c r="B340" s="12"/>
      <c r="C340" s="11"/>
      <c r="D340" s="47"/>
      <c r="E340" s="13"/>
    </row>
    <row r="341" spans="1:5" ht="14.95" thickBot="1" x14ac:dyDescent="0.3">
      <c r="A341" s="3" t="s">
        <v>191</v>
      </c>
      <c r="B341" s="14">
        <f>SUM(B334:B338)</f>
        <v>-23705.874419918022</v>
      </c>
      <c r="C341" s="15">
        <f t="shared" ref="C341" si="23">SUM(C334:C338)</f>
        <v>-38864.167173081732</v>
      </c>
      <c r="D341" s="42">
        <f>SUM(D335:D339)</f>
        <v>123249.16261541679</v>
      </c>
      <c r="E341" s="15">
        <f>SUM(E334:E339)</f>
        <v>-56447.379499999995</v>
      </c>
    </row>
    <row r="342" spans="1:5" ht="14.95" thickTop="1" x14ac:dyDescent="0.25">
      <c r="B342" s="10"/>
      <c r="C342" s="11"/>
      <c r="D342" s="47"/>
      <c r="E342" s="13"/>
    </row>
    <row r="343" spans="1:5" x14ac:dyDescent="0.25">
      <c r="A343" s="2" t="s">
        <v>10</v>
      </c>
      <c r="B343" s="12">
        <f>B319+B334+B337</f>
        <v>-430503.0837514298</v>
      </c>
      <c r="C343" s="11"/>
      <c r="D343" s="47"/>
      <c r="E343" s="13"/>
    </row>
    <row r="344" spans="1:5" x14ac:dyDescent="0.25">
      <c r="A344" s="2" t="s">
        <v>88</v>
      </c>
      <c r="B344" s="12"/>
      <c r="C344" s="11"/>
      <c r="D344" s="47"/>
      <c r="E344" s="13">
        <f>E320+D335+E339</f>
        <v>59005.396791345338</v>
      </c>
    </row>
    <row r="345" spans="1:5" x14ac:dyDescent="0.25">
      <c r="A345" s="2" t="s">
        <v>11</v>
      </c>
      <c r="B345" s="12"/>
      <c r="C345" s="16">
        <f>C321+C336</f>
        <v>155456.66869232687</v>
      </c>
      <c r="D345" s="47"/>
      <c r="E345" s="13"/>
    </row>
    <row r="346" spans="1:5" x14ac:dyDescent="0.25">
      <c r="A346" s="2" t="s">
        <v>98</v>
      </c>
      <c r="B346" s="10"/>
      <c r="C346" s="13"/>
      <c r="D346" s="17"/>
      <c r="E346" s="13">
        <f>E322+E336</f>
        <v>1240000</v>
      </c>
    </row>
    <row r="347" spans="1:5" ht="14.95" thickBot="1" x14ac:dyDescent="0.3">
      <c r="A347" s="3" t="s">
        <v>8</v>
      </c>
      <c r="B347" s="21">
        <f>SUM(B343:B346)</f>
        <v>-430503.0837514298</v>
      </c>
      <c r="C347" s="22">
        <f t="shared" ref="C347:E347" si="24">SUM(C343:C346)</f>
        <v>155456.66869232687</v>
      </c>
      <c r="D347" s="52">
        <f t="shared" si="24"/>
        <v>0</v>
      </c>
      <c r="E347" s="22">
        <f t="shared" si="24"/>
        <v>1299005.3967913454</v>
      </c>
    </row>
    <row r="349" spans="1:5" ht="14.95" thickBot="1" x14ac:dyDescent="0.3">
      <c r="B349" s="311" t="s">
        <v>76</v>
      </c>
      <c r="C349" s="312"/>
      <c r="D349" s="50" t="s">
        <v>97</v>
      </c>
      <c r="E349" s="5"/>
    </row>
    <row r="350" spans="1:5" ht="14.95" thickBot="1" x14ac:dyDescent="0.3">
      <c r="A350" s="56" t="s">
        <v>248</v>
      </c>
      <c r="B350" s="53" t="s">
        <v>4</v>
      </c>
      <c r="C350" s="55" t="s">
        <v>6</v>
      </c>
      <c r="D350" s="53" t="s">
        <v>5</v>
      </c>
      <c r="E350" s="54" t="s">
        <v>7</v>
      </c>
    </row>
    <row r="351" spans="1:5" ht="19.05" x14ac:dyDescent="0.35">
      <c r="A351" s="26" t="s">
        <v>1</v>
      </c>
      <c r="B351" s="19"/>
      <c r="C351" s="46"/>
      <c r="D351" s="47"/>
      <c r="E351" s="23"/>
    </row>
    <row r="352" spans="1:5" x14ac:dyDescent="0.25">
      <c r="A352" s="2" t="s">
        <v>186</v>
      </c>
      <c r="B352" s="17">
        <f>'Scenario and Data'!C148</f>
        <v>19372.63876881434</v>
      </c>
      <c r="C352" s="18"/>
      <c r="D352" s="17">
        <f>-'Scenario and Data'!D224</f>
        <v>-2655.2428556105406</v>
      </c>
    </row>
    <row r="353" spans="1:5" x14ac:dyDescent="0.25">
      <c r="A353" s="2" t="s">
        <v>0</v>
      </c>
      <c r="B353" s="19"/>
      <c r="C353" s="20">
        <f>'Scenario and Data'!C167</f>
        <v>38864.167173081732</v>
      </c>
      <c r="D353" s="17"/>
      <c r="E353" s="143">
        <f>-'Scenario and Data'!C198</f>
        <v>40000</v>
      </c>
    </row>
    <row r="354" spans="1:5" x14ac:dyDescent="0.25">
      <c r="A354" s="2" t="s">
        <v>51</v>
      </c>
      <c r="B354" s="10"/>
      <c r="C354" s="11"/>
      <c r="D354" s="17">
        <f>-'Scenario and Data'!$A$237</f>
        <v>-103552.6205</v>
      </c>
      <c r="E354" s="23"/>
    </row>
    <row r="355" spans="1:5" ht="14.95" thickBot="1" x14ac:dyDescent="0.3">
      <c r="A355" s="3" t="s">
        <v>3</v>
      </c>
      <c r="B355" s="14">
        <f>SUM(B352:B354)</f>
        <v>19372.63876881434</v>
      </c>
      <c r="C355" s="15">
        <f>SUM(C352:C354)</f>
        <v>38864.167173081732</v>
      </c>
      <c r="D355" s="42">
        <f>SUM(D352:D354)</f>
        <v>-106207.86335561055</v>
      </c>
      <c r="E355" s="15">
        <f>SUM(E353:E354)</f>
        <v>40000</v>
      </c>
    </row>
    <row r="356" spans="1:5" ht="15.65" thickTop="1" thickBot="1" x14ac:dyDescent="0.3">
      <c r="A356" s="3"/>
      <c r="B356" s="36"/>
      <c r="C356" s="36"/>
      <c r="D356" s="37"/>
      <c r="E356" s="36"/>
    </row>
    <row r="357" spans="1:5" ht="19.05" x14ac:dyDescent="0.35">
      <c r="A357" s="26" t="s">
        <v>18</v>
      </c>
      <c r="B357" s="33"/>
      <c r="C357" s="34"/>
      <c r="D357" s="51"/>
      <c r="E357" s="35"/>
    </row>
    <row r="358" spans="1:5" x14ac:dyDescent="0.25">
      <c r="A358" s="2" t="s">
        <v>19</v>
      </c>
      <c r="B358" s="17">
        <f>-'Scenario and Data'!C148</f>
        <v>-19372.63876881434</v>
      </c>
      <c r="C358" s="18"/>
      <c r="E358" s="13"/>
    </row>
    <row r="359" spans="1:5" x14ac:dyDescent="0.25">
      <c r="A359" s="2" t="s">
        <v>184</v>
      </c>
      <c r="B359" s="17"/>
      <c r="C359" s="18"/>
      <c r="D359" s="17">
        <f>'Scenario and Data'!D224</f>
        <v>2655.2428556105406</v>
      </c>
      <c r="E359" s="13"/>
    </row>
    <row r="360" spans="1:5" x14ac:dyDescent="0.25">
      <c r="A360" s="2" t="s">
        <v>2</v>
      </c>
      <c r="B360" s="19"/>
      <c r="C360" s="20">
        <f>-'Scenario and Data'!C167</f>
        <v>-38864.167173081732</v>
      </c>
      <c r="D360" s="17"/>
      <c r="E360" s="13">
        <f>'Scenario and Data'!C198</f>
        <v>-40000</v>
      </c>
    </row>
    <row r="361" spans="1:5" x14ac:dyDescent="0.25">
      <c r="A361" s="2" t="s">
        <v>9</v>
      </c>
      <c r="B361" s="17">
        <f>-'Scenario and Data'!D148</f>
        <v>120000</v>
      </c>
      <c r="C361" s="20"/>
      <c r="D361" s="17"/>
      <c r="E361" s="13"/>
    </row>
    <row r="362" spans="1:5" x14ac:dyDescent="0.25">
      <c r="A362" s="2" t="s">
        <v>183</v>
      </c>
      <c r="B362" s="12">
        <f>'Scenario and Data'!D148</f>
        <v>-120000</v>
      </c>
      <c r="C362" s="16"/>
      <c r="D362" s="17">
        <f>'Scenario and Data'!B115</f>
        <v>120000</v>
      </c>
      <c r="E362" s="23"/>
    </row>
    <row r="363" spans="1:5" x14ac:dyDescent="0.25">
      <c r="A363" s="2" t="s">
        <v>185</v>
      </c>
      <c r="B363" s="12"/>
      <c r="C363" s="16"/>
      <c r="D363" s="17"/>
      <c r="E363" s="13">
        <f>'Scenario and Data'!C224</f>
        <v>-16447.379499999999</v>
      </c>
    </row>
    <row r="364" spans="1:5" ht="8" customHeight="1" x14ac:dyDescent="0.25">
      <c r="B364" s="12"/>
      <c r="C364" s="11"/>
      <c r="D364" s="47"/>
      <c r="E364" s="13"/>
    </row>
    <row r="365" spans="1:5" ht="14.95" thickBot="1" x14ac:dyDescent="0.3">
      <c r="A365" s="3" t="s">
        <v>191</v>
      </c>
      <c r="B365" s="14">
        <f>SUM(B358:B362)</f>
        <v>-19372.638768814344</v>
      </c>
      <c r="C365" s="15">
        <f t="shared" ref="C365" si="25">SUM(C358:C362)</f>
        <v>-38864.167173081732</v>
      </c>
      <c r="D365" s="42">
        <f>SUM(D359:D363)</f>
        <v>122655.24285561054</v>
      </c>
      <c r="E365" s="15">
        <f>SUM(E358:E363)</f>
        <v>-56447.379499999995</v>
      </c>
    </row>
    <row r="366" spans="1:5" ht="14.95" thickTop="1" x14ac:dyDescent="0.25">
      <c r="B366" s="10"/>
      <c r="C366" s="11"/>
      <c r="D366" s="47"/>
      <c r="E366" s="13"/>
    </row>
    <row r="367" spans="1:5" x14ac:dyDescent="0.25">
      <c r="A367" s="2" t="s">
        <v>10</v>
      </c>
      <c r="B367" s="12">
        <f>B343+B358+B361</f>
        <v>-329875.72252024413</v>
      </c>
      <c r="C367" s="11"/>
      <c r="D367" s="47"/>
      <c r="E367" s="13"/>
    </row>
    <row r="368" spans="1:5" x14ac:dyDescent="0.25">
      <c r="A368" s="2" t="s">
        <v>88</v>
      </c>
      <c r="B368" s="12"/>
      <c r="C368" s="11"/>
      <c r="D368" s="47"/>
      <c r="E368" s="13">
        <f>E344+D359+E363</f>
        <v>45213.260146955887</v>
      </c>
    </row>
    <row r="369" spans="1:5" x14ac:dyDescent="0.25">
      <c r="A369" s="2" t="s">
        <v>11</v>
      </c>
      <c r="B369" s="12"/>
      <c r="C369" s="16">
        <f>C345+C360</f>
        <v>116592.50151924514</v>
      </c>
      <c r="D369" s="47"/>
      <c r="E369" s="13"/>
    </row>
    <row r="370" spans="1:5" x14ac:dyDescent="0.25">
      <c r="A370" s="2" t="s">
        <v>98</v>
      </c>
      <c r="B370" s="10"/>
      <c r="C370" s="13"/>
      <c r="D370" s="17"/>
      <c r="E370" s="13">
        <f>E346+E360</f>
        <v>1200000</v>
      </c>
    </row>
    <row r="371" spans="1:5" ht="14.95" thickBot="1" x14ac:dyDescent="0.3">
      <c r="A371" s="3" t="s">
        <v>8</v>
      </c>
      <c r="B371" s="21">
        <f>SUM(B367:B370)</f>
        <v>-329875.72252024413</v>
      </c>
      <c r="C371" s="22">
        <f t="shared" ref="C371:E371" si="26">SUM(C367:C370)</f>
        <v>116592.50151924514</v>
      </c>
      <c r="D371" s="52">
        <f t="shared" si="26"/>
        <v>0</v>
      </c>
      <c r="E371" s="22">
        <f t="shared" si="26"/>
        <v>1245213.260146956</v>
      </c>
    </row>
    <row r="373" spans="1:5" ht="14.95" thickBot="1" x14ac:dyDescent="0.3">
      <c r="B373" s="311" t="s">
        <v>76</v>
      </c>
      <c r="C373" s="312"/>
      <c r="D373" s="50" t="s">
        <v>97</v>
      </c>
      <c r="E373" s="5"/>
    </row>
    <row r="374" spans="1:5" ht="14.95" thickBot="1" x14ac:dyDescent="0.3">
      <c r="A374" s="56" t="s">
        <v>249</v>
      </c>
      <c r="B374" s="53" t="s">
        <v>4</v>
      </c>
      <c r="C374" s="55" t="s">
        <v>6</v>
      </c>
      <c r="D374" s="53" t="s">
        <v>5</v>
      </c>
      <c r="E374" s="54" t="s">
        <v>7</v>
      </c>
    </row>
    <row r="375" spans="1:5" ht="19.05" x14ac:dyDescent="0.35">
      <c r="A375" s="26" t="s">
        <v>1</v>
      </c>
      <c r="B375" s="19"/>
      <c r="C375" s="46"/>
      <c r="D375" s="47"/>
      <c r="E375" s="23"/>
    </row>
    <row r="376" spans="1:5" x14ac:dyDescent="0.25">
      <c r="A376" s="2" t="s">
        <v>186</v>
      </c>
      <c r="B376" s="17">
        <f>'Scenario and Data'!C149</f>
        <v>14844.407513410986</v>
      </c>
      <c r="C376" s="18"/>
      <c r="D376" s="17">
        <f>-'Scenario and Data'!D225</f>
        <v>-2034.5967066130149</v>
      </c>
      <c r="E376" s="23"/>
    </row>
    <row r="377" spans="1:5" x14ac:dyDescent="0.25">
      <c r="A377" s="2" t="s">
        <v>0</v>
      </c>
      <c r="B377" s="19"/>
      <c r="C377" s="20">
        <f>'Scenario and Data'!C167</f>
        <v>38864.167173081732</v>
      </c>
      <c r="D377" s="17"/>
      <c r="E377" s="13">
        <f>-'Scenario and Data'!C199</f>
        <v>40000</v>
      </c>
    </row>
    <row r="378" spans="1:5" x14ac:dyDescent="0.25">
      <c r="A378" s="2" t="s">
        <v>51</v>
      </c>
      <c r="B378" s="10"/>
      <c r="C378" s="11"/>
      <c r="D378" s="17">
        <f>-'Scenario and Data'!$A$237</f>
        <v>-103552.6205</v>
      </c>
      <c r="E378" s="23"/>
    </row>
    <row r="379" spans="1:5" ht="14.95" thickBot="1" x14ac:dyDescent="0.3">
      <c r="A379" s="3" t="s">
        <v>3</v>
      </c>
      <c r="B379" s="14">
        <f>SUM(B376:B378)</f>
        <v>14844.407513410986</v>
      </c>
      <c r="C379" s="15">
        <f>SUM(C376:C378)</f>
        <v>38864.167173081732</v>
      </c>
      <c r="D379" s="42">
        <f>SUM(D376:D378)</f>
        <v>-105587.21720661302</v>
      </c>
      <c r="E379" s="15">
        <f>SUM(E376:E378)</f>
        <v>40000</v>
      </c>
    </row>
    <row r="380" spans="1:5" ht="15.65" thickTop="1" thickBot="1" x14ac:dyDescent="0.3">
      <c r="A380" s="3"/>
      <c r="B380" s="36"/>
      <c r="C380" s="36"/>
      <c r="D380" s="37"/>
      <c r="E380" s="36"/>
    </row>
    <row r="381" spans="1:5" ht="19.05" x14ac:dyDescent="0.35">
      <c r="A381" s="26" t="s">
        <v>18</v>
      </c>
      <c r="B381" s="33"/>
      <c r="C381" s="34"/>
      <c r="D381" s="51"/>
      <c r="E381" s="35"/>
    </row>
    <row r="382" spans="1:5" x14ac:dyDescent="0.25">
      <c r="A382" s="2" t="s">
        <v>19</v>
      </c>
      <c r="B382" s="17">
        <f>-'Scenario and Data'!C149</f>
        <v>-14844.407513410986</v>
      </c>
      <c r="C382" s="18"/>
      <c r="E382" s="13"/>
    </row>
    <row r="383" spans="1:5" x14ac:dyDescent="0.25">
      <c r="A383" s="2" t="s">
        <v>184</v>
      </c>
      <c r="B383" s="17"/>
      <c r="C383" s="18"/>
      <c r="D383" s="17">
        <f>'Scenario and Data'!D225</f>
        <v>2034.5967066130149</v>
      </c>
      <c r="E383" s="13"/>
    </row>
    <row r="384" spans="1:5" x14ac:dyDescent="0.25">
      <c r="A384" s="2" t="s">
        <v>2</v>
      </c>
      <c r="B384" s="19"/>
      <c r="C384" s="20">
        <f>-'Scenario and Data'!C167</f>
        <v>-38864.167173081732</v>
      </c>
      <c r="D384" s="17"/>
      <c r="E384" s="13">
        <f>'Scenario and Data'!C199</f>
        <v>-40000</v>
      </c>
    </row>
    <row r="385" spans="1:5" x14ac:dyDescent="0.25">
      <c r="A385" s="2" t="s">
        <v>9</v>
      </c>
      <c r="B385" s="17">
        <f>-'Scenario and Data'!D149</f>
        <v>120000</v>
      </c>
      <c r="C385" s="20"/>
      <c r="D385" s="17"/>
      <c r="E385" s="13"/>
    </row>
    <row r="386" spans="1:5" x14ac:dyDescent="0.25">
      <c r="A386" s="2" t="s">
        <v>183</v>
      </c>
      <c r="B386" s="12">
        <f>'Scenario and Data'!D149</f>
        <v>-120000</v>
      </c>
      <c r="C386" s="16"/>
      <c r="D386" s="17">
        <f>'Scenario and Data'!B116</f>
        <v>120000</v>
      </c>
      <c r="E386" s="23"/>
    </row>
    <row r="387" spans="1:5" x14ac:dyDescent="0.25">
      <c r="A387" s="2" t="s">
        <v>185</v>
      </c>
      <c r="B387" s="12"/>
      <c r="C387" s="16"/>
      <c r="D387" s="17"/>
      <c r="E387" s="13">
        <f>'Scenario and Data'!C225</f>
        <v>-16447.379499999999</v>
      </c>
    </row>
    <row r="388" spans="1:5" ht="8.5" customHeight="1" x14ac:dyDescent="0.25">
      <c r="B388" s="12"/>
      <c r="C388" s="11"/>
      <c r="D388" s="47"/>
      <c r="E388" s="13"/>
    </row>
    <row r="389" spans="1:5" ht="14.95" thickBot="1" x14ac:dyDescent="0.3">
      <c r="A389" s="3" t="s">
        <v>191</v>
      </c>
      <c r="B389" s="14">
        <f>SUM(B382:B386)</f>
        <v>-14844.407513410988</v>
      </c>
      <c r="C389" s="15">
        <f t="shared" ref="C389" si="27">SUM(C382:C386)</f>
        <v>-38864.167173081732</v>
      </c>
      <c r="D389" s="42">
        <f>SUM(D383:D387)</f>
        <v>122034.59670661301</v>
      </c>
      <c r="E389" s="15">
        <f>SUM(E382:E387)</f>
        <v>-56447.379499999995</v>
      </c>
    </row>
    <row r="390" spans="1:5" ht="14.95" thickTop="1" x14ac:dyDescent="0.25">
      <c r="B390" s="10"/>
      <c r="C390" s="11"/>
      <c r="D390" s="47"/>
      <c r="E390" s="13"/>
    </row>
    <row r="391" spans="1:5" x14ac:dyDescent="0.25">
      <c r="A391" s="2" t="s">
        <v>10</v>
      </c>
      <c r="B391" s="12">
        <f>B367+B382+B385</f>
        <v>-224720.13003365509</v>
      </c>
      <c r="C391" s="11"/>
      <c r="D391" s="47"/>
      <c r="E391" s="13"/>
    </row>
    <row r="392" spans="1:5" x14ac:dyDescent="0.25">
      <c r="A392" s="2" t="s">
        <v>88</v>
      </c>
      <c r="B392" s="12"/>
      <c r="C392" s="11"/>
      <c r="D392" s="47"/>
      <c r="E392" s="13">
        <f>E368+D383+E387</f>
        <v>30800.477353568906</v>
      </c>
    </row>
    <row r="393" spans="1:5" x14ac:dyDescent="0.25">
      <c r="A393" s="2" t="s">
        <v>11</v>
      </c>
      <c r="B393" s="12"/>
      <c r="C393" s="16">
        <f>C369+C384</f>
        <v>77728.334346163407</v>
      </c>
      <c r="D393" s="47"/>
      <c r="E393" s="13"/>
    </row>
    <row r="394" spans="1:5" x14ac:dyDescent="0.25">
      <c r="A394" s="2" t="s">
        <v>98</v>
      </c>
      <c r="B394" s="10"/>
      <c r="C394" s="13"/>
      <c r="D394" s="17"/>
      <c r="E394" s="13">
        <f>E370+E384</f>
        <v>1160000</v>
      </c>
    </row>
    <row r="395" spans="1:5" ht="14.95" thickBot="1" x14ac:dyDescent="0.3">
      <c r="A395" s="3" t="s">
        <v>8</v>
      </c>
      <c r="B395" s="21">
        <f>SUM(B391:B394)</f>
        <v>-224720.13003365509</v>
      </c>
      <c r="C395" s="22">
        <f t="shared" ref="C395:E395" si="28">SUM(C391:C394)</f>
        <v>77728.334346163407</v>
      </c>
      <c r="D395" s="52">
        <f t="shared" si="28"/>
        <v>0</v>
      </c>
      <c r="E395" s="22">
        <f t="shared" si="28"/>
        <v>1190800.4773535689</v>
      </c>
    </row>
    <row r="397" spans="1:5" ht="14.95" thickBot="1" x14ac:dyDescent="0.3">
      <c r="B397" s="311" t="s">
        <v>76</v>
      </c>
      <c r="C397" s="312"/>
      <c r="D397" s="50" t="s">
        <v>97</v>
      </c>
      <c r="E397" s="5"/>
    </row>
    <row r="398" spans="1:5" ht="14.95" thickBot="1" x14ac:dyDescent="0.3">
      <c r="A398" s="56" t="s">
        <v>250</v>
      </c>
      <c r="B398" s="53" t="s">
        <v>4</v>
      </c>
      <c r="C398" s="55" t="s">
        <v>6</v>
      </c>
      <c r="D398" s="53" t="s">
        <v>5</v>
      </c>
      <c r="E398" s="54" t="s">
        <v>7</v>
      </c>
    </row>
    <row r="399" spans="1:5" ht="19.05" x14ac:dyDescent="0.35">
      <c r="A399" s="26" t="s">
        <v>1</v>
      </c>
      <c r="B399" s="19"/>
      <c r="C399" s="46"/>
      <c r="D399" s="47"/>
      <c r="E399" s="23"/>
    </row>
    <row r="400" spans="1:5" x14ac:dyDescent="0.25">
      <c r="A400" s="2" t="s">
        <v>186</v>
      </c>
      <c r="B400" s="17">
        <f>'Scenario and Data'!C150</f>
        <v>10112.405851514479</v>
      </c>
      <c r="C400" s="18"/>
      <c r="D400" s="17">
        <f>-'Scenario and Data'!D226</f>
        <v>-1386.0214809106005</v>
      </c>
      <c r="E400" s="23"/>
    </row>
    <row r="401" spans="1:5" x14ac:dyDescent="0.25">
      <c r="A401" s="2" t="s">
        <v>0</v>
      </c>
      <c r="B401" s="19"/>
      <c r="C401" s="20">
        <f>'Scenario and Data'!C167</f>
        <v>38864.167173081732</v>
      </c>
      <c r="D401" s="17"/>
      <c r="E401" s="13">
        <f>-'Scenario and Data'!C200</f>
        <v>40000</v>
      </c>
    </row>
    <row r="402" spans="1:5" x14ac:dyDescent="0.25">
      <c r="A402" s="2" t="s">
        <v>51</v>
      </c>
      <c r="B402" s="10"/>
      <c r="C402" s="11"/>
      <c r="D402" s="17">
        <f>-'Scenario and Data'!$A$237</f>
        <v>-103552.6205</v>
      </c>
      <c r="E402" s="23"/>
    </row>
    <row r="403" spans="1:5" ht="14.95" thickBot="1" x14ac:dyDescent="0.3">
      <c r="A403" s="3" t="s">
        <v>3</v>
      </c>
      <c r="B403" s="14">
        <f>SUM(B400:B402)</f>
        <v>10112.405851514479</v>
      </c>
      <c r="C403" s="15">
        <f>SUM(C400:C402)</f>
        <v>38864.167173081732</v>
      </c>
      <c r="D403" s="42">
        <f>SUM(D400:D402)</f>
        <v>-104938.6419809106</v>
      </c>
      <c r="E403" s="15">
        <f>SUM(E400:E402)</f>
        <v>40000</v>
      </c>
    </row>
    <row r="404" spans="1:5" ht="15.65" thickTop="1" thickBot="1" x14ac:dyDescent="0.3">
      <c r="A404" s="3"/>
      <c r="B404" s="36"/>
      <c r="C404" s="36"/>
      <c r="D404" s="37"/>
      <c r="E404" s="36"/>
    </row>
    <row r="405" spans="1:5" ht="19.05" x14ac:dyDescent="0.35">
      <c r="A405" s="26" t="s">
        <v>18</v>
      </c>
      <c r="B405" s="33"/>
      <c r="C405" s="34"/>
      <c r="D405" s="51"/>
      <c r="E405" s="35"/>
    </row>
    <row r="406" spans="1:5" x14ac:dyDescent="0.25">
      <c r="A406" s="2" t="s">
        <v>19</v>
      </c>
      <c r="B406" s="17">
        <f>-'Scenario and Data'!C150</f>
        <v>-10112.405851514479</v>
      </c>
      <c r="C406" s="18"/>
      <c r="E406" s="13"/>
    </row>
    <row r="407" spans="1:5" x14ac:dyDescent="0.25">
      <c r="A407" s="2" t="s">
        <v>184</v>
      </c>
      <c r="B407" s="17"/>
      <c r="C407" s="18"/>
      <c r="D407" s="17">
        <f>'Scenario and Data'!D226</f>
        <v>1386.0214809106005</v>
      </c>
      <c r="E407" s="13"/>
    </row>
    <row r="408" spans="1:5" x14ac:dyDescent="0.25">
      <c r="A408" s="2" t="s">
        <v>2</v>
      </c>
      <c r="B408" s="19"/>
      <c r="C408" s="20">
        <f>-'Scenario and Data'!C167</f>
        <v>-38864.167173081732</v>
      </c>
      <c r="D408" s="17"/>
      <c r="E408" s="13">
        <f>'Scenario and Data'!C200</f>
        <v>-40000</v>
      </c>
    </row>
    <row r="409" spans="1:5" x14ac:dyDescent="0.25">
      <c r="A409" s="2" t="s">
        <v>9</v>
      </c>
      <c r="B409" s="17">
        <f>-'Scenario and Data'!D150</f>
        <v>120000</v>
      </c>
      <c r="C409" s="20"/>
      <c r="D409" s="17"/>
      <c r="E409" s="13"/>
    </row>
    <row r="410" spans="1:5" x14ac:dyDescent="0.25">
      <c r="A410" s="2" t="s">
        <v>183</v>
      </c>
      <c r="B410" s="12">
        <f>'Scenario and Data'!D150</f>
        <v>-120000</v>
      </c>
      <c r="C410" s="16"/>
      <c r="D410" s="17">
        <f>'Scenario and Data'!B117</f>
        <v>120000</v>
      </c>
      <c r="E410" s="23"/>
    </row>
    <row r="411" spans="1:5" x14ac:dyDescent="0.25">
      <c r="A411" s="2" t="s">
        <v>185</v>
      </c>
      <c r="B411" s="12"/>
      <c r="C411" s="16"/>
      <c r="D411" s="17"/>
      <c r="E411" s="13">
        <f>'Scenario and Data'!C226</f>
        <v>-16447.379499999999</v>
      </c>
    </row>
    <row r="412" spans="1:5" ht="5.95" customHeight="1" x14ac:dyDescent="0.25">
      <c r="B412" s="12"/>
      <c r="C412" s="11"/>
      <c r="D412" s="47"/>
      <c r="E412" s="13"/>
    </row>
    <row r="413" spans="1:5" ht="14.95" thickBot="1" x14ac:dyDescent="0.3">
      <c r="A413" s="3" t="s">
        <v>191</v>
      </c>
      <c r="B413" s="14">
        <f>SUM(B406:B410)</f>
        <v>-10112.405851514486</v>
      </c>
      <c r="C413" s="15">
        <f t="shared" ref="C413" si="29">SUM(C406:C410)</f>
        <v>-38864.167173081732</v>
      </c>
      <c r="D413" s="42">
        <f>SUM(D407:D411)</f>
        <v>121386.0214809106</v>
      </c>
      <c r="E413" s="15">
        <f>SUM(E406:E411)</f>
        <v>-56447.379499999995</v>
      </c>
    </row>
    <row r="414" spans="1:5" ht="14.95" thickTop="1" x14ac:dyDescent="0.25">
      <c r="B414" s="10"/>
      <c r="C414" s="11"/>
      <c r="D414" s="47"/>
      <c r="E414" s="13"/>
    </row>
    <row r="415" spans="1:5" x14ac:dyDescent="0.25">
      <c r="A415" s="2" t="s">
        <v>10</v>
      </c>
      <c r="B415" s="12">
        <f>B391+B406+B409</f>
        <v>-114832.53588516958</v>
      </c>
      <c r="C415" s="11"/>
      <c r="D415" s="47"/>
      <c r="E415" s="13"/>
    </row>
    <row r="416" spans="1:5" x14ac:dyDescent="0.25">
      <c r="A416" s="2" t="s">
        <v>88</v>
      </c>
      <c r="B416" s="12"/>
      <c r="C416" s="11"/>
      <c r="D416" s="47"/>
      <c r="E416" s="13">
        <f>E392+D407+E411</f>
        <v>15739.119334479507</v>
      </c>
    </row>
    <row r="417" spans="1:5" x14ac:dyDescent="0.25">
      <c r="A417" s="2" t="s">
        <v>11</v>
      </c>
      <c r="B417" s="12"/>
      <c r="C417" s="16">
        <f>C393+C408</f>
        <v>38864.167173081674</v>
      </c>
      <c r="D417" s="47"/>
      <c r="E417" s="13"/>
    </row>
    <row r="418" spans="1:5" x14ac:dyDescent="0.25">
      <c r="A418" s="2" t="s">
        <v>98</v>
      </c>
      <c r="B418" s="10"/>
      <c r="C418" s="13"/>
      <c r="D418" s="17"/>
      <c r="E418" s="13">
        <f>E394+E408</f>
        <v>1120000</v>
      </c>
    </row>
    <row r="419" spans="1:5" ht="14.95" thickBot="1" x14ac:dyDescent="0.3">
      <c r="A419" s="3" t="s">
        <v>8</v>
      </c>
      <c r="B419" s="21">
        <f>SUM(B415:B418)</f>
        <v>-114832.53588516958</v>
      </c>
      <c r="C419" s="22">
        <f t="shared" ref="C419:E419" si="30">SUM(C415:C418)</f>
        <v>38864.167173081674</v>
      </c>
      <c r="D419" s="52">
        <f t="shared" si="30"/>
        <v>0</v>
      </c>
      <c r="E419" s="22">
        <f t="shared" si="30"/>
        <v>1135739.1193344796</v>
      </c>
    </row>
    <row r="421" spans="1:5" ht="14.95" thickBot="1" x14ac:dyDescent="0.3">
      <c r="B421" s="311" t="s">
        <v>76</v>
      </c>
      <c r="C421" s="312"/>
      <c r="D421" s="50" t="s">
        <v>97</v>
      </c>
      <c r="E421" s="5"/>
    </row>
    <row r="422" spans="1:5" ht="14.95" thickBot="1" x14ac:dyDescent="0.3">
      <c r="A422" s="56" t="s">
        <v>251</v>
      </c>
      <c r="B422" s="53" t="s">
        <v>4</v>
      </c>
      <c r="C422" s="55" t="s">
        <v>6</v>
      </c>
      <c r="D422" s="53" t="s">
        <v>5</v>
      </c>
      <c r="E422" s="54" t="s">
        <v>7</v>
      </c>
    </row>
    <row r="423" spans="1:5" ht="19.05" x14ac:dyDescent="0.35">
      <c r="A423" s="26" t="s">
        <v>1</v>
      </c>
      <c r="B423" s="19"/>
      <c r="C423" s="46"/>
      <c r="D423" s="47"/>
      <c r="E423" s="23"/>
    </row>
    <row r="424" spans="1:5" x14ac:dyDescent="0.25">
      <c r="A424" s="2" t="s">
        <v>186</v>
      </c>
      <c r="B424" s="17">
        <f>'Scenario and Data'!C151</f>
        <v>5167.4641148326309</v>
      </c>
      <c r="C424" s="18"/>
      <c r="D424" s="17">
        <f>-'Scenario and Data'!D227</f>
        <v>-708.26037005157764</v>
      </c>
      <c r="E424" s="23"/>
    </row>
    <row r="425" spans="1:5" x14ac:dyDescent="0.25">
      <c r="A425" s="2" t="s">
        <v>0</v>
      </c>
      <c r="B425" s="19"/>
      <c r="C425" s="20">
        <f>'Scenario and Data'!C167</f>
        <v>38864.167173081732</v>
      </c>
      <c r="D425" s="17"/>
      <c r="E425" s="13">
        <f>-'Scenario and Data'!C201</f>
        <v>40000</v>
      </c>
    </row>
    <row r="426" spans="1:5" x14ac:dyDescent="0.25">
      <c r="A426" s="2" t="s">
        <v>51</v>
      </c>
      <c r="B426" s="10"/>
      <c r="C426" s="11"/>
      <c r="D426" s="17">
        <f>-'Scenario and Data'!$A$237</f>
        <v>-103552.6205</v>
      </c>
      <c r="E426" s="23"/>
    </row>
    <row r="427" spans="1:5" ht="14.95" thickBot="1" x14ac:dyDescent="0.3">
      <c r="A427" s="3" t="s">
        <v>3</v>
      </c>
      <c r="B427" s="14">
        <f>SUM(B424:B426)</f>
        <v>5167.4641148326309</v>
      </c>
      <c r="C427" s="15">
        <f>SUM(C424:C426)</f>
        <v>38864.167173081732</v>
      </c>
      <c r="D427" s="42">
        <f>SUM(D424:D426)</f>
        <v>-104260.88087005158</v>
      </c>
      <c r="E427" s="15">
        <f>SUM(E424:E426)</f>
        <v>40000</v>
      </c>
    </row>
    <row r="428" spans="1:5" ht="15.65" thickTop="1" thickBot="1" x14ac:dyDescent="0.3">
      <c r="A428" s="3"/>
      <c r="B428" s="36"/>
      <c r="C428" s="36"/>
      <c r="D428" s="37"/>
      <c r="E428" s="36"/>
    </row>
    <row r="429" spans="1:5" ht="19.05" x14ac:dyDescent="0.35">
      <c r="A429" s="26" t="s">
        <v>18</v>
      </c>
      <c r="B429" s="33"/>
      <c r="C429" s="34"/>
      <c r="D429" s="51"/>
      <c r="E429" s="35"/>
    </row>
    <row r="430" spans="1:5" x14ac:dyDescent="0.25">
      <c r="A430" s="2" t="s">
        <v>19</v>
      </c>
      <c r="B430" s="17">
        <f>-'Scenario and Data'!C151</f>
        <v>-5167.4641148326309</v>
      </c>
      <c r="C430" s="18"/>
      <c r="E430" s="13"/>
    </row>
    <row r="431" spans="1:5" x14ac:dyDescent="0.25">
      <c r="A431" s="2" t="s">
        <v>184</v>
      </c>
      <c r="B431" s="17"/>
      <c r="C431" s="18"/>
      <c r="D431" s="17">
        <f>'Scenario and Data'!D227</f>
        <v>708.26037005157764</v>
      </c>
      <c r="E431" s="13"/>
    </row>
    <row r="432" spans="1:5" x14ac:dyDescent="0.25">
      <c r="A432" s="2" t="s">
        <v>2</v>
      </c>
      <c r="B432" s="19"/>
      <c r="C432" s="20">
        <f>-'Scenario and Data'!C167</f>
        <v>-38864.167173081732</v>
      </c>
      <c r="D432" s="17"/>
      <c r="E432" s="13">
        <f>'Scenario and Data'!C201</f>
        <v>-40000</v>
      </c>
    </row>
    <row r="433" spans="1:5" x14ac:dyDescent="0.25">
      <c r="A433" s="2" t="s">
        <v>9</v>
      </c>
      <c r="B433" s="17">
        <f>-'Scenario and Data'!D151</f>
        <v>120000</v>
      </c>
      <c r="C433" s="20"/>
      <c r="D433" s="17"/>
      <c r="E433" s="13"/>
    </row>
    <row r="434" spans="1:5" x14ac:dyDescent="0.25">
      <c r="A434" s="2" t="s">
        <v>183</v>
      </c>
      <c r="B434" s="12">
        <f>'Scenario and Data'!D151</f>
        <v>-120000</v>
      </c>
      <c r="C434" s="16"/>
      <c r="D434" s="17">
        <f>'Scenario and Data'!B118</f>
        <v>120000</v>
      </c>
      <c r="E434" s="23"/>
    </row>
    <row r="435" spans="1:5" x14ac:dyDescent="0.25">
      <c r="A435" s="2" t="s">
        <v>185</v>
      </c>
      <c r="B435" s="12"/>
      <c r="C435" s="16"/>
      <c r="D435" s="17"/>
      <c r="E435" s="13">
        <f>'Scenario and Data'!C227</f>
        <v>-16447.379499999999</v>
      </c>
    </row>
    <row r="436" spans="1:5" ht="9" customHeight="1" x14ac:dyDescent="0.25">
      <c r="B436" s="12"/>
      <c r="C436" s="11"/>
      <c r="D436" s="47"/>
      <c r="E436" s="13"/>
    </row>
    <row r="437" spans="1:5" ht="14.95" thickBot="1" x14ac:dyDescent="0.3">
      <c r="A437" s="3" t="s">
        <v>191</v>
      </c>
      <c r="B437" s="14">
        <f>SUM(B430:B434)</f>
        <v>-5167.4641148326336</v>
      </c>
      <c r="C437" s="15">
        <f t="shared" ref="C437" si="31">SUM(C430:C434)</f>
        <v>-38864.167173081732</v>
      </c>
      <c r="D437" s="42">
        <f>SUM(D431:D435)</f>
        <v>120708.26037005158</v>
      </c>
      <c r="E437" s="15">
        <f>SUM(E430:E435)</f>
        <v>-56447.379499999995</v>
      </c>
    </row>
    <row r="438" spans="1:5" ht="14.95" thickTop="1" x14ac:dyDescent="0.25">
      <c r="B438" s="10"/>
      <c r="C438" s="11"/>
      <c r="D438" s="47"/>
      <c r="E438" s="13"/>
    </row>
    <row r="439" spans="1:5" x14ac:dyDescent="0.25">
      <c r="A439" s="2" t="s">
        <v>10</v>
      </c>
      <c r="B439" s="12">
        <f>B415+B430+B433</f>
        <v>-2.2118911147117615E-9</v>
      </c>
      <c r="C439" s="11"/>
      <c r="D439" s="47"/>
      <c r="E439" s="13"/>
    </row>
    <row r="440" spans="1:5" x14ac:dyDescent="0.25">
      <c r="A440" s="2" t="s">
        <v>88</v>
      </c>
      <c r="B440" s="12"/>
      <c r="C440" s="11"/>
      <c r="D440" s="47"/>
      <c r="E440" s="13">
        <f>E416+D431+E435</f>
        <v>2.0453108663787134E-4</v>
      </c>
    </row>
    <row r="441" spans="1:5" x14ac:dyDescent="0.25">
      <c r="A441" s="2" t="s">
        <v>11</v>
      </c>
      <c r="B441" s="12"/>
      <c r="C441" s="16">
        <f>C417+C432</f>
        <v>-5.8207660913467407E-11</v>
      </c>
      <c r="D441" s="47"/>
      <c r="E441" s="13"/>
    </row>
    <row r="442" spans="1:5" x14ac:dyDescent="0.25">
      <c r="A442" s="2" t="s">
        <v>98</v>
      </c>
      <c r="B442" s="10"/>
      <c r="C442" s="13"/>
      <c r="D442" s="17"/>
      <c r="E442" s="13">
        <f>E418+E432</f>
        <v>1080000</v>
      </c>
    </row>
    <row r="443" spans="1:5" ht="14.95" thickBot="1" x14ac:dyDescent="0.3">
      <c r="A443" s="3" t="s">
        <v>8</v>
      </c>
      <c r="B443" s="21">
        <f>SUM(B439:B442)</f>
        <v>-2.2118911147117615E-9</v>
      </c>
      <c r="C443" s="22">
        <f t="shared" ref="C443:E443" si="32">SUM(C439:C442)</f>
        <v>-5.8207660913467407E-11</v>
      </c>
      <c r="D443" s="52">
        <f t="shared" si="32"/>
        <v>0</v>
      </c>
      <c r="E443" s="22">
        <f t="shared" si="32"/>
        <v>1080000.000204531</v>
      </c>
    </row>
  </sheetData>
  <mergeCells count="18">
    <mergeCell ref="B37:C37"/>
    <mergeCell ref="B4:C4"/>
    <mergeCell ref="B61:C61"/>
    <mergeCell ref="B85:C85"/>
    <mergeCell ref="B229:C229"/>
    <mergeCell ref="B109:C109"/>
    <mergeCell ref="B133:C133"/>
    <mergeCell ref="B157:C157"/>
    <mergeCell ref="B181:C181"/>
    <mergeCell ref="B205:C205"/>
    <mergeCell ref="B373:C373"/>
    <mergeCell ref="B397:C397"/>
    <mergeCell ref="B421:C421"/>
    <mergeCell ref="B253:C253"/>
    <mergeCell ref="B277:C277"/>
    <mergeCell ref="B301:C301"/>
    <mergeCell ref="B325:C325"/>
    <mergeCell ref="B349:C34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73202-8600-4E31-987B-948B24D7170B}">
  <dimension ref="A1:S29"/>
  <sheetViews>
    <sheetView showGridLines="0" workbookViewId="0">
      <selection activeCell="A15" sqref="A15"/>
    </sheetView>
  </sheetViews>
  <sheetFormatPr defaultRowHeight="14.3" outlineLevelCol="1" x14ac:dyDescent="0.25"/>
  <cols>
    <col min="1" max="1" width="30.625" customWidth="1"/>
    <col min="2" max="13" width="14.25" customWidth="1"/>
    <col min="14" max="16" width="14.25" hidden="1" customWidth="1" outlineLevel="1"/>
    <col min="17" max="18" width="8.875" hidden="1" customWidth="1" outlineLevel="1"/>
    <col min="19" max="19" width="8.875" collapsed="1"/>
  </cols>
  <sheetData>
    <row r="1" spans="1:18" ht="14.95" x14ac:dyDescent="0.25">
      <c r="A1" s="57" t="s">
        <v>61</v>
      </c>
    </row>
    <row r="2" spans="1:18" ht="14.95" x14ac:dyDescent="0.25">
      <c r="A2" s="57"/>
    </row>
    <row r="3" spans="1:18" ht="15.8" thickBot="1" x14ac:dyDescent="0.3"/>
    <row r="4" spans="1:18" ht="14.95" thickBot="1" x14ac:dyDescent="0.3">
      <c r="A4" s="79" t="s">
        <v>91</v>
      </c>
      <c r="B4" s="321" t="s">
        <v>23</v>
      </c>
      <c r="C4" s="313"/>
      <c r="D4" s="313"/>
      <c r="E4" s="313"/>
      <c r="F4" s="313"/>
      <c r="G4" s="322"/>
      <c r="H4" s="323" t="s">
        <v>24</v>
      </c>
      <c r="I4" s="324"/>
      <c r="J4" s="324"/>
      <c r="K4" s="324"/>
      <c r="L4" s="324"/>
      <c r="M4" s="325"/>
      <c r="N4" s="313" t="s">
        <v>25</v>
      </c>
      <c r="O4" s="313"/>
      <c r="P4" s="314" t="s">
        <v>26</v>
      </c>
    </row>
    <row r="5" spans="1:18" ht="30.6" customHeight="1" x14ac:dyDescent="0.25">
      <c r="A5" s="80" t="s">
        <v>39</v>
      </c>
      <c r="B5" s="316" t="s">
        <v>27</v>
      </c>
      <c r="C5" s="317"/>
      <c r="D5" s="318" t="s">
        <v>28</v>
      </c>
      <c r="E5" s="319"/>
      <c r="F5" s="319"/>
      <c r="G5" s="320"/>
      <c r="H5" s="60" t="s">
        <v>29</v>
      </c>
      <c r="I5" s="61" t="s">
        <v>30</v>
      </c>
      <c r="J5" s="61" t="s">
        <v>31</v>
      </c>
      <c r="K5" s="61" t="s">
        <v>32</v>
      </c>
      <c r="L5" s="61" t="s">
        <v>33</v>
      </c>
      <c r="M5" s="62" t="s">
        <v>34</v>
      </c>
      <c r="N5" s="58" t="s">
        <v>35</v>
      </c>
      <c r="O5" s="59" t="s">
        <v>36</v>
      </c>
      <c r="P5" s="315"/>
    </row>
    <row r="6" spans="1:18" ht="18" customHeight="1" x14ac:dyDescent="0.25">
      <c r="A6" s="112"/>
      <c r="B6" s="113" t="s">
        <v>53</v>
      </c>
      <c r="C6" s="114" t="s">
        <v>54</v>
      </c>
      <c r="D6" s="115" t="s">
        <v>55</v>
      </c>
      <c r="E6" s="115" t="s">
        <v>56</v>
      </c>
      <c r="F6" s="114" t="s">
        <v>57</v>
      </c>
      <c r="G6" s="116" t="s">
        <v>58</v>
      </c>
      <c r="H6" s="117"/>
      <c r="I6" s="118"/>
      <c r="J6" s="118"/>
      <c r="K6" s="118"/>
      <c r="L6" s="118"/>
      <c r="M6" s="119"/>
      <c r="N6" s="120"/>
      <c r="O6" s="116"/>
      <c r="P6" s="111"/>
    </row>
    <row r="7" spans="1:18" ht="18" customHeight="1" x14ac:dyDescent="0.25">
      <c r="A7" s="278" t="s">
        <v>214</v>
      </c>
      <c r="B7" s="113"/>
      <c r="C7" s="276"/>
      <c r="D7" s="279">
        <f>Accounting!C14+Accounting!C15</f>
        <v>-1000000</v>
      </c>
      <c r="E7" s="277"/>
      <c r="F7" s="276"/>
      <c r="G7" s="116"/>
      <c r="H7" s="117"/>
      <c r="I7" s="118"/>
      <c r="J7" s="118"/>
      <c r="K7" s="118"/>
      <c r="L7" s="128">
        <f>D7</f>
        <v>-1000000</v>
      </c>
      <c r="M7" s="119"/>
      <c r="N7" s="120"/>
      <c r="O7" s="116"/>
      <c r="P7" s="270"/>
    </row>
    <row r="8" spans="1:18" ht="15.65" customHeight="1" x14ac:dyDescent="0.25">
      <c r="A8" s="66" t="s">
        <v>44</v>
      </c>
      <c r="B8" s="121"/>
      <c r="C8" s="122"/>
      <c r="D8" s="123">
        <f>Accounting!C17</f>
        <v>699555.00911547116</v>
      </c>
      <c r="E8" s="123"/>
      <c r="F8" s="122"/>
      <c r="G8" s="106"/>
      <c r="H8" s="124"/>
      <c r="I8" s="109"/>
      <c r="J8" s="125"/>
      <c r="K8" s="109"/>
      <c r="L8" s="109">
        <f>D8</f>
        <v>699555.00911547116</v>
      </c>
      <c r="M8" s="126">
        <f>F8</f>
        <v>0</v>
      </c>
      <c r="N8" s="63"/>
      <c r="O8" s="64"/>
      <c r="P8" s="65"/>
      <c r="R8" t="s">
        <v>140</v>
      </c>
    </row>
    <row r="9" spans="1:18" ht="15.65" customHeight="1" x14ac:dyDescent="0.25">
      <c r="A9" s="66" t="s">
        <v>96</v>
      </c>
      <c r="B9" s="163">
        <f>Accounting!C10</f>
        <v>-240355.99270762305</v>
      </c>
      <c r="C9" s="122"/>
      <c r="D9" s="123">
        <f>Accounting!C16</f>
        <v>0</v>
      </c>
      <c r="E9" s="123"/>
      <c r="F9" s="122"/>
      <c r="G9" s="106"/>
      <c r="H9" s="124"/>
      <c r="I9" s="109">
        <f>B9</f>
        <v>-240355.99270762305</v>
      </c>
      <c r="J9" s="125"/>
      <c r="K9" s="109"/>
      <c r="L9" s="125">
        <f>D9</f>
        <v>0</v>
      </c>
      <c r="M9" s="126"/>
      <c r="N9" s="63"/>
      <c r="O9" s="64"/>
      <c r="P9" s="65"/>
      <c r="R9" t="s">
        <v>141</v>
      </c>
    </row>
    <row r="10" spans="1:18" ht="15.65" customHeight="1" x14ac:dyDescent="0.25">
      <c r="A10" s="66" t="s">
        <v>45</v>
      </c>
      <c r="B10" s="127"/>
      <c r="C10" s="128"/>
      <c r="D10" s="129"/>
      <c r="E10" s="129"/>
      <c r="F10" s="128">
        <f>Accounting!B19</f>
        <v>-1459199.0164078481</v>
      </c>
      <c r="G10" s="108"/>
      <c r="H10" s="124"/>
      <c r="I10" s="109"/>
      <c r="J10" s="125"/>
      <c r="K10" s="109"/>
      <c r="L10" s="109"/>
      <c r="M10" s="126"/>
      <c r="N10" s="63"/>
      <c r="O10" s="64"/>
      <c r="P10" s="65"/>
    </row>
    <row r="11" spans="1:18" ht="15.65" customHeight="1" x14ac:dyDescent="0.25">
      <c r="A11" s="66" t="s">
        <v>46</v>
      </c>
      <c r="B11" s="127"/>
      <c r="C11" s="109">
        <f>Accounting!B7</f>
        <v>65663.955738353165</v>
      </c>
      <c r="D11" s="109"/>
      <c r="E11" s="129"/>
      <c r="F11" s="128">
        <f>Accounting!B20</f>
        <v>-65663.955738353165</v>
      </c>
      <c r="G11" s="108"/>
      <c r="H11" s="124"/>
      <c r="I11" s="109">
        <f>C11</f>
        <v>65663.955738353165</v>
      </c>
      <c r="J11" s="125"/>
      <c r="K11" s="109"/>
      <c r="L11" s="109"/>
      <c r="M11" s="126"/>
      <c r="N11" s="63"/>
      <c r="O11" s="64"/>
      <c r="P11" s="65"/>
    </row>
    <row r="12" spans="1:18" ht="15.65" customHeight="1" x14ac:dyDescent="0.25">
      <c r="A12" s="66" t="s">
        <v>0</v>
      </c>
      <c r="B12" s="127"/>
      <c r="C12" s="128">
        <f>Accounting!C8</f>
        <v>38864.167173081732</v>
      </c>
      <c r="D12" s="129">
        <f>Accounting!C24</f>
        <v>-38864.167173081732</v>
      </c>
      <c r="E12" s="129"/>
      <c r="F12" s="128"/>
      <c r="G12" s="108"/>
      <c r="H12" s="124">
        <f>C12</f>
        <v>38864.167173081732</v>
      </c>
      <c r="I12" s="109"/>
      <c r="J12" s="125"/>
      <c r="K12" s="109"/>
      <c r="L12" s="109"/>
      <c r="M12" s="126"/>
      <c r="N12" s="63"/>
      <c r="O12" s="64"/>
      <c r="P12" s="65"/>
    </row>
    <row r="13" spans="1:18" ht="15.65" customHeight="1" thickBot="1" x14ac:dyDescent="0.3">
      <c r="A13" s="66" t="s">
        <v>47</v>
      </c>
      <c r="B13" s="127"/>
      <c r="C13" s="130"/>
      <c r="D13" s="131"/>
      <c r="E13" s="131">
        <f>Accounting!B25+Accounting!C26</f>
        <v>1880000</v>
      </c>
      <c r="F13" s="130">
        <f>Accounting!B23</f>
        <v>120000</v>
      </c>
      <c r="G13" s="108"/>
      <c r="H13" s="124"/>
      <c r="I13" s="109"/>
      <c r="J13" s="125"/>
      <c r="K13" s="109"/>
      <c r="L13" s="109"/>
      <c r="M13" s="126"/>
      <c r="N13" s="63"/>
      <c r="O13" s="64"/>
      <c r="P13" s="65"/>
    </row>
    <row r="14" spans="1:18" ht="15.8" thickBot="1" x14ac:dyDescent="0.3">
      <c r="A14" s="67" t="s">
        <v>50</v>
      </c>
      <c r="B14" s="68"/>
      <c r="C14" s="70"/>
      <c r="D14" s="70"/>
      <c r="E14" s="70"/>
      <c r="F14" s="70"/>
      <c r="G14" s="69"/>
      <c r="H14" s="132">
        <f t="shared" ref="H14:K14" si="0">SUM(H8:H13)</f>
        <v>38864.167173081732</v>
      </c>
      <c r="I14" s="132">
        <f t="shared" si="0"/>
        <v>-174692.03696926989</v>
      </c>
      <c r="J14" s="132">
        <f t="shared" si="0"/>
        <v>0</v>
      </c>
      <c r="K14" s="132">
        <f t="shared" si="0"/>
        <v>0</v>
      </c>
      <c r="L14" s="132">
        <f>SUM(L7:L13)</f>
        <v>-300444.99088452884</v>
      </c>
      <c r="M14" s="132">
        <f>SUM(M8:M13)</f>
        <v>0</v>
      </c>
      <c r="N14" s="68"/>
      <c r="O14" s="70"/>
      <c r="P14" s="71"/>
    </row>
    <row r="15" spans="1:18" ht="15.8" thickBot="1" x14ac:dyDescent="0.3">
      <c r="A15" s="72" t="s">
        <v>37</v>
      </c>
      <c r="B15" s="72"/>
      <c r="C15" s="72"/>
      <c r="D15" s="72"/>
      <c r="E15" s="72"/>
      <c r="F15" s="72"/>
      <c r="G15" s="73">
        <f>SUM(B7:G13)</f>
        <v>0</v>
      </c>
      <c r="H15" s="74"/>
      <c r="I15" s="74"/>
      <c r="J15" s="74"/>
      <c r="K15" s="74"/>
      <c r="L15" s="74"/>
      <c r="M15" s="74"/>
      <c r="N15" s="75"/>
      <c r="O15" s="75"/>
      <c r="P15" s="75"/>
    </row>
    <row r="16" spans="1:18" ht="15.8" thickBot="1" x14ac:dyDescent="0.3"/>
    <row r="17" spans="1:18" ht="14.95" thickBot="1" x14ac:dyDescent="0.3">
      <c r="A17" s="79" t="s">
        <v>92</v>
      </c>
      <c r="B17" s="321" t="s">
        <v>23</v>
      </c>
      <c r="C17" s="313"/>
      <c r="D17" s="313"/>
      <c r="E17" s="313"/>
      <c r="F17" s="313"/>
      <c r="G17" s="322"/>
      <c r="H17" s="323" t="s">
        <v>24</v>
      </c>
      <c r="I17" s="324"/>
      <c r="J17" s="324"/>
      <c r="K17" s="324"/>
      <c r="L17" s="324"/>
      <c r="M17" s="325"/>
      <c r="N17" s="313" t="s">
        <v>25</v>
      </c>
      <c r="O17" s="313"/>
      <c r="P17" s="314" t="s">
        <v>26</v>
      </c>
    </row>
    <row r="18" spans="1:18" x14ac:dyDescent="0.25">
      <c r="A18" s="80" t="s">
        <v>39</v>
      </c>
      <c r="B18" s="316" t="s">
        <v>27</v>
      </c>
      <c r="C18" s="319"/>
      <c r="D18" s="318" t="s">
        <v>28</v>
      </c>
      <c r="E18" s="319"/>
      <c r="F18" s="319"/>
      <c r="G18" s="320"/>
      <c r="H18" s="60" t="s">
        <v>29</v>
      </c>
      <c r="I18" s="61" t="s">
        <v>30</v>
      </c>
      <c r="J18" s="61" t="s">
        <v>31</v>
      </c>
      <c r="K18" s="61" t="s">
        <v>32</v>
      </c>
      <c r="L18" s="61" t="s">
        <v>33</v>
      </c>
      <c r="M18" s="62" t="s">
        <v>34</v>
      </c>
      <c r="N18" s="58" t="s">
        <v>35</v>
      </c>
      <c r="O18" s="59" t="s">
        <v>36</v>
      </c>
      <c r="P18" s="315"/>
    </row>
    <row r="19" spans="1:18" ht="14.95" x14ac:dyDescent="0.25">
      <c r="A19" s="112"/>
      <c r="B19" s="113" t="s">
        <v>53</v>
      </c>
      <c r="C19" s="114" t="s">
        <v>54</v>
      </c>
      <c r="D19" s="115" t="s">
        <v>55</v>
      </c>
      <c r="E19" s="115" t="s">
        <v>56</v>
      </c>
      <c r="F19" s="114" t="s">
        <v>57</v>
      </c>
      <c r="G19" s="116" t="s">
        <v>58</v>
      </c>
      <c r="H19" s="286"/>
      <c r="I19" s="133"/>
      <c r="J19" s="133"/>
      <c r="K19" s="133"/>
      <c r="L19" s="133"/>
      <c r="M19" s="134"/>
      <c r="N19" s="120"/>
      <c r="O19" s="116"/>
      <c r="P19" s="111"/>
    </row>
    <row r="20" spans="1:18" ht="15.65" customHeight="1" x14ac:dyDescent="0.25">
      <c r="A20" s="135" t="s">
        <v>95</v>
      </c>
      <c r="B20" s="105"/>
      <c r="C20" s="136"/>
      <c r="D20" s="123">
        <f>Accounting!E16</f>
        <v>1800000</v>
      </c>
      <c r="E20" s="137"/>
      <c r="F20" s="138"/>
      <c r="G20" s="106"/>
      <c r="H20" s="124"/>
      <c r="I20" s="109"/>
      <c r="J20" s="125"/>
      <c r="K20" s="109"/>
      <c r="L20" s="109">
        <f>D20</f>
        <v>1800000</v>
      </c>
      <c r="M20" s="126"/>
      <c r="N20" s="63"/>
      <c r="O20" s="64"/>
      <c r="P20" s="65"/>
      <c r="R20" t="s">
        <v>142</v>
      </c>
    </row>
    <row r="21" spans="1:18" ht="15.65" customHeight="1" x14ac:dyDescent="0.25">
      <c r="A21" s="66" t="s">
        <v>48</v>
      </c>
      <c r="B21" s="107">
        <f>Accounting!D9</f>
        <v>-103552.6205</v>
      </c>
      <c r="C21" s="139"/>
      <c r="D21" s="129"/>
      <c r="E21" s="129"/>
      <c r="F21" s="128"/>
      <c r="G21" s="108"/>
      <c r="H21" s="124"/>
      <c r="I21" s="109">
        <f>B21</f>
        <v>-103552.6205</v>
      </c>
      <c r="J21" s="125"/>
      <c r="K21" s="109"/>
      <c r="L21" s="109"/>
      <c r="M21" s="126"/>
      <c r="N21" s="63"/>
      <c r="O21" s="64"/>
      <c r="P21" s="65"/>
      <c r="R21" t="s">
        <v>143</v>
      </c>
    </row>
    <row r="22" spans="1:18" ht="15.65" customHeight="1" x14ac:dyDescent="0.25">
      <c r="A22" s="66" t="s">
        <v>0</v>
      </c>
      <c r="B22" s="107"/>
      <c r="C22" s="139">
        <f>Accounting!E8</f>
        <v>40000</v>
      </c>
      <c r="D22" s="129">
        <f>Accounting!E24</f>
        <v>-40000</v>
      </c>
      <c r="E22" s="129"/>
      <c r="F22" s="128"/>
      <c r="G22" s="108"/>
      <c r="H22" s="124">
        <f>C22</f>
        <v>40000</v>
      </c>
      <c r="I22" s="109"/>
      <c r="J22" s="125"/>
      <c r="K22" s="109"/>
      <c r="L22" s="109"/>
      <c r="M22" s="126"/>
      <c r="N22" s="63"/>
      <c r="O22" s="64"/>
      <c r="P22" s="65"/>
    </row>
    <row r="23" spans="1:18" ht="15.65" customHeight="1" x14ac:dyDescent="0.25">
      <c r="A23" s="66" t="s">
        <v>93</v>
      </c>
      <c r="B23" s="107">
        <f>Accounting!D7</f>
        <v>-9000</v>
      </c>
      <c r="C23" s="139"/>
      <c r="D23" s="157">
        <f>Accounting!D21</f>
        <v>9000</v>
      </c>
      <c r="E23" s="157"/>
      <c r="F23" s="158"/>
      <c r="G23" s="159"/>
      <c r="H23" s="124"/>
      <c r="I23" s="109">
        <f>B23</f>
        <v>-9000</v>
      </c>
      <c r="J23" s="125"/>
      <c r="K23" s="109"/>
      <c r="L23" s="109"/>
      <c r="M23" s="126"/>
      <c r="N23" s="63"/>
      <c r="O23" s="64"/>
      <c r="P23" s="65"/>
    </row>
    <row r="24" spans="1:18" ht="15.65" customHeight="1" x14ac:dyDescent="0.25">
      <c r="A24" s="66" t="s">
        <v>94</v>
      </c>
      <c r="B24" s="107"/>
      <c r="C24" s="139"/>
      <c r="D24" s="109">
        <f>Accounting!E22+Accounting!E18</f>
        <v>183552.62049999999</v>
      </c>
      <c r="E24" s="109"/>
      <c r="F24" s="109"/>
      <c r="G24" s="126"/>
      <c r="H24" s="124"/>
      <c r="I24" s="109"/>
      <c r="J24" s="125"/>
      <c r="K24" s="109"/>
      <c r="L24" s="165">
        <f>D24</f>
        <v>183552.62049999999</v>
      </c>
      <c r="M24" s="126"/>
      <c r="N24" s="63"/>
      <c r="O24" s="64"/>
      <c r="P24" s="65"/>
      <c r="R24" t="s">
        <v>144</v>
      </c>
    </row>
    <row r="25" spans="1:18" ht="15.65" customHeight="1" thickBot="1" x14ac:dyDescent="0.3">
      <c r="A25" s="66" t="s">
        <v>49</v>
      </c>
      <c r="B25" s="107"/>
      <c r="C25" s="139"/>
      <c r="D25" s="131"/>
      <c r="E25" s="131">
        <f>Accounting!D25+Accounting!E26</f>
        <v>-1880000</v>
      </c>
      <c r="F25" s="130"/>
      <c r="G25" s="140"/>
      <c r="H25" s="124"/>
      <c r="I25" s="109"/>
      <c r="J25" s="125"/>
      <c r="K25" s="109"/>
      <c r="L25" s="109"/>
      <c r="M25" s="126"/>
      <c r="N25" s="63"/>
      <c r="O25" s="64"/>
      <c r="P25" s="65"/>
    </row>
    <row r="26" spans="1:18" ht="15.8" thickBot="1" x14ac:dyDescent="0.3">
      <c r="A26" s="67" t="s">
        <v>50</v>
      </c>
      <c r="B26" s="68"/>
      <c r="C26" s="70"/>
      <c r="D26" s="70"/>
      <c r="E26" s="70"/>
      <c r="F26" s="70"/>
      <c r="G26" s="69"/>
      <c r="H26" s="132">
        <f>SUM(H21:H25)</f>
        <v>40000</v>
      </c>
      <c r="I26" s="132">
        <f>SUM(I21:I25)</f>
        <v>-112552.6205</v>
      </c>
      <c r="J26" s="132">
        <f t="shared" ref="J26:M26" si="1">SUM(J21:J25)</f>
        <v>0</v>
      </c>
      <c r="K26" s="132">
        <f t="shared" si="1"/>
        <v>0</v>
      </c>
      <c r="L26" s="132">
        <f>SUM(L20:L25)</f>
        <v>1983552.6205</v>
      </c>
      <c r="M26" s="287">
        <f t="shared" si="1"/>
        <v>0</v>
      </c>
      <c r="N26" s="68"/>
      <c r="O26" s="70"/>
      <c r="P26" s="71"/>
    </row>
    <row r="27" spans="1:18" ht="15.8" thickBot="1" x14ac:dyDescent="0.3">
      <c r="A27" s="72" t="s">
        <v>37</v>
      </c>
      <c r="B27" s="72"/>
      <c r="C27" s="72"/>
      <c r="D27" s="72"/>
      <c r="E27" s="72"/>
      <c r="F27" s="72"/>
      <c r="G27" s="73">
        <f>SUM(B20:G25)</f>
        <v>0</v>
      </c>
      <c r="H27" s="74"/>
      <c r="I27" s="74"/>
      <c r="J27" s="74"/>
      <c r="K27" s="74"/>
      <c r="L27" s="74"/>
      <c r="M27" s="74"/>
      <c r="N27" s="75"/>
      <c r="O27" s="75"/>
      <c r="P27" s="75"/>
    </row>
    <row r="28" spans="1:18" ht="14.95" x14ac:dyDescent="0.25">
      <c r="L28" s="164"/>
    </row>
    <row r="29" spans="1:18" ht="14.95" x14ac:dyDescent="0.25">
      <c r="A29" t="s">
        <v>126</v>
      </c>
    </row>
  </sheetData>
  <mergeCells count="12">
    <mergeCell ref="N4:O4"/>
    <mergeCell ref="P4:P5"/>
    <mergeCell ref="B5:C5"/>
    <mergeCell ref="D5:G5"/>
    <mergeCell ref="B17:G17"/>
    <mergeCell ref="H17:M17"/>
    <mergeCell ref="N17:O17"/>
    <mergeCell ref="P17:P18"/>
    <mergeCell ref="B18:C18"/>
    <mergeCell ref="D18:G18"/>
    <mergeCell ref="B4:G4"/>
    <mergeCell ref="H4:M4"/>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avestamp xmlns="cf922d0c-7565-4a19-867a-78a71dd2f738" xsi:nil="true"/>
    <_ip_UnifiedCompliancePolicyUIAction xmlns="http://schemas.microsoft.com/sharepoint/v3" xsi:nil="true"/>
    <Time xmlns="cf922d0c-7565-4a19-867a-78a71dd2f738"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30B453C2E56BC40827FBB9E03A7F75B" ma:contentTypeVersion="32" ma:contentTypeDescription="Create a new document." ma:contentTypeScope="" ma:versionID="04dd133d15aef2201c904d77d856316c">
  <xsd:schema xmlns:xsd="http://www.w3.org/2001/XMLSchema" xmlns:xs="http://www.w3.org/2001/XMLSchema" xmlns:p="http://schemas.microsoft.com/office/2006/metadata/properties" xmlns:ns1="http://schemas.microsoft.com/sharepoint/v3" xmlns:ns2="cf922d0c-7565-4a19-867a-78a71dd2f738" targetNamespace="http://schemas.microsoft.com/office/2006/metadata/properties" ma:root="true" ma:fieldsID="17203287061b73b82478b3aa300a02b0" ns1:_="" ns2:_="">
    <xsd:import namespace="http://schemas.microsoft.com/sharepoint/v3"/>
    <xsd:import namespace="cf922d0c-7565-4a19-867a-78a71dd2f738"/>
    <xsd:element name="properties">
      <xsd:complexType>
        <xsd:sequence>
          <xsd:element name="documentManagement">
            <xsd:complexType>
              <xsd:all>
                <xsd:element ref="ns2:savestamp" minOccurs="0"/>
                <xsd:element ref="ns2:Time"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f922d0c-7565-4a19-867a-78a71dd2f738" elementFormDefault="qualified">
    <xsd:import namespace="http://schemas.microsoft.com/office/2006/documentManagement/types"/>
    <xsd:import namespace="http://schemas.microsoft.com/office/infopath/2007/PartnerControls"/>
    <xsd:element name="savestamp" ma:index="8" nillable="true" ma:displayName="save stamp" ma:format="DateTime" ma:internalName="savestamp">
      <xsd:simpleType>
        <xsd:restriction base="dms:DateTime"/>
      </xsd:simpleType>
    </xsd:element>
    <xsd:element name="Time" ma:index="9" nillable="true" ma:displayName="Time" ma:format="DateTime" ma:internalName="Time">
      <xsd:simpleType>
        <xsd:restriction base="dms:DateTim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082CA0-CAE5-44A0-B336-729EF3908959}">
  <ds:schemaRefs>
    <ds:schemaRef ds:uri="http://purl.org/dc/dcmitype/"/>
    <ds:schemaRef ds:uri="cf922d0c-7565-4a19-867a-78a71dd2f738"/>
    <ds:schemaRef ds:uri="http://schemas.microsoft.com/office/2006/documentManagement/types"/>
    <ds:schemaRef ds:uri="http://schemas.microsoft.com/office/2006/metadata/properties"/>
    <ds:schemaRef ds:uri="http://purl.org/dc/terms/"/>
    <ds:schemaRef ds:uri="http://purl.org/dc/elements/1.1/"/>
    <ds:schemaRef ds:uri="http://www.w3.org/XML/1998/namespace"/>
    <ds:schemaRef ds:uri="http://schemas.microsoft.com/office/infopath/2007/PartnerControls"/>
    <ds:schemaRef ds:uri="http://schemas.openxmlformats.org/package/2006/metadata/core-properties"/>
    <ds:schemaRef ds:uri="http://schemas.microsoft.com/sharepoint/v3"/>
  </ds:schemaRefs>
</ds:datastoreItem>
</file>

<file path=customXml/itemProps2.xml><?xml version="1.0" encoding="utf-8"?>
<ds:datastoreItem xmlns:ds="http://schemas.openxmlformats.org/officeDocument/2006/customXml" ds:itemID="{9C56D1D0-E2C3-4204-85F7-BC1F803E185F}">
  <ds:schemaRefs>
    <ds:schemaRef ds:uri="http://schemas.microsoft.com/sharepoint/v3/contenttype/forms"/>
  </ds:schemaRefs>
</ds:datastoreItem>
</file>

<file path=customXml/itemProps3.xml><?xml version="1.0" encoding="utf-8"?>
<ds:datastoreItem xmlns:ds="http://schemas.openxmlformats.org/officeDocument/2006/customXml" ds:itemID="{46F4918B-7042-4CCB-B6C6-260C0D4457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f922d0c-7565-4a19-867a-78a71dd2f7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Scenario and Data</vt:lpstr>
      <vt:lpstr>Accounting</vt:lpstr>
      <vt:lpstr>Budgeting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IFRS 16 example: initial measurement of the right-of-use asset and lease liability</dc:title>
  <dc:creator>MM</dc:creator>
  <cp:lastModifiedBy>Eleanor</cp:lastModifiedBy>
  <cp:lastPrinted>2019-08-15T09:38:57Z</cp:lastPrinted>
  <dcterms:created xsi:type="dcterms:W3CDTF">2018-10-06T14:44:45Z</dcterms:created>
  <dcterms:modified xsi:type="dcterms:W3CDTF">2021-10-21T16:40:49Z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0x010100430B453C2E56BC40827FBB9E03A7F75B</vt:lpwstr>
  </property>
</Properties>
</file>