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50" documentId="8_{E19EAEF1-8518-4FEE-9CA2-B481270ABF3B}" xr6:coauthVersionLast="46" xr6:coauthVersionMax="46" xr10:uidLastSave="{5FCF8E91-D430-4015-A392-32A81D5868B3}"/>
  <bookViews>
    <workbookView xWindow="-109" yWindow="-109" windowWidth="26301" windowHeight="14305" xr2:uid="{C03BCAD2-5667-4A4C-BDD9-DA1FE675A5C1}"/>
  </bookViews>
  <sheets>
    <sheet name="Scenario and Data" sheetId="1" r:id="rId1"/>
    <sheet name="Accounting" sheetId="2" r:id="rId2"/>
    <sheet name="Budgeting"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4" i="1" l="1"/>
  <c r="G123" i="1"/>
  <c r="G122" i="1"/>
  <c r="B116" i="1"/>
  <c r="A113" i="1"/>
  <c r="M50" i="15"/>
  <c r="K50" i="15"/>
  <c r="J50" i="15"/>
  <c r="B47" i="15"/>
  <c r="L45" i="15"/>
  <c r="L50" i="15" s="1"/>
  <c r="M39" i="15"/>
  <c r="L39" i="15"/>
  <c r="K39" i="15"/>
  <c r="J39" i="15"/>
  <c r="E38" i="15"/>
  <c r="F35" i="15"/>
  <c r="M24" i="15"/>
  <c r="K24" i="15"/>
  <c r="J24" i="15"/>
  <c r="L20" i="15"/>
  <c r="L24" i="15" s="1"/>
  <c r="M14" i="15"/>
  <c r="K14" i="15"/>
  <c r="J14" i="15"/>
  <c r="E13" i="15"/>
  <c r="D228" i="2"/>
  <c r="D223" i="2"/>
  <c r="D215" i="2"/>
  <c r="D206" i="2"/>
  <c r="D201" i="2"/>
  <c r="D193" i="2"/>
  <c r="D184" i="2"/>
  <c r="D179" i="2"/>
  <c r="D171" i="2"/>
  <c r="D162" i="2"/>
  <c r="D157" i="2"/>
  <c r="D149" i="2"/>
  <c r="D140" i="2"/>
  <c r="D135" i="2"/>
  <c r="D127" i="2"/>
  <c r="D118" i="2"/>
  <c r="D113" i="2"/>
  <c r="D105" i="2"/>
  <c r="D96" i="2"/>
  <c r="D91" i="2"/>
  <c r="D83" i="2"/>
  <c r="D74" i="2"/>
  <c r="D69" i="2"/>
  <c r="D61" i="2"/>
  <c r="D52" i="2"/>
  <c r="D21" i="2"/>
  <c r="C16" i="2"/>
  <c r="C15" i="2"/>
  <c r="D9" i="2"/>
  <c r="D11" i="2" s="1"/>
  <c r="B160" i="1"/>
  <c r="C160" i="1" s="1"/>
  <c r="C152" i="1"/>
  <c r="C151" i="1"/>
  <c r="C150" i="1"/>
  <c r="C149" i="1"/>
  <c r="C148" i="1"/>
  <c r="C147" i="1"/>
  <c r="C146" i="1"/>
  <c r="C145" i="1"/>
  <c r="C144" i="1"/>
  <c r="C143" i="1"/>
  <c r="B143" i="1"/>
  <c r="C98" i="1"/>
  <c r="B169" i="1" s="1"/>
  <c r="C169" i="1" s="1"/>
  <c r="C97" i="1"/>
  <c r="B168" i="1" s="1"/>
  <c r="C168" i="1" s="1"/>
  <c r="C96" i="1"/>
  <c r="B167" i="1" s="1"/>
  <c r="C167" i="1" s="1"/>
  <c r="C95" i="1"/>
  <c r="B166" i="1" s="1"/>
  <c r="C166" i="1" s="1"/>
  <c r="C94" i="1"/>
  <c r="B165" i="1" s="1"/>
  <c r="C165" i="1" s="1"/>
  <c r="C93" i="1"/>
  <c r="B164" i="1" s="1"/>
  <c r="C164" i="1" s="1"/>
  <c r="C92" i="1"/>
  <c r="B163" i="1" s="1"/>
  <c r="C163" i="1" s="1"/>
  <c r="C91" i="1"/>
  <c r="B162" i="1" s="1"/>
  <c r="C162" i="1" s="1"/>
  <c r="C90" i="1"/>
  <c r="B161" i="1" s="1"/>
  <c r="D37" i="2" s="1"/>
  <c r="A66" i="1"/>
  <c r="D66" i="1" s="1"/>
  <c r="E66" i="1" s="1"/>
  <c r="D65" i="1"/>
  <c r="E65" i="1" s="1"/>
  <c r="A67" i="1" l="1"/>
  <c r="A68" i="1" s="1"/>
  <c r="D68" i="1" s="1"/>
  <c r="E68" i="1" s="1"/>
  <c r="D24" i="2"/>
  <c r="E19" i="2"/>
  <c r="E152" i="1"/>
  <c r="E151" i="1"/>
  <c r="E214" i="2" s="1"/>
  <c r="E150" i="1"/>
  <c r="E192" i="2" s="1"/>
  <c r="E149" i="1"/>
  <c r="E170" i="2" s="1"/>
  <c r="E148" i="1"/>
  <c r="E148" i="2" s="1"/>
  <c r="E147" i="1"/>
  <c r="E126" i="2" s="1"/>
  <c r="E146" i="1"/>
  <c r="E104" i="2" s="1"/>
  <c r="E145" i="1"/>
  <c r="E60" i="2" s="1"/>
  <c r="E144" i="1"/>
  <c r="E38" i="2" s="1"/>
  <c r="E143" i="1"/>
  <c r="E10" i="2" s="1"/>
  <c r="D67" i="1"/>
  <c r="E67" i="1" s="1"/>
  <c r="D45" i="2"/>
  <c r="D39" i="2"/>
  <c r="B46" i="15"/>
  <c r="C161" i="1"/>
  <c r="B21" i="15"/>
  <c r="E21" i="15"/>
  <c r="A69" i="1" l="1"/>
  <c r="E109" i="2"/>
  <c r="E113" i="2" s="1"/>
  <c r="E105" i="2"/>
  <c r="E197" i="2"/>
  <c r="E201" i="2" s="1"/>
  <c r="E193" i="2"/>
  <c r="E131" i="2"/>
  <c r="E135" i="2" s="1"/>
  <c r="E127" i="2"/>
  <c r="E65" i="2"/>
  <c r="E69" i="2" s="1"/>
  <c r="E61" i="2"/>
  <c r="E219" i="2"/>
  <c r="E223" i="2" s="1"/>
  <c r="E215" i="2"/>
  <c r="C22" i="15"/>
  <c r="H22" i="15" s="1"/>
  <c r="H24" i="15" s="1"/>
  <c r="E20" i="2"/>
  <c r="E11" i="2"/>
  <c r="D69" i="1"/>
  <c r="E69" i="1" s="1"/>
  <c r="A70" i="1"/>
  <c r="I21" i="15"/>
  <c r="I24" i="15" s="1"/>
  <c r="E43" i="2"/>
  <c r="C47" i="15"/>
  <c r="H47" i="15" s="1"/>
  <c r="H50" i="15" s="1"/>
  <c r="E39" i="2"/>
  <c r="I46" i="15"/>
  <c r="I50" i="15" s="1"/>
  <c r="E153" i="2"/>
  <c r="E157" i="2" s="1"/>
  <c r="E149" i="2"/>
  <c r="D47" i="2"/>
  <c r="E49" i="15"/>
  <c r="E175" i="2"/>
  <c r="E179" i="2" s="1"/>
  <c r="E171" i="2"/>
  <c r="E82" i="2"/>
  <c r="E24" i="2"/>
  <c r="F143" i="1"/>
  <c r="B144" i="1" s="1"/>
  <c r="F144" i="1" s="1"/>
  <c r="B145" i="1" s="1"/>
  <c r="F145" i="1" s="1"/>
  <c r="B146" i="1" s="1"/>
  <c r="F146" i="1" s="1"/>
  <c r="B147" i="1" s="1"/>
  <c r="F147" i="1" s="1"/>
  <c r="B148" i="1" s="1"/>
  <c r="F148" i="1" s="1"/>
  <c r="B149" i="1" s="1"/>
  <c r="F149" i="1" s="1"/>
  <c r="B150" i="1" s="1"/>
  <c r="F150" i="1" s="1"/>
  <c r="B151" i="1" s="1"/>
  <c r="F151" i="1" s="1"/>
  <c r="B152" i="1" s="1"/>
  <c r="F152" i="1" s="1"/>
  <c r="E87" i="2" l="1"/>
  <c r="E91" i="2" s="1"/>
  <c r="E83" i="2"/>
  <c r="E47" i="2"/>
  <c r="D47" i="15"/>
  <c r="G51" i="15" s="1"/>
  <c r="A71" i="1"/>
  <c r="D70" i="1"/>
  <c r="E70" i="1" s="1"/>
  <c r="D22" i="15"/>
  <c r="G25" i="15" s="1"/>
  <c r="E28" i="2"/>
  <c r="A72" i="1" l="1"/>
  <c r="D71" i="1"/>
  <c r="E71" i="1" s="1"/>
  <c r="E51" i="2"/>
  <c r="E29" i="2"/>
  <c r="E73" i="2" l="1"/>
  <c r="E52" i="2"/>
  <c r="A73" i="1"/>
  <c r="D73" i="1" s="1"/>
  <c r="E73" i="1" s="1"/>
  <c r="D72" i="1"/>
  <c r="E72" i="1" s="1"/>
  <c r="E74" i="1" l="1"/>
  <c r="A86" i="1"/>
  <c r="E95" i="2"/>
  <c r="E74" i="2"/>
  <c r="E117" i="2" l="1"/>
  <c r="E96" i="2"/>
  <c r="B17" i="2"/>
  <c r="B89" i="1"/>
  <c r="F10" i="15" l="1"/>
  <c r="C14" i="2"/>
  <c r="D89" i="1"/>
  <c r="D9" i="15"/>
  <c r="C124" i="1"/>
  <c r="C190" i="2" s="1"/>
  <c r="C120" i="1"/>
  <c r="C102" i="2" s="1"/>
  <c r="C119" i="1"/>
  <c r="C80" i="2" s="1"/>
  <c r="C117" i="1"/>
  <c r="C36" i="2" s="1"/>
  <c r="C43" i="2" s="1"/>
  <c r="C121" i="1"/>
  <c r="C124" i="2" s="1"/>
  <c r="C123" i="1"/>
  <c r="C168" i="2" s="1"/>
  <c r="C116" i="1"/>
  <c r="C125" i="1"/>
  <c r="C212" i="2" s="1"/>
  <c r="C122" i="1"/>
  <c r="C146" i="2" s="1"/>
  <c r="C118" i="1"/>
  <c r="C58" i="2" s="1"/>
  <c r="E139" i="2"/>
  <c r="E118" i="2"/>
  <c r="C215" i="2" l="1"/>
  <c r="C219" i="2"/>
  <c r="C223" i="2" s="1"/>
  <c r="D37" i="15"/>
  <c r="C47" i="2"/>
  <c r="C83" i="2"/>
  <c r="C87" i="2"/>
  <c r="C91" i="2" s="1"/>
  <c r="C61" i="2"/>
  <c r="C65" i="2"/>
  <c r="C69" i="2" s="1"/>
  <c r="C171" i="2"/>
  <c r="C175" i="2"/>
  <c r="C179" i="2" s="1"/>
  <c r="C105" i="2"/>
  <c r="C109" i="2"/>
  <c r="C113" i="2" s="1"/>
  <c r="C149" i="2"/>
  <c r="C153" i="2"/>
  <c r="C157" i="2" s="1"/>
  <c r="C127" i="2"/>
  <c r="C131" i="2"/>
  <c r="C135" i="2" s="1"/>
  <c r="C193" i="2"/>
  <c r="C197" i="2"/>
  <c r="C201" i="2" s="1"/>
  <c r="E161" i="2"/>
  <c r="E140" i="2"/>
  <c r="C8" i="2"/>
  <c r="C20" i="2" s="1"/>
  <c r="D12" i="15" s="1"/>
  <c r="L9" i="15"/>
  <c r="L14" i="15" s="1"/>
  <c r="D116" i="1"/>
  <c r="B7" i="2"/>
  <c r="C37" i="15"/>
  <c r="H37" i="15" s="1"/>
  <c r="H39" i="15" s="1"/>
  <c r="C39" i="2"/>
  <c r="E89" i="1"/>
  <c r="B90" i="1" s="1"/>
  <c r="C24" i="2" l="1"/>
  <c r="C27" i="2" s="1"/>
  <c r="E183" i="2"/>
  <c r="E162" i="2"/>
  <c r="C11" i="15"/>
  <c r="B18" i="2"/>
  <c r="B11" i="2"/>
  <c r="D90" i="1"/>
  <c r="B117" i="1"/>
  <c r="D117" i="1" s="1"/>
  <c r="E116" i="1"/>
  <c r="C11" i="2"/>
  <c r="C12" i="15"/>
  <c r="H12" i="15" s="1"/>
  <c r="H14" i="15" s="1"/>
  <c r="C50" i="2" l="1"/>
  <c r="C29" i="2"/>
  <c r="B118" i="1"/>
  <c r="D118" i="1" s="1"/>
  <c r="I11" i="15"/>
  <c r="I14" i="15" s="1"/>
  <c r="B35" i="2"/>
  <c r="F11" i="15"/>
  <c r="G15" i="15" s="1"/>
  <c r="B26" i="2"/>
  <c r="B24" i="2"/>
  <c r="E90" i="1"/>
  <c r="B91" i="1" s="1"/>
  <c r="E205" i="2"/>
  <c r="E184" i="2"/>
  <c r="C72" i="2" l="1"/>
  <c r="C52" i="2"/>
  <c r="C36" i="15"/>
  <c r="B42" i="2"/>
  <c r="B39" i="2"/>
  <c r="D91" i="1"/>
  <c r="E91" i="1" s="1"/>
  <c r="B29" i="2"/>
  <c r="E117" i="1"/>
  <c r="E227" i="2"/>
  <c r="E228" i="2" s="1"/>
  <c r="E206" i="2"/>
  <c r="B119" i="1"/>
  <c r="D119" i="1" s="1"/>
  <c r="C74" i="2" l="1"/>
  <c r="C94" i="2"/>
  <c r="B92" i="1"/>
  <c r="E118" i="1"/>
  <c r="B57" i="2"/>
  <c r="B47" i="2"/>
  <c r="F36" i="15"/>
  <c r="G40" i="15" s="1"/>
  <c r="B120" i="1"/>
  <c r="D120" i="1" s="1"/>
  <c r="B49" i="2"/>
  <c r="I36" i="15"/>
  <c r="I39" i="15" s="1"/>
  <c r="C96" i="2" l="1"/>
  <c r="C116" i="2"/>
  <c r="B52" i="2"/>
  <c r="B121" i="1"/>
  <c r="D121" i="1" s="1"/>
  <c r="B64" i="2"/>
  <c r="B69" i="2" s="1"/>
  <c r="B61" i="2"/>
  <c r="D92" i="1"/>
  <c r="C138" i="2" l="1"/>
  <c r="C118" i="2"/>
  <c r="B122" i="1"/>
  <c r="D122" i="1" s="1"/>
  <c r="B79" i="2"/>
  <c r="B71" i="2"/>
  <c r="E92" i="1"/>
  <c r="C140" i="2" l="1"/>
  <c r="C160" i="2"/>
  <c r="B123" i="1"/>
  <c r="D123" i="1" s="1"/>
  <c r="B93" i="1"/>
  <c r="E119" i="1"/>
  <c r="B74" i="2"/>
  <c r="B86" i="2"/>
  <c r="B91" i="2" s="1"/>
  <c r="B83" i="2"/>
  <c r="C182" i="2" l="1"/>
  <c r="C162" i="2"/>
  <c r="D93" i="1"/>
  <c r="B93" i="2"/>
  <c r="B124" i="1"/>
  <c r="D124" i="1" s="1"/>
  <c r="C204" i="2" l="1"/>
  <c r="C184" i="2"/>
  <c r="B96" i="2"/>
  <c r="B125" i="1"/>
  <c r="D125" i="1" s="1"/>
  <c r="B101" i="2"/>
  <c r="E93" i="1"/>
  <c r="C226" i="2" l="1"/>
  <c r="C228" i="2" s="1"/>
  <c r="C206" i="2"/>
  <c r="B94" i="1"/>
  <c r="E120" i="1"/>
  <c r="B108" i="2"/>
  <c r="B105" i="2"/>
  <c r="B113" i="2" l="1"/>
  <c r="B115" i="2"/>
  <c r="D94" i="1"/>
  <c r="B123" i="2" s="1"/>
  <c r="B130" i="2" l="1"/>
  <c r="B135" i="2" s="1"/>
  <c r="B127" i="2"/>
  <c r="E94" i="1"/>
  <c r="B118" i="2"/>
  <c r="B137" i="2" l="1"/>
  <c r="B140" i="2" s="1"/>
  <c r="B95" i="1"/>
  <c r="E121" i="1"/>
  <c r="D95" i="1" l="1"/>
  <c r="B145" i="2" s="1"/>
  <c r="E95" i="1" l="1"/>
  <c r="B152" i="2"/>
  <c r="B149" i="2"/>
  <c r="B157" i="2" l="1"/>
  <c r="B159" i="2"/>
  <c r="B96" i="1"/>
  <c r="E122" i="1"/>
  <c r="D96" i="1" l="1"/>
  <c r="B167" i="2" s="1"/>
  <c r="B162" i="2"/>
  <c r="E96" i="1" l="1"/>
  <c r="B174" i="2"/>
  <c r="B171" i="2"/>
  <c r="B179" i="2" l="1"/>
  <c r="B181" i="2"/>
  <c r="B97" i="1"/>
  <c r="E123" i="1"/>
  <c r="D97" i="1" l="1"/>
  <c r="B189" i="2" s="1"/>
  <c r="B184" i="2"/>
  <c r="E97" i="1" l="1"/>
  <c r="B98" i="1" s="1"/>
  <c r="B196" i="2"/>
  <c r="B193" i="2"/>
  <c r="E124" i="1" l="1"/>
  <c r="B201" i="2"/>
  <c r="B203" i="2"/>
  <c r="D98" i="1"/>
  <c r="E98" i="1" s="1"/>
  <c r="E125" i="1" s="1"/>
  <c r="B211" i="2" l="1"/>
  <c r="G125" i="1"/>
  <c r="B206" i="2"/>
  <c r="B218" i="2" l="1"/>
  <c r="B215" i="2"/>
  <c r="B223" i="2" l="1"/>
  <c r="B225" i="2"/>
  <c r="B228" i="2" s="1"/>
</calcChain>
</file>

<file path=xl/sharedStrings.xml><?xml version="1.0" encoding="utf-8"?>
<sst xmlns="http://schemas.openxmlformats.org/spreadsheetml/2006/main" count="536" uniqueCount="215">
  <si>
    <t>Total payments</t>
  </si>
  <si>
    <t>Depreciation expense</t>
  </si>
  <si>
    <t>Total expense</t>
  </si>
  <si>
    <t>Lease liability at initial recognition</t>
  </si>
  <si>
    <t>Depreciation</t>
  </si>
  <si>
    <t>I &amp; E</t>
  </si>
  <si>
    <t>Accumulated Depreciation</t>
  </si>
  <si>
    <t>TOTAL</t>
  </si>
  <si>
    <t>Lessee (Lease)</t>
  </si>
  <si>
    <t>Lessor (Lease)</t>
  </si>
  <si>
    <t>payment (1 Apr)</t>
  </si>
  <si>
    <t>NBV opening (1 Apr)</t>
  </si>
  <si>
    <t>LESSOR</t>
  </si>
  <si>
    <t>LESSEE</t>
  </si>
  <si>
    <t>Lessee (Right of Use Asset)</t>
  </si>
  <si>
    <t>Lessor (Asset)</t>
  </si>
  <si>
    <t xml:space="preserve">Closing </t>
  </si>
  <si>
    <t>Lease liability</t>
  </si>
  <si>
    <t>Lease Liability C/F</t>
  </si>
  <si>
    <t>Right of Use of Asset NBV C/F</t>
  </si>
  <si>
    <t>Payment</t>
  </si>
  <si>
    <t>Date of payment</t>
  </si>
  <si>
    <t>Discount Factor</t>
  </si>
  <si>
    <t>Discounted Amount</t>
  </si>
  <si>
    <t>Year</t>
  </si>
  <si>
    <t>Opening (1 Apr)</t>
  </si>
  <si>
    <t>BALANCE SHEET Movements</t>
  </si>
  <si>
    <t>Gross book value of the right-of use asset at initial recognition</t>
  </si>
  <si>
    <t>Lease Unwinding of Discount</t>
  </si>
  <si>
    <t>Annual depreciation charge</t>
  </si>
  <si>
    <t>£50k upfront payment included in t asset value</t>
  </si>
  <si>
    <t>Interest cost in year 1</t>
  </si>
  <si>
    <t>ROU asset including direct costs, upfront payment less dep'n for the year</t>
  </si>
  <si>
    <t>At the commencement of the lease:</t>
  </si>
  <si>
    <t>Upfront lease payment paid by lessee</t>
  </si>
  <si>
    <t>Dep'n - lessee (£420,391 / 10 years)</t>
  </si>
  <si>
    <t>Cost Value</t>
  </si>
  <si>
    <t>Lease receipts</t>
  </si>
  <si>
    <t>Total Income</t>
  </si>
  <si>
    <t>NBV Closing (31 Mar)</t>
  </si>
  <si>
    <t>Deferred Income</t>
  </si>
  <si>
    <t>Annual Depreciation (50 years - straight line)</t>
  </si>
  <si>
    <t>Net Book Value</t>
  </si>
  <si>
    <t>Scenario details</t>
  </si>
  <si>
    <t>ACCOUNTS</t>
  </si>
  <si>
    <t>BUDGETS</t>
  </si>
  <si>
    <t>NATIONAL ACCOUNTS</t>
  </si>
  <si>
    <t>OSCAR coding</t>
  </si>
  <si>
    <t>SOCNE
("I&amp;E")</t>
  </si>
  <si>
    <t>SOFP
("Bal sheet")</t>
  </si>
  <si>
    <t>RDEL RF</t>
  </si>
  <si>
    <t>RDEL NRF</t>
  </si>
  <si>
    <t>RDEL Total</t>
  </si>
  <si>
    <t>RAME</t>
  </si>
  <si>
    <t>CDEL</t>
  </si>
  <si>
    <t>CAME</t>
  </si>
  <si>
    <t>PSNB</t>
  </si>
  <si>
    <t>PSND</t>
  </si>
  <si>
    <t>Total budgeting Department A</t>
  </si>
  <si>
    <t>Check Accounting DR/CR</t>
  </si>
  <si>
    <t>IFRS16 Worked Example - Operating Lease - Accounting Entries</t>
  </si>
  <si>
    <t>IFRS16 Worked Example - Operating Lease - Budget</t>
  </si>
  <si>
    <t>Notes and Relevant Guidance</t>
  </si>
  <si>
    <t>Worked Example</t>
  </si>
  <si>
    <t>Note 2</t>
  </si>
  <si>
    <t>Note 5</t>
  </si>
  <si>
    <t>Commencement date</t>
  </si>
  <si>
    <t>Calculation of the PV of future payments</t>
  </si>
  <si>
    <t>LESSEE - Liability (IFRS 16.26)</t>
  </si>
  <si>
    <t xml:space="preserve">Lease liability at initial recognition: </t>
  </si>
  <si>
    <t>Diff to liability</t>
  </si>
  <si>
    <t>closing (31 Mar)</t>
  </si>
  <si>
    <t>NBV closing (31 Mar)</t>
  </si>
  <si>
    <t>ROU Asset</t>
  </si>
  <si>
    <t>Lease Liability</t>
  </si>
  <si>
    <t>Interest</t>
  </si>
  <si>
    <t>Cash Paid</t>
  </si>
  <si>
    <t>Lease Income</t>
  </si>
  <si>
    <t xml:space="preserve">Cash </t>
  </si>
  <si>
    <t>Underlying Asset addition</t>
  </si>
  <si>
    <t xml:space="preserve">Total budgeting </t>
  </si>
  <si>
    <t>Income</t>
  </si>
  <si>
    <t>Expense</t>
  </si>
  <si>
    <t>Assets</t>
  </si>
  <si>
    <t>Cash</t>
  </si>
  <si>
    <t>Liability</t>
  </si>
  <si>
    <t>Equity</t>
  </si>
  <si>
    <t>In the above scenario there is no impact of foreign currencies movements on the lease liabilities. Should there be a transactions incurred in foreign currency the lessee will recognise in profit and loss</t>
  </si>
  <si>
    <t xml:space="preserve">any exchange differences relating to lease liabilities denominated in a foreign currency in the period they are incurred (IFRS16 BC198). </t>
  </si>
  <si>
    <t>* Depreciation scores to NRF RDEL for Providers</t>
  </si>
  <si>
    <t>Underlying Asset Depreciation</t>
  </si>
  <si>
    <t>Year 1</t>
  </si>
  <si>
    <t xml:space="preserve">LESSEE </t>
  </si>
  <si>
    <t xml:space="preserve">LESSOR </t>
  </si>
  <si>
    <t>Year 2</t>
  </si>
  <si>
    <t>Underlying Asset Dep'n</t>
  </si>
  <si>
    <t>The lessor adds initial direct costs incurred in obtaining an operating lease to the carrying amount of the underlying asset and recognise those costs as an expense over the lease term on the same basis as the lease income.</t>
  </si>
  <si>
    <t>LESSOR - underlying asset</t>
  </si>
  <si>
    <t>Depreciation - RoU Asset</t>
  </si>
  <si>
    <t>Income - Lease payment</t>
  </si>
  <si>
    <t>Depreciation - underlying asset</t>
  </si>
  <si>
    <t>Underlying asset NBV C/F</t>
  </si>
  <si>
    <t>Underlying Asset NBV C/F</t>
  </si>
  <si>
    <t>Note 8</t>
  </si>
  <si>
    <t xml:space="preserve">Discount rate </t>
  </si>
  <si>
    <t xml:space="preserve">term of the lease (10 years) </t>
  </si>
  <si>
    <t>The lease payments made at or before the commencement date are not included in the lease liability.</t>
  </si>
  <si>
    <t>Below calculation also provides closing balance of the lease liability recognised by the lessee over the term of the contract.</t>
  </si>
  <si>
    <t>Reconciliation below shows how total costs recognised by the lessee are broken down into depreciation charge and finance cost</t>
  </si>
  <si>
    <t>Lease Interest (5%) recognised by the lessee</t>
  </si>
  <si>
    <t>Total value of the asset on lessee's BS £420,391 (355,391 + 50,000 + 20,000 - 5,000)</t>
  </si>
  <si>
    <t>Liability O/B + interest (355,391 + 17,770)</t>
  </si>
  <si>
    <t>RoU asset is depreciated over the term of the lease, or its useful economic life (if shorter)</t>
  </si>
  <si>
    <t>Difference between closing value of the RoU asset and lease liability is shown in column E</t>
  </si>
  <si>
    <t xml:space="preserve">LESSEE - ROU Asset </t>
  </si>
  <si>
    <t>RoU Asset recognised by the lessee scores to CDEL</t>
  </si>
  <si>
    <t>Liability does not score to budget (working capital)</t>
  </si>
  <si>
    <t>Interest costs score to NRF RDEL</t>
  </si>
  <si>
    <t>Depreciation scores to RF RDEL (Unless providers - in which case it scores to NFR)</t>
  </si>
  <si>
    <t>Underlying asset addition (lease incentives) scores to CDEL</t>
  </si>
  <si>
    <t>Lease income scores to NRF RDEL</t>
  </si>
  <si>
    <t>Depreciation scores to RF RDEL</t>
  </si>
  <si>
    <t>Cash paid - upfront payment</t>
  </si>
  <si>
    <t>Lease is accounted for as an operating lease which means that the underlying asset remains on the Lessor's balance sheet.</t>
  </si>
  <si>
    <t>Objectives</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</si>
  <si>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</si>
  <si>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</si>
  <si>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</si>
  <si>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</si>
  <si>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</si>
  <si>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</si>
  <si>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</si>
  <si>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</si>
  <si>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</si>
  <si>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</si>
  <si>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</si>
  <si>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</si>
  <si>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</si>
  <si>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</si>
  <si>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</si>
  <si>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Lessor:</t>
  </si>
  <si>
    <t>Step 6</t>
  </si>
  <si>
    <t>Calculate lease rental income that will be recognised in the P&amp;L</t>
  </si>
  <si>
    <t>Step 7</t>
  </si>
  <si>
    <t>Calculate the depreciation charge for the underlying asset.</t>
  </si>
  <si>
    <t xml:space="preserve">To note: This is an operating lease. Lessor does not recognise lease receivable on the balance sheet and therefore is not required to calculate the rate implicit in the lease. </t>
  </si>
  <si>
    <t>No exemptions apply in this scenario. The RoU asset is not considered to be low value and the contract does not meet definition of a short-term lease (IFRS16.5-8) (IFRS16 B3-B8)</t>
  </si>
  <si>
    <t>The lessee presents interest expense in  the P&amp;L separate from depreciation expense of the ROU asset (IFRS16.49) (IFRS16 BC209)</t>
  </si>
  <si>
    <t xml:space="preserve">The discount rate (5%) has been provided. The rate implicit in the contract is the rate of interest that causes the present value of (a) the lease payments and (b) the unguaranteed residual value to equal the sum of (i) </t>
  </si>
  <si>
    <t xml:space="preserve">The underlying asset is depreciated by the lessor on a straight line basis over 50 years. </t>
  </si>
  <si>
    <t>Future payments for the lease are listed  in the table below. For each payment, the discount factor is calculated in order to determine the total present value</t>
  </si>
  <si>
    <t xml:space="preserve">of the lease liability. </t>
  </si>
  <si>
    <t>The lessee is required to present finance cost of the lease in  the P&amp;L separate from depreciation expense of the ROU asset which has been calculated below.</t>
  </si>
  <si>
    <t>The lease liability represents present value of future payments . I.e. 50,000 x 9 years discounted by rate provided in the scenario (5.00%)</t>
  </si>
  <si>
    <t>Step 4 and 5</t>
  </si>
  <si>
    <t>Lessor - Underlying Asset</t>
  </si>
  <si>
    <t>LESSEE - reconciliation</t>
  </si>
  <si>
    <r>
      <t xml:space="preserve">LESSOR - Income - </t>
    </r>
    <r>
      <rPr>
        <sz val="10"/>
        <color rgb="FFFF0000"/>
        <rFont val="Calibri"/>
        <family val="2"/>
        <scheme val="minor"/>
      </rPr>
      <t>note 6</t>
    </r>
  </si>
  <si>
    <r>
      <t xml:space="preserve">Interest Expense - </t>
    </r>
    <r>
      <rPr>
        <sz val="10"/>
        <color rgb="FFFF0000"/>
        <rFont val="Calibri"/>
        <family val="2"/>
        <scheme val="minor"/>
      </rPr>
      <t>note 7</t>
    </r>
  </si>
  <si>
    <t>Lease Interest cost</t>
  </si>
  <si>
    <t xml:space="preserve">Right of use of asset </t>
  </si>
  <si>
    <t>Right of use of Asset - direct costs</t>
  </si>
  <si>
    <t xml:space="preserve">Right of use of Asset - upfront payment </t>
  </si>
  <si>
    <t>Lease liability (discounted)</t>
  </si>
  <si>
    <t>Cash Lease (payment) / receipt</t>
  </si>
  <si>
    <t xml:space="preserve">The initial direct costs are incremental costs of obtaining a lease that would not have been incurred if the lease had not been obtained (IFRS 16.Appendix A). Examples of such costs are professional fees. </t>
  </si>
  <si>
    <t>Interest expense</t>
  </si>
  <si>
    <t>TOTAL MOVEMENTS</t>
  </si>
  <si>
    <t>Future years mirror approach taken in year 2</t>
  </si>
  <si>
    <t xml:space="preserve">Income recognised by lessor consists of the annual cash payments of £50k. </t>
  </si>
  <si>
    <t>Income recognised by lessor consists of the annual cash payments of £50k.</t>
  </si>
  <si>
    <t>Does not eliminate as paid to an external party</t>
  </si>
  <si>
    <t>The definition of initial direct costs is essentially the same as for incremental costs of obtaining a contract in IFRS 15 and is consistent with treatment of directly attributable costs under IAS 16</t>
  </si>
  <si>
    <t>The lessor adds initial costs incurred in obtaining an operating lease to the carrying amount of the underlying asset, recognising those costs as an expense over the lease term on the same basis as the lease income. IFRS 16.83</t>
  </si>
  <si>
    <t>note 5</t>
  </si>
  <si>
    <t>2022-23</t>
  </si>
  <si>
    <t>2023-24</t>
  </si>
  <si>
    <t>2024-25</t>
  </si>
  <si>
    <t>2025-26</t>
  </si>
  <si>
    <t>2026-27</t>
  </si>
  <si>
    <t>2027-28</t>
  </si>
  <si>
    <t>2028-29</t>
  </si>
  <si>
    <t>2029-30</t>
  </si>
  <si>
    <t>Using the present value of the lease payments we can establish lease liability.</t>
  </si>
  <si>
    <t>Dep'n - lessor (£5m / 50 years) + additions which represent lease incentives.</t>
  </si>
  <si>
    <t>the fair value of the underlying asset and (ii) any initial direct costs of the lessor. If this rate is not readily available entities will use interest rates published by HMT</t>
  </si>
  <si>
    <t>At the commencement of the lease Lessee incurs initial direct costs.</t>
  </si>
  <si>
    <t>Initial direct costs paid by lessee</t>
  </si>
  <si>
    <t>Initial direct costs paid by lessee as well as upfront payments and lease incentives are included in the value of the RoU asset</t>
  </si>
  <si>
    <t>Lease incentive received by lessee</t>
  </si>
  <si>
    <t>There are three tabs in this workbook:</t>
  </si>
  <si>
    <t>The purpose of this example is to show accounting entries and budgeting impact of the operating lease arrangement between two entities.</t>
  </si>
  <si>
    <t>Contract starts on 1st April 2022 and the discount rate has been provided in the scenario.</t>
  </si>
  <si>
    <t>2030-31</t>
  </si>
  <si>
    <t>2031-32</t>
  </si>
  <si>
    <t>Upfront lease payment for year 2022/23 paid by lessee</t>
  </si>
  <si>
    <t>YEAR 1 (31/03/2023)</t>
  </si>
  <si>
    <t>YEAR 2 (31/03/2024)</t>
  </si>
  <si>
    <t>YEAR 3 (31/03/2025)</t>
  </si>
  <si>
    <t>YEAR 4 (31/03/2026)</t>
  </si>
  <si>
    <t>YEAR 5 (31/03/2027)</t>
  </si>
  <si>
    <t>YEAR 6 (31/03/2028)</t>
  </si>
  <si>
    <t>YEAR 7 (31/03/2029)</t>
  </si>
  <si>
    <t>YEAR 8 (31/03/2030)</t>
  </si>
  <si>
    <t>YEAR 9 (31/03/2031)</t>
  </si>
  <si>
    <t>YEAR 10 (31/03/2032)</t>
  </si>
  <si>
    <t>IFRS16 Worked Example - Operating Lease (complex)</t>
  </si>
  <si>
    <t xml:space="preserve">Two entities, entity A (Lessee) and entity B (Lessor) enter into a lease agreement on the 1st of April 2022. The term of the lease contract is 10 years. The lessee incurs £20k of initial direct costs paid to a third party and upfront payment of £50k paid the the lessor which represents first years' rental charge. The lessor incurs direct costs in establishing the lease of £5k.  There is no option to extend the contract nor there is an option to purchase the asset by the lessee. The lessor accounts for the lease as an operating lease. The interest rate implicit in the contract is 5%. </t>
  </si>
  <si>
    <t>The lease payments made at or before the commencement date are not included in the lease liability, but they are included in the measurement of the right-of-use assets. (IFRS16.24 (b))</t>
  </si>
  <si>
    <t>The underlying asset is depreciated by the lessor on a straight line basis over 50 years. At the commencement of the lease lessor adds direct costs to the carrying amount of the asset and expenses those costs only over the</t>
  </si>
  <si>
    <r>
      <t xml:space="preserve">Depreciation on underlying asset - </t>
    </r>
    <r>
      <rPr>
        <sz val="10"/>
        <color rgb="FFFF0000"/>
        <rFont val="Calibri"/>
        <family val="2"/>
        <scheme val="minor"/>
      </rPr>
      <t>note 3</t>
    </r>
  </si>
  <si>
    <t>Depreciation on direct costs</t>
  </si>
  <si>
    <r>
      <t xml:space="preserve">Additions (direct costs) - </t>
    </r>
    <r>
      <rPr>
        <sz val="10"/>
        <color rgb="FFFF0000"/>
        <rFont val="Calibri"/>
        <family val="2"/>
        <scheme val="minor"/>
      </rPr>
      <t>note 9</t>
    </r>
  </si>
  <si>
    <t>Underlying Asset - additions (initial direct costs)</t>
  </si>
  <si>
    <t>Cash Initial direct costs -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</si>
</sst>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0;\(#,##0\);&quot;-&quot;"/>
    <numFmt numFmtId="166" formatCode="#,##0;[Red]\(#,##0\)"/>
    <numFmt numFmtId="167" formatCode="_-* #,##0_-;\-* #,##0_-;_-* &quot;-&quot;??_-;_-@_-"/>
  </numFmts>
  <fonts count="18" x14ac:knownFonts="1">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i/>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10"/>
      <name val="Calibri"/>
      <family val="2"/>
      <scheme val="minor"/>
    </font>
    <font>
      <b/>
      <sz val="12"/>
      <color theme="1"/>
      <name val="Calibri"/>
      <family val="2"/>
      <scheme val="minor"/>
    </font>
    <font>
      <sz val="10"/>
      <color rgb="FFFF0000"/>
      <name val="Calibri"/>
      <family val="2"/>
      <scheme val="minor"/>
    </font>
    <font>
      <sz val="11"/>
      <name val="Calibri"/>
      <family val="2"/>
      <scheme val="minor"/>
    </font>
    <font>
      <u/>
      <sz val="11"/>
      <color theme="1"/>
      <name val="Calibri"/>
      <family val="2"/>
      <scheme val="minor"/>
    </font>
    <font>
      <b/>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327">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2" borderId="0" xfId="0" applyNumberFormat="1" applyFill="1" applyAlignment="1">
      <alignment horizontal="left"/>
    </xf>
    <xf numFmtId="0" fontId="0" fillId="0" borderId="0" xfId="0" applyFont="1" applyAlignment="1">
      <alignment horizontal="left"/>
    </xf>
    <xf numFmtId="0" fontId="0" fillId="0" borderId="0" xfId="0" applyNumberFormat="1" applyFont="1" applyAlignment="1">
      <alignment horizontal="left" wrapText="1"/>
    </xf>
    <xf numFmtId="0" fontId="0" fillId="0" borderId="6" xfId="0" applyBorder="1" applyAlignment="1">
      <alignment horizontal="center"/>
    </xf>
    <xf numFmtId="0" fontId="0" fillId="0" borderId="7" xfId="0" applyFont="1"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10" xfId="0" applyNumberFormat="1" applyBorder="1" applyAlignment="1">
      <alignment horizontal="center"/>
    </xf>
    <xf numFmtId="166" fontId="0" fillId="0" borderId="11" xfId="0" applyNumberFormat="1" applyBorder="1" applyAlignment="1">
      <alignment horizontal="center"/>
    </xf>
    <xf numFmtId="166" fontId="0" fillId="0" borderId="7" xfId="0" applyNumberFormat="1" applyFont="1" applyBorder="1" applyAlignment="1">
      <alignment horizontal="center"/>
    </xf>
    <xf numFmtId="166" fontId="0" fillId="0" borderId="6" xfId="0" applyNumberFormat="1" applyFill="1" applyBorder="1" applyAlignment="1">
      <alignment horizontal="center"/>
    </xf>
    <xf numFmtId="0" fontId="0" fillId="0" borderId="7" xfId="0" applyFont="1" applyFill="1" applyBorder="1" applyAlignment="1">
      <alignment horizontal="center"/>
    </xf>
    <xf numFmtId="0" fontId="0" fillId="0" borderId="6" xfId="0" applyFill="1" applyBorder="1" applyAlignment="1">
      <alignment horizontal="center"/>
    </xf>
    <xf numFmtId="166" fontId="0" fillId="0" borderId="7" xfId="0" applyNumberFormat="1" applyFill="1" applyBorder="1" applyAlignment="1">
      <alignment horizontal="center"/>
    </xf>
    <xf numFmtId="166" fontId="0" fillId="0" borderId="8" xfId="0" applyNumberFormat="1" applyBorder="1" applyAlignment="1">
      <alignment horizontal="center"/>
    </xf>
    <xf numFmtId="166" fontId="0" fillId="0" borderId="12" xfId="0" applyNumberFormat="1"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166" fontId="0" fillId="0" borderId="14" xfId="0" applyNumberFormat="1" applyBorder="1" applyAlignment="1">
      <alignment horizontal="center"/>
    </xf>
    <xf numFmtId="3" fontId="0" fillId="0" borderId="7" xfId="0" applyNumberFormat="1" applyFont="1" applyFill="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165" fontId="0" fillId="2" borderId="0" xfId="0" applyNumberFormat="1" applyFill="1" applyAlignment="1">
      <alignment horizontal="center"/>
    </xf>
    <xf numFmtId="14" fontId="0" fillId="2" borderId="0" xfId="0" applyNumberFormat="1" applyFill="1" applyAlignment="1">
      <alignment horizontal="center"/>
    </xf>
    <xf numFmtId="4" fontId="1" fillId="2" borderId="0" xfId="0" applyNumberFormat="1" applyFont="1" applyFill="1" applyAlignment="1">
      <alignment horizontal="center"/>
    </xf>
    <xf numFmtId="166" fontId="0" fillId="0" borderId="14" xfId="0" applyNumberFormat="1" applyFill="1" applyBorder="1" applyAlignment="1">
      <alignment horizontal="center"/>
    </xf>
    <xf numFmtId="166" fontId="0" fillId="0" borderId="0" xfId="0" applyNumberFormat="1" applyFill="1" applyBorder="1" applyAlignment="1">
      <alignment horizontal="center"/>
    </xf>
    <xf numFmtId="0" fontId="0" fillId="0" borderId="4" xfId="0" applyBorder="1" applyAlignment="1">
      <alignment horizontal="center"/>
    </xf>
    <xf numFmtId="0" fontId="0" fillId="0" borderId="5" xfId="0" applyFont="1" applyBorder="1" applyAlignment="1">
      <alignment horizontal="center"/>
    </xf>
    <xf numFmtId="166" fontId="0" fillId="0" borderId="5" xfId="0" applyNumberFormat="1" applyBorder="1" applyAlignment="1">
      <alignment horizontal="center"/>
    </xf>
    <xf numFmtId="166" fontId="0" fillId="0" borderId="15" xfId="0" applyNumberFormat="1" applyBorder="1" applyAlignment="1">
      <alignment horizontal="center"/>
    </xf>
    <xf numFmtId="166" fontId="0" fillId="0" borderId="15" xfId="0" applyNumberFormat="1" applyFill="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166" fontId="0" fillId="0" borderId="10" xfId="0" applyNumberFormat="1" applyFill="1" applyBorder="1" applyAlignment="1">
      <alignment horizontal="center"/>
    </xf>
    <xf numFmtId="166" fontId="0" fillId="0" borderId="11" xfId="0" applyNumberFormat="1" applyFill="1" applyBorder="1" applyAlignment="1">
      <alignment horizontal="center"/>
    </xf>
    <xf numFmtId="166" fontId="0" fillId="0" borderId="7" xfId="0" applyNumberFormat="1" applyFont="1" applyFill="1" applyBorder="1" applyAlignment="1">
      <alignment horizontal="center"/>
    </xf>
    <xf numFmtId="0" fontId="0" fillId="0" borderId="14" xfId="0" applyFill="1" applyBorder="1" applyAlignment="1">
      <alignment horizontal="center"/>
    </xf>
    <xf numFmtId="0" fontId="0" fillId="0" borderId="14" xfId="0" applyFont="1" applyFill="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xf numFmtId="0" fontId="0" fillId="0" borderId="6" xfId="0" applyFont="1" applyFill="1" applyBorder="1" applyAlignment="1">
      <alignment horizontal="center"/>
    </xf>
    <xf numFmtId="166" fontId="0" fillId="0" borderId="6" xfId="0" applyNumberFormat="1" applyFont="1" applyFill="1" applyBorder="1" applyAlignment="1">
      <alignment horizontal="center"/>
    </xf>
    <xf numFmtId="0" fontId="0" fillId="0" borderId="0" xfId="0" applyFont="1" applyFill="1" applyAlignment="1">
      <alignment horizontal="center"/>
    </xf>
    <xf numFmtId="0" fontId="1" fillId="0" borderId="0" xfId="0" applyFont="1" applyFill="1" applyBorder="1" applyAlignment="1">
      <alignment horizontal="left"/>
    </xf>
    <xf numFmtId="0" fontId="0" fillId="0" borderId="4" xfId="0" applyFont="1" applyFill="1" applyBorder="1" applyAlignment="1">
      <alignment horizontal="center"/>
    </xf>
    <xf numFmtId="166" fontId="0" fillId="0" borderId="8" xfId="0" applyNumberFormat="1" applyFill="1"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0" xfId="0" applyFont="1" applyFill="1" applyAlignment="1">
      <alignment horizontal="center"/>
    </xf>
    <xf numFmtId="0" fontId="3" fillId="2" borderId="0" xfId="0" applyFont="1" applyFill="1" applyAlignment="1">
      <alignment horizontal="left"/>
    </xf>
    <xf numFmtId="3" fontId="9" fillId="0" borderId="22" xfId="0" applyNumberFormat="1" applyFont="1" applyBorder="1" applyAlignment="1">
      <alignment horizontal="center" vertical="top" wrapText="1"/>
    </xf>
    <xf numFmtId="3" fontId="9" fillId="0" borderId="21" xfId="0" applyNumberFormat="1" applyFont="1" applyFill="1" applyBorder="1" applyAlignment="1">
      <alignment horizontal="center" vertical="top" wrapText="1"/>
    </xf>
    <xf numFmtId="3" fontId="9" fillId="0" borderId="23" xfId="0" applyNumberFormat="1" applyFont="1" applyFill="1" applyBorder="1" applyAlignment="1">
      <alignment horizontal="center" vertical="top" wrapText="1"/>
    </xf>
    <xf numFmtId="3" fontId="9" fillId="0" borderId="22" xfId="0" applyNumberFormat="1" applyFont="1" applyFill="1" applyBorder="1" applyAlignment="1">
      <alignment horizontal="center" vertical="top" wrapText="1"/>
    </xf>
    <xf numFmtId="3" fontId="8" fillId="0" borderId="27" xfId="0" applyNumberFormat="1" applyFont="1" applyBorder="1" applyAlignment="1">
      <alignment horizontal="right" vertical="top" wrapText="1"/>
    </xf>
    <xf numFmtId="0" fontId="0" fillId="0" borderId="25" xfId="0" applyBorder="1" applyAlignment="1">
      <alignment vertical="top"/>
    </xf>
    <xf numFmtId="3" fontId="8" fillId="0" borderId="25" xfId="0" applyNumberFormat="1" applyFont="1" applyBorder="1" applyAlignment="1">
      <alignment vertical="top" wrapText="1"/>
    </xf>
    <xf numFmtId="3" fontId="10" fillId="0" borderId="1" xfId="0" applyNumberFormat="1" applyFont="1" applyBorder="1" applyAlignment="1">
      <alignment vertical="top" wrapText="1"/>
    </xf>
    <xf numFmtId="3" fontId="10" fillId="4" borderId="1" xfId="0" applyNumberFormat="1" applyFont="1" applyFill="1" applyBorder="1" applyAlignment="1">
      <alignment horizontal="right" vertical="top" wrapText="1"/>
    </xf>
    <xf numFmtId="3" fontId="10" fillId="4" borderId="3" xfId="0" applyNumberFormat="1" applyFont="1" applyFill="1" applyBorder="1" applyAlignment="1">
      <alignment horizontal="right" vertical="top" wrapText="1"/>
    </xf>
    <xf numFmtId="3" fontId="10" fillId="4" borderId="2" xfId="0" applyNumberFormat="1" applyFont="1" applyFill="1" applyBorder="1" applyAlignment="1">
      <alignment horizontal="right" vertical="top" wrapText="1"/>
    </xf>
    <xf numFmtId="0" fontId="11" fillId="4" borderId="3" xfId="0" applyFont="1" applyFill="1" applyBorder="1" applyAlignment="1">
      <alignment vertical="top"/>
    </xf>
    <xf numFmtId="3" fontId="5" fillId="0" borderId="0" xfId="0" applyNumberFormat="1" applyFont="1" applyAlignment="1">
      <alignment vertical="top"/>
    </xf>
    <xf numFmtId="3" fontId="6" fillId="0" borderId="32" xfId="0" applyNumberFormat="1" applyFont="1" applyBorder="1" applyAlignment="1">
      <alignment vertical="top"/>
    </xf>
    <xf numFmtId="0" fontId="0" fillId="0" borderId="0" xfId="0" applyFill="1" applyAlignment="1">
      <alignment vertical="top"/>
    </xf>
    <xf numFmtId="0" fontId="0" fillId="0" borderId="0" xfId="0" applyAlignment="1">
      <alignment vertical="top"/>
    </xf>
    <xf numFmtId="0" fontId="0" fillId="2" borderId="0" xfId="0" applyFill="1" applyBorder="1" applyAlignment="1">
      <alignment horizontal="center"/>
    </xf>
    <xf numFmtId="164" fontId="0" fillId="2" borderId="0" xfId="0" applyNumberFormat="1" applyFill="1" applyBorder="1" applyAlignment="1">
      <alignment horizontal="center"/>
    </xf>
    <xf numFmtId="0" fontId="0" fillId="2" borderId="0" xfId="0" applyFill="1" applyBorder="1"/>
    <xf numFmtId="3" fontId="9" fillId="3" borderId="16" xfId="0" applyNumberFormat="1" applyFont="1" applyFill="1" applyBorder="1" applyAlignment="1">
      <alignment horizontal="center" vertical="top"/>
    </xf>
    <xf numFmtId="3" fontId="9" fillId="0" borderId="20" xfId="0" applyNumberFormat="1" applyFont="1" applyBorder="1" applyAlignment="1">
      <alignment vertical="center" wrapText="1"/>
    </xf>
    <xf numFmtId="0" fontId="0" fillId="2" borderId="0" xfId="0" applyFill="1" applyBorder="1" applyAlignment="1">
      <alignment horizontal="left"/>
    </xf>
    <xf numFmtId="0" fontId="1" fillId="0" borderId="0" xfId="0" applyFont="1" applyFill="1"/>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0" fontId="0" fillId="0" borderId="0" xfId="0" applyNumberFormat="1" applyFill="1" applyAlignment="1">
      <alignment horizontal="left"/>
    </xf>
    <xf numFmtId="0" fontId="0" fillId="0" borderId="0" xfId="0" applyFill="1" applyBorder="1"/>
    <xf numFmtId="164" fontId="0" fillId="0" borderId="0" xfId="0" applyNumberFormat="1" applyFill="1" applyBorder="1" applyAlignment="1">
      <alignment horizontal="center"/>
    </xf>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16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Fill="1"/>
    <xf numFmtId="165" fontId="0" fillId="0" borderId="0" xfId="0" applyNumberFormat="1" applyFill="1" applyBorder="1"/>
    <xf numFmtId="165" fontId="0" fillId="0" borderId="0" xfId="0" applyNumberFormat="1" applyFill="1" applyAlignment="1">
      <alignment horizontal="center"/>
    </xf>
    <xf numFmtId="0" fontId="0" fillId="0" borderId="0" xfId="0" applyFill="1" applyBorder="1" applyAlignment="1">
      <alignment horizontal="left" wrapText="1"/>
    </xf>
    <xf numFmtId="0" fontId="0" fillId="0" borderId="0" xfId="0" applyNumberFormat="1" applyFill="1" applyBorder="1" applyAlignment="1">
      <alignment horizontal="left"/>
    </xf>
    <xf numFmtId="3" fontId="1" fillId="0" borderId="0" xfId="0" applyNumberFormat="1" applyFont="1" applyFill="1" applyAlignment="1">
      <alignment horizontal="left"/>
    </xf>
    <xf numFmtId="3" fontId="1" fillId="0" borderId="0" xfId="0" applyNumberFormat="1" applyFont="1" applyFill="1"/>
    <xf numFmtId="3" fontId="0" fillId="0" borderId="0" xfId="0" applyNumberFormat="1" applyFill="1"/>
    <xf numFmtId="0" fontId="1" fillId="0" borderId="0" xfId="0" applyFont="1" applyFill="1" applyAlignment="1">
      <alignment horizontal="left"/>
    </xf>
    <xf numFmtId="3" fontId="0" fillId="0" borderId="0" xfId="0" applyNumberFormat="1" applyFill="1" applyAlignment="1">
      <alignment horizontal="left"/>
    </xf>
    <xf numFmtId="49" fontId="0" fillId="0" borderId="0" xfId="1" applyNumberFormat="1" applyFont="1" applyFill="1"/>
    <xf numFmtId="165" fontId="0" fillId="0" borderId="0" xfId="0" applyNumberFormat="1" applyFill="1" applyAlignment="1">
      <alignment horizontal="left"/>
    </xf>
    <xf numFmtId="165" fontId="0" fillId="2" borderId="0" xfId="0" applyNumberFormat="1" applyFill="1" applyBorder="1" applyAlignment="1">
      <alignment horizontal="center"/>
    </xf>
    <xf numFmtId="14" fontId="0" fillId="2" borderId="0" xfId="0" applyNumberFormat="1" applyFill="1" applyBorder="1" applyAlignment="1">
      <alignment horizontal="center"/>
    </xf>
    <xf numFmtId="14" fontId="0" fillId="2" borderId="0" xfId="0" applyNumberFormat="1" applyFill="1" applyBorder="1" applyAlignment="1">
      <alignment horizontal="left"/>
    </xf>
    <xf numFmtId="167" fontId="0" fillId="0" borderId="0" xfId="0" applyNumberFormat="1" applyFill="1" applyBorder="1" applyAlignment="1">
      <alignment horizontal="center"/>
    </xf>
    <xf numFmtId="165" fontId="0" fillId="0" borderId="0" xfId="0" applyNumberFormat="1" applyFill="1" applyBorder="1" applyAlignment="1">
      <alignment horizontal="center"/>
    </xf>
    <xf numFmtId="165" fontId="8" fillId="0" borderId="26" xfId="0" applyNumberFormat="1" applyFont="1" applyBorder="1" applyAlignment="1">
      <alignment horizontal="right" vertical="top" wrapText="1"/>
    </xf>
    <xf numFmtId="165" fontId="8" fillId="0" borderId="27" xfId="0" applyNumberFormat="1" applyFont="1" applyBorder="1" applyAlignment="1">
      <alignment horizontal="right" vertical="top" wrapText="1"/>
    </xf>
    <xf numFmtId="165" fontId="8" fillId="0" borderId="26" xfId="0" applyNumberFormat="1" applyFont="1" applyFill="1" applyBorder="1" applyAlignment="1">
      <alignment horizontal="right" vertical="top" wrapText="1"/>
    </xf>
    <xf numFmtId="165" fontId="8" fillId="0" borderId="27" xfId="0" applyNumberFormat="1" applyFont="1" applyFill="1" applyBorder="1" applyAlignment="1">
      <alignment horizontal="right" vertical="top" wrapText="1"/>
    </xf>
    <xf numFmtId="165" fontId="8" fillId="0" borderId="29" xfId="0" applyNumberFormat="1" applyFont="1" applyFill="1" applyBorder="1" applyAlignment="1">
      <alignment horizontal="right" vertical="top" wrapText="1"/>
    </xf>
    <xf numFmtId="0" fontId="1" fillId="0" borderId="24" xfId="0" applyFont="1" applyBorder="1" applyAlignment="1">
      <alignment horizontal="center" vertical="top" wrapText="1"/>
    </xf>
    <xf numFmtId="3" fontId="8" fillId="0" borderId="25" xfId="0" applyNumberFormat="1" applyFont="1" applyBorder="1" applyAlignment="1">
      <alignment vertical="top"/>
    </xf>
    <xf numFmtId="3" fontId="9" fillId="0" borderId="24" xfId="0" applyNumberFormat="1" applyFont="1" applyBorder="1" applyAlignment="1">
      <alignment vertical="center" wrapText="1"/>
    </xf>
    <xf numFmtId="3" fontId="9" fillId="0" borderId="27" xfId="0" applyNumberFormat="1" applyFont="1" applyBorder="1" applyAlignment="1">
      <alignment horizontal="center" vertical="top" wrapText="1"/>
    </xf>
    <xf numFmtId="3" fontId="9" fillId="0" borderId="26" xfId="0" applyNumberFormat="1" applyFont="1" applyFill="1" applyBorder="1" applyAlignment="1">
      <alignment horizontal="center" vertical="top" wrapText="1"/>
    </xf>
    <xf numFmtId="3" fontId="9" fillId="0" borderId="33" xfId="0" applyNumberFormat="1" applyFont="1" applyFill="1" applyBorder="1" applyAlignment="1">
      <alignment horizontal="center" vertical="top" wrapText="1"/>
    </xf>
    <xf numFmtId="3" fontId="9" fillId="0" borderId="27" xfId="0" applyNumberFormat="1" applyFont="1" applyFill="1" applyBorder="1" applyAlignment="1">
      <alignment horizontal="center" vertical="top" wrapText="1"/>
    </xf>
    <xf numFmtId="165" fontId="8" fillId="0" borderId="37" xfId="0" applyNumberFormat="1" applyFont="1" applyBorder="1" applyAlignment="1">
      <alignment horizontal="right" vertical="top" wrapText="1"/>
    </xf>
    <xf numFmtId="165" fontId="8" fillId="0" borderId="37" xfId="0" applyNumberFormat="1" applyFont="1" applyFill="1" applyBorder="1" applyAlignment="1">
      <alignment horizontal="right" vertical="top" wrapText="1"/>
    </xf>
    <xf numFmtId="3" fontId="9" fillId="0" borderId="41" xfId="0" applyNumberFormat="1" applyFont="1" applyBorder="1" applyAlignment="1">
      <alignment horizontal="center" vertical="center" wrapText="1"/>
    </xf>
    <xf numFmtId="165" fontId="8" fillId="0" borderId="42" xfId="0" applyNumberFormat="1" applyFont="1" applyBorder="1" applyAlignment="1">
      <alignment horizontal="right" vertical="top" wrapText="1"/>
    </xf>
    <xf numFmtId="165" fontId="8" fillId="0" borderId="42" xfId="0" applyNumberFormat="1" applyFont="1" applyFill="1" applyBorder="1" applyAlignment="1">
      <alignment horizontal="right" vertical="top" wrapText="1"/>
    </xf>
    <xf numFmtId="165" fontId="8" fillId="0" borderId="43" xfId="0" applyNumberFormat="1" applyFont="1" applyFill="1" applyBorder="1" applyAlignment="1">
      <alignment horizontal="right" vertical="top" wrapText="1"/>
    </xf>
    <xf numFmtId="3" fontId="9" fillId="0" borderId="29" xfId="0" applyNumberFormat="1" applyFont="1" applyBorder="1" applyAlignment="1">
      <alignment horizontal="center" vertical="center" wrapText="1"/>
    </xf>
    <xf numFmtId="165" fontId="8" fillId="0" borderId="33" xfId="0" applyNumberFormat="1" applyFont="1" applyBorder="1" applyAlignment="1">
      <alignment horizontal="right" vertical="top" wrapText="1"/>
    </xf>
    <xf numFmtId="165" fontId="8" fillId="0" borderId="33" xfId="0" applyNumberFormat="1" applyFont="1" applyFill="1" applyBorder="1" applyAlignment="1">
      <alignment horizontal="right" vertical="top" wrapText="1"/>
    </xf>
    <xf numFmtId="165" fontId="8" fillId="0" borderId="44" xfId="0" applyNumberFormat="1" applyFont="1" applyFill="1" applyBorder="1" applyAlignment="1">
      <alignment horizontal="right" vertical="top" wrapText="1"/>
    </xf>
    <xf numFmtId="165" fontId="8" fillId="0" borderId="35" xfId="0" applyNumberFormat="1" applyFont="1" applyFill="1" applyBorder="1" applyAlignment="1">
      <alignment horizontal="right" vertical="top" wrapText="1"/>
    </xf>
    <xf numFmtId="3" fontId="9" fillId="0" borderId="35" xfId="0" applyNumberFormat="1" applyFont="1" applyBorder="1" applyAlignment="1">
      <alignment horizontal="center" vertical="center" wrapText="1"/>
    </xf>
    <xf numFmtId="165" fontId="8" fillId="0" borderId="35" xfId="0" applyNumberFormat="1" applyFont="1" applyBorder="1" applyAlignment="1">
      <alignment horizontal="right" vertical="top" wrapText="1"/>
    </xf>
    <xf numFmtId="165" fontId="8" fillId="0" borderId="45" xfId="0" applyNumberFormat="1" applyFont="1" applyFill="1" applyBorder="1" applyAlignment="1">
      <alignment horizontal="right" vertical="top" wrapText="1"/>
    </xf>
    <xf numFmtId="165" fontId="8" fillId="0" borderId="41" xfId="0" applyNumberFormat="1" applyFont="1" applyBorder="1" applyAlignment="1">
      <alignment horizontal="right" vertical="top" wrapText="1"/>
    </xf>
    <xf numFmtId="165" fontId="8" fillId="0" borderId="29" xfId="0" applyNumberFormat="1" applyFont="1" applyBorder="1" applyAlignment="1">
      <alignment horizontal="right" vertical="top" wrapText="1"/>
    </xf>
    <xf numFmtId="165" fontId="8" fillId="0" borderId="28" xfId="0" applyNumberFormat="1" applyFont="1" applyFill="1" applyBorder="1" applyAlignment="1">
      <alignment horizontal="right" vertical="top" wrapText="1"/>
    </xf>
    <xf numFmtId="165" fontId="9" fillId="0" borderId="29" xfId="0" applyNumberFormat="1" applyFont="1" applyFill="1" applyBorder="1" applyAlignment="1">
      <alignment horizontal="right" vertical="top" wrapText="1"/>
    </xf>
    <xf numFmtId="165" fontId="8" fillId="0" borderId="30" xfId="0" applyNumberFormat="1" applyFont="1" applyFill="1" applyBorder="1" applyAlignment="1">
      <alignment horizontal="right" vertical="top" wrapText="1"/>
    </xf>
    <xf numFmtId="165" fontId="10" fillId="0" borderId="31" xfId="0" applyNumberFormat="1" applyFont="1" applyFill="1" applyBorder="1" applyAlignment="1">
      <alignment horizontal="right" vertical="top" wrapText="1"/>
    </xf>
    <xf numFmtId="165" fontId="9" fillId="0" borderId="26" xfId="0" applyNumberFormat="1" applyFont="1" applyFill="1" applyBorder="1" applyAlignment="1">
      <alignment horizontal="center" vertical="top" wrapText="1"/>
    </xf>
    <xf numFmtId="165" fontId="9" fillId="0" borderId="33" xfId="0" applyNumberFormat="1" applyFont="1" applyFill="1" applyBorder="1" applyAlignment="1">
      <alignment horizontal="center" vertical="top" wrapText="1"/>
    </xf>
    <xf numFmtId="165" fontId="9" fillId="0" borderId="27" xfId="0" applyNumberFormat="1" applyFont="1" applyFill="1" applyBorder="1" applyAlignment="1">
      <alignment horizontal="center" vertical="top" wrapText="1"/>
    </xf>
    <xf numFmtId="0" fontId="0" fillId="0" borderId="29" xfId="0" applyBorder="1"/>
    <xf numFmtId="3" fontId="9" fillId="0" borderId="38" xfId="0" applyNumberFormat="1" applyFont="1" applyBorder="1" applyAlignment="1">
      <alignment horizontal="center" vertical="top" wrapText="1"/>
    </xf>
    <xf numFmtId="3" fontId="9" fillId="0" borderId="46" xfId="0" applyNumberFormat="1" applyFont="1" applyBorder="1" applyAlignment="1">
      <alignment horizontal="center" vertical="top" wrapText="1"/>
    </xf>
    <xf numFmtId="3" fontId="8" fillId="0" borderId="46" xfId="0" applyNumberFormat="1" applyFont="1" applyBorder="1" applyAlignment="1">
      <alignment horizontal="right" vertical="top" wrapText="1"/>
    </xf>
    <xf numFmtId="3" fontId="12" fillId="0" borderId="0" xfId="0" applyNumberFormat="1" applyFont="1" applyBorder="1" applyAlignment="1">
      <alignment vertical="top"/>
    </xf>
    <xf numFmtId="0" fontId="1" fillId="0" borderId="24" xfId="0" applyFont="1" applyBorder="1" applyAlignment="1">
      <alignment horizontal="center" vertical="top" wrapText="1"/>
    </xf>
    <xf numFmtId="3" fontId="9" fillId="0" borderId="38" xfId="0" applyNumberFormat="1" applyFont="1" applyBorder="1" applyAlignment="1">
      <alignment horizontal="center" vertical="top" wrapText="1"/>
    </xf>
    <xf numFmtId="0" fontId="0" fillId="0" borderId="47" xfId="0" applyBorder="1"/>
    <xf numFmtId="0" fontId="13" fillId="0" borderId="0" xfId="0" applyFont="1" applyAlignment="1">
      <alignment horizontal="left"/>
    </xf>
    <xf numFmtId="0" fontId="1" fillId="0" borderId="29" xfId="0" applyFont="1" applyFill="1" applyBorder="1" applyAlignment="1">
      <alignment horizontal="center"/>
    </xf>
    <xf numFmtId="0" fontId="1" fillId="5" borderId="41" xfId="0" applyFont="1" applyFill="1" applyBorder="1" applyAlignment="1">
      <alignment horizontal="left"/>
    </xf>
    <xf numFmtId="0" fontId="0" fillId="5" borderId="48" xfId="0" applyFill="1" applyBorder="1" applyAlignment="1">
      <alignment horizontal="center"/>
    </xf>
    <xf numFmtId="164" fontId="0" fillId="5" borderId="48" xfId="0" applyNumberFormat="1" applyFill="1" applyBorder="1" applyAlignment="1">
      <alignment horizontal="center"/>
    </xf>
    <xf numFmtId="0" fontId="0" fillId="5" borderId="48" xfId="0" applyFill="1" applyBorder="1"/>
    <xf numFmtId="0" fontId="0" fillId="5" borderId="49" xfId="0" applyNumberFormat="1" applyFill="1" applyBorder="1" applyAlignment="1">
      <alignment horizontal="left"/>
    </xf>
    <xf numFmtId="0" fontId="1" fillId="2" borderId="50" xfId="0" applyFont="1" applyFill="1" applyBorder="1" applyAlignment="1">
      <alignment horizontal="left"/>
    </xf>
    <xf numFmtId="0" fontId="0" fillId="2" borderId="51" xfId="0" applyFill="1" applyBorder="1" applyAlignment="1">
      <alignment horizontal="center"/>
    </xf>
    <xf numFmtId="164" fontId="0" fillId="2" borderId="51" xfId="0" applyNumberFormat="1" applyFill="1" applyBorder="1" applyAlignment="1">
      <alignment horizontal="center"/>
    </xf>
    <xf numFmtId="0" fontId="0" fillId="2" borderId="51" xfId="0" applyFill="1" applyBorder="1"/>
    <xf numFmtId="0" fontId="0" fillId="2" borderId="52" xfId="0" applyNumberFormat="1" applyFill="1" applyBorder="1" applyAlignment="1">
      <alignment horizontal="left"/>
    </xf>
    <xf numFmtId="0" fontId="0" fillId="0" borderId="53" xfId="0" applyFont="1" applyFill="1" applyBorder="1" applyAlignment="1">
      <alignment horizontal="center"/>
    </xf>
    <xf numFmtId="0" fontId="0" fillId="2" borderId="54" xfId="0" applyNumberFormat="1" applyFill="1" applyBorder="1" applyAlignment="1">
      <alignment horizontal="left"/>
    </xf>
    <xf numFmtId="0" fontId="0" fillId="2" borderId="53" xfId="0" applyFont="1" applyFill="1" applyBorder="1" applyAlignment="1">
      <alignment horizontal="center"/>
    </xf>
    <xf numFmtId="0" fontId="0" fillId="2" borderId="53" xfId="0" applyFont="1" applyFill="1" applyBorder="1" applyAlignment="1">
      <alignment horizontal="left"/>
    </xf>
    <xf numFmtId="0" fontId="3" fillId="2" borderId="42" xfId="0" applyFont="1" applyFill="1" applyBorder="1" applyAlignment="1">
      <alignment horizontal="left"/>
    </xf>
    <xf numFmtId="0" fontId="0" fillId="2" borderId="37" xfId="0" applyFill="1" applyBorder="1" applyAlignment="1">
      <alignment horizontal="left"/>
    </xf>
    <xf numFmtId="0" fontId="0" fillId="2" borderId="37" xfId="0" applyFill="1" applyBorder="1" applyAlignment="1">
      <alignment horizontal="center"/>
    </xf>
    <xf numFmtId="164" fontId="0" fillId="2" borderId="37" xfId="0" applyNumberFormat="1" applyFill="1" applyBorder="1" applyAlignment="1">
      <alignment horizontal="center"/>
    </xf>
    <xf numFmtId="0" fontId="0" fillId="2" borderId="37" xfId="0" applyFill="1" applyBorder="1"/>
    <xf numFmtId="0" fontId="0" fillId="2" borderId="46" xfId="0" applyNumberFormat="1" applyFill="1" applyBorder="1" applyAlignment="1">
      <alignment horizontal="left"/>
    </xf>
    <xf numFmtId="0" fontId="0" fillId="5" borderId="49" xfId="0" applyFill="1" applyBorder="1" applyAlignment="1">
      <alignment horizontal="center"/>
    </xf>
    <xf numFmtId="164" fontId="0" fillId="5" borderId="49" xfId="0" applyNumberFormat="1" applyFill="1" applyBorder="1" applyAlignment="1">
      <alignment horizontal="center"/>
    </xf>
    <xf numFmtId="167" fontId="0" fillId="2" borderId="50" xfId="1" applyNumberFormat="1" applyFont="1" applyFill="1" applyBorder="1" applyAlignment="1">
      <alignment horizontal="right"/>
    </xf>
    <xf numFmtId="0" fontId="0" fillId="2" borderId="51" xfId="0" applyFill="1" applyBorder="1" applyAlignment="1">
      <alignment horizontal="left"/>
    </xf>
    <xf numFmtId="164" fontId="0" fillId="2" borderId="52" xfId="0" applyNumberFormat="1" applyFill="1" applyBorder="1" applyAlignment="1">
      <alignment horizontal="center"/>
    </xf>
    <xf numFmtId="165" fontId="0" fillId="2" borderId="53" xfId="1" applyNumberFormat="1" applyFont="1" applyFill="1" applyBorder="1" applyAlignment="1">
      <alignment horizontal="right"/>
    </xf>
    <xf numFmtId="164" fontId="0" fillId="2" borderId="54" xfId="0" applyNumberFormat="1" applyFill="1" applyBorder="1" applyAlignment="1">
      <alignment horizontal="center"/>
    </xf>
    <xf numFmtId="167" fontId="0" fillId="2" borderId="53" xfId="1" applyNumberFormat="1" applyFont="1" applyFill="1" applyBorder="1" applyAlignment="1">
      <alignment horizontal="right"/>
    </xf>
    <xf numFmtId="167" fontId="0" fillId="2" borderId="42" xfId="1" applyNumberFormat="1" applyFont="1" applyFill="1" applyBorder="1" applyAlignment="1">
      <alignment horizontal="right"/>
    </xf>
    <xf numFmtId="164" fontId="0" fillId="2" borderId="46" xfId="0" applyNumberFormat="1" applyFill="1" applyBorder="1" applyAlignment="1">
      <alignment horizontal="center"/>
    </xf>
    <xf numFmtId="165" fontId="0" fillId="2" borderId="50" xfId="0" applyNumberFormat="1" applyFill="1" applyBorder="1" applyAlignment="1">
      <alignment horizontal="right"/>
    </xf>
    <xf numFmtId="165" fontId="0" fillId="2" borderId="42" xfId="0" applyNumberFormat="1" applyFill="1" applyBorder="1" applyAlignment="1">
      <alignment horizontal="right"/>
    </xf>
    <xf numFmtId="0" fontId="0" fillId="2" borderId="50" xfId="0" applyFill="1" applyBorder="1"/>
    <xf numFmtId="0" fontId="1" fillId="2" borderId="51" xfId="0" applyFont="1" applyFill="1" applyBorder="1" applyAlignment="1">
      <alignment horizontal="center"/>
    </xf>
    <xf numFmtId="164" fontId="1" fillId="2" borderId="51" xfId="0" applyNumberFormat="1" applyFont="1" applyFill="1" applyBorder="1" applyAlignment="1">
      <alignment horizontal="center"/>
    </xf>
    <xf numFmtId="0" fontId="1" fillId="2" borderId="52" xfId="0" applyFont="1" applyFill="1" applyBorder="1" applyAlignment="1">
      <alignment horizontal="center"/>
    </xf>
    <xf numFmtId="0" fontId="0" fillId="2" borderId="53" xfId="0" applyFill="1" applyBorder="1"/>
    <xf numFmtId="3" fontId="0" fillId="2" borderId="54" xfId="0" applyNumberFormat="1" applyFill="1" applyBorder="1" applyAlignment="1">
      <alignment horizontal="center"/>
    </xf>
    <xf numFmtId="3" fontId="0" fillId="2" borderId="46" xfId="0" applyNumberFormat="1" applyFill="1" applyBorder="1" applyAlignment="1">
      <alignment horizontal="center"/>
    </xf>
    <xf numFmtId="0" fontId="0" fillId="2" borderId="42" xfId="0" applyFill="1" applyBorder="1"/>
    <xf numFmtId="165" fontId="0" fillId="2" borderId="37" xfId="0" applyNumberFormat="1" applyFill="1" applyBorder="1" applyAlignment="1">
      <alignment horizontal="center"/>
    </xf>
    <xf numFmtId="14" fontId="0" fillId="2" borderId="37" xfId="0" applyNumberFormat="1" applyFill="1" applyBorder="1" applyAlignment="1">
      <alignment horizontal="center"/>
    </xf>
    <xf numFmtId="3" fontId="1" fillId="2" borderId="46" xfId="0" applyNumberFormat="1" applyFont="1" applyFill="1" applyBorder="1" applyAlignment="1">
      <alignment horizontal="center"/>
    </xf>
    <xf numFmtId="0" fontId="2" fillId="5" borderId="41" xfId="0" applyFont="1" applyFill="1" applyBorder="1"/>
    <xf numFmtId="0" fontId="1" fillId="0" borderId="50" xfId="0" applyFont="1" applyFill="1" applyBorder="1" applyAlignment="1">
      <alignment horizontal="left"/>
    </xf>
    <xf numFmtId="0" fontId="0" fillId="0" borderId="51" xfId="0" applyFill="1" applyBorder="1"/>
    <xf numFmtId="0" fontId="0" fillId="0" borderId="52" xfId="0" applyFill="1" applyBorder="1"/>
    <xf numFmtId="3" fontId="1" fillId="0" borderId="53" xfId="0" applyNumberFormat="1" applyFont="1" applyFill="1" applyBorder="1" applyAlignment="1">
      <alignment horizontal="left"/>
    </xf>
    <xf numFmtId="0" fontId="0" fillId="0" borderId="54" xfId="0" applyFill="1" applyBorder="1"/>
    <xf numFmtId="0" fontId="0" fillId="0" borderId="53" xfId="0" applyFill="1" applyBorder="1" applyAlignment="1">
      <alignment horizontal="center"/>
    </xf>
    <xf numFmtId="0" fontId="1" fillId="0" borderId="53" xfId="0" applyFont="1" applyFill="1" applyBorder="1" applyAlignment="1">
      <alignment horizontal="right"/>
    </xf>
    <xf numFmtId="0" fontId="1" fillId="0" borderId="54" xfId="0" applyFont="1" applyFill="1" applyBorder="1" applyAlignment="1">
      <alignment horizontal="right"/>
    </xf>
    <xf numFmtId="0" fontId="0" fillId="0" borderId="53" xfId="0" applyNumberFormat="1" applyFill="1" applyBorder="1" applyAlignment="1">
      <alignment horizontal="right"/>
    </xf>
    <xf numFmtId="165" fontId="0" fillId="0" borderId="54" xfId="0" applyNumberFormat="1" applyFill="1" applyBorder="1" applyAlignment="1">
      <alignment horizontal="right"/>
    </xf>
    <xf numFmtId="0" fontId="0" fillId="0" borderId="42" xfId="0" applyNumberFormat="1" applyFill="1" applyBorder="1" applyAlignment="1">
      <alignment horizontal="right"/>
    </xf>
    <xf numFmtId="165" fontId="0" fillId="0" borderId="37" xfId="0" applyNumberFormat="1" applyFill="1" applyBorder="1" applyAlignment="1">
      <alignment horizontal="right"/>
    </xf>
    <xf numFmtId="165" fontId="0" fillId="0" borderId="46" xfId="0" applyNumberFormat="1" applyFill="1" applyBorder="1" applyAlignment="1">
      <alignment horizontal="right"/>
    </xf>
    <xf numFmtId="0" fontId="2" fillId="5" borderId="41" xfId="0" applyNumberFormat="1" applyFont="1" applyFill="1" applyBorder="1" applyAlignment="1">
      <alignment horizontal="left"/>
    </xf>
    <xf numFmtId="0" fontId="0" fillId="5" borderId="48" xfId="0" applyNumberFormat="1" applyFill="1" applyBorder="1" applyAlignment="1">
      <alignment horizontal="left"/>
    </xf>
    <xf numFmtId="0" fontId="0" fillId="5" borderId="49" xfId="0" applyFill="1" applyBorder="1"/>
    <xf numFmtId="0" fontId="1" fillId="0" borderId="51" xfId="0" applyFont="1" applyFill="1" applyBorder="1"/>
    <xf numFmtId="0" fontId="0" fillId="0" borderId="53" xfId="0" applyNumberFormat="1" applyFill="1" applyBorder="1" applyAlignment="1">
      <alignment horizontal="left"/>
    </xf>
    <xf numFmtId="0" fontId="4" fillId="0" borderId="54" xfId="0" applyFont="1" applyFill="1" applyBorder="1"/>
    <xf numFmtId="165" fontId="4" fillId="0" borderId="54" xfId="0" applyNumberFormat="1" applyFont="1" applyFill="1" applyBorder="1"/>
    <xf numFmtId="165" fontId="0" fillId="0" borderId="37" xfId="0" applyNumberFormat="1" applyFill="1" applyBorder="1"/>
    <xf numFmtId="165" fontId="4" fillId="0" borderId="46" xfId="0" applyNumberFormat="1" applyFont="1" applyFill="1" applyBorder="1"/>
    <xf numFmtId="165" fontId="0" fillId="5" borderId="41" xfId="0" applyNumberFormat="1" applyFill="1" applyBorder="1"/>
    <xf numFmtId="165" fontId="0" fillId="0" borderId="50" xfId="0" applyNumberFormat="1" applyFill="1" applyBorder="1"/>
    <xf numFmtId="165" fontId="0" fillId="0" borderId="53" xfId="0" applyNumberFormat="1" applyFill="1" applyBorder="1"/>
    <xf numFmtId="165" fontId="0" fillId="0" borderId="41" xfId="0" applyNumberFormat="1" applyFill="1" applyBorder="1"/>
    <xf numFmtId="0" fontId="0" fillId="0" borderId="37" xfId="0" applyFill="1" applyBorder="1"/>
    <xf numFmtId="0" fontId="0" fillId="0" borderId="46" xfId="0" applyFill="1" applyBorder="1"/>
    <xf numFmtId="0" fontId="2" fillId="0" borderId="41" xfId="0" applyFont="1" applyFill="1" applyBorder="1"/>
    <xf numFmtId="0" fontId="0" fillId="0" borderId="48" xfId="0" applyFill="1" applyBorder="1" applyAlignment="1">
      <alignment horizontal="center"/>
    </xf>
    <xf numFmtId="164" fontId="0" fillId="0" borderId="48" xfId="0" applyNumberFormat="1" applyFill="1" applyBorder="1" applyAlignment="1">
      <alignment horizontal="center"/>
    </xf>
    <xf numFmtId="0" fontId="0" fillId="0" borderId="49" xfId="0" applyFill="1" applyBorder="1"/>
    <xf numFmtId="0" fontId="1" fillId="0" borderId="50" xfId="0" applyFont="1" applyFill="1" applyBorder="1" applyAlignment="1">
      <alignment horizontal="right"/>
    </xf>
    <xf numFmtId="0" fontId="1" fillId="0" borderId="51" xfId="0" applyFont="1" applyFill="1" applyBorder="1" applyAlignment="1">
      <alignment horizontal="center"/>
    </xf>
    <xf numFmtId="167" fontId="0" fillId="0" borderId="37" xfId="0" applyNumberFormat="1" applyFill="1" applyBorder="1" applyAlignment="1">
      <alignment horizontal="center"/>
    </xf>
    <xf numFmtId="165" fontId="0" fillId="0" borderId="37" xfId="0" applyNumberFormat="1" applyFill="1" applyBorder="1" applyAlignment="1">
      <alignment horizontal="center"/>
    </xf>
    <xf numFmtId="164" fontId="0" fillId="0" borderId="37" xfId="0" applyNumberFormat="1" applyFill="1" applyBorder="1" applyAlignment="1">
      <alignment horizontal="center"/>
    </xf>
    <xf numFmtId="164" fontId="0" fillId="0" borderId="49" xfId="0" applyNumberFormat="1" applyFill="1" applyBorder="1" applyAlignment="1">
      <alignment horizontal="center"/>
    </xf>
    <xf numFmtId="0" fontId="1" fillId="0" borderId="52" xfId="0" applyFont="1" applyFill="1" applyBorder="1" applyAlignment="1">
      <alignment horizontal="center"/>
    </xf>
    <xf numFmtId="3" fontId="0" fillId="0" borderId="54" xfId="0" applyNumberFormat="1" applyFill="1" applyBorder="1" applyAlignment="1">
      <alignment horizontal="center"/>
    </xf>
    <xf numFmtId="3" fontId="0" fillId="0" borderId="46" xfId="0" applyNumberFormat="1" applyFill="1" applyBorder="1" applyAlignment="1">
      <alignment horizontal="center"/>
    </xf>
    <xf numFmtId="0" fontId="0" fillId="2" borderId="0" xfId="0" applyFont="1" applyFill="1" applyAlignment="1">
      <alignment horizontal="left"/>
    </xf>
    <xf numFmtId="9" fontId="14" fillId="2" borderId="0" xfId="0" applyNumberFormat="1" applyFont="1" applyFill="1" applyAlignment="1">
      <alignment horizontal="left"/>
    </xf>
    <xf numFmtId="9" fontId="0" fillId="2" borderId="0" xfId="0" applyNumberFormat="1" applyFont="1" applyFill="1" applyAlignment="1">
      <alignment horizontal="center"/>
    </xf>
    <xf numFmtId="165" fontId="0" fillId="2" borderId="0" xfId="0" applyNumberFormat="1" applyFill="1" applyBorder="1" applyAlignment="1">
      <alignment horizontal="left"/>
    </xf>
    <xf numFmtId="0" fontId="0" fillId="0" borderId="0" xfId="0" applyFill="1" applyAlignment="1">
      <alignment horizontal="left"/>
    </xf>
    <xf numFmtId="0" fontId="15" fillId="0" borderId="0" xfId="0" applyFont="1"/>
    <xf numFmtId="0" fontId="15" fillId="0" borderId="0" xfId="0" applyFont="1" applyAlignment="1">
      <alignment horizontal="left"/>
    </xf>
    <xf numFmtId="0" fontId="11" fillId="0" borderId="0" xfId="0" applyFont="1" applyAlignment="1">
      <alignment horizontal="left"/>
    </xf>
    <xf numFmtId="0" fontId="0" fillId="2" borderId="0" xfId="0" applyFont="1" applyFill="1" applyBorder="1" applyAlignment="1">
      <alignment horizontal="left"/>
    </xf>
    <xf numFmtId="0" fontId="0" fillId="2" borderId="0" xfId="0" applyFont="1" applyFill="1" applyBorder="1" applyAlignment="1">
      <alignment horizontal="center"/>
    </xf>
    <xf numFmtId="164" fontId="0" fillId="2" borderId="0" xfId="0" applyNumberFormat="1" applyFont="1" applyFill="1" applyBorder="1" applyAlignment="1">
      <alignment horizontal="center"/>
    </xf>
    <xf numFmtId="0" fontId="0" fillId="2" borderId="0" xfId="0" applyFont="1" applyFill="1" applyBorder="1"/>
    <xf numFmtId="0" fontId="0" fillId="2" borderId="54" xfId="0" applyNumberFormat="1" applyFont="1" applyFill="1" applyBorder="1" applyAlignment="1">
      <alignment horizontal="left"/>
    </xf>
    <xf numFmtId="0" fontId="0" fillId="2" borderId="0" xfId="0" applyFont="1" applyFill="1"/>
    <xf numFmtId="0" fontId="0" fillId="0" borderId="0" xfId="0" applyFont="1" applyFill="1" applyBorder="1" applyAlignment="1">
      <alignment horizontal="left"/>
    </xf>
    <xf numFmtId="164" fontId="0" fillId="0" borderId="0" xfId="0" applyNumberFormat="1" applyFont="1" applyFill="1" applyBorder="1" applyAlignment="1">
      <alignment horizontal="center"/>
    </xf>
    <xf numFmtId="0" fontId="0" fillId="0" borderId="0" xfId="0" applyFont="1" applyFill="1" applyBorder="1"/>
    <xf numFmtId="0" fontId="0" fillId="0" borderId="54" xfId="0" applyNumberFormat="1" applyFont="1" applyFill="1" applyBorder="1" applyAlignment="1">
      <alignment horizontal="left"/>
    </xf>
    <xf numFmtId="0" fontId="1" fillId="0" borderId="53" xfId="0" applyFont="1" applyFill="1" applyBorder="1" applyAlignment="1">
      <alignment horizontal="left"/>
    </xf>
    <xf numFmtId="0" fontId="0" fillId="0" borderId="54" xfId="0" applyNumberFormat="1" applyFill="1" applyBorder="1" applyAlignment="1">
      <alignment horizontal="left"/>
    </xf>
    <xf numFmtId="0" fontId="0" fillId="0" borderId="53" xfId="0" applyFont="1" applyFill="1" applyBorder="1" applyAlignment="1">
      <alignment horizontal="left"/>
    </xf>
    <xf numFmtId="0" fontId="0" fillId="0" borderId="0" xfId="0" applyFont="1" applyFill="1"/>
    <xf numFmtId="0" fontId="16" fillId="0" borderId="53" xfId="0" applyFont="1" applyFill="1" applyBorder="1" applyAlignment="1">
      <alignment horizontal="left"/>
    </xf>
    <xf numFmtId="0" fontId="0" fillId="0" borderId="0" xfId="0" applyFill="1" applyBorder="1" applyAlignment="1">
      <alignment horizontal="left"/>
    </xf>
    <xf numFmtId="0" fontId="4" fillId="0" borderId="53" xfId="0" applyFont="1" applyFill="1" applyBorder="1" applyAlignment="1">
      <alignment horizontal="left"/>
    </xf>
    <xf numFmtId="0" fontId="16" fillId="0" borderId="53" xfId="0" applyFont="1" applyFill="1" applyBorder="1" applyAlignment="1">
      <alignment horizontal="center"/>
    </xf>
    <xf numFmtId="0" fontId="0" fillId="0" borderId="50" xfId="0" applyFill="1" applyBorder="1" applyAlignment="1">
      <alignment horizontal="left"/>
    </xf>
    <xf numFmtId="0" fontId="0" fillId="0" borderId="42" xfId="0" applyFill="1" applyBorder="1" applyAlignment="1">
      <alignment horizontal="left"/>
    </xf>
    <xf numFmtId="0" fontId="0" fillId="0" borderId="37" xfId="0" applyFill="1" applyBorder="1" applyAlignment="1">
      <alignment horizontal="left"/>
    </xf>
    <xf numFmtId="9" fontId="0" fillId="0" borderId="46" xfId="0" applyNumberFormat="1" applyFill="1" applyBorder="1" applyAlignment="1">
      <alignment horizontal="center" vertical="top"/>
    </xf>
    <xf numFmtId="14" fontId="0" fillId="0" borderId="52" xfId="0" applyNumberFormat="1" applyFill="1" applyBorder="1" applyAlignment="1">
      <alignment horizontal="center"/>
    </xf>
    <xf numFmtId="0" fontId="0" fillId="2" borderId="0" xfId="1" applyNumberFormat="1" applyFont="1" applyFill="1" applyBorder="1" applyAlignment="1">
      <alignment horizontal="left"/>
    </xf>
    <xf numFmtId="3" fontId="14" fillId="0" borderId="0" xfId="0" applyNumberFormat="1" applyFont="1" applyAlignment="1">
      <alignment vertical="top"/>
    </xf>
    <xf numFmtId="3" fontId="17" fillId="0" borderId="32" xfId="0" applyNumberFormat="1" applyFont="1" applyBorder="1" applyAlignment="1">
      <alignment vertical="top"/>
    </xf>
    <xf numFmtId="0" fontId="8" fillId="0" borderId="0" xfId="0" applyFont="1" applyFill="1" applyAlignment="1">
      <alignment vertical="top"/>
    </xf>
    <xf numFmtId="0" fontId="8" fillId="0" borderId="0" xfId="0" applyFont="1" applyAlignment="1">
      <alignment vertical="top"/>
    </xf>
    <xf numFmtId="0" fontId="8" fillId="0" borderId="0" xfId="0" applyFont="1"/>
    <xf numFmtId="0" fontId="0" fillId="2" borderId="0" xfId="0" applyFill="1" applyBorder="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1" fillId="0" borderId="0" xfId="0" applyFont="1" applyAlignment="1">
      <alignment horizontal="left"/>
    </xf>
    <xf numFmtId="0" fontId="0" fillId="0" borderId="0" xfId="0"/>
    <xf numFmtId="0" fontId="1" fillId="0" borderId="0" xfId="0" applyFont="1" applyAlignment="1">
      <alignment horizontal="left"/>
    </xf>
    <xf numFmtId="3" fontId="0" fillId="2" borderId="0" xfId="0" applyNumberFormat="1" applyFont="1" applyFill="1" applyBorder="1" applyAlignment="1">
      <alignment horizontal="center"/>
    </xf>
    <xf numFmtId="3" fontId="0" fillId="2" borderId="54" xfId="0" applyNumberFormat="1" applyFont="1" applyFill="1" applyBorder="1" applyAlignment="1">
      <alignment horizontal="center"/>
    </xf>
    <xf numFmtId="0" fontId="14" fillId="2" borderId="0" xfId="0" applyFont="1" applyFill="1" applyAlignment="1">
      <alignment horizontal="left"/>
    </xf>
    <xf numFmtId="165" fontId="0" fillId="2" borderId="51" xfId="0" applyNumberFormat="1" applyFill="1" applyBorder="1" applyAlignment="1">
      <alignment horizontal="center"/>
    </xf>
    <xf numFmtId="14" fontId="0" fillId="2" borderId="51" xfId="0" applyNumberFormat="1" applyFill="1" applyBorder="1" applyAlignment="1">
      <alignment horizontal="center"/>
    </xf>
    <xf numFmtId="3" fontId="0" fillId="2" borderId="52" xfId="0" applyNumberFormat="1" applyFill="1" applyBorder="1" applyAlignment="1">
      <alignment horizontal="center"/>
    </xf>
    <xf numFmtId="3" fontId="1" fillId="0" borderId="50" xfId="0" applyNumberFormat="1" applyFont="1" applyFill="1" applyBorder="1" applyAlignment="1">
      <alignment horizontal="left"/>
    </xf>
    <xf numFmtId="0" fontId="3" fillId="2" borderId="5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4" xfId="0" applyFont="1" applyFill="1" applyBorder="1" applyAlignment="1">
      <alignment horizontal="left" vertical="top" wrapText="1"/>
    </xf>
    <xf numFmtId="0" fontId="0" fillId="2" borderId="41" xfId="0" applyFont="1" applyFill="1" applyBorder="1" applyAlignment="1">
      <alignment horizontal="left" vertical="top" wrapText="1"/>
    </xf>
    <xf numFmtId="0" fontId="3" fillId="2" borderId="48" xfId="0" applyFont="1" applyFill="1" applyBorder="1" applyAlignment="1">
      <alignment horizontal="left" vertical="top" wrapText="1"/>
    </xf>
    <xf numFmtId="0" fontId="3" fillId="2" borderId="49" xfId="0" applyFont="1" applyFill="1" applyBorder="1" applyAlignment="1">
      <alignment horizontal="left" vertical="top" wrapText="1"/>
    </xf>
    <xf numFmtId="0" fontId="0" fillId="0" borderId="42"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46" xfId="0" applyFont="1" applyFill="1" applyBorder="1" applyAlignment="1">
      <alignment horizontal="left" vertical="top" wrapText="1"/>
    </xf>
    <xf numFmtId="0" fontId="1" fillId="0" borderId="9" xfId="0" applyFont="1" applyFill="1" applyBorder="1" applyAlignment="1">
      <alignment horizontal="left"/>
    </xf>
    <xf numFmtId="0" fontId="0" fillId="0" borderId="9" xfId="0" applyFill="1" applyBorder="1" applyAlignment="1">
      <alignment horizontal="left"/>
    </xf>
    <xf numFmtId="0" fontId="1" fillId="0" borderId="9" xfId="0" applyFont="1" applyBorder="1" applyAlignment="1">
      <alignment horizontal="left"/>
    </xf>
    <xf numFmtId="0" fontId="0" fillId="0" borderId="9" xfId="0" applyBorder="1" applyAlignment="1">
      <alignment horizontal="left"/>
    </xf>
    <xf numFmtId="3" fontId="9" fillId="0" borderId="1" xfId="0" applyNumberFormat="1" applyFont="1" applyBorder="1" applyAlignment="1">
      <alignment horizontal="center" vertical="top"/>
    </xf>
    <xf numFmtId="3" fontId="9" fillId="0" borderId="2" xfId="0" applyNumberFormat="1" applyFont="1" applyBorder="1" applyAlignment="1">
      <alignment horizontal="center" vertical="top"/>
    </xf>
    <xf numFmtId="3" fontId="9" fillId="0" borderId="3" xfId="0" applyNumberFormat="1" applyFont="1" applyBorder="1" applyAlignment="1">
      <alignment horizontal="center" vertical="top"/>
    </xf>
    <xf numFmtId="3" fontId="9" fillId="0" borderId="17" xfId="0" applyNumberFormat="1" applyFont="1" applyFill="1" applyBorder="1" applyAlignment="1">
      <alignment horizontal="center" vertical="top"/>
    </xf>
    <xf numFmtId="3" fontId="9" fillId="0" borderId="18" xfId="0" applyNumberFormat="1" applyFont="1" applyFill="1" applyBorder="1" applyAlignment="1">
      <alignment horizontal="center" vertical="top"/>
    </xf>
    <xf numFmtId="3" fontId="9" fillId="0" borderId="19" xfId="0" applyNumberFormat="1" applyFont="1" applyFill="1" applyBorder="1" applyAlignment="1">
      <alignment horizontal="center" vertical="top"/>
    </xf>
    <xf numFmtId="0" fontId="1" fillId="0" borderId="13" xfId="0" applyFont="1" applyBorder="1" applyAlignment="1">
      <alignment horizontal="center" vertical="top" wrapText="1"/>
    </xf>
    <xf numFmtId="0" fontId="1" fillId="0" borderId="24" xfId="0" applyFont="1" applyBorder="1" applyAlignment="1">
      <alignment horizontal="center" vertical="top" wrapText="1"/>
    </xf>
    <xf numFmtId="3" fontId="9" fillId="0" borderId="34" xfId="0" applyNumberFormat="1" applyFont="1" applyBorder="1" applyAlignment="1">
      <alignment horizontal="center" vertical="top" wrapText="1"/>
    </xf>
    <xf numFmtId="3" fontId="9" fillId="0" borderId="36" xfId="0" applyNumberFormat="1" applyFont="1" applyBorder="1" applyAlignment="1">
      <alignment horizontal="center" vertical="top" wrapText="1"/>
    </xf>
    <xf numFmtId="3" fontId="9" fillId="0" borderId="39" xfId="0" applyNumberFormat="1" applyFont="1" applyBorder="1" applyAlignment="1">
      <alignment horizontal="center" vertical="top" wrapText="1"/>
    </xf>
    <xf numFmtId="3" fontId="9" fillId="0" borderId="40" xfId="0" applyNumberFormat="1" applyFont="1" applyBorder="1" applyAlignment="1">
      <alignment horizontal="center" vertical="top" wrapText="1"/>
    </xf>
    <xf numFmtId="3" fontId="9" fillId="0" borderId="38" xfId="0" applyNumberFormat="1" applyFont="1" applyBorder="1" applyAlignment="1">
      <alignment horizontal="center" vertical="top" wrapText="1"/>
    </xf>
    <xf numFmtId="0" fontId="1" fillId="0" borderId="50" xfId="0" applyFont="1" applyFill="1" applyBorder="1" applyAlignment="1">
      <alignment horizontal="right" wrapText="1"/>
    </xf>
    <xf numFmtId="0" fontId="1" fillId="0" borderId="51" xfId="0" applyFont="1" applyFill="1" applyBorder="1" applyAlignment="1">
      <alignment horizontal="center" wrapText="1"/>
    </xf>
    <xf numFmtId="0" fontId="1" fillId="0" borderId="51" xfId="0" applyFont="1" applyFill="1" applyBorder="1" applyAlignment="1">
      <alignment horizontal="right" wrapText="1"/>
    </xf>
    <xf numFmtId="0" fontId="1" fillId="0" borderId="51" xfId="0" applyFont="1" applyFill="1" applyBorder="1" applyAlignment="1">
      <alignment horizontal="left" wrapText="1"/>
    </xf>
  </cellXfs>
  <cellStyles count="4">
    <cellStyle name="Comma" xfId="1" builtinId="3"/>
    <cellStyle name="Comma 2" xfId="2" xr:uid="{00000000-0005-0000-0000-00002F000000}"/>
    <cellStyle name="Currency 2" xfId="3" xr:uid="{00000000-0005-0000-0000-00003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9"/>
  <sheetViews>
    <sheetView showGridLines="0" tabSelected="1" workbookViewId="0">
      <selection activeCell="G2" sqref="G2"/>
    </sheetView>
  </sheetViews>
  <sheetFormatPr defaultColWidth="8.875" defaultRowHeight="14.3" x14ac:dyDescent="0.25"/>
  <cols>
    <col min="1" max="1" width="13.375" style="1" customWidth="1"/>
    <col min="2" max="2" width="19.875" style="27" customWidth="1"/>
    <col min="3" max="3" width="28.375" style="27" customWidth="1"/>
    <col min="4" max="4" width="22.625" style="28" customWidth="1"/>
    <col min="5" max="5" width="18.375" style="27" bestFit="1" customWidth="1"/>
    <col min="6" max="6" width="15" style="27" bestFit="1" customWidth="1"/>
    <col min="7" max="7" width="15.125" style="1" bestFit="1" customWidth="1"/>
    <col min="8" max="8" width="11.875" style="1" customWidth="1"/>
    <col min="9" max="9" width="14.25" style="1" customWidth="1"/>
    <col min="10" max="10" width="50" style="7" customWidth="1"/>
    <col min="11" max="11" width="20.625" style="1" customWidth="1"/>
    <col min="12" max="12" width="15.375" style="1" customWidth="1"/>
    <col min="13" max="13" width="19.25" style="1" bestFit="1" customWidth="1"/>
    <col min="14" max="16384" width="8.875" style="1"/>
  </cols>
  <sheetData>
    <row r="1" spans="1:10" x14ac:dyDescent="0.25">
      <c r="A1" s="60" t="s">
        <v>206</v>
      </c>
      <c r="D1" s="1"/>
      <c r="E1" s="1"/>
      <c r="F1" s="1"/>
    </row>
    <row r="2" spans="1:10" x14ac:dyDescent="0.25">
      <c r="A2" s="60"/>
    </row>
    <row r="3" spans="1:10" x14ac:dyDescent="0.25">
      <c r="A3" s="156" t="s">
        <v>43</v>
      </c>
      <c r="B3" s="157"/>
      <c r="C3" s="157"/>
      <c r="D3" s="158"/>
      <c r="E3" s="157"/>
      <c r="F3" s="157"/>
      <c r="G3" s="159"/>
      <c r="H3" s="159"/>
      <c r="I3" s="159"/>
      <c r="J3" s="160"/>
    </row>
    <row r="4" spans="1:10" ht="48.1" customHeight="1" x14ac:dyDescent="0.25">
      <c r="A4" s="300" t="s">
        <v>207</v>
      </c>
      <c r="B4" s="301"/>
      <c r="C4" s="301"/>
      <c r="D4" s="301"/>
      <c r="E4" s="301"/>
      <c r="F4" s="301"/>
      <c r="G4" s="301"/>
      <c r="H4" s="301"/>
      <c r="I4" s="301"/>
      <c r="J4" s="302"/>
    </row>
    <row r="5" spans="1:10" x14ac:dyDescent="0.25">
      <c r="A5" s="60"/>
    </row>
    <row r="6" spans="1:10" x14ac:dyDescent="0.25">
      <c r="A6" s="156" t="s">
        <v>124</v>
      </c>
      <c r="B6" s="157"/>
      <c r="C6" s="157"/>
      <c r="D6" s="158"/>
      <c r="E6" s="157"/>
      <c r="F6" s="157"/>
      <c r="G6" s="159"/>
      <c r="H6" s="159"/>
      <c r="I6" s="159"/>
      <c r="J6" s="160"/>
    </row>
    <row r="7" spans="1:10" s="86" customFormat="1" x14ac:dyDescent="0.25">
      <c r="A7" s="259"/>
      <c r="B7" s="48"/>
      <c r="C7" s="48"/>
      <c r="D7" s="89"/>
      <c r="E7" s="48"/>
      <c r="F7" s="48"/>
      <c r="G7" s="88"/>
      <c r="H7" s="88"/>
      <c r="I7" s="88"/>
      <c r="J7" s="260"/>
    </row>
    <row r="8" spans="1:10" s="262" customFormat="1" x14ac:dyDescent="0.25">
      <c r="A8" s="261" t="s">
        <v>191</v>
      </c>
      <c r="B8" s="49"/>
      <c r="C8" s="49"/>
      <c r="D8" s="256"/>
      <c r="E8" s="49"/>
      <c r="F8" s="49"/>
      <c r="G8" s="257"/>
      <c r="H8" s="257"/>
      <c r="I8" s="257"/>
      <c r="J8" s="258"/>
    </row>
    <row r="9" spans="1:10" s="262" customFormat="1" x14ac:dyDescent="0.25">
      <c r="A9" s="261" t="s">
        <v>190</v>
      </c>
      <c r="B9" s="49"/>
      <c r="C9" s="49"/>
      <c r="D9" s="256"/>
      <c r="E9" s="49"/>
      <c r="F9" s="49"/>
      <c r="G9" s="257"/>
      <c r="H9" s="257"/>
      <c r="I9" s="257"/>
      <c r="J9" s="258"/>
    </row>
    <row r="10" spans="1:10" s="262" customFormat="1" x14ac:dyDescent="0.25">
      <c r="A10" s="261"/>
      <c r="B10" s="49"/>
      <c r="C10" s="49"/>
      <c r="D10" s="256"/>
      <c r="E10" s="49"/>
      <c r="F10" s="49"/>
      <c r="G10" s="257"/>
      <c r="H10" s="257"/>
      <c r="I10" s="257"/>
      <c r="J10" s="258"/>
    </row>
    <row r="11" spans="1:10" s="262" customFormat="1" x14ac:dyDescent="0.25">
      <c r="A11" s="261" t="s">
        <v>125</v>
      </c>
      <c r="B11" s="49"/>
      <c r="C11" s="49"/>
      <c r="D11" s="256"/>
      <c r="E11" s="49"/>
      <c r="F11" s="49"/>
      <c r="G11" s="257"/>
      <c r="H11" s="257"/>
      <c r="I11" s="257"/>
      <c r="J11" s="258"/>
    </row>
    <row r="12" spans="1:10" s="262" customFormat="1" x14ac:dyDescent="0.25">
      <c r="A12" s="261" t="s">
        <v>126</v>
      </c>
      <c r="B12" s="49"/>
      <c r="C12" s="49"/>
      <c r="D12" s="256"/>
      <c r="E12" s="49"/>
      <c r="F12" s="49"/>
      <c r="G12" s="257"/>
      <c r="H12" s="257"/>
      <c r="I12" s="257"/>
      <c r="J12" s="258"/>
    </row>
    <row r="13" spans="1:10" s="262" customFormat="1" x14ac:dyDescent="0.25">
      <c r="A13" s="261" t="s">
        <v>127</v>
      </c>
      <c r="B13" s="49"/>
      <c r="C13" s="49"/>
      <c r="D13" s="256"/>
      <c r="E13" s="49"/>
      <c r="F13" s="49"/>
      <c r="G13" s="257"/>
      <c r="H13" s="257"/>
      <c r="I13" s="257"/>
      <c r="J13" s="258"/>
    </row>
    <row r="14" spans="1:10" s="86" customFormat="1" x14ac:dyDescent="0.25">
      <c r="A14" s="259"/>
      <c r="B14" s="48"/>
      <c r="C14" s="48"/>
      <c r="D14" s="89"/>
      <c r="E14" s="48"/>
      <c r="F14" s="48"/>
      <c r="G14" s="88"/>
      <c r="H14" s="88"/>
      <c r="I14" s="88"/>
      <c r="J14" s="260"/>
    </row>
    <row r="15" spans="1:10" s="86" customFormat="1" x14ac:dyDescent="0.25">
      <c r="A15" s="261" t="s">
        <v>128</v>
      </c>
      <c r="B15" s="48"/>
      <c r="C15" s="48"/>
      <c r="D15" s="89"/>
      <c r="E15" s="48"/>
      <c r="F15" s="48"/>
      <c r="G15" s="88"/>
      <c r="H15" s="88"/>
      <c r="I15" s="88"/>
      <c r="J15" s="260"/>
    </row>
    <row r="16" spans="1:10" x14ac:dyDescent="0.25">
      <c r="A16" s="263" t="s">
        <v>129</v>
      </c>
      <c r="B16" s="48"/>
      <c r="C16" s="48"/>
      <c r="D16" s="89"/>
      <c r="E16" s="48"/>
      <c r="F16" s="48"/>
      <c r="G16" s="88"/>
      <c r="H16" s="88"/>
      <c r="I16" s="88"/>
      <c r="J16" s="260"/>
    </row>
    <row r="17" spans="1:10" x14ac:dyDescent="0.25">
      <c r="A17" s="263"/>
      <c r="B17" s="48"/>
      <c r="C17" s="48"/>
      <c r="D17" s="89"/>
      <c r="E17" s="48"/>
      <c r="F17" s="48"/>
      <c r="G17" s="88"/>
      <c r="H17" s="88"/>
      <c r="I17" s="88"/>
      <c r="J17" s="260"/>
    </row>
    <row r="18" spans="1:10" x14ac:dyDescent="0.25">
      <c r="A18" s="166" t="s">
        <v>130</v>
      </c>
      <c r="B18" s="264" t="s">
        <v>131</v>
      </c>
      <c r="C18" s="48"/>
      <c r="D18" s="89"/>
      <c r="E18" s="48"/>
      <c r="F18" s="48"/>
      <c r="G18" s="88"/>
      <c r="H18" s="88"/>
      <c r="I18" s="88"/>
      <c r="J18" s="260"/>
    </row>
    <row r="19" spans="1:10" x14ac:dyDescent="0.25">
      <c r="A19" s="166" t="s">
        <v>132</v>
      </c>
      <c r="B19" s="264" t="s">
        <v>133</v>
      </c>
      <c r="C19" s="48"/>
      <c r="D19" s="89"/>
      <c r="E19" s="48"/>
      <c r="F19" s="48"/>
      <c r="G19" s="88"/>
      <c r="H19" s="88"/>
      <c r="I19" s="88"/>
      <c r="J19" s="260"/>
    </row>
    <row r="20" spans="1:10" x14ac:dyDescent="0.25">
      <c r="A20" s="166" t="s">
        <v>134</v>
      </c>
      <c r="B20" s="264" t="s">
        <v>135</v>
      </c>
      <c r="C20" s="48"/>
      <c r="D20" s="89"/>
      <c r="E20" s="48"/>
      <c r="F20" s="48"/>
      <c r="G20" s="88"/>
      <c r="H20" s="88"/>
      <c r="I20" s="88"/>
      <c r="J20" s="260"/>
    </row>
    <row r="21" spans="1:10" x14ac:dyDescent="0.25">
      <c r="A21" s="166" t="s">
        <v>136</v>
      </c>
      <c r="B21" s="264" t="s">
        <v>137</v>
      </c>
      <c r="C21" s="48"/>
      <c r="D21" s="89"/>
      <c r="E21" s="48"/>
      <c r="F21" s="48"/>
      <c r="G21" s="88"/>
      <c r="H21" s="88"/>
      <c r="I21" s="88"/>
      <c r="J21" s="260"/>
    </row>
    <row r="22" spans="1:10" x14ac:dyDescent="0.25">
      <c r="A22" s="166" t="s">
        <v>138</v>
      </c>
      <c r="B22" s="264" t="s">
        <v>139</v>
      </c>
      <c r="C22" s="48"/>
      <c r="D22" s="89"/>
      <c r="E22" s="48"/>
      <c r="F22" s="48"/>
      <c r="G22" s="88"/>
      <c r="H22" s="88"/>
      <c r="I22" s="88"/>
      <c r="J22" s="260"/>
    </row>
    <row r="23" spans="1:10" x14ac:dyDescent="0.25">
      <c r="A23" s="166"/>
      <c r="B23" s="264"/>
      <c r="C23" s="48"/>
      <c r="D23" s="89"/>
      <c r="E23" s="48"/>
      <c r="F23" s="48"/>
      <c r="G23" s="88"/>
      <c r="H23" s="88"/>
      <c r="I23" s="88"/>
      <c r="J23" s="260"/>
    </row>
    <row r="24" spans="1:10" x14ac:dyDescent="0.25">
      <c r="A24" s="263" t="s">
        <v>140</v>
      </c>
      <c r="B24" s="48"/>
      <c r="C24" s="48"/>
      <c r="D24" s="89"/>
      <c r="E24" s="48"/>
      <c r="F24" s="48"/>
      <c r="G24" s="88"/>
      <c r="H24" s="88"/>
      <c r="I24" s="88"/>
      <c r="J24" s="260"/>
    </row>
    <row r="25" spans="1:10" x14ac:dyDescent="0.25">
      <c r="A25" s="263"/>
      <c r="B25" s="48"/>
      <c r="C25" s="48"/>
      <c r="D25" s="89"/>
      <c r="E25" s="48"/>
      <c r="F25" s="48"/>
      <c r="G25" s="88"/>
      <c r="H25" s="88"/>
      <c r="I25" s="88"/>
      <c r="J25" s="260"/>
    </row>
    <row r="26" spans="1:10" x14ac:dyDescent="0.25">
      <c r="A26" s="166" t="s">
        <v>141</v>
      </c>
      <c r="B26" s="1" t="s">
        <v>142</v>
      </c>
      <c r="C26" s="48"/>
      <c r="D26" s="89"/>
      <c r="E26" s="48"/>
      <c r="F26" s="48"/>
      <c r="G26" s="88"/>
      <c r="H26" s="88"/>
      <c r="I26" s="88"/>
      <c r="J26" s="260"/>
    </row>
    <row r="27" spans="1:10" x14ac:dyDescent="0.25">
      <c r="A27" s="166" t="s">
        <v>143</v>
      </c>
      <c r="B27" s="264" t="s">
        <v>144</v>
      </c>
      <c r="C27" s="48"/>
      <c r="D27" s="89"/>
      <c r="E27" s="48"/>
      <c r="F27" s="48"/>
      <c r="G27" s="88"/>
      <c r="H27" s="88"/>
      <c r="I27" s="88"/>
      <c r="J27" s="260"/>
    </row>
    <row r="28" spans="1:10" x14ac:dyDescent="0.25">
      <c r="A28" s="259"/>
      <c r="B28" s="48"/>
      <c r="C28" s="48"/>
      <c r="D28" s="89"/>
      <c r="E28" s="48"/>
      <c r="F28" s="48"/>
      <c r="G28" s="88"/>
      <c r="H28" s="88"/>
      <c r="I28" s="88"/>
      <c r="J28" s="260"/>
    </row>
    <row r="29" spans="1:10" x14ac:dyDescent="0.25">
      <c r="A29" s="265" t="s">
        <v>145</v>
      </c>
      <c r="B29" s="48"/>
      <c r="C29" s="48"/>
      <c r="D29" s="89"/>
      <c r="E29" s="48"/>
      <c r="F29" s="48"/>
      <c r="G29" s="88"/>
      <c r="H29" s="88"/>
      <c r="I29" s="88"/>
      <c r="J29" s="260"/>
    </row>
    <row r="30" spans="1:10" x14ac:dyDescent="0.25">
      <c r="A30" s="303"/>
      <c r="B30" s="304"/>
      <c r="C30" s="304"/>
      <c r="D30" s="304"/>
      <c r="E30" s="304"/>
      <c r="F30" s="304"/>
      <c r="G30" s="304"/>
      <c r="H30" s="304"/>
      <c r="I30" s="304"/>
      <c r="J30" s="305"/>
    </row>
    <row r="31" spans="1:10" x14ac:dyDescent="0.25">
      <c r="A31" s="60"/>
    </row>
    <row r="32" spans="1:10" x14ac:dyDescent="0.25">
      <c r="A32" s="60"/>
    </row>
    <row r="33" spans="1:10" ht="14.95" customHeight="1" x14ac:dyDescent="0.25">
      <c r="A33" s="161" t="s">
        <v>62</v>
      </c>
      <c r="B33" s="162"/>
      <c r="C33" s="162"/>
      <c r="D33" s="163"/>
      <c r="E33" s="162"/>
      <c r="F33" s="162"/>
      <c r="G33" s="164"/>
      <c r="H33" s="164"/>
      <c r="I33" s="164"/>
      <c r="J33" s="165"/>
    </row>
    <row r="34" spans="1:10" ht="12.1" customHeight="1" x14ac:dyDescent="0.25">
      <c r="A34" s="297"/>
      <c r="B34" s="298"/>
      <c r="C34" s="298"/>
      <c r="D34" s="298"/>
      <c r="E34" s="298"/>
      <c r="F34" s="298"/>
      <c r="G34" s="298"/>
      <c r="H34" s="298"/>
      <c r="I34" s="298"/>
      <c r="J34" s="299"/>
    </row>
    <row r="35" spans="1:10" s="254" customFormat="1" x14ac:dyDescent="0.25">
      <c r="A35" s="166">
        <v>1</v>
      </c>
      <c r="B35" s="249" t="s">
        <v>146</v>
      </c>
      <c r="C35" s="250"/>
      <c r="D35" s="251"/>
      <c r="E35" s="250"/>
      <c r="F35" s="250"/>
      <c r="G35" s="252"/>
      <c r="H35" s="252"/>
      <c r="I35" s="252"/>
      <c r="J35" s="253"/>
    </row>
    <row r="36" spans="1:10" s="254" customFormat="1" x14ac:dyDescent="0.25">
      <c r="A36" s="166">
        <v>2</v>
      </c>
      <c r="B36" s="278" t="s">
        <v>165</v>
      </c>
      <c r="C36" s="250"/>
      <c r="D36" s="251"/>
      <c r="E36" s="250"/>
      <c r="F36" s="250"/>
      <c r="G36" s="252"/>
      <c r="H36" s="252"/>
      <c r="I36" s="252"/>
      <c r="J36" s="253"/>
    </row>
    <row r="37" spans="1:10" s="254" customFormat="1" x14ac:dyDescent="0.25">
      <c r="A37" s="166"/>
      <c r="B37" s="278" t="s">
        <v>172</v>
      </c>
      <c r="C37" s="250"/>
      <c r="D37" s="251"/>
      <c r="E37" s="250"/>
      <c r="F37" s="250"/>
      <c r="G37" s="252"/>
      <c r="H37" s="252"/>
      <c r="I37" s="252"/>
      <c r="J37" s="253"/>
    </row>
    <row r="38" spans="1:10" s="254" customFormat="1" x14ac:dyDescent="0.25">
      <c r="A38" s="166">
        <v>3</v>
      </c>
      <c r="B38" s="255" t="s">
        <v>149</v>
      </c>
      <c r="C38" s="49"/>
      <c r="D38" s="256"/>
      <c r="E38" s="49"/>
      <c r="F38" s="49"/>
      <c r="G38" s="257"/>
      <c r="H38" s="257"/>
      <c r="I38" s="257"/>
      <c r="J38" s="258"/>
    </row>
    <row r="39" spans="1:10" s="254" customFormat="1" x14ac:dyDescent="0.25">
      <c r="A39" s="166">
        <v>4</v>
      </c>
      <c r="B39" s="249" t="s">
        <v>208</v>
      </c>
      <c r="C39" s="250"/>
      <c r="D39" s="251"/>
      <c r="E39" s="250"/>
      <c r="F39" s="250"/>
      <c r="G39" s="252"/>
      <c r="H39" s="252"/>
      <c r="I39" s="252"/>
      <c r="J39" s="253"/>
    </row>
    <row r="40" spans="1:10" s="254" customFormat="1" x14ac:dyDescent="0.25">
      <c r="A40" s="166">
        <v>5</v>
      </c>
      <c r="B40" s="249" t="s">
        <v>169</v>
      </c>
      <c r="C40" s="250"/>
      <c r="D40" s="251"/>
      <c r="E40" s="250"/>
      <c r="F40" s="250"/>
      <c r="G40" s="252"/>
      <c r="H40" s="252"/>
      <c r="I40" s="252"/>
      <c r="J40" s="253"/>
    </row>
    <row r="41" spans="1:10" s="254" customFormat="1" x14ac:dyDescent="0.25">
      <c r="A41" s="166">
        <v>6</v>
      </c>
      <c r="B41" s="249" t="s">
        <v>147</v>
      </c>
      <c r="C41" s="250"/>
      <c r="D41" s="251"/>
      <c r="E41" s="250"/>
      <c r="F41" s="250"/>
      <c r="G41" s="252"/>
      <c r="H41" s="252"/>
      <c r="I41" s="252"/>
      <c r="J41" s="253"/>
    </row>
    <row r="42" spans="1:10" s="254" customFormat="1" x14ac:dyDescent="0.25">
      <c r="A42" s="166">
        <v>7</v>
      </c>
      <c r="B42" s="249" t="s">
        <v>148</v>
      </c>
      <c r="C42" s="250"/>
      <c r="D42" s="251"/>
      <c r="E42" s="250"/>
      <c r="F42" s="250"/>
      <c r="G42" s="252"/>
      <c r="H42" s="252"/>
      <c r="I42" s="252"/>
      <c r="J42" s="253"/>
    </row>
    <row r="43" spans="1:10" s="254" customFormat="1" x14ac:dyDescent="0.25">
      <c r="A43" s="168"/>
      <c r="B43" s="249" t="s">
        <v>185</v>
      </c>
      <c r="C43" s="250"/>
      <c r="D43" s="251"/>
      <c r="E43" s="250"/>
      <c r="F43" s="250"/>
      <c r="G43" s="252"/>
      <c r="H43" s="252"/>
      <c r="I43" s="252"/>
      <c r="J43" s="253"/>
    </row>
    <row r="44" spans="1:10" s="254" customFormat="1" x14ac:dyDescent="0.25">
      <c r="A44" s="168">
        <v>8</v>
      </c>
      <c r="B44" s="249" t="s">
        <v>173</v>
      </c>
      <c r="C44" s="250"/>
      <c r="D44" s="251"/>
      <c r="E44" s="250"/>
      <c r="F44" s="250"/>
      <c r="G44" s="252"/>
      <c r="H44" s="252"/>
      <c r="I44" s="252"/>
      <c r="J44" s="253"/>
    </row>
    <row r="45" spans="1:10" s="254" customFormat="1" x14ac:dyDescent="0.25">
      <c r="A45" s="168">
        <v>9</v>
      </c>
      <c r="B45" s="249" t="s">
        <v>87</v>
      </c>
      <c r="C45" s="250"/>
      <c r="D45" s="251"/>
      <c r="E45" s="250"/>
      <c r="F45" s="250"/>
      <c r="G45" s="252"/>
      <c r="H45" s="252"/>
      <c r="I45" s="252"/>
      <c r="J45" s="253"/>
    </row>
    <row r="46" spans="1:10" x14ac:dyDescent="0.25">
      <c r="A46" s="169"/>
      <c r="B46" s="82" t="s">
        <v>88</v>
      </c>
      <c r="C46" s="77"/>
      <c r="D46" s="78"/>
      <c r="E46" s="77"/>
      <c r="F46" s="77"/>
      <c r="G46" s="79"/>
      <c r="H46" s="79"/>
      <c r="I46" s="79"/>
      <c r="J46" s="167"/>
    </row>
    <row r="47" spans="1:10" x14ac:dyDescent="0.25">
      <c r="A47" s="169"/>
      <c r="B47" s="82"/>
      <c r="C47" s="77"/>
      <c r="D47" s="78"/>
      <c r="E47" s="77"/>
      <c r="F47" s="77"/>
      <c r="G47" s="79"/>
      <c r="H47" s="79"/>
      <c r="I47" s="79"/>
      <c r="J47" s="167"/>
    </row>
    <row r="48" spans="1:10" ht="9.6999999999999993" customHeight="1" x14ac:dyDescent="0.25">
      <c r="A48" s="170"/>
      <c r="B48" s="171"/>
      <c r="C48" s="172"/>
      <c r="D48" s="173"/>
      <c r="E48" s="172"/>
      <c r="F48" s="172"/>
      <c r="G48" s="174"/>
      <c r="H48" s="174"/>
      <c r="I48" s="174"/>
      <c r="J48" s="175"/>
    </row>
    <row r="49" spans="1:6" x14ac:dyDescent="0.25">
      <c r="A49" s="60"/>
    </row>
    <row r="50" spans="1:6" x14ac:dyDescent="0.25">
      <c r="A50" s="266" t="s">
        <v>130</v>
      </c>
    </row>
    <row r="51" spans="1:6" x14ac:dyDescent="0.25">
      <c r="A51" s="60"/>
    </row>
    <row r="52" spans="1:6" x14ac:dyDescent="0.25">
      <c r="A52" s="241" t="s">
        <v>192</v>
      </c>
    </row>
    <row r="53" spans="1:6" x14ac:dyDescent="0.25">
      <c r="A53" s="60"/>
    </row>
    <row r="54" spans="1:6" x14ac:dyDescent="0.25">
      <c r="A54" s="267" t="s">
        <v>66</v>
      </c>
      <c r="B54" s="201"/>
      <c r="C54" s="271">
        <v>44652</v>
      </c>
      <c r="E54" s="1"/>
    </row>
    <row r="55" spans="1:6" x14ac:dyDescent="0.25">
      <c r="A55" s="268" t="s">
        <v>104</v>
      </c>
      <c r="B55" s="269"/>
      <c r="C55" s="270">
        <v>0.05</v>
      </c>
      <c r="D55" s="242" t="s">
        <v>103</v>
      </c>
    </row>
    <row r="56" spans="1:6" x14ac:dyDescent="0.25">
      <c r="A56" s="108"/>
      <c r="B56" s="82"/>
      <c r="C56" s="77"/>
    </row>
    <row r="57" spans="1:6" x14ac:dyDescent="0.25">
      <c r="A57" s="266" t="s">
        <v>132</v>
      </c>
      <c r="B57" s="82"/>
      <c r="C57" s="77"/>
    </row>
    <row r="58" spans="1:6" x14ac:dyDescent="0.25">
      <c r="A58" s="108"/>
      <c r="B58" s="82"/>
      <c r="C58" s="77"/>
    </row>
    <row r="59" spans="1:6" x14ac:dyDescent="0.25">
      <c r="A59" s="272" t="s">
        <v>150</v>
      </c>
      <c r="B59" s="82"/>
      <c r="C59" s="78"/>
      <c r="D59" s="29"/>
      <c r="E59" s="1"/>
    </row>
    <row r="60" spans="1:6" x14ac:dyDescent="0.25">
      <c r="A60" s="272" t="s">
        <v>151</v>
      </c>
      <c r="B60" s="82"/>
      <c r="C60" s="78"/>
      <c r="D60" s="29"/>
      <c r="E60" s="1"/>
    </row>
    <row r="61" spans="1:6" x14ac:dyDescent="0.25">
      <c r="A61" s="108"/>
      <c r="B61" s="82"/>
      <c r="C61" s="77"/>
    </row>
    <row r="62" spans="1:6" x14ac:dyDescent="0.25">
      <c r="A62" s="156" t="s">
        <v>67</v>
      </c>
      <c r="B62" s="159"/>
      <c r="C62" s="157"/>
      <c r="D62" s="158"/>
      <c r="E62" s="176"/>
    </row>
    <row r="63" spans="1:6" x14ac:dyDescent="0.25">
      <c r="A63" s="188"/>
      <c r="B63" s="189" t="s">
        <v>20</v>
      </c>
      <c r="C63" s="189" t="s">
        <v>21</v>
      </c>
      <c r="D63" s="190" t="s">
        <v>22</v>
      </c>
      <c r="E63" s="191" t="s">
        <v>23</v>
      </c>
    </row>
    <row r="64" spans="1:6" x14ac:dyDescent="0.25">
      <c r="A64" s="192">
        <v>0</v>
      </c>
      <c r="B64" s="290">
        <v>50000</v>
      </c>
      <c r="C64" s="31">
        <v>44652</v>
      </c>
      <c r="D64" s="251">
        <v>0</v>
      </c>
      <c r="E64" s="291">
        <v>50000</v>
      </c>
      <c r="F64" s="292" t="s">
        <v>174</v>
      </c>
    </row>
    <row r="65" spans="1:5" x14ac:dyDescent="0.25">
      <c r="A65" s="188">
        <v>1</v>
      </c>
      <c r="B65" s="293">
        <v>50000</v>
      </c>
      <c r="C65" s="294">
        <v>45017</v>
      </c>
      <c r="D65" s="163">
        <f t="shared" ref="D65:D73" si="0">1/(1+$C$55)^A65</f>
        <v>0.95238095238095233</v>
      </c>
      <c r="E65" s="295">
        <f>B65*D65</f>
        <v>47619.047619047618</v>
      </c>
    </row>
    <row r="66" spans="1:5" x14ac:dyDescent="0.25">
      <c r="A66" s="192">
        <f>A65+1</f>
        <v>2</v>
      </c>
      <c r="B66" s="106">
        <v>50000</v>
      </c>
      <c r="C66" s="107">
        <v>45383</v>
      </c>
      <c r="D66" s="78">
        <f t="shared" si="0"/>
        <v>0.90702947845804982</v>
      </c>
      <c r="E66" s="193">
        <f t="shared" ref="E66:E73" si="1">B66*D66</f>
        <v>45351.473922902493</v>
      </c>
    </row>
    <row r="67" spans="1:5" x14ac:dyDescent="0.25">
      <c r="A67" s="192">
        <f t="shared" ref="A67:A73" si="2">A66+1</f>
        <v>3</v>
      </c>
      <c r="B67" s="106">
        <v>50000</v>
      </c>
      <c r="C67" s="107">
        <v>45748</v>
      </c>
      <c r="D67" s="78">
        <f t="shared" si="0"/>
        <v>0.86383759853147601</v>
      </c>
      <c r="E67" s="193">
        <f t="shared" si="1"/>
        <v>43191.879926573798</v>
      </c>
    </row>
    <row r="68" spans="1:5" x14ac:dyDescent="0.25">
      <c r="A68" s="192">
        <f t="shared" si="2"/>
        <v>4</v>
      </c>
      <c r="B68" s="106">
        <v>50000</v>
      </c>
      <c r="C68" s="107">
        <v>46113</v>
      </c>
      <c r="D68" s="78">
        <f t="shared" si="0"/>
        <v>0.82270247479188197</v>
      </c>
      <c r="E68" s="193">
        <f t="shared" si="1"/>
        <v>41135.123739594099</v>
      </c>
    </row>
    <row r="69" spans="1:5" x14ac:dyDescent="0.25">
      <c r="A69" s="192">
        <f t="shared" si="2"/>
        <v>5</v>
      </c>
      <c r="B69" s="106">
        <v>50000</v>
      </c>
      <c r="C69" s="107">
        <v>46478</v>
      </c>
      <c r="D69" s="78">
        <f t="shared" si="0"/>
        <v>0.78352616646845896</v>
      </c>
      <c r="E69" s="193">
        <f t="shared" si="1"/>
        <v>39176.308323422949</v>
      </c>
    </row>
    <row r="70" spans="1:5" x14ac:dyDescent="0.25">
      <c r="A70" s="192">
        <f t="shared" si="2"/>
        <v>6</v>
      </c>
      <c r="B70" s="106">
        <v>50000</v>
      </c>
      <c r="C70" s="107">
        <v>46844</v>
      </c>
      <c r="D70" s="78">
        <f t="shared" si="0"/>
        <v>0.74621539663662761</v>
      </c>
      <c r="E70" s="193">
        <f t="shared" si="1"/>
        <v>37310.769831831378</v>
      </c>
    </row>
    <row r="71" spans="1:5" x14ac:dyDescent="0.25">
      <c r="A71" s="192">
        <f t="shared" si="2"/>
        <v>7</v>
      </c>
      <c r="B71" s="106">
        <v>50000</v>
      </c>
      <c r="C71" s="107">
        <v>47209</v>
      </c>
      <c r="D71" s="78">
        <f t="shared" si="0"/>
        <v>0.71068133013012147</v>
      </c>
      <c r="E71" s="193">
        <f t="shared" si="1"/>
        <v>35534.066506506075</v>
      </c>
    </row>
    <row r="72" spans="1:5" x14ac:dyDescent="0.25">
      <c r="A72" s="192">
        <f t="shared" si="2"/>
        <v>8</v>
      </c>
      <c r="B72" s="106">
        <v>50000</v>
      </c>
      <c r="C72" s="107">
        <v>47574</v>
      </c>
      <c r="D72" s="78">
        <f t="shared" si="0"/>
        <v>0.67683936202868722</v>
      </c>
      <c r="E72" s="193">
        <f t="shared" si="1"/>
        <v>33841.968101434359</v>
      </c>
    </row>
    <row r="73" spans="1:5" x14ac:dyDescent="0.25">
      <c r="A73" s="195">
        <f t="shared" si="2"/>
        <v>9</v>
      </c>
      <c r="B73" s="196">
        <v>50000</v>
      </c>
      <c r="C73" s="197">
        <v>47939</v>
      </c>
      <c r="D73" s="173">
        <f t="shared" si="0"/>
        <v>0.64460891621779726</v>
      </c>
      <c r="E73" s="194">
        <f t="shared" si="1"/>
        <v>32230.445810889862</v>
      </c>
    </row>
    <row r="74" spans="1:5" x14ac:dyDescent="0.25">
      <c r="A74" s="195"/>
      <c r="B74" s="196"/>
      <c r="C74" s="197"/>
      <c r="D74" s="173"/>
      <c r="E74" s="198">
        <f>SUM(E65:E73)</f>
        <v>355391.08378220262</v>
      </c>
    </row>
    <row r="75" spans="1:5" x14ac:dyDescent="0.25">
      <c r="A75" s="108"/>
      <c r="B75" s="82"/>
      <c r="C75" s="77"/>
    </row>
    <row r="76" spans="1:5" x14ac:dyDescent="0.25">
      <c r="A76" s="266" t="s">
        <v>134</v>
      </c>
      <c r="B76" s="82"/>
      <c r="C76" s="77"/>
    </row>
    <row r="77" spans="1:5" x14ac:dyDescent="0.25">
      <c r="A77" s="108"/>
      <c r="B77" s="82"/>
      <c r="C77" s="77"/>
    </row>
    <row r="78" spans="1:5" x14ac:dyDescent="0.25">
      <c r="A78" s="79" t="s">
        <v>183</v>
      </c>
      <c r="B78" s="82"/>
      <c r="C78" s="77"/>
    </row>
    <row r="79" spans="1:5" x14ac:dyDescent="0.25">
      <c r="A79" s="244" t="s">
        <v>106</v>
      </c>
      <c r="B79" s="30"/>
      <c r="C79" s="31"/>
      <c r="E79" s="32"/>
    </row>
    <row r="80" spans="1:5" x14ac:dyDescent="0.25">
      <c r="A80" s="272" t="s">
        <v>153</v>
      </c>
      <c r="B80" s="30"/>
      <c r="C80" s="31"/>
      <c r="E80" s="32"/>
    </row>
    <row r="81" spans="1:10" x14ac:dyDescent="0.25">
      <c r="A81" s="1" t="s">
        <v>152</v>
      </c>
      <c r="B81" s="30"/>
      <c r="C81" s="31"/>
      <c r="E81" s="32"/>
    </row>
    <row r="82" spans="1:10" x14ac:dyDescent="0.25">
      <c r="A82" s="1" t="s">
        <v>107</v>
      </c>
      <c r="B82" s="30"/>
      <c r="C82" s="31"/>
      <c r="E82" s="32"/>
    </row>
    <row r="83" spans="1:10" s="86" customFormat="1" x14ac:dyDescent="0.25">
      <c r="A83" s="83"/>
      <c r="B83" s="84"/>
      <c r="C83" s="84"/>
      <c r="D83" s="85"/>
      <c r="E83" s="84"/>
      <c r="F83" s="84"/>
      <c r="J83" s="87"/>
    </row>
    <row r="84" spans="1:10" s="86" customFormat="1" x14ac:dyDescent="0.25">
      <c r="A84" s="199" t="s">
        <v>68</v>
      </c>
      <c r="B84" s="157"/>
      <c r="C84" s="157"/>
      <c r="D84" s="158"/>
      <c r="E84" s="176"/>
      <c r="F84" s="84"/>
    </row>
    <row r="85" spans="1:10" s="86" customFormat="1" x14ac:dyDescent="0.25">
      <c r="A85" s="200" t="s">
        <v>69</v>
      </c>
      <c r="B85" s="201"/>
      <c r="C85" s="201"/>
      <c r="D85" s="201"/>
      <c r="E85" s="202"/>
    </row>
    <row r="86" spans="1:10" s="86" customFormat="1" x14ac:dyDescent="0.25">
      <c r="A86" s="203">
        <f>SUM(E65:E73)</f>
        <v>355391.08378220262</v>
      </c>
      <c r="B86" s="88"/>
      <c r="C86" s="48"/>
      <c r="D86" s="48"/>
      <c r="E86" s="204"/>
    </row>
    <row r="87" spans="1:10" s="86" customFormat="1" x14ac:dyDescent="0.25">
      <c r="A87" s="205"/>
      <c r="B87" s="89"/>
      <c r="C87" s="48"/>
      <c r="D87" s="48"/>
      <c r="E87" s="204"/>
    </row>
    <row r="88" spans="1:10" s="86" customFormat="1" x14ac:dyDescent="0.25">
      <c r="A88" s="206" t="s">
        <v>24</v>
      </c>
      <c r="B88" s="90" t="s">
        <v>25</v>
      </c>
      <c r="C88" s="91" t="s">
        <v>10</v>
      </c>
      <c r="D88" s="91" t="s">
        <v>158</v>
      </c>
      <c r="E88" s="207" t="s">
        <v>71</v>
      </c>
    </row>
    <row r="89" spans="1:10" s="86" customFormat="1" x14ac:dyDescent="0.25">
      <c r="A89" s="208" t="s">
        <v>175</v>
      </c>
      <c r="B89" s="93">
        <f>A86</f>
        <v>355391.08378220262</v>
      </c>
      <c r="C89" s="93">
        <v>0</v>
      </c>
      <c r="D89" s="93">
        <f t="shared" ref="D89:D98" si="3">SUM(B89:C89)*$C$55</f>
        <v>17769.554189110131</v>
      </c>
      <c r="E89" s="209">
        <f t="shared" ref="E89:E98" si="4">B89+D89+C89</f>
        <v>373160.63797131274</v>
      </c>
    </row>
    <row r="90" spans="1:10" s="86" customFormat="1" x14ac:dyDescent="0.25">
      <c r="A90" s="208" t="s">
        <v>176</v>
      </c>
      <c r="B90" s="93">
        <f>E89</f>
        <v>373160.63797131274</v>
      </c>
      <c r="C90" s="93">
        <f t="shared" ref="C90:C98" si="5">-B65</f>
        <v>-50000</v>
      </c>
      <c r="D90" s="93">
        <f t="shared" si="3"/>
        <v>16158.031898565638</v>
      </c>
      <c r="E90" s="209">
        <f t="shared" si="4"/>
        <v>339318.66986987839</v>
      </c>
    </row>
    <row r="91" spans="1:10" s="86" customFormat="1" x14ac:dyDescent="0.25">
      <c r="A91" s="208" t="s">
        <v>177</v>
      </c>
      <c r="B91" s="93">
        <f>E90</f>
        <v>339318.66986987839</v>
      </c>
      <c r="C91" s="93">
        <f t="shared" si="5"/>
        <v>-50000</v>
      </c>
      <c r="D91" s="93">
        <f t="shared" si="3"/>
        <v>14465.93349349392</v>
      </c>
      <c r="E91" s="209">
        <f t="shared" si="4"/>
        <v>303784.60336337233</v>
      </c>
    </row>
    <row r="92" spans="1:10" s="86" customFormat="1" x14ac:dyDescent="0.25">
      <c r="A92" s="208" t="s">
        <v>178</v>
      </c>
      <c r="B92" s="93">
        <f t="shared" ref="B92:B98" si="6">E91</f>
        <v>303784.60336337233</v>
      </c>
      <c r="C92" s="93">
        <f t="shared" si="5"/>
        <v>-50000</v>
      </c>
      <c r="D92" s="93">
        <f t="shared" si="3"/>
        <v>12689.230168168617</v>
      </c>
      <c r="E92" s="209">
        <f t="shared" si="4"/>
        <v>266473.83353154093</v>
      </c>
    </row>
    <row r="93" spans="1:10" s="86" customFormat="1" x14ac:dyDescent="0.25">
      <c r="A93" s="208" t="s">
        <v>179</v>
      </c>
      <c r="B93" s="93">
        <f t="shared" si="6"/>
        <v>266473.83353154093</v>
      </c>
      <c r="C93" s="93">
        <f t="shared" si="5"/>
        <v>-50000</v>
      </c>
      <c r="D93" s="93">
        <f t="shared" si="3"/>
        <v>10823.691676577047</v>
      </c>
      <c r="E93" s="209">
        <f t="shared" si="4"/>
        <v>227297.52520811796</v>
      </c>
    </row>
    <row r="94" spans="1:10" s="86" customFormat="1" x14ac:dyDescent="0.25">
      <c r="A94" s="208" t="s">
        <v>180</v>
      </c>
      <c r="B94" s="93">
        <f t="shared" si="6"/>
        <v>227297.52520811796</v>
      </c>
      <c r="C94" s="93">
        <f t="shared" si="5"/>
        <v>-50000</v>
      </c>
      <c r="D94" s="93">
        <f t="shared" si="3"/>
        <v>8864.8762604058993</v>
      </c>
      <c r="E94" s="209">
        <f t="shared" si="4"/>
        <v>186162.40146852387</v>
      </c>
    </row>
    <row r="95" spans="1:10" s="86" customFormat="1" x14ac:dyDescent="0.25">
      <c r="A95" s="208" t="s">
        <v>181</v>
      </c>
      <c r="B95" s="93">
        <f t="shared" si="6"/>
        <v>186162.40146852387</v>
      </c>
      <c r="C95" s="93">
        <f t="shared" si="5"/>
        <v>-50000</v>
      </c>
      <c r="D95" s="93">
        <f t="shared" si="3"/>
        <v>6808.1200734261938</v>
      </c>
      <c r="E95" s="209">
        <f t="shared" si="4"/>
        <v>142970.52154195006</v>
      </c>
    </row>
    <row r="96" spans="1:10" s="86" customFormat="1" x14ac:dyDescent="0.25">
      <c r="A96" s="208" t="s">
        <v>182</v>
      </c>
      <c r="B96" s="93">
        <f t="shared" si="6"/>
        <v>142970.52154195006</v>
      </c>
      <c r="C96" s="93">
        <f t="shared" si="5"/>
        <v>-50000</v>
      </c>
      <c r="D96" s="93">
        <f t="shared" si="3"/>
        <v>4648.5260770975028</v>
      </c>
      <c r="E96" s="209">
        <f t="shared" si="4"/>
        <v>97619.047619047575</v>
      </c>
    </row>
    <row r="97" spans="1:8" s="86" customFormat="1" x14ac:dyDescent="0.25">
      <c r="A97" s="208" t="s">
        <v>193</v>
      </c>
      <c r="B97" s="93">
        <f t="shared" si="6"/>
        <v>97619.047619047575</v>
      </c>
      <c r="C97" s="93">
        <f t="shared" si="5"/>
        <v>-50000</v>
      </c>
      <c r="D97" s="93">
        <f t="shared" si="3"/>
        <v>2380.9523809523789</v>
      </c>
      <c r="E97" s="209">
        <f t="shared" si="4"/>
        <v>49999.999999999956</v>
      </c>
    </row>
    <row r="98" spans="1:8" s="86" customFormat="1" x14ac:dyDescent="0.25">
      <c r="A98" s="210" t="s">
        <v>194</v>
      </c>
      <c r="B98" s="211">
        <f t="shared" si="6"/>
        <v>49999.999999999956</v>
      </c>
      <c r="C98" s="211">
        <f t="shared" si="5"/>
        <v>-50000</v>
      </c>
      <c r="D98" s="211">
        <f t="shared" si="3"/>
        <v>0</v>
      </c>
      <c r="E98" s="212">
        <f t="shared" si="4"/>
        <v>0</v>
      </c>
    </row>
    <row r="99" spans="1:8" x14ac:dyDescent="0.25">
      <c r="A99" s="108"/>
      <c r="B99" s="82"/>
      <c r="C99" s="77"/>
    </row>
    <row r="100" spans="1:8" x14ac:dyDescent="0.25">
      <c r="A100" s="266" t="s">
        <v>154</v>
      </c>
      <c r="B100" s="82"/>
      <c r="C100" s="77"/>
    </row>
    <row r="101" spans="1:8" x14ac:dyDescent="0.25">
      <c r="A101" s="108"/>
      <c r="B101" s="82"/>
      <c r="C101" s="77"/>
    </row>
    <row r="102" spans="1:8" x14ac:dyDescent="0.25">
      <c r="A102" s="1" t="s">
        <v>186</v>
      </c>
      <c r="C102" s="28"/>
      <c r="D102" s="29"/>
      <c r="E102" s="1"/>
    </row>
    <row r="103" spans="1:8" x14ac:dyDescent="0.25">
      <c r="A103" s="27"/>
      <c r="C103" s="28"/>
      <c r="D103" s="29"/>
      <c r="E103" s="1"/>
    </row>
    <row r="104" spans="1:8" x14ac:dyDescent="0.25">
      <c r="A104" s="156" t="s">
        <v>33</v>
      </c>
      <c r="B104" s="157"/>
      <c r="C104" s="177"/>
      <c r="D104" s="243"/>
      <c r="E104" s="1"/>
    </row>
    <row r="105" spans="1:8" x14ac:dyDescent="0.25">
      <c r="A105" s="186">
        <v>20000</v>
      </c>
      <c r="B105" s="179" t="s">
        <v>187</v>
      </c>
      <c r="C105" s="180"/>
      <c r="D105" s="242" t="s">
        <v>64</v>
      </c>
      <c r="E105" s="1"/>
    </row>
    <row r="106" spans="1:8" x14ac:dyDescent="0.25">
      <c r="A106" s="187">
        <v>50000</v>
      </c>
      <c r="B106" s="171" t="s">
        <v>195</v>
      </c>
      <c r="C106" s="185"/>
      <c r="D106" s="242" t="s">
        <v>65</v>
      </c>
      <c r="E106" s="1"/>
    </row>
    <row r="107" spans="1:8" x14ac:dyDescent="0.25">
      <c r="A107" s="108"/>
      <c r="B107" s="82"/>
      <c r="C107" s="77"/>
    </row>
    <row r="108" spans="1:8" s="86" customFormat="1" x14ac:dyDescent="0.25">
      <c r="A108" s="245" t="s">
        <v>188</v>
      </c>
      <c r="B108" s="85"/>
      <c r="C108" s="96"/>
      <c r="D108" s="84"/>
      <c r="H108" s="87"/>
    </row>
    <row r="109" spans="1:8" s="86" customFormat="1" x14ac:dyDescent="0.25">
      <c r="A109" s="245" t="s">
        <v>112</v>
      </c>
      <c r="B109" s="85"/>
      <c r="C109" s="96"/>
      <c r="D109" s="84"/>
      <c r="H109" s="87"/>
    </row>
    <row r="110" spans="1:8" s="86" customFormat="1" x14ac:dyDescent="0.25">
      <c r="A110" s="245" t="s">
        <v>113</v>
      </c>
      <c r="B110" s="85"/>
      <c r="C110" s="96"/>
      <c r="D110" s="84"/>
      <c r="H110" s="87"/>
    </row>
    <row r="111" spans="1:8" s="86" customFormat="1" x14ac:dyDescent="0.25">
      <c r="A111" s="84"/>
      <c r="B111" s="85"/>
      <c r="C111" s="96"/>
      <c r="D111" s="84"/>
      <c r="H111" s="87"/>
    </row>
    <row r="112" spans="1:8" s="86" customFormat="1" x14ac:dyDescent="0.25">
      <c r="A112" s="213" t="s">
        <v>114</v>
      </c>
      <c r="B112" s="159"/>
      <c r="C112" s="214"/>
      <c r="D112" s="159"/>
      <c r="E112" s="215"/>
      <c r="H112" s="87"/>
    </row>
    <row r="113" spans="1:9" s="86" customFormat="1" x14ac:dyDescent="0.25">
      <c r="A113" s="296">
        <f>SUM(A86,A105,A106)</f>
        <v>425391.08378220262</v>
      </c>
      <c r="B113" s="216" t="s">
        <v>27</v>
      </c>
      <c r="C113" s="201"/>
      <c r="D113" s="201"/>
      <c r="E113" s="202"/>
      <c r="H113" s="87"/>
    </row>
    <row r="114" spans="1:9" s="86" customFormat="1" x14ac:dyDescent="0.25">
      <c r="A114" s="217"/>
      <c r="B114" s="88"/>
      <c r="C114" s="88"/>
      <c r="D114" s="88"/>
      <c r="E114" s="204"/>
      <c r="H114" s="87"/>
    </row>
    <row r="115" spans="1:9" s="86" customFormat="1" x14ac:dyDescent="0.25">
      <c r="A115" s="217" t="s">
        <v>24</v>
      </c>
      <c r="B115" s="92" t="s">
        <v>11</v>
      </c>
      <c r="C115" s="88" t="s">
        <v>4</v>
      </c>
      <c r="D115" s="88" t="s">
        <v>72</v>
      </c>
      <c r="E115" s="218" t="s">
        <v>70</v>
      </c>
      <c r="H115" s="87"/>
    </row>
    <row r="116" spans="1:9" s="86" customFormat="1" x14ac:dyDescent="0.25">
      <c r="A116" s="208" t="s">
        <v>175</v>
      </c>
      <c r="B116" s="95">
        <f>A113</f>
        <v>425391.08378220262</v>
      </c>
      <c r="C116" s="95">
        <f t="shared" ref="C116:C125" si="7">-$A$113*10%</f>
        <v>-42539.108378220262</v>
      </c>
      <c r="D116" s="95">
        <f t="shared" ref="D116:D125" si="8">SUM(B116:C116)</f>
        <v>382851.97540398233</v>
      </c>
      <c r="E116" s="219">
        <f>D116-E89</f>
        <v>9691.3374326695921</v>
      </c>
      <c r="H116" s="87"/>
    </row>
    <row r="117" spans="1:9" s="86" customFormat="1" x14ac:dyDescent="0.25">
      <c r="A117" s="208" t="s">
        <v>176</v>
      </c>
      <c r="B117" s="95">
        <f t="shared" ref="B117:B125" si="9">D116</f>
        <v>382851.97540398233</v>
      </c>
      <c r="C117" s="95">
        <f t="shared" si="7"/>
        <v>-42539.108378220262</v>
      </c>
      <c r="D117" s="95">
        <f t="shared" si="8"/>
        <v>340312.8670257621</v>
      </c>
      <c r="E117" s="219">
        <f>D117-E90</f>
        <v>994.19715588371037</v>
      </c>
      <c r="H117" s="87"/>
    </row>
    <row r="118" spans="1:9" s="86" customFormat="1" x14ac:dyDescent="0.25">
      <c r="A118" s="208" t="s">
        <v>177</v>
      </c>
      <c r="B118" s="95">
        <f t="shared" si="9"/>
        <v>340312.8670257621</v>
      </c>
      <c r="C118" s="95">
        <f t="shared" si="7"/>
        <v>-42539.108378220262</v>
      </c>
      <c r="D118" s="95">
        <f t="shared" si="8"/>
        <v>297773.75864754186</v>
      </c>
      <c r="E118" s="219">
        <f>D118-E91</f>
        <v>-6010.8447158304625</v>
      </c>
      <c r="G118" s="245" t="s">
        <v>108</v>
      </c>
      <c r="H118" s="87"/>
    </row>
    <row r="119" spans="1:9" s="86" customFormat="1" x14ac:dyDescent="0.25">
      <c r="A119" s="208" t="s">
        <v>178</v>
      </c>
      <c r="B119" s="95">
        <f t="shared" si="9"/>
        <v>297773.75864754186</v>
      </c>
      <c r="C119" s="95">
        <f t="shared" si="7"/>
        <v>-42539.108378220262</v>
      </c>
      <c r="D119" s="95">
        <f t="shared" si="8"/>
        <v>255234.6502693216</v>
      </c>
      <c r="E119" s="219">
        <f>D119-E92</f>
        <v>-11239.183262219332</v>
      </c>
      <c r="H119" s="87"/>
    </row>
    <row r="120" spans="1:9" s="86" customFormat="1" x14ac:dyDescent="0.25">
      <c r="A120" s="208" t="s">
        <v>179</v>
      </c>
      <c r="B120" s="95">
        <f t="shared" si="9"/>
        <v>255234.6502693216</v>
      </c>
      <c r="C120" s="95">
        <f t="shared" si="7"/>
        <v>-42539.108378220262</v>
      </c>
      <c r="D120" s="95">
        <f t="shared" si="8"/>
        <v>212695.54189110134</v>
      </c>
      <c r="E120" s="219">
        <f>D120-E93</f>
        <v>-14601.983317016624</v>
      </c>
      <c r="H120" s="87"/>
    </row>
    <row r="121" spans="1:9" s="86" customFormat="1" x14ac:dyDescent="0.25">
      <c r="A121" s="208" t="s">
        <v>180</v>
      </c>
      <c r="B121" s="95">
        <f t="shared" si="9"/>
        <v>212695.54189110134</v>
      </c>
      <c r="C121" s="95">
        <f t="shared" si="7"/>
        <v>-42539.108378220262</v>
      </c>
      <c r="D121" s="95">
        <f t="shared" si="8"/>
        <v>170156.43351288108</v>
      </c>
      <c r="E121" s="219">
        <f>D121-E94</f>
        <v>-16005.967955642787</v>
      </c>
      <c r="G121" s="102" t="s">
        <v>156</v>
      </c>
      <c r="H121" s="85"/>
      <c r="I121" s="96"/>
    </row>
    <row r="122" spans="1:9" s="86" customFormat="1" x14ac:dyDescent="0.25">
      <c r="A122" s="208" t="s">
        <v>181</v>
      </c>
      <c r="B122" s="95">
        <f t="shared" si="9"/>
        <v>170156.43351288108</v>
      </c>
      <c r="C122" s="95">
        <f t="shared" si="7"/>
        <v>-42539.108378220262</v>
      </c>
      <c r="D122" s="95">
        <f t="shared" si="8"/>
        <v>127617.32513466082</v>
      </c>
      <c r="E122" s="219">
        <f>D122-E95</f>
        <v>-15353.196407289244</v>
      </c>
      <c r="G122" s="222">
        <f>SUM(B65:B73)+A105+A106</f>
        <v>520000</v>
      </c>
      <c r="H122" s="159" t="s">
        <v>0</v>
      </c>
      <c r="I122" s="215"/>
    </row>
    <row r="123" spans="1:9" s="86" customFormat="1" x14ac:dyDescent="0.25">
      <c r="A123" s="208" t="s">
        <v>182</v>
      </c>
      <c r="B123" s="95">
        <f t="shared" si="9"/>
        <v>127617.32513466082</v>
      </c>
      <c r="C123" s="95">
        <f t="shared" si="7"/>
        <v>-42539.108378220262</v>
      </c>
      <c r="D123" s="95">
        <f t="shared" si="8"/>
        <v>85078.216756440554</v>
      </c>
      <c r="E123" s="219">
        <f>D123-E96</f>
        <v>-12540.830862607021</v>
      </c>
      <c r="G123" s="223">
        <f>-SUM(C116:C125)</f>
        <v>425391.08378220256</v>
      </c>
      <c r="H123" s="201" t="s">
        <v>1</v>
      </c>
      <c r="I123" s="202"/>
    </row>
    <row r="124" spans="1:9" s="86" customFormat="1" x14ac:dyDescent="0.25">
      <c r="A124" s="208" t="s">
        <v>193</v>
      </c>
      <c r="B124" s="95">
        <f t="shared" si="9"/>
        <v>85078.216756440554</v>
      </c>
      <c r="C124" s="95">
        <f t="shared" si="7"/>
        <v>-42539.108378220262</v>
      </c>
      <c r="D124" s="95">
        <f t="shared" si="8"/>
        <v>42539.108378220291</v>
      </c>
      <c r="E124" s="219">
        <f>D124-E97</f>
        <v>-7460.891621779665</v>
      </c>
      <c r="G124" s="224">
        <f>SUM(D89:D98)</f>
        <v>94608.916217797319</v>
      </c>
      <c r="H124" s="88" t="s">
        <v>166</v>
      </c>
      <c r="I124" s="204"/>
    </row>
    <row r="125" spans="1:9" s="86" customFormat="1" x14ac:dyDescent="0.25">
      <c r="A125" s="210" t="s">
        <v>194</v>
      </c>
      <c r="B125" s="220">
        <f t="shared" si="9"/>
        <v>42539.108378220291</v>
      </c>
      <c r="C125" s="220">
        <f t="shared" si="7"/>
        <v>-42539.108378220262</v>
      </c>
      <c r="D125" s="220">
        <f t="shared" si="8"/>
        <v>0</v>
      </c>
      <c r="E125" s="221">
        <f>D125-E98</f>
        <v>0</v>
      </c>
      <c r="G125" s="225">
        <f>SUM(G123:G124)</f>
        <v>519999.99999999988</v>
      </c>
      <c r="H125" s="226" t="s">
        <v>2</v>
      </c>
      <c r="I125" s="227"/>
    </row>
    <row r="126" spans="1:9" x14ac:dyDescent="0.25">
      <c r="A126" s="108"/>
      <c r="B126" s="82"/>
      <c r="C126" s="77"/>
    </row>
    <row r="127" spans="1:9" x14ac:dyDescent="0.25">
      <c r="A127" s="266" t="s">
        <v>141</v>
      </c>
      <c r="B127" s="82"/>
      <c r="C127" s="77"/>
    </row>
    <row r="128" spans="1:9" x14ac:dyDescent="0.25">
      <c r="A128" s="108"/>
      <c r="B128" s="82"/>
      <c r="C128" s="77"/>
    </row>
    <row r="129" spans="1:12" x14ac:dyDescent="0.25">
      <c r="A129" s="108" t="s">
        <v>123</v>
      </c>
      <c r="B129" s="82"/>
      <c r="C129" s="77"/>
    </row>
    <row r="130" spans="1:12" x14ac:dyDescent="0.25">
      <c r="A130" s="108" t="s">
        <v>209</v>
      </c>
      <c r="B130" s="82"/>
      <c r="C130" s="77"/>
    </row>
    <row r="131" spans="1:12" x14ac:dyDescent="0.25">
      <c r="A131" s="1" t="s">
        <v>105</v>
      </c>
      <c r="E131" s="1"/>
    </row>
    <row r="132" spans="1:12" x14ac:dyDescent="0.25">
      <c r="E132" s="1"/>
    </row>
    <row r="133" spans="1:12" x14ac:dyDescent="0.25">
      <c r="A133" s="156" t="s">
        <v>155</v>
      </c>
      <c r="B133" s="157"/>
      <c r="C133" s="177"/>
      <c r="D133" s="29"/>
      <c r="E133" s="1"/>
    </row>
    <row r="134" spans="1:12" x14ac:dyDescent="0.25">
      <c r="A134" s="178">
        <v>5000000</v>
      </c>
      <c r="B134" s="179" t="s">
        <v>36</v>
      </c>
      <c r="C134" s="180"/>
      <c r="D134" s="29"/>
      <c r="E134" s="1"/>
    </row>
    <row r="135" spans="1:12" x14ac:dyDescent="0.25">
      <c r="A135" s="181">
        <v>-2000000</v>
      </c>
      <c r="B135" s="82" t="s">
        <v>6</v>
      </c>
      <c r="C135" s="182"/>
      <c r="D135" s="29"/>
      <c r="E135" s="1"/>
    </row>
    <row r="136" spans="1:12" x14ac:dyDescent="0.25">
      <c r="A136" s="183">
        <v>3000000</v>
      </c>
      <c r="B136" s="82" t="s">
        <v>42</v>
      </c>
      <c r="C136" s="182"/>
      <c r="D136" s="29"/>
      <c r="E136" s="1"/>
    </row>
    <row r="137" spans="1:12" x14ac:dyDescent="0.25">
      <c r="A137" s="184">
        <v>100000</v>
      </c>
      <c r="B137" s="171" t="s">
        <v>41</v>
      </c>
      <c r="C137" s="185"/>
      <c r="D137" s="29"/>
      <c r="E137" s="1"/>
    </row>
    <row r="138" spans="1:12" x14ac:dyDescent="0.25">
      <c r="A138" s="108"/>
      <c r="B138" s="82"/>
      <c r="C138" s="77"/>
    </row>
    <row r="139" spans="1:12" s="86" customFormat="1" x14ac:dyDescent="0.25">
      <c r="A139" s="86" t="s">
        <v>96</v>
      </c>
      <c r="B139" s="84"/>
      <c r="C139" s="84"/>
      <c r="D139" s="85"/>
      <c r="E139" s="96"/>
      <c r="F139" s="84"/>
      <c r="G139" s="94"/>
      <c r="J139" s="87"/>
    </row>
    <row r="140" spans="1:12" s="88" customFormat="1" x14ac:dyDescent="0.25">
      <c r="A140" s="97"/>
      <c r="B140" s="34"/>
      <c r="C140" s="48"/>
      <c r="D140" s="89"/>
      <c r="E140" s="48"/>
      <c r="F140" s="48"/>
      <c r="J140" s="98"/>
    </row>
    <row r="141" spans="1:12" s="86" customFormat="1" x14ac:dyDescent="0.25">
      <c r="A141" s="228" t="s">
        <v>97</v>
      </c>
      <c r="B141" s="229"/>
      <c r="C141" s="229"/>
      <c r="D141" s="230"/>
      <c r="E141" s="229"/>
      <c r="F141" s="229"/>
      <c r="G141" s="231"/>
      <c r="H141" s="99"/>
      <c r="I141" s="100"/>
      <c r="J141" s="99"/>
      <c r="K141" s="100"/>
      <c r="L141" s="101"/>
    </row>
    <row r="142" spans="1:12" s="86" customFormat="1" ht="27.85" customHeight="1" x14ac:dyDescent="0.25">
      <c r="A142" s="323" t="s">
        <v>24</v>
      </c>
      <c r="B142" s="324" t="s">
        <v>25</v>
      </c>
      <c r="C142" s="324" t="s">
        <v>210</v>
      </c>
      <c r="D142" s="325" t="s">
        <v>212</v>
      </c>
      <c r="E142" s="324" t="s">
        <v>211</v>
      </c>
      <c r="F142" s="326" t="s">
        <v>39</v>
      </c>
      <c r="G142" s="202"/>
      <c r="H142" s="101"/>
      <c r="I142" s="101"/>
      <c r="J142" s="103"/>
      <c r="K142" s="101"/>
      <c r="L142" s="101"/>
    </row>
    <row r="143" spans="1:12" s="86" customFormat="1" x14ac:dyDescent="0.25">
      <c r="A143" s="208" t="s">
        <v>175</v>
      </c>
      <c r="B143" s="109">
        <f>A136</f>
        <v>3000000</v>
      </c>
      <c r="C143" s="110">
        <f t="shared" ref="C143:C152" si="10">-$A$137</f>
        <v>-100000</v>
      </c>
      <c r="D143" s="109">
        <v>5000</v>
      </c>
      <c r="E143" s="110">
        <f t="shared" ref="E143:E152" si="11">-$D$143/10</f>
        <v>-500</v>
      </c>
      <c r="F143" s="109">
        <f>B143+C143+D143+E143</f>
        <v>2904500</v>
      </c>
      <c r="G143" s="204"/>
      <c r="H143" s="101"/>
      <c r="I143" s="101"/>
      <c r="J143" s="103"/>
      <c r="K143" s="101"/>
      <c r="L143" s="101"/>
    </row>
    <row r="144" spans="1:12" s="86" customFormat="1" x14ac:dyDescent="0.25">
      <c r="A144" s="208" t="s">
        <v>176</v>
      </c>
      <c r="B144" s="109">
        <f>F143</f>
        <v>2904500</v>
      </c>
      <c r="C144" s="110">
        <f t="shared" si="10"/>
        <v>-100000</v>
      </c>
      <c r="D144" s="89"/>
      <c r="E144" s="110">
        <f t="shared" si="11"/>
        <v>-500</v>
      </c>
      <c r="F144" s="109">
        <f t="shared" ref="F144:F152" si="12">B144+C144+D144+E144</f>
        <v>2804000</v>
      </c>
      <c r="G144" s="204"/>
      <c r="H144" s="104"/>
      <c r="I144" s="101"/>
      <c r="J144" s="105"/>
      <c r="K144" s="101"/>
      <c r="L144" s="101"/>
    </row>
    <row r="145" spans="1:12" s="86" customFormat="1" x14ac:dyDescent="0.25">
      <c r="A145" s="208" t="s">
        <v>177</v>
      </c>
      <c r="B145" s="109">
        <f t="shared" ref="B145:B152" si="13">F144</f>
        <v>2804000</v>
      </c>
      <c r="C145" s="110">
        <f t="shared" si="10"/>
        <v>-100000</v>
      </c>
      <c r="D145" s="89"/>
      <c r="E145" s="110">
        <f t="shared" si="11"/>
        <v>-500</v>
      </c>
      <c r="F145" s="109">
        <f t="shared" si="12"/>
        <v>2703500</v>
      </c>
      <c r="G145" s="204"/>
      <c r="H145" s="104"/>
      <c r="I145" s="101"/>
      <c r="J145" s="105"/>
      <c r="K145" s="101"/>
      <c r="L145" s="101"/>
    </row>
    <row r="146" spans="1:12" s="86" customFormat="1" x14ac:dyDescent="0.25">
      <c r="A146" s="208" t="s">
        <v>178</v>
      </c>
      <c r="B146" s="109">
        <f t="shared" si="13"/>
        <v>2703500</v>
      </c>
      <c r="C146" s="110">
        <f t="shared" si="10"/>
        <v>-100000</v>
      </c>
      <c r="D146" s="89"/>
      <c r="E146" s="110">
        <f t="shared" si="11"/>
        <v>-500</v>
      </c>
      <c r="F146" s="109">
        <f t="shared" si="12"/>
        <v>2603000</v>
      </c>
      <c r="G146" s="204"/>
      <c r="H146" s="104"/>
      <c r="I146" s="101"/>
      <c r="J146" s="105"/>
      <c r="K146" s="101"/>
      <c r="L146" s="101"/>
    </row>
    <row r="147" spans="1:12" s="86" customFormat="1" x14ac:dyDescent="0.25">
      <c r="A147" s="208" t="s">
        <v>179</v>
      </c>
      <c r="B147" s="109">
        <f t="shared" si="13"/>
        <v>2603000</v>
      </c>
      <c r="C147" s="110">
        <f t="shared" si="10"/>
        <v>-100000</v>
      </c>
      <c r="D147" s="89"/>
      <c r="E147" s="110">
        <f t="shared" si="11"/>
        <v>-500</v>
      </c>
      <c r="F147" s="109">
        <f t="shared" si="12"/>
        <v>2502500</v>
      </c>
      <c r="G147" s="204"/>
      <c r="H147" s="104"/>
      <c r="I147" s="101"/>
      <c r="J147" s="105"/>
      <c r="K147" s="101"/>
      <c r="L147" s="101"/>
    </row>
    <row r="148" spans="1:12" s="86" customFormat="1" x14ac:dyDescent="0.25">
      <c r="A148" s="208" t="s">
        <v>180</v>
      </c>
      <c r="B148" s="109">
        <f t="shared" si="13"/>
        <v>2502500</v>
      </c>
      <c r="C148" s="110">
        <f t="shared" si="10"/>
        <v>-100000</v>
      </c>
      <c r="D148" s="89"/>
      <c r="E148" s="110">
        <f t="shared" si="11"/>
        <v>-500</v>
      </c>
      <c r="F148" s="109">
        <f t="shared" si="12"/>
        <v>2402000</v>
      </c>
      <c r="G148" s="204"/>
      <c r="H148" s="104"/>
      <c r="I148" s="101"/>
      <c r="J148" s="105"/>
      <c r="K148" s="101"/>
      <c r="L148" s="101"/>
    </row>
    <row r="149" spans="1:12" s="86" customFormat="1" x14ac:dyDescent="0.25">
      <c r="A149" s="208" t="s">
        <v>181</v>
      </c>
      <c r="B149" s="109">
        <f t="shared" si="13"/>
        <v>2402000</v>
      </c>
      <c r="C149" s="110">
        <f t="shared" si="10"/>
        <v>-100000</v>
      </c>
      <c r="D149" s="89"/>
      <c r="E149" s="110">
        <f t="shared" si="11"/>
        <v>-500</v>
      </c>
      <c r="F149" s="109">
        <f t="shared" si="12"/>
        <v>2301500</v>
      </c>
      <c r="G149" s="204"/>
      <c r="H149" s="104"/>
      <c r="I149" s="101"/>
      <c r="J149" s="105"/>
      <c r="K149" s="101"/>
      <c r="L149" s="101"/>
    </row>
    <row r="150" spans="1:12" s="86" customFormat="1" x14ac:dyDescent="0.25">
      <c r="A150" s="208" t="s">
        <v>182</v>
      </c>
      <c r="B150" s="109">
        <f t="shared" si="13"/>
        <v>2301500</v>
      </c>
      <c r="C150" s="110">
        <f t="shared" si="10"/>
        <v>-100000</v>
      </c>
      <c r="D150" s="89"/>
      <c r="E150" s="110">
        <f t="shared" si="11"/>
        <v>-500</v>
      </c>
      <c r="F150" s="109">
        <f t="shared" si="12"/>
        <v>2201000</v>
      </c>
      <c r="G150" s="204"/>
      <c r="H150" s="104"/>
      <c r="I150" s="101"/>
      <c r="J150" s="105"/>
      <c r="K150" s="101"/>
      <c r="L150" s="101"/>
    </row>
    <row r="151" spans="1:12" s="86" customFormat="1" x14ac:dyDescent="0.25">
      <c r="A151" s="208" t="s">
        <v>193</v>
      </c>
      <c r="B151" s="109">
        <f t="shared" si="13"/>
        <v>2201000</v>
      </c>
      <c r="C151" s="110">
        <f t="shared" si="10"/>
        <v>-100000</v>
      </c>
      <c r="D151" s="89"/>
      <c r="E151" s="110">
        <f t="shared" si="11"/>
        <v>-500</v>
      </c>
      <c r="F151" s="109">
        <f t="shared" si="12"/>
        <v>2100500</v>
      </c>
      <c r="G151" s="204"/>
      <c r="H151" s="104"/>
      <c r="I151" s="101"/>
      <c r="J151" s="105"/>
      <c r="K151" s="101"/>
      <c r="L151" s="101"/>
    </row>
    <row r="152" spans="1:12" s="86" customFormat="1" x14ac:dyDescent="0.25">
      <c r="A152" s="210" t="s">
        <v>194</v>
      </c>
      <c r="B152" s="234">
        <f t="shared" si="13"/>
        <v>2100500</v>
      </c>
      <c r="C152" s="235">
        <f t="shared" si="10"/>
        <v>-100000</v>
      </c>
      <c r="D152" s="236"/>
      <c r="E152" s="235">
        <f t="shared" si="11"/>
        <v>-500</v>
      </c>
      <c r="F152" s="234">
        <f t="shared" si="12"/>
        <v>2000000</v>
      </c>
      <c r="G152" s="227"/>
      <c r="H152" s="104"/>
      <c r="I152" s="101"/>
      <c r="J152" s="105"/>
      <c r="K152" s="101"/>
      <c r="L152" s="101"/>
    </row>
    <row r="154" spans="1:12" x14ac:dyDescent="0.25">
      <c r="A154" s="266" t="s">
        <v>143</v>
      </c>
    </row>
    <row r="156" spans="1:12" s="86" customFormat="1" x14ac:dyDescent="0.25">
      <c r="A156" s="86" t="s">
        <v>170</v>
      </c>
      <c r="B156" s="84"/>
      <c r="C156" s="84"/>
      <c r="D156" s="85"/>
      <c r="E156" s="84"/>
      <c r="F156" s="84"/>
      <c r="H156" s="104"/>
      <c r="I156" s="101"/>
      <c r="J156" s="105"/>
      <c r="K156" s="101"/>
      <c r="L156" s="101"/>
    </row>
    <row r="157" spans="1:12" s="86" customFormat="1" x14ac:dyDescent="0.25">
      <c r="B157" s="84"/>
      <c r="C157" s="84"/>
      <c r="D157" s="85"/>
      <c r="E157" s="84"/>
      <c r="F157" s="84"/>
      <c r="J157" s="87"/>
    </row>
    <row r="158" spans="1:12" s="86" customFormat="1" x14ac:dyDescent="0.25">
      <c r="A158" s="228" t="s">
        <v>157</v>
      </c>
      <c r="B158" s="229"/>
      <c r="C158" s="237"/>
      <c r="D158" s="84"/>
      <c r="E158" s="84"/>
      <c r="I158" s="87"/>
    </row>
    <row r="159" spans="1:12" s="86" customFormat="1" x14ac:dyDescent="0.25">
      <c r="A159" s="232" t="s">
        <v>24</v>
      </c>
      <c r="B159" s="233" t="s">
        <v>37</v>
      </c>
      <c r="C159" s="238" t="s">
        <v>38</v>
      </c>
      <c r="D159" s="84"/>
      <c r="E159" s="84"/>
      <c r="I159" s="87"/>
    </row>
    <row r="160" spans="1:12" s="86" customFormat="1" x14ac:dyDescent="0.25">
      <c r="A160" s="208" t="s">
        <v>175</v>
      </c>
      <c r="B160" s="110">
        <f>A106</f>
        <v>50000</v>
      </c>
      <c r="C160" s="239">
        <f>B160</f>
        <v>50000</v>
      </c>
      <c r="D160" s="84"/>
      <c r="E160" s="84"/>
      <c r="I160" s="87"/>
    </row>
    <row r="161" spans="1:9" s="86" customFormat="1" x14ac:dyDescent="0.25">
      <c r="A161" s="208" t="s">
        <v>176</v>
      </c>
      <c r="B161" s="110">
        <f>-C90</f>
        <v>50000</v>
      </c>
      <c r="C161" s="239">
        <f t="shared" ref="C161:C169" si="14">B161</f>
        <v>50000</v>
      </c>
      <c r="D161" s="84"/>
      <c r="E161" s="84"/>
      <c r="I161" s="87"/>
    </row>
    <row r="162" spans="1:9" s="86" customFormat="1" x14ac:dyDescent="0.25">
      <c r="A162" s="208" t="s">
        <v>177</v>
      </c>
      <c r="B162" s="110">
        <f>-C91</f>
        <v>50000</v>
      </c>
      <c r="C162" s="239">
        <f t="shared" si="14"/>
        <v>50000</v>
      </c>
      <c r="D162" s="84"/>
      <c r="E162" s="84"/>
      <c r="I162" s="87"/>
    </row>
    <row r="163" spans="1:9" s="86" customFormat="1" x14ac:dyDescent="0.25">
      <c r="A163" s="208" t="s">
        <v>178</v>
      </c>
      <c r="B163" s="110">
        <f>-C92</f>
        <v>50000</v>
      </c>
      <c r="C163" s="239">
        <f t="shared" si="14"/>
        <v>50000</v>
      </c>
      <c r="D163" s="84"/>
      <c r="E163" s="84"/>
      <c r="I163" s="87"/>
    </row>
    <row r="164" spans="1:9" s="86" customFormat="1" x14ac:dyDescent="0.25">
      <c r="A164" s="208" t="s">
        <v>179</v>
      </c>
      <c r="B164" s="110">
        <f>-C93</f>
        <v>50000</v>
      </c>
      <c r="C164" s="239">
        <f t="shared" si="14"/>
        <v>50000</v>
      </c>
      <c r="D164" s="84"/>
      <c r="E164" s="84"/>
      <c r="I164" s="87"/>
    </row>
    <row r="165" spans="1:9" s="86" customFormat="1" x14ac:dyDescent="0.25">
      <c r="A165" s="208" t="s">
        <v>180</v>
      </c>
      <c r="B165" s="110">
        <f>-C94</f>
        <v>50000</v>
      </c>
      <c r="C165" s="239">
        <f t="shared" si="14"/>
        <v>50000</v>
      </c>
      <c r="D165" s="84"/>
      <c r="E165" s="84"/>
      <c r="I165" s="87"/>
    </row>
    <row r="166" spans="1:9" s="86" customFormat="1" x14ac:dyDescent="0.25">
      <c r="A166" s="208" t="s">
        <v>181</v>
      </c>
      <c r="B166" s="110">
        <f>-C95</f>
        <v>50000</v>
      </c>
      <c r="C166" s="239">
        <f t="shared" si="14"/>
        <v>50000</v>
      </c>
      <c r="D166" s="84"/>
      <c r="E166" s="84"/>
      <c r="I166" s="87"/>
    </row>
    <row r="167" spans="1:9" s="86" customFormat="1" x14ac:dyDescent="0.25">
      <c r="A167" s="208" t="s">
        <v>182</v>
      </c>
      <c r="B167" s="110">
        <f>-C96</f>
        <v>50000</v>
      </c>
      <c r="C167" s="239">
        <f t="shared" si="14"/>
        <v>50000</v>
      </c>
      <c r="D167" s="84"/>
      <c r="E167" s="84"/>
      <c r="I167" s="87"/>
    </row>
    <row r="168" spans="1:9" s="86" customFormat="1" x14ac:dyDescent="0.25">
      <c r="A168" s="208" t="s">
        <v>193</v>
      </c>
      <c r="B168" s="110">
        <f>-C97</f>
        <v>50000</v>
      </c>
      <c r="C168" s="239">
        <f t="shared" si="14"/>
        <v>50000</v>
      </c>
      <c r="D168" s="84"/>
      <c r="E168" s="84"/>
      <c r="I168" s="87"/>
    </row>
    <row r="169" spans="1:9" s="86" customFormat="1" x14ac:dyDescent="0.25">
      <c r="A169" s="210" t="s">
        <v>194</v>
      </c>
      <c r="B169" s="235">
        <f>-C98</f>
        <v>50000</v>
      </c>
      <c r="C169" s="240">
        <f t="shared" si="14"/>
        <v>50000</v>
      </c>
      <c r="D169" s="84"/>
      <c r="E169" s="84"/>
      <c r="I169" s="87"/>
    </row>
  </sheetData>
  <mergeCells count="3">
    <mergeCell ref="A34:J34"/>
    <mergeCell ref="A4:J4"/>
    <mergeCell ref="A30:J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8"/>
  <sheetViews>
    <sheetView showGridLines="0" zoomScale="85" zoomScaleNormal="85" workbookViewId="0">
      <selection activeCell="J33" sqref="J33"/>
    </sheetView>
  </sheetViews>
  <sheetFormatPr defaultRowHeight="14.3" outlineLevelCol="1" x14ac:dyDescent="0.25"/>
  <cols>
    <col min="1" max="1" width="44.875" style="2" customWidth="1"/>
    <col min="2" max="2" width="15.125" style="4" customWidth="1"/>
    <col min="3" max="3" width="24.75" style="6" customWidth="1"/>
    <col min="4" max="4" width="15.75" style="52" customWidth="1"/>
    <col min="5" max="5" width="26.375" style="4" customWidth="1"/>
    <col min="6" max="6" width="8.875" style="2" hidden="1" customWidth="1" outlineLevel="1"/>
    <col min="7" max="7" width="8.875" style="246" hidden="1" customWidth="1" outlineLevel="1"/>
    <col min="8" max="8" width="8.875" customWidth="1" collapsed="1"/>
    <col min="9" max="10" width="8.875" customWidth="1"/>
  </cols>
  <sheetData>
    <row r="1" spans="1:7" ht="14.95" x14ac:dyDescent="0.25">
      <c r="A1" s="60" t="s">
        <v>60</v>
      </c>
    </row>
    <row r="3" spans="1:7" x14ac:dyDescent="0.25">
      <c r="B3" s="40"/>
    </row>
    <row r="4" spans="1:7" ht="14.95" thickBot="1" x14ac:dyDescent="0.3">
      <c r="A4" s="3"/>
      <c r="B4" s="308" t="s">
        <v>13</v>
      </c>
      <c r="C4" s="309"/>
      <c r="D4" s="53" t="s">
        <v>12</v>
      </c>
    </row>
    <row r="5" spans="1:7" ht="18.7" customHeight="1" thickBot="1" x14ac:dyDescent="0.3">
      <c r="A5" s="59" t="s">
        <v>196</v>
      </c>
      <c r="B5" s="56" t="s">
        <v>8</v>
      </c>
      <c r="C5" s="57" t="s">
        <v>14</v>
      </c>
      <c r="D5" s="56" t="s">
        <v>9</v>
      </c>
      <c r="E5" s="57" t="s">
        <v>15</v>
      </c>
    </row>
    <row r="6" spans="1:7" ht="16.3" x14ac:dyDescent="0.3">
      <c r="A6" s="154" t="s">
        <v>5</v>
      </c>
      <c r="B6" s="10"/>
      <c r="C6" s="11"/>
      <c r="D6" s="50"/>
      <c r="E6" s="23"/>
    </row>
    <row r="7" spans="1:7" x14ac:dyDescent="0.25">
      <c r="A7" s="2" t="s">
        <v>159</v>
      </c>
      <c r="B7" s="17">
        <f>'Scenario and Data'!D89</f>
        <v>17769.554189110131</v>
      </c>
      <c r="C7" s="18"/>
      <c r="D7" s="17"/>
      <c r="E7" s="23"/>
      <c r="F7" s="42"/>
      <c r="G7" s="246" t="s">
        <v>109</v>
      </c>
    </row>
    <row r="8" spans="1:7" x14ac:dyDescent="0.25">
      <c r="A8" s="2" t="s">
        <v>98</v>
      </c>
      <c r="B8" s="19"/>
      <c r="C8" s="20">
        <f>-'Scenario and Data'!C116</f>
        <v>42539.108378220262</v>
      </c>
      <c r="D8" s="17"/>
      <c r="E8" s="13"/>
      <c r="F8" s="41"/>
      <c r="G8" s="246" t="s">
        <v>35</v>
      </c>
    </row>
    <row r="9" spans="1:7" x14ac:dyDescent="0.25">
      <c r="A9" s="2" t="s">
        <v>99</v>
      </c>
      <c r="B9" s="19"/>
      <c r="C9" s="18"/>
      <c r="D9" s="17">
        <f>-'Scenario and Data'!A106</f>
        <v>-50000</v>
      </c>
      <c r="E9" s="23"/>
      <c r="G9" s="246" t="s">
        <v>34</v>
      </c>
    </row>
    <row r="10" spans="1:7" x14ac:dyDescent="0.25">
      <c r="A10" s="2" t="s">
        <v>100</v>
      </c>
      <c r="B10" s="19"/>
      <c r="C10" s="18"/>
      <c r="D10" s="50"/>
      <c r="E10" s="45">
        <f>-'Scenario and Data'!C143-'Scenario and Data'!E143</f>
        <v>100500</v>
      </c>
      <c r="G10" s="246" t="s">
        <v>184</v>
      </c>
    </row>
    <row r="11" spans="1:7" ht="14.95" thickBot="1" x14ac:dyDescent="0.3">
      <c r="A11" s="3" t="s">
        <v>7</v>
      </c>
      <c r="B11" s="43">
        <f>SUM(B7:B10)</f>
        <v>17769.554189110131</v>
      </c>
      <c r="C11" s="44">
        <f>SUM(C7:C10)</f>
        <v>42539.108378220262</v>
      </c>
      <c r="D11" s="43">
        <f>SUM(D7:D10)</f>
        <v>-50000</v>
      </c>
      <c r="E11" s="15">
        <f>SUM(E7:E10)</f>
        <v>100500</v>
      </c>
    </row>
    <row r="12" spans="1:7" ht="15.65" thickTop="1" thickBot="1" x14ac:dyDescent="0.3">
      <c r="A12" s="3"/>
      <c r="B12" s="33"/>
      <c r="C12" s="33"/>
      <c r="D12" s="33"/>
      <c r="E12" s="25"/>
    </row>
    <row r="13" spans="1:7" ht="17" thickBot="1" x14ac:dyDescent="0.35">
      <c r="A13" s="154" t="s">
        <v>26</v>
      </c>
      <c r="B13" s="56" t="s">
        <v>8</v>
      </c>
      <c r="C13" s="57" t="s">
        <v>14</v>
      </c>
      <c r="D13" s="56" t="s">
        <v>9</v>
      </c>
      <c r="E13" s="57" t="s">
        <v>15</v>
      </c>
    </row>
    <row r="14" spans="1:7" x14ac:dyDescent="0.25">
      <c r="A14" s="9" t="s">
        <v>160</v>
      </c>
      <c r="B14" s="19"/>
      <c r="C14" s="26">
        <f>-B17</f>
        <v>355391.08378220262</v>
      </c>
      <c r="D14" s="50"/>
      <c r="E14" s="13"/>
      <c r="G14" s="247" t="s">
        <v>110</v>
      </c>
    </row>
    <row r="15" spans="1:7" x14ac:dyDescent="0.25">
      <c r="A15" s="9" t="s">
        <v>162</v>
      </c>
      <c r="B15" s="19"/>
      <c r="C15" s="26">
        <f>-B21</f>
        <v>50000</v>
      </c>
      <c r="D15" s="50"/>
      <c r="E15" s="13"/>
      <c r="G15" s="247" t="s">
        <v>30</v>
      </c>
    </row>
    <row r="16" spans="1:7" x14ac:dyDescent="0.25">
      <c r="A16" s="9" t="s">
        <v>161</v>
      </c>
      <c r="B16" s="19"/>
      <c r="C16" s="26">
        <f>'Scenario and Data'!A105</f>
        <v>20000</v>
      </c>
      <c r="D16" s="50"/>
      <c r="E16" s="13"/>
      <c r="G16" s="247" t="s">
        <v>171</v>
      </c>
    </row>
    <row r="17" spans="1:7" x14ac:dyDescent="0.25">
      <c r="A17" s="8" t="s">
        <v>163</v>
      </c>
      <c r="B17" s="17">
        <f>-'Scenario and Data'!A86</f>
        <v>-355391.08378220262</v>
      </c>
      <c r="C17" s="18"/>
      <c r="D17" s="50"/>
      <c r="E17" s="13"/>
      <c r="G17" s="247" t="s">
        <v>3</v>
      </c>
    </row>
    <row r="18" spans="1:7" x14ac:dyDescent="0.25">
      <c r="A18" s="2" t="s">
        <v>28</v>
      </c>
      <c r="B18" s="17">
        <f>-B7</f>
        <v>-17769.554189110131</v>
      </c>
      <c r="C18" s="18"/>
      <c r="D18" s="51"/>
      <c r="E18" s="13"/>
      <c r="G18" s="247" t="s">
        <v>31</v>
      </c>
    </row>
    <row r="19" spans="1:7" x14ac:dyDescent="0.25">
      <c r="A19" s="2" t="s">
        <v>213</v>
      </c>
      <c r="B19" s="17"/>
      <c r="C19" s="18"/>
      <c r="D19" s="51"/>
      <c r="E19" s="45">
        <f>'Scenario and Data'!D143</f>
        <v>5000</v>
      </c>
      <c r="G19" s="246" t="s">
        <v>189</v>
      </c>
    </row>
    <row r="20" spans="1:7" x14ac:dyDescent="0.25">
      <c r="A20" s="2" t="s">
        <v>6</v>
      </c>
      <c r="B20" s="19"/>
      <c r="C20" s="20">
        <f>-C8</f>
        <v>-42539.108378220262</v>
      </c>
      <c r="D20" s="17"/>
      <c r="E20" s="13">
        <f>-E10</f>
        <v>-100500</v>
      </c>
      <c r="G20" s="247" t="s">
        <v>29</v>
      </c>
    </row>
    <row r="21" spans="1:7" x14ac:dyDescent="0.25">
      <c r="A21" s="2" t="s">
        <v>164</v>
      </c>
      <c r="B21" s="17">
        <v>-50000</v>
      </c>
      <c r="C21" s="45"/>
      <c r="D21" s="17">
        <f>'Scenario and Data'!A106</f>
        <v>50000</v>
      </c>
      <c r="E21" s="23"/>
      <c r="G21" s="247" t="s">
        <v>122</v>
      </c>
    </row>
    <row r="22" spans="1:7" x14ac:dyDescent="0.25">
      <c r="A22" s="2" t="s">
        <v>214</v>
      </c>
      <c r="B22" s="17">
        <v>-20000</v>
      </c>
      <c r="C22" s="45"/>
      <c r="D22" s="17">
        <v>-5000</v>
      </c>
      <c r="E22" s="23"/>
      <c r="G22" s="247" t="s">
        <v>171</v>
      </c>
    </row>
    <row r="23" spans="1:7" x14ac:dyDescent="0.25">
      <c r="B23" s="17"/>
      <c r="C23" s="18"/>
      <c r="D23" s="50"/>
      <c r="E23" s="13"/>
      <c r="G23" s="247"/>
    </row>
    <row r="24" spans="1:7" ht="14.95" thickBot="1" x14ac:dyDescent="0.3">
      <c r="A24" s="279" t="s">
        <v>167</v>
      </c>
      <c r="B24" s="43">
        <f>SUM(B14:B23)</f>
        <v>-443160.63797131274</v>
      </c>
      <c r="C24" s="44">
        <f>SUM(C14:C23)</f>
        <v>382851.97540398233</v>
      </c>
      <c r="D24" s="43">
        <f>SUM(D14:D23)</f>
        <v>45000</v>
      </c>
      <c r="E24" s="15">
        <f>SUM(E14:E23)</f>
        <v>-95500</v>
      </c>
      <c r="G24" s="247"/>
    </row>
    <row r="25" spans="1:7" ht="14.95" thickTop="1" x14ac:dyDescent="0.25">
      <c r="B25" s="19"/>
      <c r="C25" s="18"/>
      <c r="D25" s="50"/>
      <c r="E25" s="13"/>
      <c r="G25" s="247"/>
    </row>
    <row r="26" spans="1:7" x14ac:dyDescent="0.25">
      <c r="A26" s="2" t="s">
        <v>18</v>
      </c>
      <c r="B26" s="17">
        <f>B17+B18</f>
        <v>-373160.63797131274</v>
      </c>
      <c r="C26" s="18"/>
      <c r="D26" s="50"/>
      <c r="E26" s="13"/>
      <c r="G26" s="247" t="s">
        <v>111</v>
      </c>
    </row>
    <row r="27" spans="1:7" x14ac:dyDescent="0.25">
      <c r="A27" s="2" t="s">
        <v>19</v>
      </c>
      <c r="B27" s="17"/>
      <c r="C27" s="45">
        <f>C24</f>
        <v>382851.97540398233</v>
      </c>
      <c r="D27" s="50"/>
      <c r="E27" s="13"/>
      <c r="G27" s="247" t="s">
        <v>32</v>
      </c>
    </row>
    <row r="28" spans="1:7" x14ac:dyDescent="0.25">
      <c r="A28" s="2" t="s">
        <v>101</v>
      </c>
      <c r="B28" s="19"/>
      <c r="C28" s="20"/>
      <c r="D28" s="17"/>
      <c r="E28" s="13">
        <f>'Scenario and Data'!A136+Accounting!E20+E19</f>
        <v>2904500</v>
      </c>
      <c r="G28" s="247"/>
    </row>
    <row r="29" spans="1:7" ht="14.95" thickBot="1" x14ac:dyDescent="0.3">
      <c r="A29" s="3" t="s">
        <v>16</v>
      </c>
      <c r="B29" s="43">
        <f>SUM(B26:B28)</f>
        <v>-373160.63797131274</v>
      </c>
      <c r="C29" s="44">
        <f>SUM(C26:C28)</f>
        <v>382851.97540398233</v>
      </c>
      <c r="D29" s="43"/>
      <c r="E29" s="15">
        <f>SUM(E26:E28)</f>
        <v>2904500</v>
      </c>
      <c r="G29" s="247"/>
    </row>
    <row r="30" spans="1:7" ht="14.95" thickTop="1" x14ac:dyDescent="0.25">
      <c r="B30" s="46"/>
      <c r="C30" s="47"/>
      <c r="D30" s="47"/>
      <c r="E30" s="24"/>
      <c r="G30" s="247"/>
    </row>
    <row r="31" spans="1:7" x14ac:dyDescent="0.25">
      <c r="B31" s="48"/>
      <c r="C31" s="49"/>
      <c r="D31" s="49"/>
      <c r="E31" s="5"/>
      <c r="G31" s="247"/>
    </row>
    <row r="32" spans="1:7" ht="14.95" thickBot="1" x14ac:dyDescent="0.3">
      <c r="B32" s="306" t="s">
        <v>13</v>
      </c>
      <c r="C32" s="307"/>
      <c r="D32" s="53" t="s">
        <v>12</v>
      </c>
      <c r="E32" s="5"/>
      <c r="G32" s="247"/>
    </row>
    <row r="33" spans="1:7" ht="17" customHeight="1" thickBot="1" x14ac:dyDescent="0.3">
      <c r="A33" s="59" t="s">
        <v>197</v>
      </c>
      <c r="B33" s="56" t="s">
        <v>8</v>
      </c>
      <c r="C33" s="58" t="s">
        <v>14</v>
      </c>
      <c r="D33" s="56" t="s">
        <v>9</v>
      </c>
      <c r="E33" s="57" t="s">
        <v>15</v>
      </c>
      <c r="G33" s="247"/>
    </row>
    <row r="34" spans="1:7" ht="16.3" x14ac:dyDescent="0.3">
      <c r="A34" s="154" t="s">
        <v>5</v>
      </c>
      <c r="B34" s="19"/>
      <c r="C34" s="49"/>
      <c r="D34" s="50"/>
      <c r="E34" s="23"/>
      <c r="G34" s="247"/>
    </row>
    <row r="35" spans="1:7" x14ac:dyDescent="0.25">
      <c r="A35" s="2" t="s">
        <v>159</v>
      </c>
      <c r="B35" s="17">
        <f>'Scenario and Data'!D90</f>
        <v>16158.031898565638</v>
      </c>
      <c r="C35" s="18"/>
      <c r="D35" s="17"/>
      <c r="E35" s="23"/>
      <c r="G35" s="248"/>
    </row>
    <row r="36" spans="1:7" x14ac:dyDescent="0.25">
      <c r="A36" s="2" t="s">
        <v>98</v>
      </c>
      <c r="B36" s="19"/>
      <c r="C36" s="20">
        <f>-'Scenario and Data'!C117</f>
        <v>42539.108378220262</v>
      </c>
      <c r="D36" s="17"/>
      <c r="E36" s="13"/>
      <c r="G36" s="247"/>
    </row>
    <row r="37" spans="1:7" x14ac:dyDescent="0.25">
      <c r="A37" s="2" t="s">
        <v>99</v>
      </c>
      <c r="B37" s="10"/>
      <c r="C37" s="11"/>
      <c r="D37" s="17">
        <f>-'Scenario and Data'!B161</f>
        <v>-50000</v>
      </c>
      <c r="E37" s="23"/>
      <c r="G37" s="247"/>
    </row>
    <row r="38" spans="1:7" x14ac:dyDescent="0.25">
      <c r="A38" s="2" t="s">
        <v>100</v>
      </c>
      <c r="B38" s="10"/>
      <c r="C38" s="11"/>
      <c r="D38" s="50"/>
      <c r="E38" s="13">
        <f>-'Scenario and Data'!C144-'Scenario and Data'!E144</f>
        <v>100500</v>
      </c>
      <c r="G38" s="247"/>
    </row>
    <row r="39" spans="1:7" ht="14.95" thickBot="1" x14ac:dyDescent="0.3">
      <c r="A39" s="3" t="s">
        <v>7</v>
      </c>
      <c r="B39" s="14">
        <f>SUM(B35:B38)</f>
        <v>16158.031898565638</v>
      </c>
      <c r="C39" s="15">
        <f>SUM(C35:C38)</f>
        <v>42539.108378220262</v>
      </c>
      <c r="D39" s="43">
        <f>SUM(D35:D38)</f>
        <v>-50000</v>
      </c>
      <c r="E39" s="15">
        <f>SUM(E35:E38)</f>
        <v>100500</v>
      </c>
      <c r="G39" s="247"/>
    </row>
    <row r="40" spans="1:7" ht="15.65" thickTop="1" thickBot="1" x14ac:dyDescent="0.3">
      <c r="A40" s="3"/>
      <c r="B40" s="38"/>
      <c r="C40" s="38"/>
      <c r="D40" s="39"/>
      <c r="E40" s="38"/>
      <c r="G40" s="247"/>
    </row>
    <row r="41" spans="1:7" ht="16.3" x14ac:dyDescent="0.3">
      <c r="A41" s="154" t="s">
        <v>26</v>
      </c>
      <c r="B41" s="35"/>
      <c r="C41" s="36"/>
      <c r="D41" s="54"/>
      <c r="E41" s="37"/>
      <c r="G41" s="247"/>
    </row>
    <row r="42" spans="1:7" x14ac:dyDescent="0.25">
      <c r="A42" s="2" t="s">
        <v>28</v>
      </c>
      <c r="B42" s="17">
        <f>-B35</f>
        <v>-16158.031898565638</v>
      </c>
      <c r="C42" s="18"/>
      <c r="D42" s="51"/>
      <c r="E42" s="13"/>
      <c r="G42" s="247"/>
    </row>
    <row r="43" spans="1:7" x14ac:dyDescent="0.25">
      <c r="A43" s="2" t="s">
        <v>6</v>
      </c>
      <c r="B43" s="19"/>
      <c r="C43" s="20">
        <f>-C36</f>
        <v>-42539.108378220262</v>
      </c>
      <c r="D43" s="17"/>
      <c r="E43" s="13">
        <f>-E38</f>
        <v>-100500</v>
      </c>
      <c r="G43" s="247"/>
    </row>
    <row r="44" spans="1:7" x14ac:dyDescent="0.25">
      <c r="A44" s="2" t="s">
        <v>17</v>
      </c>
      <c r="B44" s="17">
        <v>50000</v>
      </c>
      <c r="C44" s="20"/>
      <c r="D44" s="17"/>
      <c r="E44" s="13"/>
      <c r="G44" s="247"/>
    </row>
    <row r="45" spans="1:7" x14ac:dyDescent="0.25">
      <c r="A45" s="2" t="s">
        <v>164</v>
      </c>
      <c r="B45" s="12">
        <v>-50000</v>
      </c>
      <c r="C45" s="16"/>
      <c r="D45" s="17">
        <f>-D37</f>
        <v>50000</v>
      </c>
      <c r="E45" s="23"/>
      <c r="G45" s="247"/>
    </row>
    <row r="46" spans="1:7" x14ac:dyDescent="0.25">
      <c r="B46" s="12"/>
      <c r="C46" s="11"/>
      <c r="D46" s="50"/>
      <c r="E46" s="13"/>
      <c r="G46" s="247"/>
    </row>
    <row r="47" spans="1:7" ht="14.95" thickBot="1" x14ac:dyDescent="0.3">
      <c r="A47" s="280" t="s">
        <v>167</v>
      </c>
      <c r="B47" s="14">
        <f>SUM(B42:B45)</f>
        <v>-16158.031898565634</v>
      </c>
      <c r="C47" s="15">
        <f>SUM(C42:C45)</f>
        <v>-42539.108378220262</v>
      </c>
      <c r="D47" s="43">
        <f>SUM(D42:D45)</f>
        <v>50000</v>
      </c>
      <c r="E47" s="15">
        <f>SUM(E42:E45)</f>
        <v>-100500</v>
      </c>
      <c r="G47" s="247"/>
    </row>
    <row r="48" spans="1:7" ht="14.95" thickTop="1" x14ac:dyDescent="0.25">
      <c r="B48" s="10"/>
      <c r="C48" s="11"/>
      <c r="D48" s="50"/>
      <c r="E48" s="13"/>
      <c r="G48" s="247"/>
    </row>
    <row r="49" spans="1:7" x14ac:dyDescent="0.25">
      <c r="A49" s="2" t="s">
        <v>18</v>
      </c>
      <c r="B49" s="12">
        <f>B26+B42+B44</f>
        <v>-339318.66986987839</v>
      </c>
      <c r="C49" s="11"/>
      <c r="D49" s="50"/>
      <c r="E49" s="13"/>
      <c r="G49" s="247"/>
    </row>
    <row r="50" spans="1:7" x14ac:dyDescent="0.25">
      <c r="A50" s="2" t="s">
        <v>19</v>
      </c>
      <c r="B50" s="12"/>
      <c r="C50" s="16">
        <f>C27+C43</f>
        <v>340312.8670257621</v>
      </c>
      <c r="D50" s="50"/>
      <c r="E50" s="13"/>
      <c r="G50" s="247"/>
    </row>
    <row r="51" spans="1:7" x14ac:dyDescent="0.25">
      <c r="A51" s="2" t="s">
        <v>102</v>
      </c>
      <c r="B51" s="10"/>
      <c r="C51" s="13"/>
      <c r="D51" s="17"/>
      <c r="E51" s="13">
        <f>E28+E43</f>
        <v>2804000</v>
      </c>
      <c r="G51" s="247"/>
    </row>
    <row r="52" spans="1:7" ht="14.95" thickBot="1" x14ac:dyDescent="0.3">
      <c r="A52" s="3" t="s">
        <v>16</v>
      </c>
      <c r="B52" s="21">
        <f>SUM(B49:B51)</f>
        <v>-339318.66986987839</v>
      </c>
      <c r="C52" s="22">
        <f t="shared" ref="C52:E52" si="0">SUM(C49:C51)</f>
        <v>340312.8670257621</v>
      </c>
      <c r="D52" s="55">
        <f t="shared" si="0"/>
        <v>0</v>
      </c>
      <c r="E52" s="22">
        <f t="shared" si="0"/>
        <v>2804000</v>
      </c>
      <c r="G52" s="247"/>
    </row>
    <row r="53" spans="1:7" x14ac:dyDescent="0.25">
      <c r="G53" s="247"/>
    </row>
    <row r="54" spans="1:7" ht="14.95" thickBot="1" x14ac:dyDescent="0.3">
      <c r="B54" s="306" t="s">
        <v>13</v>
      </c>
      <c r="C54" s="307"/>
      <c r="D54" s="53" t="s">
        <v>12</v>
      </c>
      <c r="E54" s="5"/>
      <c r="G54" s="247"/>
    </row>
    <row r="55" spans="1:7" ht="16.149999999999999" customHeight="1" thickBot="1" x14ac:dyDescent="0.3">
      <c r="A55" s="59" t="s">
        <v>198</v>
      </c>
      <c r="B55" s="56" t="s">
        <v>8</v>
      </c>
      <c r="C55" s="58" t="s">
        <v>14</v>
      </c>
      <c r="D55" s="56" t="s">
        <v>9</v>
      </c>
      <c r="E55" s="57" t="s">
        <v>15</v>
      </c>
      <c r="G55" s="247"/>
    </row>
    <row r="56" spans="1:7" ht="16.3" x14ac:dyDescent="0.3">
      <c r="A56" s="154" t="s">
        <v>5</v>
      </c>
      <c r="B56" s="19"/>
      <c r="C56" s="49"/>
      <c r="D56" s="50"/>
      <c r="E56" s="23"/>
      <c r="G56" s="247"/>
    </row>
    <row r="57" spans="1:7" x14ac:dyDescent="0.25">
      <c r="A57" s="2" t="s">
        <v>159</v>
      </c>
      <c r="B57" s="17">
        <f>'Scenario and Data'!D91</f>
        <v>14465.93349349392</v>
      </c>
      <c r="C57" s="18"/>
      <c r="D57" s="17"/>
      <c r="E57" s="23"/>
      <c r="G57" s="248"/>
    </row>
    <row r="58" spans="1:7" x14ac:dyDescent="0.25">
      <c r="A58" s="2" t="s">
        <v>98</v>
      </c>
      <c r="B58" s="19"/>
      <c r="C58" s="20">
        <f>-'Scenario and Data'!C118</f>
        <v>42539.108378220262</v>
      </c>
      <c r="D58" s="17"/>
      <c r="E58" s="13"/>
      <c r="G58" s="247"/>
    </row>
    <row r="59" spans="1:7" x14ac:dyDescent="0.25">
      <c r="A59" s="2" t="s">
        <v>99</v>
      </c>
      <c r="B59" s="10"/>
      <c r="C59" s="11"/>
      <c r="D59" s="17">
        <v>-50000</v>
      </c>
      <c r="E59" s="23"/>
      <c r="G59" s="247"/>
    </row>
    <row r="60" spans="1:7" x14ac:dyDescent="0.25">
      <c r="A60" s="2" t="s">
        <v>100</v>
      </c>
      <c r="B60" s="10"/>
      <c r="C60" s="11"/>
      <c r="D60" s="50"/>
      <c r="E60" s="13">
        <f>-'Scenario and Data'!C145-'Scenario and Data'!E145</f>
        <v>100500</v>
      </c>
      <c r="G60" s="247"/>
    </row>
    <row r="61" spans="1:7" ht="14.95" thickBot="1" x14ac:dyDescent="0.3">
      <c r="A61" s="3" t="s">
        <v>7</v>
      </c>
      <c r="B61" s="14">
        <f>SUM(B57:B60)</f>
        <v>14465.93349349392</v>
      </c>
      <c r="C61" s="15">
        <f>SUM(C57:C60)</f>
        <v>42539.108378220262</v>
      </c>
      <c r="D61" s="43">
        <f>SUM(D57:D60)</f>
        <v>-50000</v>
      </c>
      <c r="E61" s="15">
        <f>SUM(E57:E60)</f>
        <v>100500</v>
      </c>
      <c r="G61" s="247"/>
    </row>
    <row r="62" spans="1:7" ht="15.65" thickTop="1" thickBot="1" x14ac:dyDescent="0.3">
      <c r="A62" s="3"/>
      <c r="B62" s="38"/>
      <c r="C62" s="38"/>
      <c r="D62" s="39"/>
      <c r="E62" s="38"/>
      <c r="G62" s="247"/>
    </row>
    <row r="63" spans="1:7" ht="16.3" x14ac:dyDescent="0.3">
      <c r="A63" s="154" t="s">
        <v>26</v>
      </c>
      <c r="B63" s="35"/>
      <c r="C63" s="36"/>
      <c r="D63" s="54"/>
      <c r="E63" s="37"/>
      <c r="G63" s="247"/>
    </row>
    <row r="64" spans="1:7" x14ac:dyDescent="0.25">
      <c r="A64" s="2" t="s">
        <v>28</v>
      </c>
      <c r="B64" s="17">
        <f>-B57</f>
        <v>-14465.93349349392</v>
      </c>
      <c r="C64" s="18"/>
      <c r="D64" s="51"/>
      <c r="E64" s="13"/>
      <c r="G64" s="247"/>
    </row>
    <row r="65" spans="1:7" x14ac:dyDescent="0.25">
      <c r="A65" s="2" t="s">
        <v>6</v>
      </c>
      <c r="B65" s="19"/>
      <c r="C65" s="20">
        <f>-C58</f>
        <v>-42539.108378220262</v>
      </c>
      <c r="D65" s="17"/>
      <c r="E65" s="13">
        <f>-E60</f>
        <v>-100500</v>
      </c>
      <c r="G65" s="247"/>
    </row>
    <row r="66" spans="1:7" x14ac:dyDescent="0.25">
      <c r="A66" s="2" t="s">
        <v>17</v>
      </c>
      <c r="B66" s="17">
        <v>50000</v>
      </c>
      <c r="C66" s="20"/>
      <c r="D66" s="17"/>
      <c r="E66" s="13"/>
      <c r="G66" s="247"/>
    </row>
    <row r="67" spans="1:7" x14ac:dyDescent="0.25">
      <c r="A67" s="2" t="s">
        <v>164</v>
      </c>
      <c r="B67" s="12">
        <v>-50000</v>
      </c>
      <c r="C67" s="16"/>
      <c r="D67" s="17">
        <v>50000</v>
      </c>
      <c r="E67" s="23"/>
      <c r="G67" s="247"/>
    </row>
    <row r="68" spans="1:7" x14ac:dyDescent="0.25">
      <c r="B68" s="12"/>
      <c r="C68" s="11"/>
      <c r="D68" s="50"/>
      <c r="E68" s="13"/>
      <c r="G68" s="247"/>
    </row>
    <row r="69" spans="1:7" ht="14.95" thickBot="1" x14ac:dyDescent="0.3">
      <c r="A69" s="281" t="s">
        <v>167</v>
      </c>
      <c r="B69" s="14">
        <f>SUM(B64:B67)</f>
        <v>-14465.933493493918</v>
      </c>
      <c r="C69" s="15">
        <f>SUM(C64:C67)</f>
        <v>-42539.108378220262</v>
      </c>
      <c r="D69" s="43">
        <f>SUM(D64:D67)</f>
        <v>50000</v>
      </c>
      <c r="E69" s="15">
        <f>SUM(E64:E67)</f>
        <v>-100500</v>
      </c>
      <c r="G69" s="247"/>
    </row>
    <row r="70" spans="1:7" ht="14.95" thickTop="1" x14ac:dyDescent="0.25">
      <c r="B70" s="10"/>
      <c r="C70" s="11"/>
      <c r="D70" s="50"/>
      <c r="E70" s="13"/>
      <c r="G70" s="247"/>
    </row>
    <row r="71" spans="1:7" x14ac:dyDescent="0.25">
      <c r="A71" s="2" t="s">
        <v>18</v>
      </c>
      <c r="B71" s="12">
        <f>B49+B64+B66</f>
        <v>-303784.60336337233</v>
      </c>
      <c r="C71" s="11"/>
      <c r="D71" s="50"/>
      <c r="E71" s="13"/>
      <c r="G71" s="247"/>
    </row>
    <row r="72" spans="1:7" x14ac:dyDescent="0.25">
      <c r="A72" s="2" t="s">
        <v>19</v>
      </c>
      <c r="B72" s="12"/>
      <c r="C72" s="16">
        <f>C50+C65</f>
        <v>297773.75864754186</v>
      </c>
      <c r="D72" s="50"/>
      <c r="E72" s="13"/>
      <c r="G72" s="247"/>
    </row>
    <row r="73" spans="1:7" x14ac:dyDescent="0.25">
      <c r="A73" s="2" t="s">
        <v>102</v>
      </c>
      <c r="B73" s="10"/>
      <c r="C73" s="13"/>
      <c r="D73" s="17"/>
      <c r="E73" s="13">
        <f>E51+E65</f>
        <v>2703500</v>
      </c>
      <c r="G73" s="247"/>
    </row>
    <row r="74" spans="1:7" ht="14.95" thickBot="1" x14ac:dyDescent="0.3">
      <c r="A74" s="3" t="s">
        <v>16</v>
      </c>
      <c r="B74" s="21">
        <f>SUM(B71:B73)</f>
        <v>-303784.60336337233</v>
      </c>
      <c r="C74" s="22">
        <f t="shared" ref="C74:E74" si="1">SUM(C71:C73)</f>
        <v>297773.75864754186</v>
      </c>
      <c r="D74" s="55">
        <f t="shared" si="1"/>
        <v>0</v>
      </c>
      <c r="E74" s="22">
        <f t="shared" si="1"/>
        <v>2703500</v>
      </c>
      <c r="G74" s="247"/>
    </row>
    <row r="75" spans="1:7" x14ac:dyDescent="0.25">
      <c r="G75" s="247"/>
    </row>
    <row r="76" spans="1:7" ht="14.95" thickBot="1" x14ac:dyDescent="0.3">
      <c r="B76" s="306" t="s">
        <v>13</v>
      </c>
      <c r="C76" s="307"/>
      <c r="D76" s="53" t="s">
        <v>12</v>
      </c>
      <c r="E76" s="5"/>
      <c r="G76" s="247"/>
    </row>
    <row r="77" spans="1:7" ht="14.95" thickBot="1" x14ac:dyDescent="0.3">
      <c r="A77" s="59" t="s">
        <v>199</v>
      </c>
      <c r="B77" s="56" t="s">
        <v>8</v>
      </c>
      <c r="C77" s="58" t="s">
        <v>14</v>
      </c>
      <c r="D77" s="56" t="s">
        <v>9</v>
      </c>
      <c r="E77" s="57" t="s">
        <v>15</v>
      </c>
      <c r="G77" s="247"/>
    </row>
    <row r="78" spans="1:7" ht="16.3" x14ac:dyDescent="0.3">
      <c r="A78" s="154" t="s">
        <v>5</v>
      </c>
      <c r="B78" s="19"/>
      <c r="C78" s="49"/>
      <c r="D78" s="50"/>
      <c r="E78" s="23"/>
      <c r="G78" s="247"/>
    </row>
    <row r="79" spans="1:7" x14ac:dyDescent="0.25">
      <c r="A79" s="2" t="s">
        <v>159</v>
      </c>
      <c r="B79" s="17">
        <f>'Scenario and Data'!D92</f>
        <v>12689.230168168617</v>
      </c>
      <c r="C79" s="18"/>
      <c r="D79" s="51"/>
      <c r="E79" s="23"/>
      <c r="G79" s="247"/>
    </row>
    <row r="80" spans="1:7" x14ac:dyDescent="0.25">
      <c r="A80" s="2" t="s">
        <v>98</v>
      </c>
      <c r="B80" s="19"/>
      <c r="C80" s="20">
        <f>-'Scenario and Data'!C119</f>
        <v>42539.108378220262</v>
      </c>
      <c r="D80" s="17"/>
      <c r="E80" s="13"/>
      <c r="G80" s="247"/>
    </row>
    <row r="81" spans="1:7" x14ac:dyDescent="0.25">
      <c r="A81" s="2" t="s">
        <v>99</v>
      </c>
      <c r="B81" s="10"/>
      <c r="C81" s="11"/>
      <c r="D81" s="17">
        <v>-50000</v>
      </c>
      <c r="E81" s="23"/>
      <c r="G81" s="247"/>
    </row>
    <row r="82" spans="1:7" x14ac:dyDescent="0.25">
      <c r="A82" s="2" t="s">
        <v>100</v>
      </c>
      <c r="B82" s="10"/>
      <c r="C82" s="11"/>
      <c r="D82" s="50"/>
      <c r="E82" s="13">
        <f>-'Scenario and Data'!C146-'Scenario and Data'!E146</f>
        <v>100500</v>
      </c>
      <c r="G82" s="247"/>
    </row>
    <row r="83" spans="1:7" ht="14.95" thickBot="1" x14ac:dyDescent="0.3">
      <c r="A83" s="3" t="s">
        <v>7</v>
      </c>
      <c r="B83" s="14">
        <f>SUM(B79:B82)</f>
        <v>12689.230168168617</v>
      </c>
      <c r="C83" s="15">
        <f>SUM(C79:C82)</f>
        <v>42539.108378220262</v>
      </c>
      <c r="D83" s="43">
        <f>SUM(D79:D82)</f>
        <v>-50000</v>
      </c>
      <c r="E83" s="15">
        <f>SUM(E79:E82)</f>
        <v>100500</v>
      </c>
      <c r="G83" s="247"/>
    </row>
    <row r="84" spans="1:7" ht="15.65" thickTop="1" thickBot="1" x14ac:dyDescent="0.3">
      <c r="A84" s="3"/>
      <c r="B84" s="38"/>
      <c r="C84" s="38"/>
      <c r="D84" s="39"/>
      <c r="E84" s="38"/>
      <c r="G84" s="247"/>
    </row>
    <row r="85" spans="1:7" ht="16.3" x14ac:dyDescent="0.3">
      <c r="A85" s="154" t="s">
        <v>26</v>
      </c>
      <c r="B85" s="35"/>
      <c r="C85" s="36"/>
      <c r="D85" s="54"/>
      <c r="E85" s="37"/>
      <c r="G85" s="247"/>
    </row>
    <row r="86" spans="1:7" x14ac:dyDescent="0.25">
      <c r="A86" s="2" t="s">
        <v>28</v>
      </c>
      <c r="B86" s="17">
        <f>-B79</f>
        <v>-12689.230168168617</v>
      </c>
      <c r="C86" s="18"/>
      <c r="D86" s="51"/>
      <c r="E86" s="13"/>
      <c r="G86" s="247"/>
    </row>
    <row r="87" spans="1:7" x14ac:dyDescent="0.25">
      <c r="A87" s="2" t="s">
        <v>6</v>
      </c>
      <c r="B87" s="19"/>
      <c r="C87" s="20">
        <f>-C80</f>
        <v>-42539.108378220262</v>
      </c>
      <c r="D87" s="17"/>
      <c r="E87" s="13">
        <f>-E82</f>
        <v>-100500</v>
      </c>
      <c r="G87" s="247"/>
    </row>
    <row r="88" spans="1:7" x14ac:dyDescent="0.25">
      <c r="A88" s="2" t="s">
        <v>17</v>
      </c>
      <c r="B88" s="17">
        <v>50000</v>
      </c>
      <c r="C88" s="20"/>
      <c r="D88" s="17"/>
      <c r="E88" s="13"/>
      <c r="G88" s="247"/>
    </row>
    <row r="89" spans="1:7" x14ac:dyDescent="0.25">
      <c r="A89" s="2" t="s">
        <v>164</v>
      </c>
      <c r="B89" s="12">
        <v>-50000</v>
      </c>
      <c r="C89" s="16"/>
      <c r="D89" s="17">
        <v>50000</v>
      </c>
      <c r="E89" s="23"/>
      <c r="G89" s="247"/>
    </row>
    <row r="90" spans="1:7" x14ac:dyDescent="0.25">
      <c r="B90" s="12"/>
      <c r="C90" s="11"/>
      <c r="D90" s="50"/>
      <c r="E90" s="13"/>
      <c r="G90" s="247"/>
    </row>
    <row r="91" spans="1:7" ht="14.95" thickBot="1" x14ac:dyDescent="0.3">
      <c r="A91" s="282" t="s">
        <v>167</v>
      </c>
      <c r="B91" s="14">
        <f>SUM(B86:B89)</f>
        <v>-12689.230168168615</v>
      </c>
      <c r="C91" s="15">
        <f>SUM(C86:C89)</f>
        <v>-42539.108378220262</v>
      </c>
      <c r="D91" s="43">
        <f>SUM(D86:D89)</f>
        <v>50000</v>
      </c>
      <c r="E91" s="15">
        <f>SUM(E86:E89)</f>
        <v>-100500</v>
      </c>
      <c r="G91" s="247"/>
    </row>
    <row r="92" spans="1:7" ht="14.95" thickTop="1" x14ac:dyDescent="0.25">
      <c r="B92" s="10"/>
      <c r="C92" s="11"/>
      <c r="D92" s="50"/>
      <c r="E92" s="13"/>
      <c r="G92" s="247"/>
    </row>
    <row r="93" spans="1:7" x14ac:dyDescent="0.25">
      <c r="A93" s="2" t="s">
        <v>18</v>
      </c>
      <c r="B93" s="12">
        <f>B71+B86+B88</f>
        <v>-266473.83353154093</v>
      </c>
      <c r="C93" s="11"/>
      <c r="D93" s="50"/>
      <c r="E93" s="13"/>
      <c r="G93" s="247"/>
    </row>
    <row r="94" spans="1:7" x14ac:dyDescent="0.25">
      <c r="A94" s="2" t="s">
        <v>19</v>
      </c>
      <c r="B94" s="12"/>
      <c r="C94" s="16">
        <f>C72+C87</f>
        <v>255234.6502693216</v>
      </c>
      <c r="D94" s="50"/>
      <c r="E94" s="13"/>
      <c r="G94" s="247"/>
    </row>
    <row r="95" spans="1:7" x14ac:dyDescent="0.25">
      <c r="A95" s="2" t="s">
        <v>102</v>
      </c>
      <c r="B95" s="10"/>
      <c r="C95" s="13"/>
      <c r="D95" s="17"/>
      <c r="E95" s="13">
        <f>E73+E87</f>
        <v>2603000</v>
      </c>
      <c r="G95" s="247"/>
    </row>
    <row r="96" spans="1:7" ht="14.95" thickBot="1" x14ac:dyDescent="0.3">
      <c r="A96" s="3" t="s">
        <v>16</v>
      </c>
      <c r="B96" s="21">
        <f>SUM(B93:B95)</f>
        <v>-266473.83353154093</v>
      </c>
      <c r="C96" s="22">
        <f t="shared" ref="C96:E96" si="2">SUM(C93:C95)</f>
        <v>255234.6502693216</v>
      </c>
      <c r="D96" s="55">
        <f t="shared" si="2"/>
        <v>0</v>
      </c>
      <c r="E96" s="22">
        <f t="shared" si="2"/>
        <v>2603000</v>
      </c>
      <c r="G96" s="247"/>
    </row>
    <row r="97" spans="1:7" x14ac:dyDescent="0.25">
      <c r="G97" s="247"/>
    </row>
    <row r="98" spans="1:7" ht="14.95" thickBot="1" x14ac:dyDescent="0.3">
      <c r="B98" s="306" t="s">
        <v>13</v>
      </c>
      <c r="C98" s="307"/>
      <c r="D98" s="53" t="s">
        <v>12</v>
      </c>
      <c r="E98" s="5"/>
      <c r="G98" s="247"/>
    </row>
    <row r="99" spans="1:7" ht="18.7" customHeight="1" thickBot="1" x14ac:dyDescent="0.3">
      <c r="A99" s="59" t="s">
        <v>200</v>
      </c>
      <c r="B99" s="56" t="s">
        <v>8</v>
      </c>
      <c r="C99" s="58" t="s">
        <v>14</v>
      </c>
      <c r="D99" s="56" t="s">
        <v>9</v>
      </c>
      <c r="E99" s="57" t="s">
        <v>15</v>
      </c>
      <c r="G99" s="247"/>
    </row>
    <row r="100" spans="1:7" ht="16.3" x14ac:dyDescent="0.3">
      <c r="A100" s="154" t="s">
        <v>5</v>
      </c>
      <c r="B100" s="19"/>
      <c r="C100" s="49"/>
      <c r="D100" s="50"/>
      <c r="E100" s="23"/>
      <c r="G100" s="247"/>
    </row>
    <row r="101" spans="1:7" x14ac:dyDescent="0.25">
      <c r="A101" s="2" t="s">
        <v>159</v>
      </c>
      <c r="B101" s="17">
        <f>'Scenario and Data'!D93</f>
        <v>10823.691676577047</v>
      </c>
      <c r="C101" s="18"/>
      <c r="D101" s="17"/>
      <c r="E101" s="23"/>
      <c r="G101" s="247"/>
    </row>
    <row r="102" spans="1:7" x14ac:dyDescent="0.25">
      <c r="A102" s="2" t="s">
        <v>98</v>
      </c>
      <c r="B102" s="19"/>
      <c r="C102" s="20">
        <f>-'Scenario and Data'!C120</f>
        <v>42539.108378220262</v>
      </c>
      <c r="D102" s="17"/>
      <c r="E102" s="13"/>
      <c r="G102" s="247"/>
    </row>
    <row r="103" spans="1:7" x14ac:dyDescent="0.25">
      <c r="A103" s="2" t="s">
        <v>99</v>
      </c>
      <c r="B103" s="10"/>
      <c r="C103" s="11"/>
      <c r="D103" s="17">
        <v>-50000</v>
      </c>
      <c r="E103" s="23"/>
      <c r="G103" s="247"/>
    </row>
    <row r="104" spans="1:7" x14ac:dyDescent="0.25">
      <c r="A104" s="2" t="s">
        <v>100</v>
      </c>
      <c r="B104" s="10"/>
      <c r="C104" s="11"/>
      <c r="D104" s="50"/>
      <c r="E104" s="13">
        <f>-'Scenario and Data'!C146-'Scenario and Data'!E146</f>
        <v>100500</v>
      </c>
      <c r="G104" s="247"/>
    </row>
    <row r="105" spans="1:7" ht="14.95" thickBot="1" x14ac:dyDescent="0.3">
      <c r="A105" s="3" t="s">
        <v>7</v>
      </c>
      <c r="B105" s="14">
        <f>SUM(B101:B104)</f>
        <v>10823.691676577047</v>
      </c>
      <c r="C105" s="15">
        <f>SUM(C101:C104)</f>
        <v>42539.108378220262</v>
      </c>
      <c r="D105" s="43">
        <f>SUM(D101:D104)</f>
        <v>-50000</v>
      </c>
      <c r="E105" s="15">
        <f>SUM(E101:E104)</f>
        <v>100500</v>
      </c>
    </row>
    <row r="106" spans="1:7" ht="15.65" thickTop="1" thickBot="1" x14ac:dyDescent="0.3">
      <c r="A106" s="3"/>
      <c r="B106" s="38"/>
      <c r="C106" s="38"/>
      <c r="D106" s="39"/>
      <c r="E106" s="38"/>
    </row>
    <row r="107" spans="1:7" ht="16.3" x14ac:dyDescent="0.3">
      <c r="A107" s="154" t="s">
        <v>26</v>
      </c>
      <c r="B107" s="35"/>
      <c r="C107" s="36"/>
      <c r="D107" s="54"/>
      <c r="E107" s="37"/>
    </row>
    <row r="108" spans="1:7" x14ac:dyDescent="0.25">
      <c r="A108" s="2" t="s">
        <v>28</v>
      </c>
      <c r="B108" s="17">
        <f>-B101</f>
        <v>-10823.691676577047</v>
      </c>
      <c r="C108" s="18"/>
      <c r="D108" s="51"/>
      <c r="E108" s="13"/>
    </row>
    <row r="109" spans="1:7" x14ac:dyDescent="0.25">
      <c r="A109" s="2" t="s">
        <v>6</v>
      </c>
      <c r="B109" s="19"/>
      <c r="C109" s="20">
        <f>-C102</f>
        <v>-42539.108378220262</v>
      </c>
      <c r="D109" s="17"/>
      <c r="E109" s="13">
        <f>-E104</f>
        <v>-100500</v>
      </c>
    </row>
    <row r="110" spans="1:7" x14ac:dyDescent="0.25">
      <c r="A110" s="2" t="s">
        <v>17</v>
      </c>
      <c r="B110" s="17">
        <v>50000</v>
      </c>
      <c r="C110" s="20"/>
      <c r="D110" s="17"/>
      <c r="E110" s="13"/>
    </row>
    <row r="111" spans="1:7" x14ac:dyDescent="0.25">
      <c r="A111" s="2" t="s">
        <v>164</v>
      </c>
      <c r="B111" s="12">
        <v>-50000</v>
      </c>
      <c r="C111" s="16"/>
      <c r="D111" s="17">
        <v>50000</v>
      </c>
      <c r="E111" s="23"/>
    </row>
    <row r="112" spans="1:7" x14ac:dyDescent="0.25">
      <c r="B112" s="12"/>
      <c r="C112" s="11"/>
      <c r="D112" s="50"/>
      <c r="E112" s="13"/>
    </row>
    <row r="113" spans="1:5" ht="14.95" thickBot="1" x14ac:dyDescent="0.3">
      <c r="A113" s="283" t="s">
        <v>167</v>
      </c>
      <c r="B113" s="14">
        <f>SUM(B108:B111)</f>
        <v>-10823.691676577044</v>
      </c>
      <c r="C113" s="15">
        <f>SUM(C108:C111)</f>
        <v>-42539.108378220262</v>
      </c>
      <c r="D113" s="43">
        <f>SUM(D108:D111)</f>
        <v>50000</v>
      </c>
      <c r="E113" s="15">
        <f>SUM(E108:E111)</f>
        <v>-100500</v>
      </c>
    </row>
    <row r="114" spans="1:5" ht="14.95" thickTop="1" x14ac:dyDescent="0.25">
      <c r="B114" s="10"/>
      <c r="C114" s="11"/>
      <c r="D114" s="50"/>
      <c r="E114" s="13"/>
    </row>
    <row r="115" spans="1:5" x14ac:dyDescent="0.25">
      <c r="A115" s="2" t="s">
        <v>18</v>
      </c>
      <c r="B115" s="12">
        <f>B93+B108+B110</f>
        <v>-227297.52520811796</v>
      </c>
      <c r="C115" s="11"/>
      <c r="D115" s="50"/>
      <c r="E115" s="13"/>
    </row>
    <row r="116" spans="1:5" x14ac:dyDescent="0.25">
      <c r="A116" s="2" t="s">
        <v>19</v>
      </c>
      <c r="B116" s="12"/>
      <c r="C116" s="16">
        <f>C94+C109</f>
        <v>212695.54189110134</v>
      </c>
      <c r="D116" s="50"/>
      <c r="E116" s="13"/>
    </row>
    <row r="117" spans="1:5" x14ac:dyDescent="0.25">
      <c r="A117" s="2" t="s">
        <v>101</v>
      </c>
      <c r="B117" s="10"/>
      <c r="C117" s="13"/>
      <c r="D117" s="17"/>
      <c r="E117" s="13">
        <f>E95+E109</f>
        <v>2502500</v>
      </c>
    </row>
    <row r="118" spans="1:5" ht="14.95" thickBot="1" x14ac:dyDescent="0.3">
      <c r="A118" s="3" t="s">
        <v>16</v>
      </c>
      <c r="B118" s="21">
        <f>SUM(B115:B117)</f>
        <v>-227297.52520811796</v>
      </c>
      <c r="C118" s="22">
        <f t="shared" ref="C118:E118" si="3">SUM(C115:C117)</f>
        <v>212695.54189110134</v>
      </c>
      <c r="D118" s="55">
        <f t="shared" si="3"/>
        <v>0</v>
      </c>
      <c r="E118" s="22">
        <f t="shared" si="3"/>
        <v>2502500</v>
      </c>
    </row>
    <row r="120" spans="1:5" ht="14.95" thickBot="1" x14ac:dyDescent="0.3">
      <c r="B120" s="306" t="s">
        <v>13</v>
      </c>
      <c r="C120" s="307"/>
      <c r="D120" s="53" t="s">
        <v>12</v>
      </c>
      <c r="E120" s="5"/>
    </row>
    <row r="121" spans="1:5" ht="19.2" customHeight="1" thickBot="1" x14ac:dyDescent="0.3">
      <c r="A121" s="59" t="s">
        <v>201</v>
      </c>
      <c r="B121" s="56" t="s">
        <v>8</v>
      </c>
      <c r="C121" s="58" t="s">
        <v>14</v>
      </c>
      <c r="D121" s="56" t="s">
        <v>9</v>
      </c>
      <c r="E121" s="57" t="s">
        <v>15</v>
      </c>
    </row>
    <row r="122" spans="1:5" ht="16.3" x14ac:dyDescent="0.3">
      <c r="A122" s="154" t="s">
        <v>5</v>
      </c>
      <c r="B122" s="19"/>
      <c r="C122" s="49"/>
      <c r="D122" s="50"/>
      <c r="E122" s="23"/>
    </row>
    <row r="123" spans="1:5" x14ac:dyDescent="0.25">
      <c r="A123" s="2" t="s">
        <v>159</v>
      </c>
      <c r="B123" s="17">
        <f>'Scenario and Data'!D94</f>
        <v>8864.8762604058993</v>
      </c>
      <c r="C123" s="18"/>
      <c r="D123" s="17"/>
      <c r="E123" s="23"/>
    </row>
    <row r="124" spans="1:5" x14ac:dyDescent="0.25">
      <c r="A124" s="2" t="s">
        <v>98</v>
      </c>
      <c r="B124" s="19"/>
      <c r="C124" s="20">
        <f>-'Scenario and Data'!C121</f>
        <v>42539.108378220262</v>
      </c>
      <c r="D124" s="17"/>
      <c r="E124" s="13"/>
    </row>
    <row r="125" spans="1:5" x14ac:dyDescent="0.25">
      <c r="A125" s="2" t="s">
        <v>99</v>
      </c>
      <c r="B125" s="10"/>
      <c r="C125" s="11"/>
      <c r="D125" s="17">
        <v>-50000</v>
      </c>
      <c r="E125" s="23"/>
    </row>
    <row r="126" spans="1:5" x14ac:dyDescent="0.25">
      <c r="A126" s="2" t="s">
        <v>100</v>
      </c>
      <c r="B126" s="10"/>
      <c r="C126" s="11"/>
      <c r="D126" s="50"/>
      <c r="E126" s="13">
        <f>-'Scenario and Data'!C147-'Scenario and Data'!E147</f>
        <v>100500</v>
      </c>
    </row>
    <row r="127" spans="1:5" ht="14.95" thickBot="1" x14ac:dyDescent="0.3">
      <c r="A127" s="3" t="s">
        <v>7</v>
      </c>
      <c r="B127" s="14">
        <f>SUM(B123:B126)</f>
        <v>8864.8762604058993</v>
      </c>
      <c r="C127" s="15">
        <f>SUM(C123:C126)</f>
        <v>42539.108378220262</v>
      </c>
      <c r="D127" s="43">
        <f>SUM(D123:D126)</f>
        <v>-50000</v>
      </c>
      <c r="E127" s="15">
        <f>SUM(E123:E126)</f>
        <v>100500</v>
      </c>
    </row>
    <row r="128" spans="1:5" ht="15.65" thickTop="1" thickBot="1" x14ac:dyDescent="0.3">
      <c r="A128" s="3"/>
      <c r="B128" s="38"/>
      <c r="C128" s="38"/>
      <c r="D128" s="39"/>
      <c r="E128" s="38"/>
    </row>
    <row r="129" spans="1:5" ht="16.3" x14ac:dyDescent="0.3">
      <c r="A129" s="154" t="s">
        <v>26</v>
      </c>
      <c r="B129" s="35"/>
      <c r="C129" s="36"/>
      <c r="D129" s="54"/>
      <c r="E129" s="37"/>
    </row>
    <row r="130" spans="1:5" x14ac:dyDescent="0.25">
      <c r="A130" s="2" t="s">
        <v>28</v>
      </c>
      <c r="B130" s="17">
        <f>-B123</f>
        <v>-8864.8762604058993</v>
      </c>
      <c r="C130" s="18"/>
      <c r="D130" s="51"/>
      <c r="E130" s="13"/>
    </row>
    <row r="131" spans="1:5" x14ac:dyDescent="0.25">
      <c r="A131" s="2" t="s">
        <v>6</v>
      </c>
      <c r="B131" s="19"/>
      <c r="C131" s="20">
        <f>-C124</f>
        <v>-42539.108378220262</v>
      </c>
      <c r="D131" s="17"/>
      <c r="E131" s="13">
        <f>-E126</f>
        <v>-100500</v>
      </c>
    </row>
    <row r="132" spans="1:5" x14ac:dyDescent="0.25">
      <c r="A132" s="2" t="s">
        <v>17</v>
      </c>
      <c r="B132" s="17">
        <v>50000</v>
      </c>
      <c r="C132" s="20"/>
      <c r="D132" s="17"/>
      <c r="E132" s="13"/>
    </row>
    <row r="133" spans="1:5" x14ac:dyDescent="0.25">
      <c r="A133" s="2" t="s">
        <v>164</v>
      </c>
      <c r="B133" s="12">
        <v>-50000</v>
      </c>
      <c r="C133" s="16"/>
      <c r="D133" s="17">
        <v>50000</v>
      </c>
      <c r="E133" s="23"/>
    </row>
    <row r="134" spans="1:5" x14ac:dyDescent="0.25">
      <c r="B134" s="12"/>
      <c r="C134" s="11"/>
      <c r="D134" s="50"/>
      <c r="E134" s="13"/>
    </row>
    <row r="135" spans="1:5" ht="14.95" thickBot="1" x14ac:dyDescent="0.3">
      <c r="A135" s="284" t="s">
        <v>167</v>
      </c>
      <c r="B135" s="14">
        <f>SUM(B130:B133)</f>
        <v>-8864.8762604059011</v>
      </c>
      <c r="C135" s="15">
        <f>SUM(C130:C133)</f>
        <v>-42539.108378220262</v>
      </c>
      <c r="D135" s="43">
        <f>SUM(D130:D133)</f>
        <v>50000</v>
      </c>
      <c r="E135" s="15">
        <f>SUM(E130:E133)</f>
        <v>-100500</v>
      </c>
    </row>
    <row r="136" spans="1:5" ht="14.95" thickTop="1" x14ac:dyDescent="0.25">
      <c r="B136" s="10"/>
      <c r="C136" s="11"/>
      <c r="D136" s="50"/>
      <c r="E136" s="13"/>
    </row>
    <row r="137" spans="1:5" x14ac:dyDescent="0.25">
      <c r="A137" s="2" t="s">
        <v>18</v>
      </c>
      <c r="B137" s="12">
        <f>B115+B130+B132</f>
        <v>-186162.40146852387</v>
      </c>
      <c r="C137" s="11"/>
      <c r="D137" s="50"/>
      <c r="E137" s="13"/>
    </row>
    <row r="138" spans="1:5" x14ac:dyDescent="0.25">
      <c r="A138" s="2" t="s">
        <v>19</v>
      </c>
      <c r="B138" s="12"/>
      <c r="C138" s="16">
        <f>C116+C131</f>
        <v>170156.43351288108</v>
      </c>
      <c r="D138" s="50"/>
      <c r="E138" s="13"/>
    </row>
    <row r="139" spans="1:5" x14ac:dyDescent="0.25">
      <c r="A139" s="2" t="s">
        <v>101</v>
      </c>
      <c r="B139" s="10"/>
      <c r="C139" s="13"/>
      <c r="D139" s="17"/>
      <c r="E139" s="13">
        <f>E117+E131</f>
        <v>2402000</v>
      </c>
    </row>
    <row r="140" spans="1:5" ht="14.95" thickBot="1" x14ac:dyDescent="0.3">
      <c r="A140" s="3" t="s">
        <v>16</v>
      </c>
      <c r="B140" s="21">
        <f>SUM(B137:B139)</f>
        <v>-186162.40146852387</v>
      </c>
      <c r="C140" s="22">
        <f t="shared" ref="C140:E140" si="4">SUM(C137:C139)</f>
        <v>170156.43351288108</v>
      </c>
      <c r="D140" s="55">
        <f t="shared" si="4"/>
        <v>0</v>
      </c>
      <c r="E140" s="22">
        <f t="shared" si="4"/>
        <v>2402000</v>
      </c>
    </row>
    <row r="142" spans="1:5" ht="14.95" thickBot="1" x14ac:dyDescent="0.3">
      <c r="B142" s="306" t="s">
        <v>13</v>
      </c>
      <c r="C142" s="307"/>
      <c r="D142" s="53" t="s">
        <v>12</v>
      </c>
      <c r="E142" s="5"/>
    </row>
    <row r="143" spans="1:5" ht="17" customHeight="1" thickBot="1" x14ac:dyDescent="0.3">
      <c r="A143" s="59" t="s">
        <v>202</v>
      </c>
      <c r="B143" s="56" t="s">
        <v>8</v>
      </c>
      <c r="C143" s="58" t="s">
        <v>14</v>
      </c>
      <c r="D143" s="56" t="s">
        <v>9</v>
      </c>
      <c r="E143" s="57" t="s">
        <v>15</v>
      </c>
    </row>
    <row r="144" spans="1:5" ht="16.3" x14ac:dyDescent="0.3">
      <c r="A144" s="154" t="s">
        <v>5</v>
      </c>
      <c r="B144" s="19"/>
      <c r="C144" s="49"/>
      <c r="D144" s="50"/>
      <c r="E144" s="23"/>
    </row>
    <row r="145" spans="1:5" x14ac:dyDescent="0.25">
      <c r="A145" s="2" t="s">
        <v>159</v>
      </c>
      <c r="B145" s="17">
        <f>'Scenario and Data'!D95</f>
        <v>6808.1200734261938</v>
      </c>
      <c r="C145" s="18"/>
      <c r="D145" s="17"/>
      <c r="E145" s="23"/>
    </row>
    <row r="146" spans="1:5" x14ac:dyDescent="0.25">
      <c r="A146" s="2" t="s">
        <v>98</v>
      </c>
      <c r="B146" s="19"/>
      <c r="C146" s="20">
        <f>-'Scenario and Data'!C122</f>
        <v>42539.108378220262</v>
      </c>
      <c r="D146" s="17"/>
      <c r="E146" s="13"/>
    </row>
    <row r="147" spans="1:5" x14ac:dyDescent="0.25">
      <c r="A147" s="2" t="s">
        <v>99</v>
      </c>
      <c r="B147" s="10"/>
      <c r="C147" s="11"/>
      <c r="D147" s="17">
        <v>-50000</v>
      </c>
      <c r="E147" s="23"/>
    </row>
    <row r="148" spans="1:5" x14ac:dyDescent="0.25">
      <c r="A148" s="2" t="s">
        <v>100</v>
      </c>
      <c r="B148" s="10"/>
      <c r="C148" s="11"/>
      <c r="D148" s="50"/>
      <c r="E148" s="13">
        <f>-'Scenario and Data'!C148-'Scenario and Data'!E148</f>
        <v>100500</v>
      </c>
    </row>
    <row r="149" spans="1:5" ht="14.95" thickBot="1" x14ac:dyDescent="0.3">
      <c r="A149" s="3" t="s">
        <v>7</v>
      </c>
      <c r="B149" s="14">
        <f>SUM(B145:B148)</f>
        <v>6808.1200734261938</v>
      </c>
      <c r="C149" s="15">
        <f>SUM(C145:C148)</f>
        <v>42539.108378220262</v>
      </c>
      <c r="D149" s="43">
        <f>SUM(D145:D148)</f>
        <v>-50000</v>
      </c>
      <c r="E149" s="15">
        <f>SUM(E145:E148)</f>
        <v>100500</v>
      </c>
    </row>
    <row r="150" spans="1:5" ht="15.65" thickTop="1" thickBot="1" x14ac:dyDescent="0.3">
      <c r="A150" s="3"/>
      <c r="B150" s="38"/>
      <c r="C150" s="38"/>
      <c r="D150" s="39"/>
      <c r="E150" s="38"/>
    </row>
    <row r="151" spans="1:5" ht="16.3" x14ac:dyDescent="0.3">
      <c r="A151" s="154" t="s">
        <v>26</v>
      </c>
      <c r="B151" s="35"/>
      <c r="C151" s="36"/>
      <c r="D151" s="54"/>
      <c r="E151" s="37"/>
    </row>
    <row r="152" spans="1:5" x14ac:dyDescent="0.25">
      <c r="A152" s="2" t="s">
        <v>28</v>
      </c>
      <c r="B152" s="17">
        <f>-B145</f>
        <v>-6808.1200734261938</v>
      </c>
      <c r="C152" s="18"/>
      <c r="D152" s="51"/>
      <c r="E152" s="13"/>
    </row>
    <row r="153" spans="1:5" x14ac:dyDescent="0.25">
      <c r="A153" s="2" t="s">
        <v>6</v>
      </c>
      <c r="B153" s="19"/>
      <c r="C153" s="20">
        <f>-C146</f>
        <v>-42539.108378220262</v>
      </c>
      <c r="D153" s="17"/>
      <c r="E153" s="13">
        <f>-E148</f>
        <v>-100500</v>
      </c>
    </row>
    <row r="154" spans="1:5" x14ac:dyDescent="0.25">
      <c r="A154" s="2" t="s">
        <v>17</v>
      </c>
      <c r="B154" s="17">
        <v>50000</v>
      </c>
      <c r="C154" s="20"/>
      <c r="D154" s="17"/>
      <c r="E154" s="13"/>
    </row>
    <row r="155" spans="1:5" x14ac:dyDescent="0.25">
      <c r="A155" s="2" t="s">
        <v>164</v>
      </c>
      <c r="B155" s="12">
        <v>-50000</v>
      </c>
      <c r="C155" s="16"/>
      <c r="D155" s="17">
        <v>50000</v>
      </c>
      <c r="E155" s="23"/>
    </row>
    <row r="156" spans="1:5" x14ac:dyDescent="0.25">
      <c r="B156" s="12"/>
      <c r="C156" s="11"/>
      <c r="D156" s="50"/>
      <c r="E156" s="13"/>
    </row>
    <row r="157" spans="1:5" ht="14.95" thickBot="1" x14ac:dyDescent="0.3">
      <c r="A157" s="285" t="s">
        <v>167</v>
      </c>
      <c r="B157" s="14">
        <f>SUM(B152:B155)</f>
        <v>-6808.1200734261947</v>
      </c>
      <c r="C157" s="15">
        <f>SUM(C152:C155)</f>
        <v>-42539.108378220262</v>
      </c>
      <c r="D157" s="43">
        <f>SUM(D152:D155)</f>
        <v>50000</v>
      </c>
      <c r="E157" s="15">
        <f>SUM(E152:E155)</f>
        <v>-100500</v>
      </c>
    </row>
    <row r="158" spans="1:5" ht="14.95" thickTop="1" x14ac:dyDescent="0.25">
      <c r="B158" s="10"/>
      <c r="C158" s="11"/>
      <c r="D158" s="50"/>
      <c r="E158" s="13"/>
    </row>
    <row r="159" spans="1:5" x14ac:dyDescent="0.25">
      <c r="A159" s="2" t="s">
        <v>18</v>
      </c>
      <c r="B159" s="12">
        <f>B137+B152+B154</f>
        <v>-142970.52154195006</v>
      </c>
      <c r="C159" s="11"/>
      <c r="D159" s="50"/>
      <c r="E159" s="13"/>
    </row>
    <row r="160" spans="1:5" x14ac:dyDescent="0.25">
      <c r="A160" s="2" t="s">
        <v>19</v>
      </c>
      <c r="B160" s="12"/>
      <c r="C160" s="16">
        <f>C138+C153</f>
        <v>127617.32513466082</v>
      </c>
      <c r="D160" s="50"/>
      <c r="E160" s="13"/>
    </row>
    <row r="161" spans="1:5" x14ac:dyDescent="0.25">
      <c r="A161" s="2" t="s">
        <v>101</v>
      </c>
      <c r="B161" s="10"/>
      <c r="C161" s="13"/>
      <c r="D161" s="17"/>
      <c r="E161" s="13">
        <f>E139+E153</f>
        <v>2301500</v>
      </c>
    </row>
    <row r="162" spans="1:5" ht="14.95" thickBot="1" x14ac:dyDescent="0.3">
      <c r="A162" s="3" t="s">
        <v>16</v>
      </c>
      <c r="B162" s="21">
        <f>SUM(B159:B161)</f>
        <v>-142970.52154195006</v>
      </c>
      <c r="C162" s="22">
        <f t="shared" ref="C162:E162" si="5">SUM(C159:C161)</f>
        <v>127617.32513466082</v>
      </c>
      <c r="D162" s="55">
        <f t="shared" si="5"/>
        <v>0</v>
      </c>
      <c r="E162" s="22">
        <f t="shared" si="5"/>
        <v>2301500</v>
      </c>
    </row>
    <row r="164" spans="1:5" ht="14.95" thickBot="1" x14ac:dyDescent="0.3">
      <c r="B164" s="306" t="s">
        <v>13</v>
      </c>
      <c r="C164" s="307"/>
      <c r="D164" s="53" t="s">
        <v>12</v>
      </c>
      <c r="E164" s="5"/>
    </row>
    <row r="165" spans="1:5" ht="14.95" thickBot="1" x14ac:dyDescent="0.3">
      <c r="A165" s="59" t="s">
        <v>203</v>
      </c>
      <c r="B165" s="56" t="s">
        <v>8</v>
      </c>
      <c r="C165" s="58" t="s">
        <v>14</v>
      </c>
      <c r="D165" s="56" t="s">
        <v>9</v>
      </c>
      <c r="E165" s="57" t="s">
        <v>15</v>
      </c>
    </row>
    <row r="166" spans="1:5" ht="16.3" x14ac:dyDescent="0.3">
      <c r="A166" s="154" t="s">
        <v>5</v>
      </c>
      <c r="B166" s="19"/>
      <c r="C166" s="49"/>
      <c r="D166" s="50"/>
      <c r="E166" s="23"/>
    </row>
    <row r="167" spans="1:5" x14ac:dyDescent="0.25">
      <c r="A167" s="2" t="s">
        <v>159</v>
      </c>
      <c r="B167" s="17">
        <f>'Scenario and Data'!D96</f>
        <v>4648.5260770975028</v>
      </c>
      <c r="C167" s="18"/>
      <c r="D167" s="17"/>
      <c r="E167" s="23"/>
    </row>
    <row r="168" spans="1:5" x14ac:dyDescent="0.25">
      <c r="A168" s="2" t="s">
        <v>98</v>
      </c>
      <c r="B168" s="19"/>
      <c r="C168" s="20">
        <f>-'Scenario and Data'!C123</f>
        <v>42539.108378220262</v>
      </c>
      <c r="D168" s="17"/>
      <c r="E168" s="13"/>
    </row>
    <row r="169" spans="1:5" x14ac:dyDescent="0.25">
      <c r="A169" s="2" t="s">
        <v>99</v>
      </c>
      <c r="B169" s="10"/>
      <c r="C169" s="11"/>
      <c r="D169" s="17">
        <v>-50000</v>
      </c>
      <c r="E169" s="23"/>
    </row>
    <row r="170" spans="1:5" x14ac:dyDescent="0.25">
      <c r="A170" s="2" t="s">
        <v>100</v>
      </c>
      <c r="B170" s="10"/>
      <c r="C170" s="11"/>
      <c r="D170" s="50"/>
      <c r="E170" s="13">
        <f>-'Scenario and Data'!C149-'Scenario and Data'!E149</f>
        <v>100500</v>
      </c>
    </row>
    <row r="171" spans="1:5" ht="14.95" thickBot="1" x14ac:dyDescent="0.3">
      <c r="A171" s="3" t="s">
        <v>7</v>
      </c>
      <c r="B171" s="14">
        <f>SUM(B167:B170)</f>
        <v>4648.5260770975028</v>
      </c>
      <c r="C171" s="15">
        <f>SUM(C167:C170)</f>
        <v>42539.108378220262</v>
      </c>
      <c r="D171" s="43">
        <f>SUM(D167:D170)</f>
        <v>-50000</v>
      </c>
      <c r="E171" s="15">
        <f>SUM(E167:E170)</f>
        <v>100500</v>
      </c>
    </row>
    <row r="172" spans="1:5" ht="15.65" thickTop="1" thickBot="1" x14ac:dyDescent="0.3">
      <c r="A172" s="3"/>
      <c r="B172" s="38"/>
      <c r="C172" s="38"/>
      <c r="D172" s="39"/>
      <c r="E172" s="38"/>
    </row>
    <row r="173" spans="1:5" ht="16.3" x14ac:dyDescent="0.3">
      <c r="A173" s="154" t="s">
        <v>26</v>
      </c>
      <c r="B173" s="35"/>
      <c r="C173" s="36"/>
      <c r="D173" s="54"/>
      <c r="E173" s="37"/>
    </row>
    <row r="174" spans="1:5" x14ac:dyDescent="0.25">
      <c r="A174" s="2" t="s">
        <v>28</v>
      </c>
      <c r="B174" s="17">
        <f>-B167</f>
        <v>-4648.5260770975028</v>
      </c>
      <c r="C174" s="18"/>
      <c r="D174" s="51"/>
      <c r="E174" s="13"/>
    </row>
    <row r="175" spans="1:5" x14ac:dyDescent="0.25">
      <c r="A175" s="2" t="s">
        <v>6</v>
      </c>
      <c r="B175" s="19"/>
      <c r="C175" s="20">
        <f>-C168</f>
        <v>-42539.108378220262</v>
      </c>
      <c r="D175" s="17"/>
      <c r="E175" s="13">
        <f>-E170</f>
        <v>-100500</v>
      </c>
    </row>
    <row r="176" spans="1:5" x14ac:dyDescent="0.25">
      <c r="A176" s="2" t="s">
        <v>17</v>
      </c>
      <c r="B176" s="17">
        <v>50000</v>
      </c>
      <c r="C176" s="20"/>
      <c r="D176" s="17"/>
      <c r="E176" s="13"/>
    </row>
    <row r="177" spans="1:5" x14ac:dyDescent="0.25">
      <c r="A177" s="2" t="s">
        <v>164</v>
      </c>
      <c r="B177" s="12">
        <v>-50000</v>
      </c>
      <c r="C177" s="16"/>
      <c r="D177" s="17">
        <v>50000</v>
      </c>
      <c r="E177" s="23"/>
    </row>
    <row r="178" spans="1:5" x14ac:dyDescent="0.25">
      <c r="B178" s="12"/>
      <c r="C178" s="11"/>
      <c r="D178" s="50"/>
      <c r="E178" s="13"/>
    </row>
    <row r="179" spans="1:5" ht="14.95" thickBot="1" x14ac:dyDescent="0.3">
      <c r="A179" s="286" t="s">
        <v>167</v>
      </c>
      <c r="B179" s="14">
        <f>SUM(B174:B177)</f>
        <v>-4648.5260770975001</v>
      </c>
      <c r="C179" s="15">
        <f>SUM(C174:C177)</f>
        <v>-42539.108378220262</v>
      </c>
      <c r="D179" s="43">
        <f>SUM(D174:D177)</f>
        <v>50000</v>
      </c>
      <c r="E179" s="15">
        <f>SUM(E174:E177)</f>
        <v>-100500</v>
      </c>
    </row>
    <row r="180" spans="1:5" ht="14.95" thickTop="1" x14ac:dyDescent="0.25">
      <c r="B180" s="10"/>
      <c r="C180" s="11"/>
      <c r="D180" s="50"/>
      <c r="E180" s="13"/>
    </row>
    <row r="181" spans="1:5" x14ac:dyDescent="0.25">
      <c r="A181" s="2" t="s">
        <v>18</v>
      </c>
      <c r="B181" s="12">
        <f>B159+B174+B176</f>
        <v>-97619.047619047575</v>
      </c>
      <c r="C181" s="11"/>
      <c r="D181" s="50"/>
      <c r="E181" s="13"/>
    </row>
    <row r="182" spans="1:5" x14ac:dyDescent="0.25">
      <c r="A182" s="2" t="s">
        <v>19</v>
      </c>
      <c r="B182" s="12"/>
      <c r="C182" s="16">
        <f>C160+C175</f>
        <v>85078.216756440554</v>
      </c>
      <c r="D182" s="50"/>
      <c r="E182" s="13"/>
    </row>
    <row r="183" spans="1:5" x14ac:dyDescent="0.25">
      <c r="A183" s="2" t="s">
        <v>101</v>
      </c>
      <c r="B183" s="10"/>
      <c r="C183" s="13"/>
      <c r="D183" s="17"/>
      <c r="E183" s="13">
        <f>E161+E175</f>
        <v>2201000</v>
      </c>
    </row>
    <row r="184" spans="1:5" ht="14.95" thickBot="1" x14ac:dyDescent="0.3">
      <c r="A184" s="3" t="s">
        <v>16</v>
      </c>
      <c r="B184" s="21">
        <f>SUM(B181:B183)</f>
        <v>-97619.047619047575</v>
      </c>
      <c r="C184" s="22">
        <f t="shared" ref="C184:E184" si="6">SUM(C181:C183)</f>
        <v>85078.216756440554</v>
      </c>
      <c r="D184" s="55">
        <f t="shared" si="6"/>
        <v>0</v>
      </c>
      <c r="E184" s="22">
        <f t="shared" si="6"/>
        <v>2201000</v>
      </c>
    </row>
    <row r="186" spans="1:5" ht="14.95" thickBot="1" x14ac:dyDescent="0.3">
      <c r="B186" s="306" t="s">
        <v>13</v>
      </c>
      <c r="C186" s="307"/>
      <c r="D186" s="53" t="s">
        <v>12</v>
      </c>
      <c r="E186" s="5"/>
    </row>
    <row r="187" spans="1:5" ht="14.95" thickBot="1" x14ac:dyDescent="0.3">
      <c r="A187" s="59" t="s">
        <v>204</v>
      </c>
      <c r="B187" s="56" t="s">
        <v>8</v>
      </c>
      <c r="C187" s="58" t="s">
        <v>14</v>
      </c>
      <c r="D187" s="56" t="s">
        <v>9</v>
      </c>
      <c r="E187" s="57" t="s">
        <v>15</v>
      </c>
    </row>
    <row r="188" spans="1:5" ht="16.3" x14ac:dyDescent="0.3">
      <c r="A188" s="154" t="s">
        <v>5</v>
      </c>
      <c r="B188" s="19"/>
      <c r="C188" s="49"/>
      <c r="D188" s="50"/>
      <c r="E188" s="23"/>
    </row>
    <row r="189" spans="1:5" x14ac:dyDescent="0.25">
      <c r="A189" s="2" t="s">
        <v>159</v>
      </c>
      <c r="B189" s="17">
        <f>'Scenario and Data'!D97</f>
        <v>2380.9523809523789</v>
      </c>
      <c r="C189" s="18"/>
      <c r="D189" s="17"/>
      <c r="E189" s="23"/>
    </row>
    <row r="190" spans="1:5" x14ac:dyDescent="0.25">
      <c r="A190" s="2" t="s">
        <v>98</v>
      </c>
      <c r="B190" s="19"/>
      <c r="C190" s="20">
        <f>-'Scenario and Data'!C124</f>
        <v>42539.108378220262</v>
      </c>
      <c r="D190" s="17"/>
      <c r="E190" s="13"/>
    </row>
    <row r="191" spans="1:5" x14ac:dyDescent="0.25">
      <c r="A191" s="2" t="s">
        <v>99</v>
      </c>
      <c r="B191" s="10"/>
      <c r="C191" s="11"/>
      <c r="D191" s="17">
        <v>-50000</v>
      </c>
      <c r="E191" s="23"/>
    </row>
    <row r="192" spans="1:5" x14ac:dyDescent="0.25">
      <c r="A192" s="2" t="s">
        <v>100</v>
      </c>
      <c r="B192" s="10"/>
      <c r="C192" s="11"/>
      <c r="D192" s="50"/>
      <c r="E192" s="13">
        <f>-'Scenario and Data'!C150-'Scenario and Data'!E150</f>
        <v>100500</v>
      </c>
    </row>
    <row r="193" spans="1:5" ht="14.95" thickBot="1" x14ac:dyDescent="0.3">
      <c r="A193" s="3" t="s">
        <v>7</v>
      </c>
      <c r="B193" s="14">
        <f>SUM(B189:B192)</f>
        <v>2380.9523809523789</v>
      </c>
      <c r="C193" s="15">
        <f>SUM(C189:C192)</f>
        <v>42539.108378220262</v>
      </c>
      <c r="D193" s="43">
        <f>SUM(D189:D192)</f>
        <v>-50000</v>
      </c>
      <c r="E193" s="15">
        <f>SUM(E189:E192)</f>
        <v>100500</v>
      </c>
    </row>
    <row r="194" spans="1:5" ht="15.65" thickTop="1" thickBot="1" x14ac:dyDescent="0.3">
      <c r="A194" s="3"/>
      <c r="B194" s="38"/>
      <c r="C194" s="38"/>
      <c r="D194" s="39"/>
      <c r="E194" s="38"/>
    </row>
    <row r="195" spans="1:5" ht="16.3" x14ac:dyDescent="0.3">
      <c r="A195" s="154" t="s">
        <v>26</v>
      </c>
      <c r="B195" s="35"/>
      <c r="C195" s="36"/>
      <c r="D195" s="54"/>
      <c r="E195" s="37"/>
    </row>
    <row r="196" spans="1:5" x14ac:dyDescent="0.25">
      <c r="A196" s="2" t="s">
        <v>28</v>
      </c>
      <c r="B196" s="17">
        <f>-B189</f>
        <v>-2380.9523809523789</v>
      </c>
      <c r="C196" s="18"/>
      <c r="D196" s="51"/>
      <c r="E196" s="13"/>
    </row>
    <row r="197" spans="1:5" x14ac:dyDescent="0.25">
      <c r="A197" s="2" t="s">
        <v>6</v>
      </c>
      <c r="B197" s="19"/>
      <c r="C197" s="20">
        <f>-C190</f>
        <v>-42539.108378220262</v>
      </c>
      <c r="D197" s="17"/>
      <c r="E197" s="13">
        <f>-E192</f>
        <v>-100500</v>
      </c>
    </row>
    <row r="198" spans="1:5" x14ac:dyDescent="0.25">
      <c r="A198" s="2" t="s">
        <v>17</v>
      </c>
      <c r="B198" s="17">
        <v>50000</v>
      </c>
      <c r="C198" s="20"/>
      <c r="D198" s="17"/>
      <c r="E198" s="13"/>
    </row>
    <row r="199" spans="1:5" x14ac:dyDescent="0.25">
      <c r="A199" s="2" t="s">
        <v>164</v>
      </c>
      <c r="B199" s="12">
        <v>-50000</v>
      </c>
      <c r="C199" s="16"/>
      <c r="D199" s="17">
        <v>50000</v>
      </c>
      <c r="E199" s="23"/>
    </row>
    <row r="200" spans="1:5" x14ac:dyDescent="0.25">
      <c r="B200" s="12"/>
      <c r="C200" s="11"/>
      <c r="D200" s="50"/>
      <c r="E200" s="13"/>
    </row>
    <row r="201" spans="1:5" ht="14.95" thickBot="1" x14ac:dyDescent="0.3">
      <c r="A201" s="287" t="s">
        <v>167</v>
      </c>
      <c r="B201" s="14">
        <f>SUM(B196:B199)</f>
        <v>-2380.9523809523816</v>
      </c>
      <c r="C201" s="15">
        <f>SUM(C196:C199)</f>
        <v>-42539.108378220262</v>
      </c>
      <c r="D201" s="43">
        <f>SUM(D196:D199)</f>
        <v>50000</v>
      </c>
      <c r="E201" s="15">
        <f>SUM(E196:E199)</f>
        <v>-100500</v>
      </c>
    </row>
    <row r="202" spans="1:5" ht="14.95" thickTop="1" x14ac:dyDescent="0.25">
      <c r="B202" s="10"/>
      <c r="C202" s="11"/>
      <c r="D202" s="50"/>
      <c r="E202" s="13"/>
    </row>
    <row r="203" spans="1:5" x14ac:dyDescent="0.25">
      <c r="A203" s="2" t="s">
        <v>18</v>
      </c>
      <c r="B203" s="12">
        <f>B181+B196+B198</f>
        <v>-49999.999999999956</v>
      </c>
      <c r="C203" s="11"/>
      <c r="D203" s="50"/>
      <c r="E203" s="13"/>
    </row>
    <row r="204" spans="1:5" x14ac:dyDescent="0.25">
      <c r="A204" s="2" t="s">
        <v>19</v>
      </c>
      <c r="B204" s="12"/>
      <c r="C204" s="16">
        <f>C182+C197</f>
        <v>42539.108378220291</v>
      </c>
      <c r="D204" s="50"/>
      <c r="E204" s="13"/>
    </row>
    <row r="205" spans="1:5" x14ac:dyDescent="0.25">
      <c r="A205" s="2" t="s">
        <v>101</v>
      </c>
      <c r="B205" s="10"/>
      <c r="C205" s="13"/>
      <c r="D205" s="17"/>
      <c r="E205" s="13">
        <f>E183+E197</f>
        <v>2100500</v>
      </c>
    </row>
    <row r="206" spans="1:5" ht="14.95" thickBot="1" x14ac:dyDescent="0.3">
      <c r="A206" s="3" t="s">
        <v>16</v>
      </c>
      <c r="B206" s="21">
        <f>SUM(B203:B205)</f>
        <v>-49999.999999999956</v>
      </c>
      <c r="C206" s="22">
        <f t="shared" ref="C206:E206" si="7">SUM(C203:C205)</f>
        <v>42539.108378220291</v>
      </c>
      <c r="D206" s="55">
        <f t="shared" si="7"/>
        <v>0</v>
      </c>
      <c r="E206" s="22">
        <f t="shared" si="7"/>
        <v>2100500</v>
      </c>
    </row>
    <row r="208" spans="1:5" ht="14.95" thickBot="1" x14ac:dyDescent="0.3">
      <c r="B208" s="306" t="s">
        <v>13</v>
      </c>
      <c r="C208" s="307"/>
      <c r="D208" s="53" t="s">
        <v>12</v>
      </c>
      <c r="E208" s="5"/>
    </row>
    <row r="209" spans="1:5" ht="14.95" thickBot="1" x14ac:dyDescent="0.3">
      <c r="A209" s="59" t="s">
        <v>205</v>
      </c>
      <c r="B209" s="56" t="s">
        <v>8</v>
      </c>
      <c r="C209" s="58" t="s">
        <v>14</v>
      </c>
      <c r="D209" s="56" t="s">
        <v>9</v>
      </c>
      <c r="E209" s="57" t="s">
        <v>15</v>
      </c>
    </row>
    <row r="210" spans="1:5" ht="16.3" x14ac:dyDescent="0.3">
      <c r="A210" s="154" t="s">
        <v>5</v>
      </c>
      <c r="B210" s="19"/>
      <c r="C210" s="49"/>
      <c r="D210" s="50"/>
      <c r="E210" s="23"/>
    </row>
    <row r="211" spans="1:5" x14ac:dyDescent="0.25">
      <c r="A211" s="2" t="s">
        <v>159</v>
      </c>
      <c r="B211" s="17">
        <f>'Scenario and Data'!D98</f>
        <v>0</v>
      </c>
      <c r="C211" s="18"/>
      <c r="D211" s="17"/>
      <c r="E211" s="23"/>
    </row>
    <row r="212" spans="1:5" x14ac:dyDescent="0.25">
      <c r="A212" s="2" t="s">
        <v>98</v>
      </c>
      <c r="B212" s="19"/>
      <c r="C212" s="20">
        <f>-'Scenario and Data'!C125</f>
        <v>42539.108378220262</v>
      </c>
      <c r="D212" s="17"/>
      <c r="E212" s="13"/>
    </row>
    <row r="213" spans="1:5" x14ac:dyDescent="0.25">
      <c r="A213" s="2" t="s">
        <v>99</v>
      </c>
      <c r="B213" s="10"/>
      <c r="C213" s="11"/>
      <c r="D213" s="17">
        <v>-50000</v>
      </c>
      <c r="E213" s="23"/>
    </row>
    <row r="214" spans="1:5" x14ac:dyDescent="0.25">
      <c r="A214" s="2" t="s">
        <v>100</v>
      </c>
      <c r="B214" s="10"/>
      <c r="C214" s="11"/>
      <c r="D214" s="50"/>
      <c r="E214" s="13">
        <f>-'Scenario and Data'!C151-'Scenario and Data'!E151</f>
        <v>100500</v>
      </c>
    </row>
    <row r="215" spans="1:5" ht="14.95" thickBot="1" x14ac:dyDescent="0.3">
      <c r="A215" s="3" t="s">
        <v>7</v>
      </c>
      <c r="B215" s="14">
        <f>SUM(B211:B214)</f>
        <v>0</v>
      </c>
      <c r="C215" s="15">
        <f>SUM(C211:C214)</f>
        <v>42539.108378220262</v>
      </c>
      <c r="D215" s="43">
        <f>SUM(D211:D214)</f>
        <v>-50000</v>
      </c>
      <c r="E215" s="15">
        <f>SUM(E211:E214)</f>
        <v>100500</v>
      </c>
    </row>
    <row r="216" spans="1:5" ht="15.65" thickTop="1" thickBot="1" x14ac:dyDescent="0.3">
      <c r="A216" s="3"/>
      <c r="B216" s="38"/>
      <c r="C216" s="38"/>
      <c r="D216" s="39"/>
      <c r="E216" s="38"/>
    </row>
    <row r="217" spans="1:5" ht="16.3" x14ac:dyDescent="0.3">
      <c r="A217" s="154" t="s">
        <v>26</v>
      </c>
      <c r="B217" s="35"/>
      <c r="C217" s="36"/>
      <c r="D217" s="54"/>
      <c r="E217" s="37"/>
    </row>
    <row r="218" spans="1:5" x14ac:dyDescent="0.25">
      <c r="A218" s="2" t="s">
        <v>28</v>
      </c>
      <c r="B218" s="17">
        <f>-B211</f>
        <v>0</v>
      </c>
      <c r="C218" s="18"/>
      <c r="D218" s="17"/>
      <c r="E218" s="13"/>
    </row>
    <row r="219" spans="1:5" x14ac:dyDescent="0.25">
      <c r="A219" s="2" t="s">
        <v>6</v>
      </c>
      <c r="B219" s="19"/>
      <c r="C219" s="20">
        <f>-C212</f>
        <v>-42539.108378220262</v>
      </c>
      <c r="D219" s="17"/>
      <c r="E219" s="13">
        <f>-E214</f>
        <v>-100500</v>
      </c>
    </row>
    <row r="220" spans="1:5" x14ac:dyDescent="0.25">
      <c r="A220" s="2" t="s">
        <v>17</v>
      </c>
      <c r="B220" s="17">
        <v>50000</v>
      </c>
      <c r="C220" s="20"/>
      <c r="D220" s="17"/>
      <c r="E220" s="13"/>
    </row>
    <row r="221" spans="1:5" x14ac:dyDescent="0.25">
      <c r="A221" s="2" t="s">
        <v>164</v>
      </c>
      <c r="B221" s="12">
        <v>-50000</v>
      </c>
      <c r="C221" s="16"/>
      <c r="D221" s="17">
        <v>50000</v>
      </c>
      <c r="E221" s="23"/>
    </row>
    <row r="222" spans="1:5" x14ac:dyDescent="0.25">
      <c r="B222" s="12"/>
      <c r="C222" s="11"/>
      <c r="D222" s="50"/>
      <c r="E222" s="13"/>
    </row>
    <row r="223" spans="1:5" ht="14.95" thickBot="1" x14ac:dyDescent="0.3">
      <c r="A223" s="289" t="s">
        <v>167</v>
      </c>
      <c r="B223" s="14">
        <f>SUM(B218:B221)</f>
        <v>0</v>
      </c>
      <c r="C223" s="15">
        <f>SUM(C218:C221)</f>
        <v>-42539.108378220262</v>
      </c>
      <c r="D223" s="43">
        <f>SUM(D218:D221)</f>
        <v>50000</v>
      </c>
      <c r="E223" s="15">
        <f>SUM(E218:E221)</f>
        <v>-100500</v>
      </c>
    </row>
    <row r="224" spans="1:5" ht="14.95" thickTop="1" x14ac:dyDescent="0.25">
      <c r="B224" s="10"/>
      <c r="C224" s="11"/>
      <c r="D224" s="50"/>
      <c r="E224" s="13"/>
    </row>
    <row r="225" spans="1:5" x14ac:dyDescent="0.25">
      <c r="A225" s="2" t="s">
        <v>18</v>
      </c>
      <c r="B225" s="12">
        <f>B203+B218+B220</f>
        <v>0</v>
      </c>
      <c r="C225" s="11"/>
      <c r="D225" s="50"/>
      <c r="E225" s="13"/>
    </row>
    <row r="226" spans="1:5" x14ac:dyDescent="0.25">
      <c r="A226" s="2" t="s">
        <v>19</v>
      </c>
      <c r="B226" s="12"/>
      <c r="C226" s="16">
        <f>C204+C219</f>
        <v>0</v>
      </c>
      <c r="D226" s="50"/>
      <c r="E226" s="13"/>
    </row>
    <row r="227" spans="1:5" x14ac:dyDescent="0.25">
      <c r="A227" s="2" t="s">
        <v>101</v>
      </c>
      <c r="B227" s="10"/>
      <c r="C227" s="13"/>
      <c r="D227" s="17"/>
      <c r="E227" s="13">
        <f>E205+E219</f>
        <v>2000000</v>
      </c>
    </row>
    <row r="228" spans="1:5" ht="14.95" thickBot="1" x14ac:dyDescent="0.3">
      <c r="A228" s="3" t="s">
        <v>16</v>
      </c>
      <c r="B228" s="21">
        <f>SUM(B225:B227)</f>
        <v>0</v>
      </c>
      <c r="C228" s="22">
        <f t="shared" ref="C228:E228" si="8">SUM(C225:C227)</f>
        <v>0</v>
      </c>
      <c r="D228" s="55">
        <f t="shared" si="8"/>
        <v>0</v>
      </c>
      <c r="E228" s="22">
        <f t="shared" si="8"/>
        <v>2000000</v>
      </c>
    </row>
  </sheetData>
  <mergeCells count="10">
    <mergeCell ref="B32:C32"/>
    <mergeCell ref="B4:C4"/>
    <mergeCell ref="B54:C54"/>
    <mergeCell ref="B76:C76"/>
    <mergeCell ref="B208:C208"/>
    <mergeCell ref="B98:C98"/>
    <mergeCell ref="B120:C120"/>
    <mergeCell ref="B142:C142"/>
    <mergeCell ref="B164:C164"/>
    <mergeCell ref="B186:C18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S55"/>
  <sheetViews>
    <sheetView showGridLines="0" workbookViewId="0">
      <selection activeCell="J26" sqref="J26"/>
    </sheetView>
  </sheetViews>
  <sheetFormatPr defaultRowHeight="14.3" outlineLevelCol="1" x14ac:dyDescent="0.25"/>
  <cols>
    <col min="1" max="1" width="21.375" bestFit="1" customWidth="1"/>
    <col min="2" max="13" width="14.25" customWidth="1"/>
    <col min="14" max="16" width="14.25" hidden="1" customWidth="1" outlineLevel="1"/>
    <col min="17" max="18" width="8.875" hidden="1" customWidth="1" outlineLevel="1"/>
    <col min="19" max="19" width="8.875" customWidth="1" collapsed="1"/>
    <col min="20" max="20" width="8.875" customWidth="1"/>
  </cols>
  <sheetData>
    <row r="1" spans="1:18" ht="14.95" x14ac:dyDescent="0.25">
      <c r="A1" s="60" t="s">
        <v>61</v>
      </c>
    </row>
    <row r="3" spans="1:18" s="288" customFormat="1" x14ac:dyDescent="0.25"/>
    <row r="4" spans="1:18" x14ac:dyDescent="0.25">
      <c r="A4" s="155" t="s">
        <v>91</v>
      </c>
    </row>
    <row r="5" spans="1:18" ht="14.95" thickBot="1" x14ac:dyDescent="0.3"/>
    <row r="6" spans="1:18" ht="14.95" thickBot="1" x14ac:dyDescent="0.3">
      <c r="A6" s="80" t="s">
        <v>92</v>
      </c>
      <c r="B6" s="310" t="s">
        <v>44</v>
      </c>
      <c r="C6" s="311"/>
      <c r="D6" s="311"/>
      <c r="E6" s="311"/>
      <c r="F6" s="311"/>
      <c r="G6" s="312"/>
      <c r="H6" s="313" t="s">
        <v>45</v>
      </c>
      <c r="I6" s="314"/>
      <c r="J6" s="314"/>
      <c r="K6" s="314"/>
      <c r="L6" s="314"/>
      <c r="M6" s="315"/>
      <c r="N6" s="311" t="s">
        <v>46</v>
      </c>
      <c r="O6" s="311"/>
      <c r="P6" s="316" t="s">
        <v>47</v>
      </c>
    </row>
    <row r="7" spans="1:18" ht="30.6" customHeight="1" x14ac:dyDescent="0.25">
      <c r="A7" s="81" t="s">
        <v>63</v>
      </c>
      <c r="B7" s="318" t="s">
        <v>48</v>
      </c>
      <c r="C7" s="322"/>
      <c r="D7" s="320" t="s">
        <v>49</v>
      </c>
      <c r="E7" s="319"/>
      <c r="F7" s="319"/>
      <c r="G7" s="321"/>
      <c r="H7" s="62" t="s">
        <v>50</v>
      </c>
      <c r="I7" s="63" t="s">
        <v>51</v>
      </c>
      <c r="J7" s="63" t="s">
        <v>52</v>
      </c>
      <c r="K7" s="63" t="s">
        <v>53</v>
      </c>
      <c r="L7" s="63" t="s">
        <v>54</v>
      </c>
      <c r="M7" s="64" t="s">
        <v>55</v>
      </c>
      <c r="N7" s="147" t="s">
        <v>56</v>
      </c>
      <c r="O7" s="61" t="s">
        <v>57</v>
      </c>
      <c r="P7" s="317"/>
    </row>
    <row r="8" spans="1:18" ht="19.899999999999999" customHeight="1" x14ac:dyDescent="0.25">
      <c r="A8" s="118"/>
      <c r="B8" s="134" t="s">
        <v>81</v>
      </c>
      <c r="C8" s="129" t="s">
        <v>82</v>
      </c>
      <c r="D8" s="125" t="s">
        <v>83</v>
      </c>
      <c r="E8" s="125" t="s">
        <v>84</v>
      </c>
      <c r="F8" s="129" t="s">
        <v>85</v>
      </c>
      <c r="G8" s="119" t="s">
        <v>86</v>
      </c>
      <c r="H8" s="120"/>
      <c r="I8" s="121"/>
      <c r="J8" s="121"/>
      <c r="K8" s="121"/>
      <c r="L8" s="121"/>
      <c r="M8" s="122"/>
      <c r="N8" s="148"/>
      <c r="O8" s="119"/>
      <c r="P8" s="116"/>
    </row>
    <row r="9" spans="1:18" ht="18" customHeight="1" x14ac:dyDescent="0.25">
      <c r="A9" s="67" t="s">
        <v>73</v>
      </c>
      <c r="B9" s="135"/>
      <c r="C9" s="130"/>
      <c r="D9" s="126">
        <f>'Scenario and Data'!A113</f>
        <v>425391.08378220262</v>
      </c>
      <c r="E9" s="126"/>
      <c r="F9" s="146"/>
      <c r="G9" s="112"/>
      <c r="H9" s="139"/>
      <c r="I9" s="115"/>
      <c r="J9" s="140"/>
      <c r="K9" s="115"/>
      <c r="L9" s="115">
        <f>D9</f>
        <v>425391.08378220262</v>
      </c>
      <c r="M9" s="141"/>
      <c r="N9" s="149"/>
      <c r="O9" s="65"/>
      <c r="P9" s="66"/>
      <c r="R9" t="s">
        <v>115</v>
      </c>
    </row>
    <row r="10" spans="1:18" ht="18" customHeight="1" x14ac:dyDescent="0.25">
      <c r="A10" s="67" t="s">
        <v>74</v>
      </c>
      <c r="B10" s="133"/>
      <c r="C10" s="131"/>
      <c r="D10" s="127"/>
      <c r="E10" s="127"/>
      <c r="F10" s="130">
        <f>Accounting!B17</f>
        <v>-355391.08378220262</v>
      </c>
      <c r="G10" s="114"/>
      <c r="H10" s="139"/>
      <c r="I10" s="115"/>
      <c r="J10" s="140"/>
      <c r="K10" s="115"/>
      <c r="L10" s="115">
        <v>0</v>
      </c>
      <c r="M10" s="141"/>
      <c r="N10" s="149"/>
      <c r="O10" s="65"/>
      <c r="P10" s="66"/>
      <c r="R10" t="s">
        <v>116</v>
      </c>
    </row>
    <row r="11" spans="1:18" ht="18" customHeight="1" x14ac:dyDescent="0.25">
      <c r="A11" s="67" t="s">
        <v>75</v>
      </c>
      <c r="B11" s="133"/>
      <c r="C11" s="115">
        <f>Accounting!B7</f>
        <v>17769.554189110131</v>
      </c>
      <c r="D11" s="115"/>
      <c r="E11" s="127"/>
      <c r="F11" s="131">
        <f>Accounting!B18</f>
        <v>-17769.554189110131</v>
      </c>
      <c r="G11" s="114"/>
      <c r="H11" s="139"/>
      <c r="I11" s="115">
        <f>C11</f>
        <v>17769.554189110131</v>
      </c>
      <c r="J11" s="140"/>
      <c r="K11" s="115"/>
      <c r="L11" s="115"/>
      <c r="M11" s="141"/>
      <c r="N11" s="149"/>
      <c r="O11" s="65"/>
      <c r="P11" s="66"/>
      <c r="R11" t="s">
        <v>117</v>
      </c>
    </row>
    <row r="12" spans="1:18" ht="18" customHeight="1" x14ac:dyDescent="0.25">
      <c r="A12" s="67" t="s">
        <v>4</v>
      </c>
      <c r="B12" s="133"/>
      <c r="C12" s="131">
        <f>Accounting!C8</f>
        <v>42539.108378220262</v>
      </c>
      <c r="D12" s="127">
        <f>Accounting!C20</f>
        <v>-42539.108378220262</v>
      </c>
      <c r="E12" s="127"/>
      <c r="F12" s="131"/>
      <c r="G12" s="114"/>
      <c r="H12" s="139">
        <f>C12</f>
        <v>42539.108378220262</v>
      </c>
      <c r="I12" s="115"/>
      <c r="J12" s="140"/>
      <c r="K12" s="115"/>
      <c r="L12" s="115"/>
      <c r="M12" s="141"/>
      <c r="N12" s="149"/>
      <c r="O12" s="65"/>
      <c r="P12" s="66"/>
      <c r="R12" t="s">
        <v>118</v>
      </c>
    </row>
    <row r="13" spans="1:18" ht="18" customHeight="1" thickBot="1" x14ac:dyDescent="0.3">
      <c r="A13" s="67" t="s">
        <v>76</v>
      </c>
      <c r="B13" s="133"/>
      <c r="C13" s="132"/>
      <c r="D13" s="128"/>
      <c r="E13" s="128">
        <f>SUM(Accounting!B21:B22)</f>
        <v>-70000</v>
      </c>
      <c r="F13" s="132"/>
      <c r="G13" s="114"/>
      <c r="H13" s="139"/>
      <c r="I13" s="115"/>
      <c r="J13" s="140"/>
      <c r="K13" s="115"/>
      <c r="L13" s="115"/>
      <c r="M13" s="141"/>
      <c r="N13" s="149"/>
      <c r="O13" s="65"/>
      <c r="P13" s="66"/>
    </row>
    <row r="14" spans="1:18" ht="18" customHeight="1" thickBot="1" x14ac:dyDescent="0.3">
      <c r="A14" s="68" t="s">
        <v>58</v>
      </c>
      <c r="B14" s="69"/>
      <c r="C14" s="71"/>
      <c r="D14" s="71"/>
      <c r="E14" s="71"/>
      <c r="F14" s="71"/>
      <c r="G14" s="70"/>
      <c r="H14" s="142">
        <f t="shared" ref="H14:K14" si="0">SUM(H9:H13)</f>
        <v>42539.108378220262</v>
      </c>
      <c r="I14" s="142">
        <f t="shared" si="0"/>
        <v>17769.554189110131</v>
      </c>
      <c r="J14" s="142">
        <f t="shared" si="0"/>
        <v>0</v>
      </c>
      <c r="K14" s="142">
        <f t="shared" si="0"/>
        <v>0</v>
      </c>
      <c r="L14" s="142">
        <f>SUM(L9:L13)</f>
        <v>425391.08378220262</v>
      </c>
      <c r="M14" s="142">
        <f>SUM(M9:M13)</f>
        <v>0</v>
      </c>
      <c r="N14" s="71"/>
      <c r="O14" s="71"/>
      <c r="P14" s="72"/>
    </row>
    <row r="15" spans="1:18" ht="14.95" thickBot="1" x14ac:dyDescent="0.3">
      <c r="A15" s="73" t="s">
        <v>59</v>
      </c>
      <c r="B15" s="73"/>
      <c r="C15" s="73"/>
      <c r="D15" s="73"/>
      <c r="E15" s="73"/>
      <c r="F15" s="73"/>
      <c r="G15" s="74">
        <f>SUM(B9:G13)</f>
        <v>0</v>
      </c>
      <c r="H15" s="75"/>
      <c r="I15" s="75"/>
      <c r="J15" s="75"/>
      <c r="K15" s="75"/>
      <c r="L15" s="75"/>
      <c r="M15" s="75"/>
      <c r="N15" s="76"/>
      <c r="O15" s="76"/>
      <c r="P15" s="76"/>
    </row>
    <row r="16" spans="1:18" ht="14.95" thickBot="1" x14ac:dyDescent="0.3"/>
    <row r="17" spans="1:18" ht="14.95" thickBot="1" x14ac:dyDescent="0.3">
      <c r="A17" s="80" t="s">
        <v>93</v>
      </c>
      <c r="B17" s="310" t="s">
        <v>44</v>
      </c>
      <c r="C17" s="311"/>
      <c r="D17" s="311"/>
      <c r="E17" s="311"/>
      <c r="F17" s="311"/>
      <c r="G17" s="312"/>
      <c r="H17" s="313" t="s">
        <v>45</v>
      </c>
      <c r="I17" s="314"/>
      <c r="J17" s="314"/>
      <c r="K17" s="314"/>
      <c r="L17" s="314"/>
      <c r="M17" s="315"/>
      <c r="N17" s="311" t="s">
        <v>46</v>
      </c>
      <c r="O17" s="311"/>
      <c r="P17" s="316" t="s">
        <v>47</v>
      </c>
    </row>
    <row r="18" spans="1:18" ht="27.7" customHeight="1" x14ac:dyDescent="0.25">
      <c r="A18" s="81" t="s">
        <v>63</v>
      </c>
      <c r="B18" s="318" t="s">
        <v>48</v>
      </c>
      <c r="C18" s="319"/>
      <c r="D18" s="320" t="s">
        <v>49</v>
      </c>
      <c r="E18" s="319"/>
      <c r="F18" s="319"/>
      <c r="G18" s="321"/>
      <c r="H18" s="62" t="s">
        <v>50</v>
      </c>
      <c r="I18" s="63" t="s">
        <v>51</v>
      </c>
      <c r="J18" s="63" t="s">
        <v>52</v>
      </c>
      <c r="K18" s="63" t="s">
        <v>53</v>
      </c>
      <c r="L18" s="63" t="s">
        <v>54</v>
      </c>
      <c r="M18" s="64" t="s">
        <v>55</v>
      </c>
      <c r="N18" s="147" t="s">
        <v>56</v>
      </c>
      <c r="O18" s="61" t="s">
        <v>57</v>
      </c>
      <c r="P18" s="317"/>
    </row>
    <row r="19" spans="1:18" ht="18" customHeight="1" x14ac:dyDescent="0.25">
      <c r="A19" s="118"/>
      <c r="B19" s="134" t="s">
        <v>81</v>
      </c>
      <c r="C19" s="129" t="s">
        <v>82</v>
      </c>
      <c r="D19" s="125" t="s">
        <v>83</v>
      </c>
      <c r="E19" s="125" t="s">
        <v>84</v>
      </c>
      <c r="F19" s="129" t="s">
        <v>85</v>
      </c>
      <c r="G19" s="119" t="s">
        <v>86</v>
      </c>
      <c r="H19" s="143"/>
      <c r="I19" s="144"/>
      <c r="J19" s="144"/>
      <c r="K19" s="144"/>
      <c r="L19" s="146"/>
      <c r="M19" s="145"/>
      <c r="N19" s="148"/>
      <c r="O19" s="119"/>
      <c r="P19" s="116"/>
    </row>
    <row r="20" spans="1:18" x14ac:dyDescent="0.25">
      <c r="A20" s="117" t="s">
        <v>79</v>
      </c>
      <c r="B20" s="111"/>
      <c r="C20" s="123"/>
      <c r="D20" s="127">
        <v>5000</v>
      </c>
      <c r="E20" s="137"/>
      <c r="F20" s="138"/>
      <c r="G20" s="112"/>
      <c r="H20" s="139"/>
      <c r="I20" s="115"/>
      <c r="J20" s="140"/>
      <c r="K20" s="115"/>
      <c r="L20" s="131">
        <f>D20</f>
        <v>5000</v>
      </c>
      <c r="M20" s="141"/>
      <c r="N20" s="149"/>
      <c r="O20" s="65"/>
      <c r="P20" s="66"/>
      <c r="R20" t="s">
        <v>119</v>
      </c>
    </row>
    <row r="21" spans="1:18" x14ac:dyDescent="0.25">
      <c r="A21" s="67" t="s">
        <v>77</v>
      </c>
      <c r="B21" s="113">
        <f>SUM(Accounting!D9:D9)</f>
        <v>-50000</v>
      </c>
      <c r="C21" s="124"/>
      <c r="D21" s="127"/>
      <c r="E21" s="127">
        <f>-SUM(Accounting!D9:D9)</f>
        <v>50000</v>
      </c>
      <c r="F21" s="131"/>
      <c r="G21" s="114"/>
      <c r="H21" s="139"/>
      <c r="I21" s="115">
        <f>B21</f>
        <v>-50000</v>
      </c>
      <c r="J21" s="140"/>
      <c r="K21" s="115"/>
      <c r="L21" s="115"/>
      <c r="M21" s="141"/>
      <c r="N21" s="149"/>
      <c r="O21" s="65"/>
      <c r="P21" s="66"/>
      <c r="R21" t="s">
        <v>120</v>
      </c>
    </row>
    <row r="22" spans="1:18" x14ac:dyDescent="0.25">
      <c r="A22" s="67" t="s">
        <v>95</v>
      </c>
      <c r="B22" s="153"/>
      <c r="C22" s="115">
        <f>Accounting!E10</f>
        <v>100500</v>
      </c>
      <c r="D22" s="127">
        <f>Accounting!E20</f>
        <v>-100500</v>
      </c>
      <c r="E22" s="127"/>
      <c r="F22" s="131"/>
      <c r="G22" s="114"/>
      <c r="H22" s="139">
        <f>C22</f>
        <v>100500</v>
      </c>
      <c r="I22" s="115"/>
      <c r="J22" s="140"/>
      <c r="K22" s="115"/>
      <c r="L22" s="115"/>
      <c r="M22" s="141"/>
      <c r="N22" s="149"/>
      <c r="O22" s="65"/>
      <c r="P22" s="66"/>
      <c r="R22" t="s">
        <v>121</v>
      </c>
    </row>
    <row r="23" spans="1:18" ht="14.95" thickBot="1" x14ac:dyDescent="0.3">
      <c r="A23" s="67" t="s">
        <v>78</v>
      </c>
      <c r="B23" s="113"/>
      <c r="C23" s="124"/>
      <c r="D23" s="128"/>
      <c r="E23" s="127">
        <v>-5000</v>
      </c>
      <c r="F23" s="132"/>
      <c r="G23" s="136"/>
      <c r="H23" s="139"/>
      <c r="I23" s="115"/>
      <c r="J23" s="140"/>
      <c r="K23" s="115"/>
      <c r="L23" s="115"/>
      <c r="M23" s="141"/>
      <c r="N23" s="149"/>
      <c r="O23" s="65"/>
      <c r="P23" s="66"/>
    </row>
    <row r="24" spans="1:18" ht="14.95" thickBot="1" x14ac:dyDescent="0.3">
      <c r="A24" s="68" t="s">
        <v>80</v>
      </c>
      <c r="B24" s="69"/>
      <c r="C24" s="71"/>
      <c r="D24" s="71"/>
      <c r="E24" s="71"/>
      <c r="F24" s="71"/>
      <c r="G24" s="70"/>
      <c r="H24" s="142">
        <f>SUM(H19:H23)</f>
        <v>100500</v>
      </c>
      <c r="I24" s="142">
        <f>SUM(I19:I23)</f>
        <v>-50000</v>
      </c>
      <c r="J24" s="142">
        <f>SUM(J19:J23)</f>
        <v>0</v>
      </c>
      <c r="K24" s="142">
        <f>SUM(K19:K23)</f>
        <v>0</v>
      </c>
      <c r="L24" s="142">
        <f>SUM(L20:L23)</f>
        <v>5000</v>
      </c>
      <c r="M24" s="142">
        <f>SUM(M19:M23)</f>
        <v>0</v>
      </c>
      <c r="N24" s="71"/>
      <c r="O24" s="71"/>
      <c r="P24" s="72"/>
    </row>
    <row r="25" spans="1:18" s="277" customFormat="1" thickBot="1" x14ac:dyDescent="0.3">
      <c r="A25" s="273" t="s">
        <v>59</v>
      </c>
      <c r="B25" s="273"/>
      <c r="C25" s="273"/>
      <c r="D25" s="273"/>
      <c r="E25" s="273"/>
      <c r="F25" s="273"/>
      <c r="G25" s="274">
        <f>SUM(B20:G23)</f>
        <v>0</v>
      </c>
      <c r="H25" s="275"/>
      <c r="I25" s="275"/>
      <c r="J25" s="275"/>
      <c r="K25" s="275"/>
      <c r="L25" s="275"/>
      <c r="M25" s="275"/>
      <c r="N25" s="276"/>
      <c r="O25" s="276"/>
      <c r="P25" s="276"/>
    </row>
    <row r="27" spans="1:18" x14ac:dyDescent="0.25">
      <c r="A27" s="150" t="s">
        <v>89</v>
      </c>
    </row>
    <row r="28" spans="1:18" x14ac:dyDescent="0.25">
      <c r="A28" s="150"/>
    </row>
    <row r="29" spans="1:18" x14ac:dyDescent="0.25">
      <c r="A29" s="155" t="s">
        <v>94</v>
      </c>
    </row>
    <row r="30" spans="1:18" ht="14.95" thickBot="1" x14ac:dyDescent="0.3"/>
    <row r="31" spans="1:18" ht="14.95" thickBot="1" x14ac:dyDescent="0.3">
      <c r="A31" s="80" t="s">
        <v>92</v>
      </c>
      <c r="B31" s="310" t="s">
        <v>44</v>
      </c>
      <c r="C31" s="311"/>
      <c r="D31" s="311"/>
      <c r="E31" s="311"/>
      <c r="F31" s="311"/>
      <c r="G31" s="312"/>
      <c r="H31" s="313" t="s">
        <v>45</v>
      </c>
      <c r="I31" s="314"/>
      <c r="J31" s="314"/>
      <c r="K31" s="314"/>
      <c r="L31" s="314"/>
      <c r="M31" s="315"/>
      <c r="N31" s="311" t="s">
        <v>46</v>
      </c>
      <c r="O31" s="311"/>
      <c r="P31" s="316" t="s">
        <v>47</v>
      </c>
    </row>
    <row r="32" spans="1:18" ht="30.6" customHeight="1" x14ac:dyDescent="0.25">
      <c r="A32" s="81" t="s">
        <v>63</v>
      </c>
      <c r="B32" s="318" t="s">
        <v>48</v>
      </c>
      <c r="C32" s="322"/>
      <c r="D32" s="320" t="s">
        <v>49</v>
      </c>
      <c r="E32" s="319"/>
      <c r="F32" s="319"/>
      <c r="G32" s="321"/>
      <c r="H32" s="62" t="s">
        <v>50</v>
      </c>
      <c r="I32" s="63" t="s">
        <v>51</v>
      </c>
      <c r="J32" s="63" t="s">
        <v>52</v>
      </c>
      <c r="K32" s="63" t="s">
        <v>53</v>
      </c>
      <c r="L32" s="63" t="s">
        <v>54</v>
      </c>
      <c r="M32" s="64" t="s">
        <v>55</v>
      </c>
      <c r="N32" s="152" t="s">
        <v>56</v>
      </c>
      <c r="O32" s="61" t="s">
        <v>57</v>
      </c>
      <c r="P32" s="317"/>
    </row>
    <row r="33" spans="1:16" ht="19.899999999999999" customHeight="1" x14ac:dyDescent="0.25">
      <c r="A33" s="118"/>
      <c r="B33" s="134" t="s">
        <v>81</v>
      </c>
      <c r="C33" s="129" t="s">
        <v>82</v>
      </c>
      <c r="D33" s="125" t="s">
        <v>83</v>
      </c>
      <c r="E33" s="125" t="s">
        <v>84</v>
      </c>
      <c r="F33" s="129" t="s">
        <v>85</v>
      </c>
      <c r="G33" s="119" t="s">
        <v>86</v>
      </c>
      <c r="H33" s="120"/>
      <c r="I33" s="121"/>
      <c r="J33" s="121"/>
      <c r="K33" s="121"/>
      <c r="L33" s="121"/>
      <c r="M33" s="122"/>
      <c r="N33" s="148"/>
      <c r="O33" s="119"/>
      <c r="P33" s="151"/>
    </row>
    <row r="34" spans="1:16" ht="18" customHeight="1" x14ac:dyDescent="0.25">
      <c r="A34" s="67" t="s">
        <v>73</v>
      </c>
      <c r="B34" s="135"/>
      <c r="C34" s="130"/>
      <c r="D34" s="126"/>
      <c r="E34" s="126"/>
      <c r="F34" s="146"/>
      <c r="G34" s="112"/>
      <c r="H34" s="139"/>
      <c r="I34" s="115"/>
      <c r="J34" s="140"/>
      <c r="K34" s="115"/>
      <c r="L34" s="115"/>
      <c r="M34" s="141"/>
      <c r="N34" s="149"/>
      <c r="O34" s="65"/>
      <c r="P34" s="66"/>
    </row>
    <row r="35" spans="1:16" ht="18" customHeight="1" x14ac:dyDescent="0.25">
      <c r="A35" s="67" t="s">
        <v>74</v>
      </c>
      <c r="B35" s="133"/>
      <c r="C35" s="131"/>
      <c r="D35" s="127"/>
      <c r="E35" s="127"/>
      <c r="F35" s="130">
        <f>Accounting!B44</f>
        <v>50000</v>
      </c>
      <c r="G35" s="114"/>
      <c r="H35" s="139"/>
      <c r="I35" s="115"/>
      <c r="J35" s="140"/>
      <c r="K35" s="115"/>
      <c r="L35" s="115"/>
      <c r="M35" s="141"/>
      <c r="N35" s="149"/>
      <c r="O35" s="65"/>
      <c r="P35" s="66"/>
    </row>
    <row r="36" spans="1:16" ht="18" customHeight="1" x14ac:dyDescent="0.25">
      <c r="A36" s="67" t="s">
        <v>75</v>
      </c>
      <c r="B36" s="133"/>
      <c r="C36" s="115">
        <f>Accounting!B35</f>
        <v>16158.031898565638</v>
      </c>
      <c r="D36" s="115"/>
      <c r="E36" s="127"/>
      <c r="F36" s="131">
        <f>Accounting!B42</f>
        <v>-16158.031898565638</v>
      </c>
      <c r="G36" s="114"/>
      <c r="H36" s="139"/>
      <c r="I36" s="115">
        <f>C36</f>
        <v>16158.031898565638</v>
      </c>
      <c r="J36" s="140"/>
      <c r="K36" s="115"/>
      <c r="L36" s="115"/>
      <c r="M36" s="141"/>
      <c r="N36" s="149"/>
      <c r="O36" s="65"/>
      <c r="P36" s="66"/>
    </row>
    <row r="37" spans="1:16" ht="18" customHeight="1" x14ac:dyDescent="0.25">
      <c r="A37" s="67" t="s">
        <v>4</v>
      </c>
      <c r="B37" s="133"/>
      <c r="C37" s="131">
        <f>Accounting!C36</f>
        <v>42539.108378220262</v>
      </c>
      <c r="D37" s="127">
        <f>Accounting!C43</f>
        <v>-42539.108378220262</v>
      </c>
      <c r="E37" s="127"/>
      <c r="F37" s="131"/>
      <c r="G37" s="114"/>
      <c r="H37" s="139">
        <f>C37</f>
        <v>42539.108378220262</v>
      </c>
      <c r="I37" s="115"/>
      <c r="J37" s="140"/>
      <c r="K37" s="115"/>
      <c r="L37" s="115"/>
      <c r="M37" s="141"/>
      <c r="N37" s="149"/>
      <c r="O37" s="65"/>
      <c r="P37" s="66"/>
    </row>
    <row r="38" spans="1:16" ht="18" customHeight="1" thickBot="1" x14ac:dyDescent="0.3">
      <c r="A38" s="67" t="s">
        <v>76</v>
      </c>
      <c r="B38" s="133"/>
      <c r="C38" s="132"/>
      <c r="D38" s="128"/>
      <c r="E38" s="128">
        <f>Accounting!B45</f>
        <v>-50000</v>
      </c>
      <c r="F38" s="132"/>
      <c r="G38" s="114"/>
      <c r="H38" s="139"/>
      <c r="I38" s="115"/>
      <c r="J38" s="140"/>
      <c r="K38" s="115"/>
      <c r="L38" s="115"/>
      <c r="M38" s="141"/>
      <c r="N38" s="149"/>
      <c r="O38" s="65"/>
      <c r="P38" s="66"/>
    </row>
    <row r="39" spans="1:16" ht="18" customHeight="1" thickBot="1" x14ac:dyDescent="0.3">
      <c r="A39" s="68" t="s">
        <v>58</v>
      </c>
      <c r="B39" s="69"/>
      <c r="C39" s="71"/>
      <c r="D39" s="71"/>
      <c r="E39" s="71"/>
      <c r="F39" s="71"/>
      <c r="G39" s="70"/>
      <c r="H39" s="142">
        <f t="shared" ref="H39:K39" si="1">SUM(H34:H38)</f>
        <v>42539.108378220262</v>
      </c>
      <c r="I39" s="142">
        <f t="shared" si="1"/>
        <v>16158.031898565638</v>
      </c>
      <c r="J39" s="142">
        <f t="shared" si="1"/>
        <v>0</v>
      </c>
      <c r="K39" s="142">
        <f t="shared" si="1"/>
        <v>0</v>
      </c>
      <c r="L39" s="142">
        <f>SUM(L34:L38)</f>
        <v>0</v>
      </c>
      <c r="M39" s="142">
        <f>SUM(M34:M38)</f>
        <v>0</v>
      </c>
      <c r="N39" s="71"/>
      <c r="O39" s="71"/>
      <c r="P39" s="72"/>
    </row>
    <row r="40" spans="1:16" s="277" customFormat="1" thickBot="1" x14ac:dyDescent="0.3">
      <c r="A40" s="273" t="s">
        <v>59</v>
      </c>
      <c r="B40" s="273"/>
      <c r="C40" s="273"/>
      <c r="D40" s="273"/>
      <c r="E40" s="273"/>
      <c r="F40" s="273"/>
      <c r="G40" s="274">
        <f>SUM(B34:G38)</f>
        <v>0</v>
      </c>
      <c r="H40" s="275"/>
      <c r="I40" s="275"/>
      <c r="J40" s="275"/>
      <c r="K40" s="275"/>
      <c r="L40" s="275"/>
      <c r="M40" s="275"/>
      <c r="N40" s="276"/>
      <c r="O40" s="276"/>
      <c r="P40" s="276"/>
    </row>
    <row r="41" spans="1:16" ht="14.95" thickBot="1" x14ac:dyDescent="0.3"/>
    <row r="42" spans="1:16" ht="14.95" thickBot="1" x14ac:dyDescent="0.3">
      <c r="A42" s="80" t="s">
        <v>93</v>
      </c>
      <c r="B42" s="310" t="s">
        <v>44</v>
      </c>
      <c r="C42" s="311"/>
      <c r="D42" s="311"/>
      <c r="E42" s="311"/>
      <c r="F42" s="311"/>
      <c r="G42" s="312"/>
      <c r="H42" s="313" t="s">
        <v>45</v>
      </c>
      <c r="I42" s="314"/>
      <c r="J42" s="314"/>
      <c r="K42" s="314"/>
      <c r="L42" s="314"/>
      <c r="M42" s="315"/>
      <c r="N42" s="311" t="s">
        <v>46</v>
      </c>
      <c r="O42" s="311"/>
      <c r="P42" s="316" t="s">
        <v>47</v>
      </c>
    </row>
    <row r="43" spans="1:16" ht="27.7" customHeight="1" x14ac:dyDescent="0.25">
      <c r="A43" s="81" t="s">
        <v>63</v>
      </c>
      <c r="B43" s="318" t="s">
        <v>48</v>
      </c>
      <c r="C43" s="319"/>
      <c r="D43" s="320" t="s">
        <v>49</v>
      </c>
      <c r="E43" s="319"/>
      <c r="F43" s="319"/>
      <c r="G43" s="321"/>
      <c r="H43" s="62" t="s">
        <v>50</v>
      </c>
      <c r="I43" s="63" t="s">
        <v>51</v>
      </c>
      <c r="J43" s="63" t="s">
        <v>52</v>
      </c>
      <c r="K43" s="63" t="s">
        <v>53</v>
      </c>
      <c r="L43" s="63" t="s">
        <v>54</v>
      </c>
      <c r="M43" s="64" t="s">
        <v>55</v>
      </c>
      <c r="N43" s="152" t="s">
        <v>56</v>
      </c>
      <c r="O43" s="61" t="s">
        <v>57</v>
      </c>
      <c r="P43" s="317"/>
    </row>
    <row r="44" spans="1:16" ht="18" customHeight="1" x14ac:dyDescent="0.25">
      <c r="A44" s="118"/>
      <c r="B44" s="134" t="s">
        <v>81</v>
      </c>
      <c r="C44" s="129" t="s">
        <v>82</v>
      </c>
      <c r="D44" s="125" t="s">
        <v>83</v>
      </c>
      <c r="E44" s="125" t="s">
        <v>84</v>
      </c>
      <c r="F44" s="129" t="s">
        <v>85</v>
      </c>
      <c r="G44" s="119" t="s">
        <v>86</v>
      </c>
      <c r="H44" s="143"/>
      <c r="I44" s="144"/>
      <c r="J44" s="144"/>
      <c r="K44" s="144"/>
      <c r="L44" s="146"/>
      <c r="M44" s="145"/>
      <c r="N44" s="148"/>
      <c r="O44" s="119"/>
      <c r="P44" s="151"/>
    </row>
    <row r="45" spans="1:16" x14ac:dyDescent="0.25">
      <c r="A45" s="117" t="s">
        <v>79</v>
      </c>
      <c r="B45" s="111"/>
      <c r="C45" s="123"/>
      <c r="D45" s="127"/>
      <c r="E45" s="137"/>
      <c r="F45" s="138"/>
      <c r="G45" s="112"/>
      <c r="H45" s="139"/>
      <c r="I45" s="115"/>
      <c r="J45" s="140"/>
      <c r="K45" s="115"/>
      <c r="L45" s="131">
        <f>D45</f>
        <v>0</v>
      </c>
      <c r="M45" s="141"/>
      <c r="N45" s="149"/>
      <c r="O45" s="65"/>
      <c r="P45" s="66"/>
    </row>
    <row r="46" spans="1:16" x14ac:dyDescent="0.25">
      <c r="A46" s="67" t="s">
        <v>77</v>
      </c>
      <c r="B46" s="113">
        <f>Accounting!D37</f>
        <v>-50000</v>
      </c>
      <c r="C46" s="124"/>
      <c r="D46" s="127"/>
      <c r="E46" s="127"/>
      <c r="F46" s="131"/>
      <c r="G46" s="114"/>
      <c r="H46" s="139"/>
      <c r="I46" s="115">
        <f>B46</f>
        <v>-50000</v>
      </c>
      <c r="J46" s="140"/>
      <c r="K46" s="115"/>
      <c r="L46" s="115"/>
      <c r="M46" s="141"/>
      <c r="N46" s="149"/>
      <c r="O46" s="65"/>
      <c r="P46" s="66"/>
    </row>
    <row r="47" spans="1:16" ht="27.2" x14ac:dyDescent="0.25">
      <c r="A47" s="67" t="s">
        <v>90</v>
      </c>
      <c r="B47" s="113">
        <f>Accounting!E31</f>
        <v>0</v>
      </c>
      <c r="C47" s="124">
        <f>Accounting!E38</f>
        <v>100500</v>
      </c>
      <c r="D47" s="127">
        <f>Accounting!E43</f>
        <v>-100500</v>
      </c>
      <c r="E47" s="127"/>
      <c r="F47" s="131"/>
      <c r="G47" s="114"/>
      <c r="H47" s="139">
        <f>C47</f>
        <v>100500</v>
      </c>
      <c r="I47" s="115"/>
      <c r="J47" s="140"/>
      <c r="K47" s="115"/>
      <c r="L47" s="115"/>
      <c r="M47" s="141"/>
      <c r="N47" s="149"/>
      <c r="O47" s="65"/>
      <c r="P47" s="66"/>
    </row>
    <row r="48" spans="1:16" x14ac:dyDescent="0.25">
      <c r="A48" s="67" t="s">
        <v>40</v>
      </c>
      <c r="B48" s="113"/>
      <c r="C48" s="124"/>
      <c r="D48" s="127"/>
      <c r="E48" s="127"/>
      <c r="F48" s="131"/>
      <c r="G48" s="114"/>
      <c r="H48" s="139"/>
      <c r="I48" s="115"/>
      <c r="J48" s="140"/>
      <c r="K48" s="115"/>
      <c r="L48" s="115"/>
      <c r="M48" s="141"/>
      <c r="N48" s="149"/>
      <c r="O48" s="65"/>
      <c r="P48" s="66"/>
    </row>
    <row r="49" spans="1:16" ht="14.95" thickBot="1" x14ac:dyDescent="0.3">
      <c r="A49" s="67" t="s">
        <v>78</v>
      </c>
      <c r="B49" s="113"/>
      <c r="C49" s="124"/>
      <c r="D49" s="128"/>
      <c r="E49" s="128">
        <f>Accounting!D45</f>
        <v>50000</v>
      </c>
      <c r="F49" s="132"/>
      <c r="G49" s="136"/>
      <c r="H49" s="139"/>
      <c r="I49" s="115"/>
      <c r="J49" s="140"/>
      <c r="K49" s="115"/>
      <c r="L49" s="115"/>
      <c r="M49" s="141"/>
      <c r="N49" s="149"/>
      <c r="O49" s="65"/>
      <c r="P49" s="66"/>
    </row>
    <row r="50" spans="1:16" ht="14.95" thickBot="1" x14ac:dyDescent="0.3">
      <c r="A50" s="68" t="s">
        <v>80</v>
      </c>
      <c r="B50" s="69"/>
      <c r="C50" s="71"/>
      <c r="D50" s="71"/>
      <c r="E50" s="71"/>
      <c r="F50" s="71"/>
      <c r="G50" s="70"/>
      <c r="H50" s="142">
        <f t="shared" ref="H50:K50" si="2">SUM(H44:H49)</f>
        <v>100500</v>
      </c>
      <c r="I50" s="142">
        <f t="shared" si="2"/>
        <v>-50000</v>
      </c>
      <c r="J50" s="142">
        <f t="shared" si="2"/>
        <v>0</v>
      </c>
      <c r="K50" s="142">
        <f t="shared" si="2"/>
        <v>0</v>
      </c>
      <c r="L50" s="142">
        <f>SUM(L44:L49)</f>
        <v>0</v>
      </c>
      <c r="M50" s="142">
        <f>SUM(M44:M49)</f>
        <v>0</v>
      </c>
      <c r="N50" s="71"/>
      <c r="O50" s="71"/>
      <c r="P50" s="72"/>
    </row>
    <row r="51" spans="1:16" ht="14.95" thickBot="1" x14ac:dyDescent="0.3">
      <c r="A51" s="73" t="s">
        <v>59</v>
      </c>
      <c r="B51" s="73"/>
      <c r="C51" s="73"/>
      <c r="D51" s="73"/>
      <c r="E51" s="73"/>
      <c r="F51" s="73"/>
      <c r="G51" s="74">
        <f>SUM(B45:G49)</f>
        <v>0</v>
      </c>
      <c r="H51" s="75"/>
      <c r="I51" s="75"/>
      <c r="J51" s="75"/>
      <c r="K51" s="75"/>
      <c r="L51" s="75"/>
      <c r="M51" s="75"/>
      <c r="N51" s="76"/>
      <c r="O51" s="76"/>
      <c r="P51" s="76"/>
    </row>
    <row r="53" spans="1:16" x14ac:dyDescent="0.25">
      <c r="A53" s="150" t="s">
        <v>89</v>
      </c>
    </row>
    <row r="55" spans="1:16" x14ac:dyDescent="0.25">
      <c r="A55" t="s">
        <v>168</v>
      </c>
    </row>
  </sheetData>
  <mergeCells count="24">
    <mergeCell ref="B6:G6"/>
    <mergeCell ref="H6:M6"/>
    <mergeCell ref="N6:O6"/>
    <mergeCell ref="P6:P7"/>
    <mergeCell ref="B17:G17"/>
    <mergeCell ref="H17:M17"/>
    <mergeCell ref="N17:O17"/>
    <mergeCell ref="P17:P18"/>
    <mergeCell ref="B7:C7"/>
    <mergeCell ref="D7:G7"/>
    <mergeCell ref="D18:G18"/>
    <mergeCell ref="B18:C18"/>
    <mergeCell ref="B31:G31"/>
    <mergeCell ref="H31:M31"/>
    <mergeCell ref="N31:O31"/>
    <mergeCell ref="P31:P32"/>
    <mergeCell ref="B32:C32"/>
    <mergeCell ref="D32:G32"/>
    <mergeCell ref="B42:G42"/>
    <mergeCell ref="H42:M42"/>
    <mergeCell ref="N42:O42"/>
    <mergeCell ref="P42:P43"/>
    <mergeCell ref="B43:C43"/>
    <mergeCell ref="D43:G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3" ma:contentTypeDescription="Create a new document." ma:contentTypeScope="" ma:versionID="e9ba3eeae428211e0618048c8325463d">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6c68d28761018736f924c3f0c0486311"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Review_x0020_Date" ma:index="16" nillable="true" ma:displayName="Review date" ma:indexed="true" ma:internalName="Review_x0020_Dat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Review_x0020_Date xmlns="cf922d0c-7565-4a19-867a-78a71dd2f738" xsi:nil="true"/>
  </documentManagement>
</p:properties>
</file>

<file path=customXml/itemProps1.xml><?xml version="1.0" encoding="utf-8"?>
<ds:datastoreItem xmlns:ds="http://schemas.openxmlformats.org/officeDocument/2006/customXml" ds:itemID="{9A03AC6B-94DB-45D1-9C57-973A8215F2E0}">
  <ds:schemaRefs>
    <ds:schemaRef ds:uri="http://schemas.microsoft.com/sharepoint/v3/contenttype/forms"/>
  </ds:schemaRefs>
</ds:datastoreItem>
</file>

<file path=customXml/itemProps2.xml><?xml version="1.0" encoding="utf-8"?>
<ds:datastoreItem xmlns:ds="http://schemas.openxmlformats.org/officeDocument/2006/customXml" ds:itemID="{ECB019F5-F50E-4719-B873-5906CDA3955E}"/>
</file>

<file path=customXml/itemProps3.xml><?xml version="1.0" encoding="utf-8"?>
<ds:datastoreItem xmlns:ds="http://schemas.openxmlformats.org/officeDocument/2006/customXml" ds:itemID="{D359194D-5B3D-4FA9-883D-639388472922}">
  <ds:schemaRefs>
    <ds:schemaRef ds:uri="http://purl.org/dc/terms/"/>
    <ds:schemaRef ds:uri="http://purl.org/dc/elements/1.1/"/>
    <ds:schemaRef ds:uri="http://purl.org/dc/dcmitype/"/>
    <ds:schemaRef ds:uri="cf922d0c-7565-4a19-867a-78a71dd2f738"/>
    <ds:schemaRef ds:uri="http://schemas.microsoft.com/office/2006/metadata/properties"/>
    <ds:schemaRef ds:uri="http://schemas.microsoft.com/office/2006/documentManagement/types"/>
    <ds:schemaRef ds:uri="http://schemas.microsoft.com/sharepoint/v3"/>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Scenario and Data</vt:lpstr>
      <vt:lpstr>Accounting</vt:lpstr>
      <vt:lpstr>Budgeting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creator>MM</dc:creator>
  <cp:lastModifiedBy>Eleanor</cp:lastModifiedBy>
  <cp:lastPrinted>2019-08-15T09:38:57Z</cp:lastPrinted>
  <dcterms:created xsi:type="dcterms:W3CDTF">2018-10-06T14:44:45Z</dcterms:created>
  <dcterms:modified xsi:type="dcterms:W3CDTF">2021-10-27T14:41:52Z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