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7"/>
  <workbookPr defaultThemeVersion="124226"/>
  <mc:AlternateContent xmlns:mc="http://schemas.openxmlformats.org/markup-compatibility/2006">
    <mc:Choice Requires="x15">
      <x15ac:absPath xmlns:x15ac="http://schemas.microsoft.com/office/spreadsheetml/2010/11/ac" url="https://nhsengland.sharepoint.com/sites/CFO/fc/fy/OpenLib/2022-23 Annual Accounts/Provider Accounts/IFRS 16/Examples and tools - updated for 2022 implementation/"/>
    </mc:Choice>
  </mc:AlternateContent>
  <xr:revisionPtr revIDLastSave="0" documentId="8_{37ECD7B7-8AFE-4CA8-BD38-C2A3158CB007}" xr6:coauthVersionLast="47" xr6:coauthVersionMax="47" xr10:uidLastSave="{00000000-0000-0000-0000-000000000000}"/>
  <bookViews>
    <workbookView xWindow="-109" yWindow="-109" windowWidth="26301" windowHeight="14305" xr2:uid="{C03BCAD2-5667-4A4C-BDD9-DA1FE675A5C1}"/>
  </bookViews>
  <sheets>
    <sheet name="Scenario and Data" sheetId="1" r:id="rId1"/>
    <sheet name="Accounting" sheetId="2" r:id="rId2"/>
    <sheet name="Budgeting" sheetId="15"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9" i="2" l="1"/>
  <c r="C87" i="2"/>
  <c r="C65" i="2"/>
  <c r="C43" i="2"/>
  <c r="C20" i="2"/>
  <c r="G135" i="1"/>
  <c r="B222" i="1" l="1"/>
  <c r="C222" i="1"/>
  <c r="D78" i="1" l="1"/>
  <c r="E78" i="1" s="1"/>
  <c r="C21" i="15" l="1"/>
  <c r="H21" i="15" s="1"/>
  <c r="N21" i="15" s="1"/>
  <c r="M23" i="15" l="1"/>
  <c r="L23" i="15"/>
  <c r="K23" i="15"/>
  <c r="J23" i="15"/>
  <c r="H23" i="15"/>
  <c r="J14" i="15"/>
  <c r="L10" i="15"/>
  <c r="B223" i="2" l="1"/>
  <c r="B222" i="2" s="1"/>
  <c r="B201" i="2"/>
  <c r="B200" i="2" s="1"/>
  <c r="B179" i="2"/>
  <c r="B178" i="2" s="1"/>
  <c r="B157" i="2"/>
  <c r="B229" i="1"/>
  <c r="B230" i="1"/>
  <c r="B231" i="1"/>
  <c r="B228" i="1"/>
  <c r="D154" i="1"/>
  <c r="E154" i="1" s="1"/>
  <c r="D153" i="1"/>
  <c r="E153" i="1" s="1"/>
  <c r="D152" i="1"/>
  <c r="E152" i="1" s="1"/>
  <c r="D151" i="1"/>
  <c r="E151" i="1" s="1"/>
  <c r="D147" i="2" l="1"/>
  <c r="D157" i="2" s="1"/>
  <c r="E20" i="15" s="1"/>
  <c r="C228" i="1"/>
  <c r="D215" i="2"/>
  <c r="D223" i="2" s="1"/>
  <c r="C231" i="1"/>
  <c r="D193" i="2"/>
  <c r="D201" i="2" s="1"/>
  <c r="C230" i="1"/>
  <c r="D171" i="2"/>
  <c r="D179" i="2" s="1"/>
  <c r="C229" i="1"/>
  <c r="B156" i="2"/>
  <c r="F13" i="15" s="1"/>
  <c r="E13" i="15"/>
  <c r="K14" i="15" s="1"/>
  <c r="E155" i="1"/>
  <c r="F20" i="2"/>
  <c r="B162" i="1" l="1"/>
  <c r="D162" i="1" s="1"/>
  <c r="D21" i="2"/>
  <c r="D9" i="2"/>
  <c r="C205" i="1"/>
  <c r="C206" i="1"/>
  <c r="C207" i="1"/>
  <c r="C208" i="1"/>
  <c r="C209" i="1"/>
  <c r="C210" i="1"/>
  <c r="C211" i="1"/>
  <c r="C212" i="1"/>
  <c r="C213" i="1"/>
  <c r="C204" i="1"/>
  <c r="E212" i="1"/>
  <c r="B204" i="1"/>
  <c r="B20" i="15" l="1"/>
  <c r="B145" i="2"/>
  <c r="C11" i="15" s="1"/>
  <c r="I11" i="15" s="1"/>
  <c r="B154" i="2"/>
  <c r="F11" i="15" s="1"/>
  <c r="E162" i="1"/>
  <c r="B163" i="1" s="1"/>
  <c r="D163" i="1" s="1"/>
  <c r="E216" i="2"/>
  <c r="E19" i="2"/>
  <c r="F19" i="2" s="1"/>
  <c r="E210" i="1"/>
  <c r="E172" i="2" s="1"/>
  <c r="E209" i="1"/>
  <c r="E148" i="2" s="1"/>
  <c r="E204" i="1"/>
  <c r="F204" i="1" s="1"/>
  <c r="B205" i="1" s="1"/>
  <c r="E208" i="1"/>
  <c r="E126" i="2" s="1"/>
  <c r="E207" i="1"/>
  <c r="E82" i="2" s="1"/>
  <c r="E206" i="1"/>
  <c r="E60" i="2" s="1"/>
  <c r="E213" i="1"/>
  <c r="E205" i="1"/>
  <c r="E38" i="2" s="1"/>
  <c r="E211" i="1"/>
  <c r="E194" i="2" s="1"/>
  <c r="I14" i="15" l="1"/>
  <c r="N11" i="15"/>
  <c r="D181" i="2"/>
  <c r="D69" i="2"/>
  <c r="D203" i="2"/>
  <c r="I20" i="15"/>
  <c r="D159" i="2"/>
  <c r="G24" i="15"/>
  <c r="E163" i="1"/>
  <c r="B164" i="1" s="1"/>
  <c r="D164" i="1" s="1"/>
  <c r="B169" i="2"/>
  <c r="F205" i="1"/>
  <c r="B206" i="1" s="1"/>
  <c r="F206" i="1" s="1"/>
  <c r="B207" i="1" s="1"/>
  <c r="F207" i="1" s="1"/>
  <c r="B208" i="1" s="1"/>
  <c r="F208" i="1" s="1"/>
  <c r="B209" i="1" s="1"/>
  <c r="F209" i="1" s="1"/>
  <c r="B210" i="1" s="1"/>
  <c r="F210" i="1" s="1"/>
  <c r="B211" i="1" s="1"/>
  <c r="F211" i="1" s="1"/>
  <c r="B212" i="1" s="1"/>
  <c r="F212" i="1" s="1"/>
  <c r="B213" i="1" s="1"/>
  <c r="F213" i="1" s="1"/>
  <c r="E10" i="2"/>
  <c r="E104" i="2"/>
  <c r="D225" i="2"/>
  <c r="I23" i="15" l="1"/>
  <c r="N20" i="15"/>
  <c r="E164" i="1"/>
  <c r="B165" i="1" s="1"/>
  <c r="B191" i="2"/>
  <c r="D230" i="2"/>
  <c r="F222" i="2"/>
  <c r="E221" i="2"/>
  <c r="E225" i="2" s="1"/>
  <c r="E217" i="2"/>
  <c r="F215" i="2"/>
  <c r="D208" i="2"/>
  <c r="F200" i="2"/>
  <c r="E199" i="2"/>
  <c r="E203" i="2" s="1"/>
  <c r="E195" i="2"/>
  <c r="F193" i="2"/>
  <c r="D186" i="2"/>
  <c r="F178" i="2"/>
  <c r="E173" i="2"/>
  <c r="E177" i="2"/>
  <c r="F171" i="2"/>
  <c r="D164" i="2"/>
  <c r="F156" i="2"/>
  <c r="E155" i="2"/>
  <c r="E159" i="2" s="1"/>
  <c r="E149" i="2"/>
  <c r="F147" i="2"/>
  <c r="D140" i="2"/>
  <c r="F132" i="2"/>
  <c r="E127" i="2"/>
  <c r="E131" i="2"/>
  <c r="D118" i="2"/>
  <c r="C113" i="2"/>
  <c r="F110" i="2"/>
  <c r="E105" i="2"/>
  <c r="E109" i="2"/>
  <c r="D96" i="2"/>
  <c r="C91" i="2"/>
  <c r="F88" i="2"/>
  <c r="E87" i="2"/>
  <c r="E91" i="2" s="1"/>
  <c r="E83" i="2"/>
  <c r="D74" i="2"/>
  <c r="C69" i="2"/>
  <c r="F66" i="2"/>
  <c r="E65" i="2"/>
  <c r="D165" i="1" l="1"/>
  <c r="B213" i="2" s="1"/>
  <c r="E165" i="1"/>
  <c r="E181" i="2"/>
  <c r="E135" i="2"/>
  <c r="E113" i="2"/>
  <c r="E69" i="2"/>
  <c r="E61" i="2"/>
  <c r="F44" i="2" l="1"/>
  <c r="D52" i="2"/>
  <c r="C47" i="2"/>
  <c r="C15" i="2"/>
  <c r="F15" i="2" s="1"/>
  <c r="C16" i="2"/>
  <c r="F9" i="2" l="1"/>
  <c r="E39" i="2"/>
  <c r="D24" i="2"/>
  <c r="E20" i="2" l="1"/>
  <c r="E28" i="2" s="1"/>
  <c r="E43" i="2"/>
  <c r="E47" i="2" s="1"/>
  <c r="D11" i="2"/>
  <c r="E11" i="2"/>
  <c r="C110" i="1"/>
  <c r="E24" i="2" l="1"/>
  <c r="D79" i="1"/>
  <c r="E51" i="2" l="1"/>
  <c r="E29" i="2"/>
  <c r="C109" i="1"/>
  <c r="C108" i="1"/>
  <c r="C107" i="1"/>
  <c r="C106" i="1"/>
  <c r="B227" i="1" s="1"/>
  <c r="C227" i="1" s="1"/>
  <c r="C105" i="1"/>
  <c r="B226" i="1" s="1"/>
  <c r="C226" i="1" s="1"/>
  <c r="C104" i="1"/>
  <c r="B225" i="1" s="1"/>
  <c r="C225" i="1" s="1"/>
  <c r="C103" i="1"/>
  <c r="B224" i="1" s="1"/>
  <c r="C224" i="1" s="1"/>
  <c r="C102" i="1"/>
  <c r="A80" i="1"/>
  <c r="A81" i="1" s="1"/>
  <c r="E79" i="1"/>
  <c r="G185" i="1" l="1"/>
  <c r="D81" i="2"/>
  <c r="D103" i="2"/>
  <c r="D125" i="2"/>
  <c r="D59" i="2"/>
  <c r="F59" i="2" s="1"/>
  <c r="B223" i="1"/>
  <c r="E52" i="2"/>
  <c r="E73" i="2"/>
  <c r="D80" i="1"/>
  <c r="E80" i="1" s="1"/>
  <c r="D81" i="1"/>
  <c r="E81" i="1" s="1"/>
  <c r="A82" i="1"/>
  <c r="D37" i="2" l="1"/>
  <c r="D39" i="2" s="1"/>
  <c r="C223" i="1"/>
  <c r="D89" i="2"/>
  <c r="D91" i="2" s="1"/>
  <c r="F81" i="2"/>
  <c r="D133" i="2"/>
  <c r="D135" i="2" s="1"/>
  <c r="F125" i="2"/>
  <c r="D111" i="2"/>
  <c r="D113" i="2" s="1"/>
  <c r="F103" i="2"/>
  <c r="D45" i="2"/>
  <c r="D47" i="2" s="1"/>
  <c r="F37" i="2"/>
  <c r="E95" i="2"/>
  <c r="E74" i="2"/>
  <c r="D82" i="1"/>
  <c r="E82" i="1" s="1"/>
  <c r="A83" i="1"/>
  <c r="E117" i="2" l="1"/>
  <c r="E96" i="2"/>
  <c r="A84" i="1"/>
  <c r="D83" i="1"/>
  <c r="E83" i="1" s="1"/>
  <c r="E139" i="2" l="1"/>
  <c r="E118" i="2"/>
  <c r="A85" i="1"/>
  <c r="D84" i="1"/>
  <c r="E84" i="1" s="1"/>
  <c r="E163" i="2" l="1"/>
  <c r="E140" i="2"/>
  <c r="D85" i="1"/>
  <c r="E85" i="1" s="1"/>
  <c r="A86" i="1"/>
  <c r="E185" i="2" l="1"/>
  <c r="E164" i="2"/>
  <c r="D86" i="1"/>
  <c r="E86" i="1" s="1"/>
  <c r="A87" i="1"/>
  <c r="D87" i="1" s="1"/>
  <c r="E87" i="1" s="1"/>
  <c r="A98" i="1" l="1"/>
  <c r="A126" i="1" s="1"/>
  <c r="E88" i="1"/>
  <c r="E186" i="2"/>
  <c r="E207" i="2"/>
  <c r="B17" i="2" l="1"/>
  <c r="C14" i="2" s="1"/>
  <c r="E229" i="2"/>
  <c r="E230" i="2" s="1"/>
  <c r="E208" i="2"/>
  <c r="B101" i="1"/>
  <c r="D101" i="1" s="1"/>
  <c r="C131" i="1" l="1"/>
  <c r="C58" i="2" s="1"/>
  <c r="F58" i="2" s="1"/>
  <c r="F17" i="2"/>
  <c r="C129" i="1"/>
  <c r="C134" i="1"/>
  <c r="C124" i="2" s="1"/>
  <c r="C131" i="2" s="1"/>
  <c r="C135" i="2" s="1"/>
  <c r="C135" i="1"/>
  <c r="B7" i="2"/>
  <c r="C133" i="1"/>
  <c r="C102" i="2" s="1"/>
  <c r="C138" i="1"/>
  <c r="B129" i="1"/>
  <c r="C137" i="1"/>
  <c r="C132" i="1"/>
  <c r="C80" i="2" s="1"/>
  <c r="C136" i="1"/>
  <c r="C130" i="1"/>
  <c r="F14" i="2"/>
  <c r="C24" i="2"/>
  <c r="C27" i="2" s="1"/>
  <c r="E101" i="1"/>
  <c r="B102" i="1" s="1"/>
  <c r="C61" i="2" l="1"/>
  <c r="F7" i="2"/>
  <c r="C127" i="2"/>
  <c r="F124" i="2"/>
  <c r="C105" i="2"/>
  <c r="F102" i="2"/>
  <c r="C83" i="2"/>
  <c r="F80" i="2"/>
  <c r="D129" i="1"/>
  <c r="E129" i="1" s="1"/>
  <c r="G136" i="1"/>
  <c r="B11" i="2"/>
  <c r="C36" i="2"/>
  <c r="B18" i="2"/>
  <c r="C8" i="2"/>
  <c r="C50" i="2"/>
  <c r="C72" i="2" s="1"/>
  <c r="F27" i="2"/>
  <c r="C29" i="2"/>
  <c r="D102" i="1"/>
  <c r="B26" i="2" l="1"/>
  <c r="F18" i="2"/>
  <c r="F24" i="2" s="1"/>
  <c r="B130" i="1"/>
  <c r="D130" i="1" s="1"/>
  <c r="B131" i="1" s="1"/>
  <c r="D131" i="1" s="1"/>
  <c r="C94" i="2"/>
  <c r="C74" i="2"/>
  <c r="F72" i="2"/>
  <c r="B24" i="2"/>
  <c r="C11" i="2"/>
  <c r="F8" i="2"/>
  <c r="F11" i="2" s="1"/>
  <c r="B35" i="2"/>
  <c r="F35" i="2" s="1"/>
  <c r="C39" i="2"/>
  <c r="F36" i="2"/>
  <c r="F50" i="2"/>
  <c r="C52" i="2"/>
  <c r="E102" i="1"/>
  <c r="B103" i="1" s="1"/>
  <c r="D103" i="1" s="1"/>
  <c r="F26" i="2" l="1"/>
  <c r="F29" i="2" s="1"/>
  <c r="B29" i="2"/>
  <c r="E103" i="1"/>
  <c r="B104" i="1" s="1"/>
  <c r="D104" i="1" s="1"/>
  <c r="D61" i="2"/>
  <c r="B57" i="2"/>
  <c r="C116" i="2"/>
  <c r="C96" i="2"/>
  <c r="F94" i="2"/>
  <c r="B42" i="2"/>
  <c r="B49" i="2" s="1"/>
  <c r="F39" i="2"/>
  <c r="E130" i="1"/>
  <c r="B132" i="1"/>
  <c r="D132" i="1" s="1"/>
  <c r="B39" i="2"/>
  <c r="E131" i="1" l="1"/>
  <c r="B61" i="2"/>
  <c r="F57" i="2"/>
  <c r="F61" i="2" s="1"/>
  <c r="B64" i="2"/>
  <c r="E104" i="1"/>
  <c r="B105" i="1" s="1"/>
  <c r="D105" i="1" s="1"/>
  <c r="B79" i="2"/>
  <c r="D83" i="2"/>
  <c r="C138" i="2"/>
  <c r="C118" i="2"/>
  <c r="F116" i="2"/>
  <c r="F42" i="2"/>
  <c r="F47" i="2" s="1"/>
  <c r="B47" i="2"/>
  <c r="B133" i="1"/>
  <c r="D133" i="1" s="1"/>
  <c r="B52" i="2"/>
  <c r="F49" i="2"/>
  <c r="F52" i="2" s="1"/>
  <c r="E105" i="1" l="1"/>
  <c r="B106" i="1" s="1"/>
  <c r="D106" i="1" s="1"/>
  <c r="G187" i="1" s="1"/>
  <c r="B101" i="2"/>
  <c r="D105" i="2"/>
  <c r="E132" i="1"/>
  <c r="B69" i="2"/>
  <c r="F64" i="2"/>
  <c r="F69" i="2" s="1"/>
  <c r="F79" i="2"/>
  <c r="F83" i="2" s="1"/>
  <c r="B86" i="2"/>
  <c r="B83" i="2"/>
  <c r="B71" i="2"/>
  <c r="F138" i="2"/>
  <c r="C140" i="2"/>
  <c r="B134" i="1"/>
  <c r="D134" i="1" s="1"/>
  <c r="E133" i="1" l="1"/>
  <c r="F86" i="2"/>
  <c r="F91" i="2" s="1"/>
  <c r="B91" i="2"/>
  <c r="E106" i="1"/>
  <c r="E134" i="1" s="1"/>
  <c r="B123" i="2"/>
  <c r="D127" i="2"/>
  <c r="B93" i="2"/>
  <c r="F71" i="2"/>
  <c r="F74" i="2" s="1"/>
  <c r="B74" i="2"/>
  <c r="F101" i="2"/>
  <c r="F105" i="2" s="1"/>
  <c r="B105" i="2"/>
  <c r="B108" i="2"/>
  <c r="B135" i="1"/>
  <c r="D135" i="1" l="1"/>
  <c r="B136" i="1" s="1"/>
  <c r="D136" i="1" s="1"/>
  <c r="B107" i="1"/>
  <c r="F93" i="2"/>
  <c r="F96" i="2" s="1"/>
  <c r="B115" i="2"/>
  <c r="B96" i="2"/>
  <c r="F123" i="2"/>
  <c r="F127" i="2" s="1"/>
  <c r="B127" i="2"/>
  <c r="B130" i="2"/>
  <c r="B113" i="2"/>
  <c r="F108" i="2"/>
  <c r="F113" i="2" s="1"/>
  <c r="D107" i="1" l="1"/>
  <c r="E107" i="1" s="1"/>
  <c r="B108" i="1" s="1"/>
  <c r="D108" i="1" s="1"/>
  <c r="A175" i="1"/>
  <c r="C152" i="2" s="1"/>
  <c r="B135" i="2"/>
  <c r="F130" i="2"/>
  <c r="F135" i="2" s="1"/>
  <c r="B118" i="2"/>
  <c r="F115" i="2"/>
  <c r="F118" i="2" s="1"/>
  <c r="B137" i="2"/>
  <c r="D149" i="2"/>
  <c r="B137" i="1"/>
  <c r="D137" i="1" s="1"/>
  <c r="D9" i="15" l="1"/>
  <c r="L9" i="15" s="1"/>
  <c r="F152" i="2"/>
  <c r="A182" i="1"/>
  <c r="B185" i="1"/>
  <c r="B176" i="1"/>
  <c r="B153" i="2" s="1"/>
  <c r="F153" i="2" s="1"/>
  <c r="E108" i="1"/>
  <c r="B109" i="1" s="1"/>
  <c r="D109" i="1" s="1"/>
  <c r="D173" i="2"/>
  <c r="B149" i="2"/>
  <c r="F145" i="2"/>
  <c r="F137" i="2"/>
  <c r="F140" i="2" s="1"/>
  <c r="B140" i="2"/>
  <c r="E135" i="1"/>
  <c r="B138" i="1"/>
  <c r="D138" i="1" s="1"/>
  <c r="L14" i="15" l="1"/>
  <c r="N9" i="15"/>
  <c r="B161" i="2"/>
  <c r="B164" i="2" s="1"/>
  <c r="F10" i="15"/>
  <c r="C188" i="1"/>
  <c r="C214" i="2" s="1"/>
  <c r="C186" i="1"/>
  <c r="C187" i="1"/>
  <c r="C192" i="2" s="1"/>
  <c r="C185" i="1"/>
  <c r="D185" i="1" s="1"/>
  <c r="E136" i="1"/>
  <c r="E109" i="1"/>
  <c r="B110" i="1" s="1"/>
  <c r="D110" i="1" s="1"/>
  <c r="D195" i="2"/>
  <c r="B159" i="2"/>
  <c r="F154" i="2"/>
  <c r="F169" i="2"/>
  <c r="B173" i="2"/>
  <c r="B176" i="2"/>
  <c r="F161" i="2" l="1"/>
  <c r="M14" i="15"/>
  <c r="C170" i="2"/>
  <c r="C177" i="2"/>
  <c r="G186" i="1"/>
  <c r="G188" i="1" s="1"/>
  <c r="C155" i="2"/>
  <c r="D12" i="15" s="1"/>
  <c r="C146" i="2"/>
  <c r="C12" i="15" s="1"/>
  <c r="H12" i="15" s="1"/>
  <c r="C199" i="2"/>
  <c r="F192" i="2"/>
  <c r="C195" i="2"/>
  <c r="C221" i="2"/>
  <c r="C217" i="2"/>
  <c r="F214" i="2"/>
  <c r="E185" i="1"/>
  <c r="B186" i="1"/>
  <c r="D186" i="1" s="1"/>
  <c r="E137" i="1"/>
  <c r="G137" i="1"/>
  <c r="G138" i="1" s="1"/>
  <c r="D217" i="2"/>
  <c r="B181" i="2"/>
  <c r="F176" i="2"/>
  <c r="B195" i="2"/>
  <c r="B198" i="2"/>
  <c r="F191" i="2"/>
  <c r="B183" i="2"/>
  <c r="E110" i="1"/>
  <c r="E138" i="1" s="1"/>
  <c r="H14" i="15" l="1"/>
  <c r="N12" i="15"/>
  <c r="G15" i="15"/>
  <c r="F195" i="2"/>
  <c r="C149" i="2"/>
  <c r="F146" i="2"/>
  <c r="F149" i="2" s="1"/>
  <c r="F155" i="2"/>
  <c r="F159" i="2" s="1"/>
  <c r="C159" i="2"/>
  <c r="C162" i="2"/>
  <c r="F170" i="2"/>
  <c r="F173" i="2" s="1"/>
  <c r="C173" i="2"/>
  <c r="F221" i="2"/>
  <c r="C225" i="2"/>
  <c r="F177" i="2"/>
  <c r="F181" i="2" s="1"/>
  <c r="C181" i="2"/>
  <c r="F199" i="2"/>
  <c r="C203" i="2"/>
  <c r="E186" i="1"/>
  <c r="B187" i="1"/>
  <c r="D187" i="1" s="1"/>
  <c r="B217" i="2"/>
  <c r="F213" i="2"/>
  <c r="B220" i="2"/>
  <c r="B203" i="2"/>
  <c r="F198" i="2"/>
  <c r="B205" i="2"/>
  <c r="B186" i="2"/>
  <c r="F183" i="2"/>
  <c r="F203" i="2" l="1"/>
  <c r="F217" i="2"/>
  <c r="F162" i="2"/>
  <c r="F164" i="2" s="1"/>
  <c r="C184" i="2"/>
  <c r="C164" i="2"/>
  <c r="E187" i="1"/>
  <c r="B188" i="1"/>
  <c r="D188" i="1" s="1"/>
  <c r="E188" i="1" s="1"/>
  <c r="B227" i="2"/>
  <c r="F205" i="2"/>
  <c r="B208" i="2"/>
  <c r="B225" i="2"/>
  <c r="F220" i="2"/>
  <c r="F225" i="2" s="1"/>
  <c r="C206" i="2" l="1"/>
  <c r="C186" i="2"/>
  <c r="F184" i="2"/>
  <c r="F186" i="2" s="1"/>
  <c r="F227" i="2"/>
  <c r="B230" i="2"/>
  <c r="C228" i="2" l="1"/>
  <c r="C208" i="2"/>
  <c r="F206" i="2"/>
  <c r="F208" i="2" s="1"/>
  <c r="C230" i="2" l="1"/>
  <c r="F228" i="2"/>
  <c r="F230" i="2" s="1"/>
</calcChain>
</file>

<file path=xl/sharedStrings.xml><?xml version="1.0" encoding="utf-8"?>
<sst xmlns="http://schemas.openxmlformats.org/spreadsheetml/2006/main" count="542" uniqueCount="241">
  <si>
    <t>IFRS16 Worked Example - Operating Lease - Reassessment of the lease liability -An RPI uplift in annual payments during the life of lease - Scenario and Data</t>
  </si>
  <si>
    <t>Scenario details</t>
  </si>
  <si>
    <t>Two intragroup bodies, entity A (Lessee) and Entity B (Lessor) enter into a lease agreement on the 1st of April 2022. The lease term is for 10 years. The lessee pays £20k initial direct costs to a third party as well as upfront payment of £50k paid to the lessor which represents first year rental charge. There is no option to extend the contract nor there is an option to purchase the asset by the lessee. The lessor accounts for the lease as an operating lease. The interest rate implicit in the contract is 5%. The lessor also incurs £5k of initial direct costs to establish the lease. The lease specified that in April 2028 lease payments will be uplifted by the increase in RPI since the commencement of the contract. (At which time it results in an increase in lease payments by £10,000 per year). The term of the lease and discount rate used in the scenario remain unchanged.</t>
  </si>
  <si>
    <t>Objectives</t>
  </si>
  <si>
    <t>The purpose of this example is to show accounting entries, group eliminations and budgeting impact of the operating lease arrangement between two intragroup entities where there is a modification to the lease terms.</t>
  </si>
  <si>
    <t>There are three tabs in this workbook:</t>
  </si>
  <si>
    <t>1. Scenario and Data</t>
  </si>
  <si>
    <t>2. Accounting</t>
  </si>
  <si>
    <t>3. Budgeting</t>
  </si>
  <si>
    <t>Firstly, We need to complete few calculations based on the scenario details provided above. These calculations are:</t>
  </si>
  <si>
    <t>Lessee:</t>
  </si>
  <si>
    <t>Step 1</t>
  </si>
  <si>
    <t>Identify discount rate that can be used to calculate present value of the future lease payments</t>
  </si>
  <si>
    <t>Step 2</t>
  </si>
  <si>
    <t>Calculate PV of future lease payments using the discount rate</t>
  </si>
  <si>
    <t>Step 3</t>
  </si>
  <si>
    <t xml:space="preserve">Calculate lease liability  </t>
  </si>
  <si>
    <t>Step 4</t>
  </si>
  <si>
    <t>Calculate value of the RoU asset considering any potential upfront payments, lease incentives etc.</t>
  </si>
  <si>
    <t>Step 5</t>
  </si>
  <si>
    <t>Decide what depreciation period of the RoU asset is appropriate considering length of the lease and the useful life of the asset</t>
  </si>
  <si>
    <t>Reassessment of the lease liability</t>
  </si>
  <si>
    <t>Step 6</t>
  </si>
  <si>
    <t>Calculate PV of remaining future lease payments using the revised discount rate</t>
  </si>
  <si>
    <t>Step 7</t>
  </si>
  <si>
    <t xml:space="preserve">Calculate the revised lease liability  </t>
  </si>
  <si>
    <t>Step 8</t>
  </si>
  <si>
    <t xml:space="preserve">Calculate the revised value of the RoU </t>
  </si>
  <si>
    <t>Lessor:</t>
  </si>
  <si>
    <t>Step 9</t>
  </si>
  <si>
    <t>Calculate depreciation cost of the underlying asset</t>
  </si>
  <si>
    <t>Step 10</t>
  </si>
  <si>
    <t>Calculate lessor's lease income</t>
  </si>
  <si>
    <t xml:space="preserve">To note: This is an operating lease. The lessor does not recognise lease receivable on the balance sheet and therefore is not required to calculate the rate implicit in the lease. </t>
  </si>
  <si>
    <t>Notes and Relevant Guidance</t>
  </si>
  <si>
    <t>No exemptions apply in this scenario. The asset is not considered to be low value and the contract does not meet definition of a short-term lease (IFRS16.5-8) (IFRS16 B3-B8)</t>
  </si>
  <si>
    <t xml:space="preserve">The initial direct costs are incremental costs of obtaining a lease that would not have been incurred if the lease had not been obtained (IFRS 16.Appendix A). Examples of such costs are professional fees. </t>
  </si>
  <si>
    <t>The definition of initial direct costs is essentially the same as for incremental costs of obtaining a contract in IFRS 15 and is consistent with treatment of directly attributable costs under IAS 16</t>
  </si>
  <si>
    <t xml:space="preserve">The underlying asset is depreciated on a straight line basis over 50 years. </t>
  </si>
  <si>
    <t>The lessor adds initial direct costs to the carrying value of the underlying asset and recognises them as expense over term of the lease (IFRS16.83)</t>
  </si>
  <si>
    <t>The lease payments made at or before the commencement date are not included in the lease liability, but they are included in the measurement of the right-of-use assets. (IFRS16.24(b))</t>
  </si>
  <si>
    <t xml:space="preserve">The income recognised by the lessor consists of the annual cash payments of £50k. </t>
  </si>
  <si>
    <t>The lessee is presenting interest expense in  the P&amp;L separately from the depreciation expense of the ROU asset (IFRS16.49) (IFRS16 BC209)</t>
  </si>
  <si>
    <t xml:space="preserve">The discount rate implicit in this scenario has been provided (5%). The rate of interest that causes the present value of (a) the lease payments and (b) the unguaranteed residual value to equal the sum of (i) </t>
  </si>
  <si>
    <t>the fair value of the underlying asset and (ii) any initial direct costs of the lessor. If this rate is not readily available entities will use interest rates published by HMT</t>
  </si>
  <si>
    <t xml:space="preserve">The lessee includes the variable lease payments in the initial measurement of the liability using the index or rate at the commencement date. At the commencement date, the increase in RPI (since the </t>
  </si>
  <si>
    <t>commencement date) is zero, therefore all future lease payments are included in the initial lease liability at the initial £50,000 per annum.</t>
  </si>
  <si>
    <t xml:space="preserve">The lessee remeasures the lease liability if there is a change in future lease payments for example to reflect changes in market rental rates following a market rent review. </t>
  </si>
  <si>
    <t xml:space="preserve">The lessee remeasures the lease liability to reflect those revised lease payments only when there is a change in the cash flows (i.e. when the adjustment to the lease payments takes effect). </t>
  </si>
  <si>
    <t>The lessee uses an unchanged discount rate, unless the change in lease payments results from a change in floating interest rates. (IFRS16.43)</t>
  </si>
  <si>
    <t>The lessee recognises the amount of the remeasurement as an adjustment to the cost of the right-of-use asset. (IFRS16 BC192)</t>
  </si>
  <si>
    <t>Contract starts on 1st April 2020.</t>
  </si>
  <si>
    <t>Commencement date</t>
  </si>
  <si>
    <r>
      <t xml:space="preserve">Discount rate - </t>
    </r>
    <r>
      <rPr>
        <sz val="11"/>
        <color rgb="FFFF0000"/>
        <rFont val="Calibri"/>
        <family val="2"/>
        <scheme val="minor"/>
      </rPr>
      <t>note 8</t>
    </r>
  </si>
  <si>
    <t xml:space="preserve">Discount rate (5%) has been provided in the scenario. </t>
  </si>
  <si>
    <t xml:space="preserve">The entities are expected to establish rate implicit in the contract which is the rate of interest that causes the present value of (a) the lease payments and (b) the unguaranteed residual value to equal the sum of (i) </t>
  </si>
  <si>
    <t>the fair value of the underlying asset and (ii) any initial direct costs of the lessor. If this rate is not readily available lessees will use interest rates published by HMT</t>
  </si>
  <si>
    <t>Future payments for the lease are listed in the table below. For each payment, the discount factor is calculated in order to determine the total present value</t>
  </si>
  <si>
    <t xml:space="preserve">of the lease liability. Note that the impact of the future RPI uplift would is not included until the change in cash flows takes effect. </t>
  </si>
  <si>
    <t>Initial measurement of a lease liability amounts to £355,391 and is calculated as follows:</t>
  </si>
  <si>
    <t>Calculation of the PV of future payments</t>
  </si>
  <si>
    <t>Payment</t>
  </si>
  <si>
    <t>Date of payment</t>
  </si>
  <si>
    <t>Discount Factor</t>
  </si>
  <si>
    <t>Discounted Amount</t>
  </si>
  <si>
    <t>Using the present value of the lease payments We can establish lease liability.</t>
  </si>
  <si>
    <t>The lessee is required to present finance cost of the lease in  the P&amp;L separately from depreciation expense of the ROU asset.</t>
  </si>
  <si>
    <t>Below calculation also provides closing balance of the lease liability recognised by the lessee every year over the term of the contract.</t>
  </si>
  <si>
    <t>LESSEE - Liability (IFRS 16.26) - before change in lease payments</t>
  </si>
  <si>
    <t xml:space="preserve">Lease liability at initial recognition: </t>
  </si>
  <si>
    <t>Year</t>
  </si>
  <si>
    <t>Opening (1 Apr)</t>
  </si>
  <si>
    <t>payment (1 Apr)</t>
  </si>
  <si>
    <r>
      <t xml:space="preserve">Interest Expense - </t>
    </r>
    <r>
      <rPr>
        <sz val="10"/>
        <color rgb="FFFF0000"/>
        <rFont val="Calibri"/>
        <family val="2"/>
        <scheme val="minor"/>
      </rPr>
      <t>note 7</t>
    </r>
  </si>
  <si>
    <t>closing (31 Mar)</t>
  </si>
  <si>
    <t>2022-23</t>
  </si>
  <si>
    <t>2023-24</t>
  </si>
  <si>
    <t>2024-25</t>
  </si>
  <si>
    <t>2025-26</t>
  </si>
  <si>
    <t>2026-27</t>
  </si>
  <si>
    <t>2027-28</t>
  </si>
  <si>
    <t>2028-29</t>
  </si>
  <si>
    <t>2029-30</t>
  </si>
  <si>
    <t>2030-31</t>
  </si>
  <si>
    <t>2031-32</t>
  </si>
  <si>
    <t>Step 4 and 5</t>
  </si>
  <si>
    <t>At the commencement of the lease Lessee incurs initial direct costs.</t>
  </si>
  <si>
    <t xml:space="preserve">The initial direct costs are incremental costs of obtaining a lease that would not have been incurred if the lease had not been obtained. Examples of such costs are commissions to agents. </t>
  </si>
  <si>
    <t>At the commencement of the lease:</t>
  </si>
  <si>
    <t>Initial direct costs paid by lessee</t>
  </si>
  <si>
    <t>Note 2</t>
  </si>
  <si>
    <t>Upfront lease payment for year 2022/23 paid by lessee</t>
  </si>
  <si>
    <t>Note 5</t>
  </si>
  <si>
    <t>The initial direct costs paid by lessee as well as upfront payments are included in the value of the RoU asset</t>
  </si>
  <si>
    <t>The RoU asset is depreciated over the term of the lease, or its useful economic life (if shorter)</t>
  </si>
  <si>
    <t>The difference between closing value of the RoU asset and lease liability is shown in column E</t>
  </si>
  <si>
    <t>LESSEE - ROU Asset (IFRS 16.23) - before change in lease payments</t>
  </si>
  <si>
    <t>Gross book value of the right-of use asset at initial recognition</t>
  </si>
  <si>
    <t>NBV opening (1 Apr)</t>
  </si>
  <si>
    <t>Depreciation</t>
  </si>
  <si>
    <t>NBV closing (31 Mar)</t>
  </si>
  <si>
    <t>Diff to liability</t>
  </si>
  <si>
    <t>LESSEE - reconciliation</t>
  </si>
  <si>
    <t>Total payments</t>
  </si>
  <si>
    <t>Depreciation expense</t>
  </si>
  <si>
    <t>Discounting expense</t>
  </si>
  <si>
    <t>Total expense</t>
  </si>
  <si>
    <t xml:space="preserve">Following change to the lease payments determined by the increase in RPI since the commencement of the contract,  the lessee calculates the revised lease liability.  </t>
  </si>
  <si>
    <t>The lessee uses an unchanged discount rate with such an RPI uplift (IFRS 16.42(b))</t>
  </si>
  <si>
    <r>
      <t xml:space="preserve">LESSEE - PV of future payments after change in lease payments - </t>
    </r>
    <r>
      <rPr>
        <sz val="11"/>
        <color rgb="FFFF0000"/>
        <rFont val="Calibri"/>
        <family val="2"/>
        <scheme val="minor"/>
      </rPr>
      <t>note 10</t>
    </r>
  </si>
  <si>
    <t>payment</t>
  </si>
  <si>
    <t>date of payment</t>
  </si>
  <si>
    <t>discount factor</t>
  </si>
  <si>
    <t>discounted amount</t>
  </si>
  <si>
    <t>LESSEE - Liability after reassessment</t>
  </si>
  <si>
    <r>
      <t xml:space="preserve">Interest Expense - </t>
    </r>
    <r>
      <rPr>
        <sz val="11"/>
        <color rgb="FFFF0000"/>
        <rFont val="Calibri"/>
        <family val="2"/>
        <scheme val="minor"/>
      </rPr>
      <t>note 7</t>
    </r>
  </si>
  <si>
    <t>After lease remeasurement, the lease liability increased by £37,232 (revised lease liability of 223,395 less carrying value of the lease liability of 186,163)</t>
  </si>
  <si>
    <t>This adjustment needs be reflected in the value of RoU asset:</t>
  </si>
  <si>
    <t>Entries made when the lease payments increase</t>
  </si>
  <si>
    <t>DR</t>
  </si>
  <si>
    <t>CR</t>
  </si>
  <si>
    <r>
      <t xml:space="preserve">Right-of-use asset - </t>
    </r>
    <r>
      <rPr>
        <sz val="10"/>
        <color rgb="FFFF0000"/>
        <rFont val="Calibri"/>
        <family val="2"/>
        <scheme val="minor"/>
      </rPr>
      <t>note 11</t>
    </r>
  </si>
  <si>
    <t>Lease liability</t>
  </si>
  <si>
    <t>The lessee recognises the amount of the remeasurement as an adjustment to the cost of the right-of-use asset</t>
  </si>
  <si>
    <t>The new value of the RoU asset after the change in lease payments is £207,388. This represents carrying value on 1st of April 2028 of £170,156 plus adjustment of £37,232 as explained earlier.</t>
  </si>
  <si>
    <t>LESSEE - ROU Asset (IFRS 16.23) - after increase in lease payments</t>
  </si>
  <si>
    <t>Lease is assessed to be operating lease which means that the underlying asset remains on the Lessor's balance sheet.</t>
  </si>
  <si>
    <t xml:space="preserve">The underlying asset is depreciated by the lessor on a straight line basis over 50 years. At the commencement of the lease lessor adds direct costs to the carrying amount of the asset and expenses it over </t>
  </si>
  <si>
    <t xml:space="preserve">term of the lease (10 years) </t>
  </si>
  <si>
    <t>Underlying Asset</t>
  </si>
  <si>
    <t>Cost Value</t>
  </si>
  <si>
    <t>Accumulated Depreciation</t>
  </si>
  <si>
    <t>Net Book Value</t>
  </si>
  <si>
    <t>Annual Depreciation (50 years - straight line)</t>
  </si>
  <si>
    <t xml:space="preserve">LESSOR - Underlying Asset </t>
  </si>
  <si>
    <r>
      <t>Depreciation on underlying asset -</t>
    </r>
    <r>
      <rPr>
        <sz val="11"/>
        <color theme="1"/>
        <rFont val="Calibri"/>
        <family val="2"/>
        <scheme val="minor"/>
      </rPr>
      <t xml:space="preserve"> </t>
    </r>
    <r>
      <rPr>
        <sz val="10"/>
        <color rgb="FFFF0000"/>
        <rFont val="Calibri"/>
        <family val="2"/>
        <scheme val="minor"/>
      </rPr>
      <t>note 3</t>
    </r>
  </si>
  <si>
    <r>
      <t xml:space="preserve">Additions (initial direct costs) - </t>
    </r>
    <r>
      <rPr>
        <sz val="10"/>
        <color rgb="FFFF0000"/>
        <rFont val="Calibri"/>
        <family val="2"/>
        <scheme val="minor"/>
      </rPr>
      <t>note 4</t>
    </r>
  </si>
  <si>
    <t>Depreciation on direct costs</t>
  </si>
  <si>
    <t>NBV Closing (31 Mar)</t>
  </si>
  <si>
    <t>Income recognised by lessor consists of the annual cash payments of £50k.</t>
  </si>
  <si>
    <t>Note that although lease receipts should be recognised on a straight line basis, the increased lease payments only apply from April 2028, therefore are only recognised on a straight line basis over the remaining lease term.</t>
  </si>
  <si>
    <r>
      <t xml:space="preserve">LESSOR - Income - </t>
    </r>
    <r>
      <rPr>
        <sz val="10"/>
        <color rgb="FFFF0000"/>
        <rFont val="Calibri"/>
        <family val="2"/>
        <scheme val="minor"/>
      </rPr>
      <t>note 6</t>
    </r>
  </si>
  <si>
    <t>Lease receipts</t>
  </si>
  <si>
    <t>Total Income</t>
  </si>
  <si>
    <t>IFRS16 Worked Example - Operating Lease - Reassessment of the lease liability - Change in annual payments - Accounting Entries</t>
  </si>
  <si>
    <t>LESSEE</t>
  </si>
  <si>
    <t>LESSOR</t>
  </si>
  <si>
    <t>YEAR 1 (31/03/2021)</t>
  </si>
  <si>
    <t>Lessee (Lease)</t>
  </si>
  <si>
    <t>Lessee (ROU Asset)</t>
  </si>
  <si>
    <t>Lessor (Lease)</t>
  </si>
  <si>
    <t>Lessor (Asset)</t>
  </si>
  <si>
    <t>Group Elimination</t>
  </si>
  <si>
    <t>I &amp; E</t>
  </si>
  <si>
    <t>Lease Interest cost</t>
  </si>
  <si>
    <t>Lease Interest (5%) recognised by the lessee</t>
  </si>
  <si>
    <t>Depreciation - RoU Asset</t>
  </si>
  <si>
    <t>Dep'n - lessee (£420,391 / 10 years)</t>
  </si>
  <si>
    <t xml:space="preserve">Income - Lease payment </t>
  </si>
  <si>
    <t>Upfront lease payment paid by lessee</t>
  </si>
  <si>
    <t>Depreciation - Underlying Asset</t>
  </si>
  <si>
    <t>Dep'n - lessor (£5m / 50 years) + additions which represent lease incentives.</t>
  </si>
  <si>
    <t>TOTAL</t>
  </si>
  <si>
    <t>BALANCE SHEET Movements</t>
  </si>
  <si>
    <t xml:space="preserve">Right of use of asset </t>
  </si>
  <si>
    <t>Total value of the asset on lessee's BS £420,391 (355,391 + 50,000 + 20,000 - 5,000)</t>
  </si>
  <si>
    <t>Right of use of Assets - upfront payment</t>
  </si>
  <si>
    <t>£50k upfront payment included in t asset value</t>
  </si>
  <si>
    <t>Right of use of Assets - initial direct costs</t>
  </si>
  <si>
    <t>Doesn't eliminate as the cost is to the external party</t>
  </si>
  <si>
    <t>Lease liability (discounted)</t>
  </si>
  <si>
    <t>Lease liability at initial recognition</t>
  </si>
  <si>
    <t>Lease unwinding of discount</t>
  </si>
  <si>
    <t>Interest cost in year 1</t>
  </si>
  <si>
    <t>Underlying Asset - additions (lease incentives)</t>
  </si>
  <si>
    <t>Lease incentive received by lessee</t>
  </si>
  <si>
    <t>Annual depreciation charge</t>
  </si>
  <si>
    <t>Cash Lease (payment) / receipt</t>
  </si>
  <si>
    <t>Cash paid - upfront payment</t>
  </si>
  <si>
    <t>Cash Initial direct costs (payment) / receipt</t>
  </si>
  <si>
    <t>TOTAL MOVEMENTS</t>
  </si>
  <si>
    <t>Lease Liability C/F</t>
  </si>
  <si>
    <t>Right of Use of Asset NBV C/F</t>
  </si>
  <si>
    <t>Underlying Asset NBV C/F</t>
  </si>
  <si>
    <t xml:space="preserve">Closing </t>
  </si>
  <si>
    <t>YEAR 2 (31/03/2022)</t>
  </si>
  <si>
    <t>Income - Lease payment</t>
  </si>
  <si>
    <t>Depreciation - underlying asset</t>
  </si>
  <si>
    <t>Lease Unwinding of Discount</t>
  </si>
  <si>
    <t>YEAR 3 (31/03/2023)</t>
  </si>
  <si>
    <t>YEAR 4 (31/03/2024)</t>
  </si>
  <si>
    <t>YEAR 5 (31/03/2025)</t>
  </si>
  <si>
    <t>YEAR 6 (31/03/2026)</t>
  </si>
  <si>
    <t>YEAR 7 (31/03/2027)</t>
  </si>
  <si>
    <t>Revised Depreciation - RoU Asset</t>
  </si>
  <si>
    <t>Increased depreciation charge recognised by the lessee</t>
  </si>
  <si>
    <t>ROU Asset - adjustment to carrying value</t>
  </si>
  <si>
    <t xml:space="preserve">Adjustment made to RoU Asset </t>
  </si>
  <si>
    <t>Adjustment made to Lease liability</t>
  </si>
  <si>
    <t>Increased annual payments</t>
  </si>
  <si>
    <t>YEAR 8 (31/03/2028)</t>
  </si>
  <si>
    <t>YEAR 9 (31/03/2029)</t>
  </si>
  <si>
    <t>YEAR 10 (31/03/2030)</t>
  </si>
  <si>
    <t>IFRS16 Worked Example - Operating Lease - Reassessment of the lease liability - Change in annual payments - Budgeting</t>
  </si>
  <si>
    <t>For budgeting impact in years 1 - 6 please refer to :</t>
  </si>
  <si>
    <t>"IFRS 16 Worked Example - Operating Lease"</t>
  </si>
  <si>
    <t>LESSEE - Yr 7</t>
  </si>
  <si>
    <t>ACCOUNTS</t>
  </si>
  <si>
    <t>BUDGETS</t>
  </si>
  <si>
    <t>ELIMINATION</t>
  </si>
  <si>
    <t>NATIONAL ACCOUNTS</t>
  </si>
  <si>
    <t>OSCAR coding</t>
  </si>
  <si>
    <t>Worked Example</t>
  </si>
  <si>
    <t>SOCNE
("I&amp;E")</t>
  </si>
  <si>
    <t>SOFP
("Bal sheet")</t>
  </si>
  <si>
    <t>RDEL RF</t>
  </si>
  <si>
    <t>RDEL NRF</t>
  </si>
  <si>
    <t>RDEL Total</t>
  </si>
  <si>
    <t>RAME</t>
  </si>
  <si>
    <t>CDEL</t>
  </si>
  <si>
    <t>CAME</t>
  </si>
  <si>
    <t>PSNB</t>
  </si>
  <si>
    <t>PSND</t>
  </si>
  <si>
    <t>Income</t>
  </si>
  <si>
    <t>Expense</t>
  </si>
  <si>
    <t>Assets</t>
  </si>
  <si>
    <t>Cash</t>
  </si>
  <si>
    <t>Liability</t>
  </si>
  <si>
    <t>Equity</t>
  </si>
  <si>
    <t>Increase of value of the RoU asset scores to CDEL</t>
  </si>
  <si>
    <t>Lease Liability - reassessment</t>
  </si>
  <si>
    <t>Interest</t>
  </si>
  <si>
    <t>Cash Paid</t>
  </si>
  <si>
    <t>Total budgeting</t>
  </si>
  <si>
    <t>Check Accounting DR/CR</t>
  </si>
  <si>
    <t>LESSOR - Yr 7</t>
  </si>
  <si>
    <t>Lease Income</t>
  </si>
  <si>
    <t>Additional Depreciation</t>
  </si>
  <si>
    <t xml:space="preserve">Cash </t>
  </si>
  <si>
    <t xml:space="preserve">Total budgeting </t>
  </si>
  <si>
    <t>* Depreciation scores to NRF RDEL for Providers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</si>
</sst>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0"/>
    <numFmt numFmtId="165" formatCode="#,##0;\(#,##0\);&quot;-&quot;"/>
    <numFmt numFmtId="166" formatCode="#,##0;[Red]\(#,##0\)"/>
    <numFmt numFmtId="167" formatCode="_-* #,##0_-;\-* #,##0_-;_-* &quot;-&quot;??_-;_-@_-"/>
  </numFmts>
  <fonts count="22">
    <font>
      <sz val="11"/>
      <color theme="1"/>
      <name val="Calibri"/>
      <family val="2"/>
      <scheme val="minor"/>
    </font>
    <font>
      <b/>
      <sz val="11"/>
      <color theme="1"/>
      <name val="Calibri"/>
      <family val="2"/>
      <scheme val="minor"/>
    </font>
    <font>
      <b/>
      <sz val="11"/>
      <color theme="1"/>
      <name val="Calibri"/>
      <family val="2"/>
      <charset val="238"/>
      <scheme val="minor"/>
    </font>
    <font>
      <u/>
      <sz val="11"/>
      <color theme="10"/>
      <name val="Calibri"/>
      <family val="2"/>
      <scheme val="minor"/>
    </font>
    <font>
      <b/>
      <u/>
      <sz val="11"/>
      <color theme="1"/>
      <name val="Calibri"/>
      <family val="2"/>
      <scheme val="minor"/>
    </font>
    <font>
      <i/>
      <sz val="11"/>
      <color theme="1"/>
      <name val="Calibri"/>
      <family val="2"/>
      <scheme val="minor"/>
    </font>
    <font>
      <b/>
      <i/>
      <sz val="11"/>
      <color theme="1"/>
      <name val="Calibri"/>
      <family val="2"/>
      <scheme val="minor"/>
    </font>
    <font>
      <sz val="11"/>
      <color rgb="FFFF0000"/>
      <name val="Calibri"/>
      <family val="2"/>
      <scheme val="minor"/>
    </font>
    <font>
      <b/>
      <sz val="11"/>
      <color rgb="FFFF0000"/>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b/>
      <i/>
      <sz val="10"/>
      <color theme="1"/>
      <name val="Calibri"/>
      <family val="2"/>
      <scheme val="minor"/>
    </font>
    <font>
      <i/>
      <sz val="10"/>
      <color theme="1"/>
      <name val="Calibri"/>
      <family val="2"/>
      <scheme val="minor"/>
    </font>
    <font>
      <b/>
      <sz val="12"/>
      <color theme="1"/>
      <name val="Calibri"/>
      <family val="2"/>
      <scheme val="minor"/>
    </font>
    <font>
      <u/>
      <sz val="11"/>
      <color theme="1"/>
      <name val="Calibri"/>
      <family val="2"/>
      <scheme val="minor"/>
    </font>
    <font>
      <sz val="11"/>
      <name val="Calibri"/>
      <family val="2"/>
      <scheme val="minor"/>
    </font>
    <font>
      <sz val="10"/>
      <color rgb="FFFF0000"/>
      <name val="Calibri"/>
      <family val="2"/>
      <scheme val="minor"/>
    </font>
    <font>
      <b/>
      <sz val="10"/>
      <color rgb="FFFF0000"/>
      <name val="Calibri"/>
      <family val="2"/>
      <scheme val="minor"/>
    </font>
    <font>
      <sz val="11"/>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s>
  <borders count="5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bottom style="medium">
        <color indexed="64"/>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auto="1"/>
      </top>
      <bottom style="double">
        <color auto="1"/>
      </bottom>
      <diagonal/>
    </border>
    <border>
      <left style="medium">
        <color indexed="64"/>
      </left>
      <right style="medium">
        <color indexed="64"/>
      </right>
      <top style="thin">
        <color auto="1"/>
      </top>
      <bottom style="medium">
        <color indexed="64"/>
      </bottom>
      <diagonal/>
    </border>
    <border>
      <left/>
      <right/>
      <top style="double">
        <color auto="1"/>
      </top>
      <bottom/>
      <diagonal/>
    </border>
    <border>
      <left/>
      <right/>
      <top style="double">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0" fontId="3" fillId="0" borderId="0" applyNumberFormat="0" applyFill="0" applyBorder="0" applyAlignment="0" applyProtection="0"/>
    <xf numFmtId="43" fontId="9" fillId="0" borderId="0" applyFont="0" applyFill="0" applyBorder="0" applyAlignment="0" applyProtection="0"/>
  </cellStyleXfs>
  <cellXfs count="286">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0" fontId="0" fillId="0" borderId="0" xfId="0" applyAlignment="1">
      <alignment horizontal="center"/>
    </xf>
    <xf numFmtId="0" fontId="1" fillId="0" borderId="0" xfId="0" applyFont="1" applyAlignment="1">
      <alignment horizontal="center"/>
    </xf>
    <xf numFmtId="166" fontId="0" fillId="0" borderId="0" xfId="0" applyNumberFormat="1" applyAlignment="1">
      <alignment horizontal="center"/>
    </xf>
    <xf numFmtId="0" fontId="0" fillId="2" borderId="0" xfId="0" applyFill="1" applyAlignment="1">
      <alignment horizontal="left"/>
    </xf>
    <xf numFmtId="0" fontId="0" fillId="0" borderId="0" xfId="0" applyAlignment="1">
      <alignment horizontal="left" wrapText="1"/>
    </xf>
    <xf numFmtId="0" fontId="0" fillId="0" borderId="6" xfId="0" applyBorder="1" applyAlignment="1">
      <alignment horizontal="center"/>
    </xf>
    <xf numFmtId="0" fontId="0" fillId="0" borderId="7" xfId="0" applyBorder="1" applyAlignment="1">
      <alignment horizontal="center"/>
    </xf>
    <xf numFmtId="166" fontId="0" fillId="0" borderId="6" xfId="0" applyNumberFormat="1" applyBorder="1" applyAlignment="1">
      <alignment horizontal="center"/>
    </xf>
    <xf numFmtId="166" fontId="0" fillId="0" borderId="7" xfId="0" applyNumberFormat="1" applyBorder="1" applyAlignment="1">
      <alignment horizontal="center"/>
    </xf>
    <xf numFmtId="166" fontId="0" fillId="0" borderId="10" xfId="0" applyNumberFormat="1" applyBorder="1" applyAlignment="1">
      <alignment horizontal="center"/>
    </xf>
    <xf numFmtId="166" fontId="0" fillId="0" borderId="11" xfId="0" applyNumberFormat="1" applyBorder="1" applyAlignment="1">
      <alignment horizontal="center"/>
    </xf>
    <xf numFmtId="166" fontId="0" fillId="0" borderId="8" xfId="0" applyNumberFormat="1" applyBorder="1" applyAlignment="1">
      <alignment horizontal="center"/>
    </xf>
    <xf numFmtId="166" fontId="0" fillId="0" borderId="12" xfId="0" applyNumberFormat="1" applyBorder="1" applyAlignment="1">
      <alignment horizontal="center"/>
    </xf>
    <xf numFmtId="166" fontId="0" fillId="0" borderId="17" xfId="0" applyNumberFormat="1" applyBorder="1" applyAlignment="1">
      <alignment horizontal="center"/>
    </xf>
    <xf numFmtId="3" fontId="0" fillId="0" borderId="7" xfId="0" applyNumberFormat="1" applyBorder="1" applyAlignment="1">
      <alignment horizontal="center"/>
    </xf>
    <xf numFmtId="0" fontId="0" fillId="2" borderId="0" xfId="0" applyFill="1" applyAlignment="1">
      <alignment horizontal="center"/>
    </xf>
    <xf numFmtId="164" fontId="0" fillId="2" borderId="0" xfId="0" applyNumberFormat="1" applyFill="1" applyAlignment="1">
      <alignment horizontal="center"/>
    </xf>
    <xf numFmtId="9" fontId="0" fillId="2" borderId="0" xfId="0" applyNumberFormat="1" applyFill="1" applyAlignment="1">
      <alignment horizontal="center" vertical="top"/>
    </xf>
    <xf numFmtId="9" fontId="0" fillId="2" borderId="0" xfId="0" applyNumberFormat="1" applyFill="1" applyAlignment="1">
      <alignment horizontal="center"/>
    </xf>
    <xf numFmtId="0" fontId="0" fillId="0" borderId="4" xfId="0" applyBorder="1" applyAlignment="1">
      <alignment horizontal="center"/>
    </xf>
    <xf numFmtId="0" fontId="0" fillId="0" borderId="5" xfId="0" applyBorder="1" applyAlignment="1">
      <alignment horizontal="center"/>
    </xf>
    <xf numFmtId="166" fontId="0" fillId="0" borderId="5" xfId="0" applyNumberFormat="1" applyBorder="1" applyAlignment="1">
      <alignment horizontal="center"/>
    </xf>
    <xf numFmtId="166" fontId="0" fillId="0" borderId="18" xfId="0" applyNumberFormat="1" applyBorder="1" applyAlignment="1">
      <alignment horizontal="center"/>
    </xf>
    <xf numFmtId="0" fontId="4" fillId="0" borderId="0" xfId="0" applyFont="1" applyAlignment="1">
      <alignment horizontal="left"/>
    </xf>
    <xf numFmtId="9" fontId="7" fillId="2" borderId="0" xfId="0" applyNumberFormat="1" applyFont="1" applyFill="1" applyAlignment="1">
      <alignment horizontal="left"/>
    </xf>
    <xf numFmtId="0" fontId="7" fillId="0" borderId="0" xfId="0" applyFont="1" applyAlignment="1">
      <alignment horizontal="left"/>
    </xf>
    <xf numFmtId="166" fontId="0" fillId="0" borderId="14" xfId="0" applyNumberFormat="1" applyBorder="1" applyAlignment="1">
      <alignment horizontal="center"/>
    </xf>
    <xf numFmtId="166" fontId="0" fillId="0" borderId="15" xfId="0" applyNumberFormat="1" applyBorder="1" applyAlignment="1">
      <alignment horizontal="center"/>
    </xf>
    <xf numFmtId="166" fontId="0" fillId="0" borderId="13" xfId="0" applyNumberFormat="1" applyBorder="1" applyAlignment="1">
      <alignment horizontal="center"/>
    </xf>
    <xf numFmtId="166" fontId="0" fillId="0" borderId="16" xfId="0" applyNumberFormat="1" applyBorder="1" applyAlignment="1">
      <alignment horizontal="center"/>
    </xf>
    <xf numFmtId="0" fontId="8" fillId="0" borderId="0" xfId="0" applyFont="1" applyAlignment="1">
      <alignment horizontal="left"/>
    </xf>
    <xf numFmtId="0" fontId="0" fillId="0" borderId="17" xfId="0" applyBorder="1" applyAlignment="1">
      <alignment horizontal="center"/>
    </xf>
    <xf numFmtId="0" fontId="1" fillId="4" borderId="1" xfId="0" applyFont="1" applyFill="1" applyBorder="1" applyAlignment="1">
      <alignment horizontal="center"/>
    </xf>
    <xf numFmtId="0" fontId="1" fillId="4" borderId="3" xfId="0" applyFont="1" applyFill="1" applyBorder="1" applyAlignment="1">
      <alignment horizontal="center"/>
    </xf>
    <xf numFmtId="0" fontId="1" fillId="4" borderId="2" xfId="0" applyFont="1" applyFill="1" applyBorder="1" applyAlignment="1">
      <alignment horizontal="center"/>
    </xf>
    <xf numFmtId="0" fontId="1" fillId="4" borderId="0" xfId="0" applyFont="1" applyFill="1" applyAlignment="1">
      <alignment horizontal="center"/>
    </xf>
    <xf numFmtId="0" fontId="4" fillId="2" borderId="0" xfId="0" applyFont="1" applyFill="1" applyAlignment="1">
      <alignment horizontal="left"/>
    </xf>
    <xf numFmtId="3" fontId="11" fillId="0" borderId="25" xfId="0" applyNumberFormat="1" applyFont="1" applyBorder="1" applyAlignment="1">
      <alignment horizontal="center" vertical="top" wrapText="1"/>
    </xf>
    <xf numFmtId="3" fontId="11" fillId="0" borderId="24" xfId="0" applyNumberFormat="1" applyFont="1" applyBorder="1" applyAlignment="1">
      <alignment horizontal="center" vertical="top" wrapText="1"/>
    </xf>
    <xf numFmtId="3" fontId="11" fillId="0" borderId="26" xfId="0" applyNumberFormat="1" applyFont="1" applyBorder="1" applyAlignment="1">
      <alignment horizontal="center" vertical="top" wrapText="1"/>
    </xf>
    <xf numFmtId="3" fontId="10" fillId="0" borderId="30" xfId="0" applyNumberFormat="1" applyFont="1" applyBorder="1" applyAlignment="1">
      <alignment horizontal="right" vertical="top" wrapText="1"/>
    </xf>
    <xf numFmtId="0" fontId="0" fillId="0" borderId="28" xfId="0" applyBorder="1" applyAlignment="1">
      <alignment vertical="top"/>
    </xf>
    <xf numFmtId="3" fontId="10" fillId="0" borderId="28" xfId="0" applyNumberFormat="1" applyFont="1" applyBorder="1" applyAlignment="1">
      <alignment vertical="top" wrapText="1"/>
    </xf>
    <xf numFmtId="3" fontId="12" fillId="0" borderId="1" xfId="0" applyNumberFormat="1" applyFont="1" applyBorder="1" applyAlignment="1">
      <alignment vertical="top" wrapText="1"/>
    </xf>
    <xf numFmtId="3" fontId="12" fillId="4" borderId="1" xfId="0" applyNumberFormat="1" applyFont="1" applyFill="1" applyBorder="1" applyAlignment="1">
      <alignment horizontal="right" vertical="top" wrapText="1"/>
    </xf>
    <xf numFmtId="3" fontId="12" fillId="4" borderId="3" xfId="0" applyNumberFormat="1" applyFont="1" applyFill="1" applyBorder="1" applyAlignment="1">
      <alignment horizontal="right" vertical="top" wrapText="1"/>
    </xf>
    <xf numFmtId="3" fontId="12" fillId="4" borderId="2" xfId="0" applyNumberFormat="1" applyFont="1" applyFill="1" applyBorder="1" applyAlignment="1">
      <alignment horizontal="right" vertical="top" wrapText="1"/>
    </xf>
    <xf numFmtId="0" fontId="13" fillId="4" borderId="3" xfId="0" applyFont="1" applyFill="1" applyBorder="1" applyAlignment="1">
      <alignment vertical="top"/>
    </xf>
    <xf numFmtId="3" fontId="11" fillId="3" borderId="19" xfId="0" applyNumberFormat="1" applyFont="1" applyFill="1" applyBorder="1" applyAlignment="1">
      <alignment horizontal="center" vertical="top"/>
    </xf>
    <xf numFmtId="3" fontId="11" fillId="0" borderId="23" xfId="0" applyNumberFormat="1" applyFont="1" applyBorder="1" applyAlignment="1">
      <alignment vertical="center" wrapText="1"/>
    </xf>
    <xf numFmtId="0" fontId="1" fillId="0" borderId="0" xfId="0" applyFont="1"/>
    <xf numFmtId="164" fontId="0" fillId="0" borderId="0" xfId="0" applyNumberFormat="1" applyAlignment="1">
      <alignment horizontal="center"/>
    </xf>
    <xf numFmtId="164" fontId="1" fillId="0" borderId="0" xfId="0" applyNumberFormat="1" applyFont="1" applyAlignment="1">
      <alignment horizontal="right"/>
    </xf>
    <xf numFmtId="0" fontId="1" fillId="0" borderId="0" xfId="0" applyFont="1" applyAlignment="1">
      <alignment horizontal="right"/>
    </xf>
    <xf numFmtId="164" fontId="0" fillId="0" borderId="0" xfId="0" applyNumberFormat="1"/>
    <xf numFmtId="165" fontId="0" fillId="0" borderId="0" xfId="0" applyNumberFormat="1" applyAlignment="1">
      <alignment horizontal="right"/>
    </xf>
    <xf numFmtId="165" fontId="0" fillId="0" borderId="0" xfId="0" applyNumberFormat="1"/>
    <xf numFmtId="165" fontId="0" fillId="0" borderId="0" xfId="0" applyNumberFormat="1" applyAlignment="1">
      <alignment horizontal="center"/>
    </xf>
    <xf numFmtId="3" fontId="1" fillId="0" borderId="0" xfId="0" applyNumberFormat="1" applyFont="1" applyAlignment="1">
      <alignment horizontal="left"/>
    </xf>
    <xf numFmtId="3" fontId="1" fillId="0" borderId="0" xfId="0" applyNumberFormat="1" applyFont="1"/>
    <xf numFmtId="3" fontId="0" fillId="0" borderId="0" xfId="0" applyNumberFormat="1"/>
    <xf numFmtId="3" fontId="0" fillId="0" borderId="0" xfId="0" applyNumberFormat="1" applyAlignment="1">
      <alignment horizontal="left"/>
    </xf>
    <xf numFmtId="49" fontId="0" fillId="0" borderId="0" xfId="2" applyNumberFormat="1" applyFont="1" applyFill="1"/>
    <xf numFmtId="165" fontId="0" fillId="0" borderId="0" xfId="0" applyNumberFormat="1" applyAlignment="1">
      <alignment horizontal="left"/>
    </xf>
    <xf numFmtId="165" fontId="0" fillId="2" borderId="0" xfId="0" applyNumberFormat="1" applyFill="1" applyAlignment="1">
      <alignment horizontal="center"/>
    </xf>
    <xf numFmtId="14" fontId="0" fillId="2" borderId="0" xfId="0" applyNumberFormat="1" applyFill="1" applyAlignment="1">
      <alignment horizontal="center"/>
    </xf>
    <xf numFmtId="14" fontId="0" fillId="2" borderId="0" xfId="0" applyNumberFormat="1" applyFill="1" applyAlignment="1">
      <alignment horizontal="left"/>
    </xf>
    <xf numFmtId="167" fontId="0" fillId="0" borderId="0" xfId="0" applyNumberFormat="1" applyAlignment="1">
      <alignment horizontal="center"/>
    </xf>
    <xf numFmtId="165" fontId="10" fillId="0" borderId="30" xfId="0" applyNumberFormat="1" applyFont="1" applyBorder="1" applyAlignment="1">
      <alignment horizontal="right" vertical="top" wrapText="1"/>
    </xf>
    <xf numFmtId="165" fontId="10" fillId="0" borderId="29" xfId="0" applyNumberFormat="1" applyFont="1" applyBorder="1" applyAlignment="1">
      <alignment horizontal="right" vertical="top" wrapText="1"/>
    </xf>
    <xf numFmtId="165" fontId="10" fillId="0" borderId="32" xfId="0" applyNumberFormat="1" applyFont="1" applyBorder="1" applyAlignment="1">
      <alignment horizontal="right" vertical="top" wrapText="1"/>
    </xf>
    <xf numFmtId="167" fontId="0" fillId="0" borderId="0" xfId="2" applyNumberFormat="1" applyFont="1" applyFill="1" applyBorder="1" applyAlignment="1">
      <alignment horizontal="center"/>
    </xf>
    <xf numFmtId="164" fontId="1" fillId="0" borderId="0" xfId="0" applyNumberFormat="1" applyFont="1" applyAlignment="1">
      <alignment horizontal="center"/>
    </xf>
    <xf numFmtId="165" fontId="0" fillId="2" borderId="0" xfId="0" applyNumberFormat="1" applyFill="1"/>
    <xf numFmtId="0" fontId="6" fillId="0" borderId="0" xfId="0" applyFont="1" applyAlignment="1">
      <alignment horizontal="left"/>
    </xf>
    <xf numFmtId="164" fontId="5" fillId="0" borderId="0" xfId="0" applyNumberFormat="1" applyFont="1" applyAlignment="1">
      <alignment horizontal="center"/>
    </xf>
    <xf numFmtId="165" fontId="5" fillId="0" borderId="0" xfId="0" applyNumberFormat="1" applyFont="1" applyAlignment="1">
      <alignment horizontal="center"/>
    </xf>
    <xf numFmtId="0" fontId="5" fillId="0" borderId="0" xfId="0" applyFont="1"/>
    <xf numFmtId="0" fontId="14" fillId="0" borderId="0" xfId="0" applyFont="1" applyAlignment="1">
      <alignment horizontal="left"/>
    </xf>
    <xf numFmtId="164" fontId="15" fillId="0" borderId="0" xfId="0" applyNumberFormat="1" applyFont="1" applyAlignment="1">
      <alignment horizontal="center"/>
    </xf>
    <xf numFmtId="165" fontId="15" fillId="0" borderId="0" xfId="0" applyNumberFormat="1" applyFont="1" applyAlignment="1">
      <alignment horizontal="center"/>
    </xf>
    <xf numFmtId="0" fontId="15" fillId="0" borderId="0" xfId="0" applyFont="1"/>
    <xf numFmtId="166" fontId="1" fillId="4" borderId="19" xfId="0" applyNumberFormat="1" applyFont="1" applyFill="1" applyBorder="1" applyAlignment="1">
      <alignment horizontal="center"/>
    </xf>
    <xf numFmtId="0" fontId="3" fillId="2" borderId="0" xfId="1" applyFill="1" applyAlignment="1">
      <alignment horizontal="left"/>
    </xf>
    <xf numFmtId="0" fontId="1" fillId="0" borderId="27" xfId="0" applyFont="1" applyBorder="1" applyAlignment="1">
      <alignment horizontal="center" vertical="top" wrapText="1"/>
    </xf>
    <xf numFmtId="0" fontId="0" fillId="0" borderId="0" xfId="0" applyAlignment="1">
      <alignment horizontal="right"/>
    </xf>
    <xf numFmtId="0" fontId="1" fillId="2" borderId="0" xfId="0" applyFont="1" applyFill="1" applyAlignment="1">
      <alignment horizontal="left"/>
    </xf>
    <xf numFmtId="3" fontId="11" fillId="0" borderId="27" xfId="0" applyNumberFormat="1" applyFont="1" applyBorder="1" applyAlignment="1">
      <alignment vertical="center" wrapText="1"/>
    </xf>
    <xf numFmtId="3" fontId="11" fillId="0" borderId="41" xfId="0" applyNumberFormat="1" applyFont="1" applyBorder="1" applyAlignment="1">
      <alignment horizontal="center" vertical="center" wrapText="1"/>
    </xf>
    <xf numFmtId="3" fontId="11" fillId="0" borderId="32" xfId="0" applyNumberFormat="1" applyFont="1" applyBorder="1" applyAlignment="1">
      <alignment horizontal="center" vertical="center" wrapText="1"/>
    </xf>
    <xf numFmtId="3" fontId="11" fillId="0" borderId="42" xfId="0" applyNumberFormat="1" applyFont="1" applyBorder="1" applyAlignment="1">
      <alignment horizontal="center" vertical="center" wrapText="1"/>
    </xf>
    <xf numFmtId="3" fontId="11" fillId="0" borderId="30" xfId="0" applyNumberFormat="1" applyFont="1" applyBorder="1" applyAlignment="1">
      <alignment horizontal="center" vertical="top" wrapText="1"/>
    </xf>
    <xf numFmtId="3" fontId="11" fillId="0" borderId="29" xfId="0" applyNumberFormat="1" applyFont="1" applyBorder="1" applyAlignment="1">
      <alignment horizontal="center" vertical="top" wrapText="1"/>
    </xf>
    <xf numFmtId="3" fontId="11" fillId="0" borderId="43" xfId="0" applyNumberFormat="1" applyFont="1" applyBorder="1" applyAlignment="1">
      <alignment horizontal="center" vertical="top" wrapText="1"/>
    </xf>
    <xf numFmtId="165" fontId="10" fillId="0" borderId="41" xfId="0" applyNumberFormat="1" applyFont="1" applyBorder="1" applyAlignment="1">
      <alignment horizontal="right" vertical="top" wrapText="1"/>
    </xf>
    <xf numFmtId="165" fontId="10" fillId="0" borderId="43" xfId="0" applyNumberFormat="1" applyFont="1" applyBorder="1" applyAlignment="1">
      <alignment horizontal="right" vertical="top" wrapText="1"/>
    </xf>
    <xf numFmtId="165" fontId="10" fillId="0" borderId="31" xfId="0" applyNumberFormat="1" applyFont="1" applyBorder="1" applyAlignment="1">
      <alignment horizontal="right" vertical="top" wrapText="1"/>
    </xf>
    <xf numFmtId="165" fontId="11" fillId="0" borderId="32" xfId="0" applyNumberFormat="1" applyFont="1" applyBorder="1" applyAlignment="1">
      <alignment horizontal="right" vertical="top" wrapText="1"/>
    </xf>
    <xf numFmtId="165" fontId="10" fillId="0" borderId="33" xfId="0" applyNumberFormat="1" applyFont="1" applyBorder="1" applyAlignment="1">
      <alignment horizontal="right" vertical="top" wrapText="1"/>
    </xf>
    <xf numFmtId="165" fontId="10" fillId="0" borderId="44" xfId="0" applyNumberFormat="1" applyFont="1" applyBorder="1" applyAlignment="1">
      <alignment horizontal="right" vertical="top" wrapText="1"/>
    </xf>
    <xf numFmtId="165" fontId="10" fillId="0" borderId="45" xfId="0" applyNumberFormat="1" applyFont="1" applyBorder="1" applyAlignment="1">
      <alignment horizontal="right" vertical="top" wrapText="1"/>
    </xf>
    <xf numFmtId="165" fontId="10" fillId="0" borderId="46" xfId="0" applyNumberFormat="1" applyFont="1" applyBorder="1" applyAlignment="1">
      <alignment horizontal="right" vertical="top" wrapText="1"/>
    </xf>
    <xf numFmtId="165" fontId="12" fillId="0" borderId="34" xfId="0" applyNumberFormat="1" applyFont="1" applyBorder="1" applyAlignment="1">
      <alignment horizontal="right" vertical="top" wrapText="1"/>
    </xf>
    <xf numFmtId="165" fontId="11" fillId="0" borderId="29" xfId="0" applyNumberFormat="1" applyFont="1" applyBorder="1" applyAlignment="1">
      <alignment horizontal="center" vertical="top" wrapText="1"/>
    </xf>
    <xf numFmtId="165" fontId="11" fillId="0" borderId="43" xfId="0" applyNumberFormat="1" applyFont="1" applyBorder="1" applyAlignment="1">
      <alignment horizontal="center" vertical="top" wrapText="1"/>
    </xf>
    <xf numFmtId="165" fontId="11" fillId="0" borderId="30" xfId="0" applyNumberFormat="1" applyFont="1" applyBorder="1" applyAlignment="1">
      <alignment horizontal="center" vertical="top" wrapText="1"/>
    </xf>
    <xf numFmtId="165" fontId="10" fillId="0" borderId="47" xfId="0" applyNumberFormat="1" applyFont="1" applyBorder="1" applyAlignment="1">
      <alignment horizontal="right" vertical="top" wrapText="1"/>
    </xf>
    <xf numFmtId="165" fontId="10" fillId="0" borderId="48" xfId="0" applyNumberFormat="1" applyFont="1" applyBorder="1" applyAlignment="1">
      <alignment horizontal="right" vertical="top" wrapText="1"/>
    </xf>
    <xf numFmtId="0" fontId="0" fillId="0" borderId="32" xfId="0" applyBorder="1"/>
    <xf numFmtId="3" fontId="11" fillId="0" borderId="37" xfId="0" applyNumberFormat="1" applyFont="1" applyBorder="1" applyAlignment="1">
      <alignment horizontal="center" vertical="top" wrapText="1"/>
    </xf>
    <xf numFmtId="3" fontId="11" fillId="0" borderId="49" xfId="0" applyNumberFormat="1" applyFont="1" applyBorder="1" applyAlignment="1">
      <alignment horizontal="center" vertical="top" wrapText="1"/>
    </xf>
    <xf numFmtId="3" fontId="10" fillId="0" borderId="49" xfId="0" applyNumberFormat="1" applyFont="1" applyBorder="1" applyAlignment="1">
      <alignment horizontal="right" vertical="top" wrapText="1"/>
    </xf>
    <xf numFmtId="3" fontId="11" fillId="3" borderId="13" xfId="0" applyNumberFormat="1" applyFont="1" applyFill="1" applyBorder="1" applyAlignment="1">
      <alignment horizontal="center" vertical="top"/>
    </xf>
    <xf numFmtId="3" fontId="11" fillId="3" borderId="23" xfId="0" applyNumberFormat="1" applyFont="1" applyFill="1" applyBorder="1" applyAlignment="1">
      <alignment horizontal="center" vertical="top" wrapText="1"/>
    </xf>
    <xf numFmtId="3" fontId="11" fillId="3" borderId="27" xfId="0" applyNumberFormat="1" applyFont="1" applyFill="1" applyBorder="1" applyAlignment="1">
      <alignment horizontal="center" vertical="top" wrapText="1"/>
    </xf>
    <xf numFmtId="165" fontId="10" fillId="3" borderId="27" xfId="0" applyNumberFormat="1" applyFont="1" applyFill="1" applyBorder="1" applyAlignment="1">
      <alignment horizontal="right" vertical="top" wrapText="1"/>
    </xf>
    <xf numFmtId="165" fontId="12" fillId="3" borderId="19" xfId="0" applyNumberFormat="1" applyFont="1" applyFill="1" applyBorder="1" applyAlignment="1">
      <alignment horizontal="right" vertical="top" wrapText="1"/>
    </xf>
    <xf numFmtId="165" fontId="11" fillId="3" borderId="27" xfId="0" applyNumberFormat="1" applyFont="1" applyFill="1" applyBorder="1" applyAlignment="1">
      <alignment horizontal="center" vertical="top" wrapText="1"/>
    </xf>
    <xf numFmtId="165" fontId="0" fillId="3" borderId="28" xfId="0" applyNumberFormat="1" applyFill="1" applyBorder="1"/>
    <xf numFmtId="0" fontId="4" fillId="2" borderId="0" xfId="0" applyFont="1" applyFill="1" applyAlignment="1">
      <alignment horizontal="left" vertical="top" wrapText="1"/>
    </xf>
    <xf numFmtId="0" fontId="16" fillId="0" borderId="0" xfId="0" applyFont="1" applyAlignment="1">
      <alignment horizontal="left"/>
    </xf>
    <xf numFmtId="0" fontId="1" fillId="5" borderId="42" xfId="0" applyFont="1" applyFill="1" applyBorder="1" applyAlignment="1">
      <alignment horizontal="left"/>
    </xf>
    <xf numFmtId="0" fontId="0" fillId="5" borderId="50" xfId="0" applyFill="1" applyBorder="1" applyAlignment="1">
      <alignment horizontal="center"/>
    </xf>
    <xf numFmtId="164" fontId="0" fillId="5" borderId="50" xfId="0" applyNumberFormat="1" applyFill="1" applyBorder="1" applyAlignment="1">
      <alignment horizontal="center"/>
    </xf>
    <xf numFmtId="0" fontId="0" fillId="5" borderId="50" xfId="0" applyFill="1" applyBorder="1"/>
    <xf numFmtId="0" fontId="0" fillId="5" borderId="51" xfId="0" applyFill="1" applyBorder="1" applyAlignment="1">
      <alignment horizontal="left"/>
    </xf>
    <xf numFmtId="0" fontId="1" fillId="2" borderId="52" xfId="0" applyFont="1" applyFill="1" applyBorder="1" applyAlignment="1">
      <alignment horizontal="left"/>
    </xf>
    <xf numFmtId="0" fontId="0" fillId="2" borderId="53" xfId="0" applyFill="1" applyBorder="1" applyAlignment="1">
      <alignment horizontal="center"/>
    </xf>
    <xf numFmtId="164" fontId="0" fillId="2" borderId="53" xfId="0" applyNumberFormat="1" applyFill="1" applyBorder="1" applyAlignment="1">
      <alignment horizontal="center"/>
    </xf>
    <xf numFmtId="0" fontId="0" fillId="2" borderId="53" xfId="0" applyFill="1" applyBorder="1"/>
    <xf numFmtId="0" fontId="0" fillId="2" borderId="54" xfId="0" applyFill="1" applyBorder="1" applyAlignment="1">
      <alignment horizontal="left"/>
    </xf>
    <xf numFmtId="0" fontId="0" fillId="2" borderId="55" xfId="0" applyFill="1" applyBorder="1" applyAlignment="1">
      <alignment horizontal="center"/>
    </xf>
    <xf numFmtId="0" fontId="4" fillId="2" borderId="56" xfId="0" applyFont="1" applyFill="1" applyBorder="1" applyAlignment="1">
      <alignment horizontal="left" vertical="top" wrapText="1"/>
    </xf>
    <xf numFmtId="0" fontId="0" fillId="2" borderId="56" xfId="0" applyFill="1" applyBorder="1" applyAlignment="1">
      <alignment horizontal="left"/>
    </xf>
    <xf numFmtId="0" fontId="0" fillId="2" borderId="55" xfId="0" applyFill="1" applyBorder="1" applyAlignment="1">
      <alignment horizontal="center" vertical="top" wrapText="1"/>
    </xf>
    <xf numFmtId="0" fontId="4" fillId="2" borderId="44" xfId="0" applyFont="1" applyFill="1" applyBorder="1" applyAlignment="1">
      <alignment horizontal="left"/>
    </xf>
    <xf numFmtId="0" fontId="0" fillId="2" borderId="47" xfId="0" applyFill="1" applyBorder="1" applyAlignment="1">
      <alignment horizontal="left"/>
    </xf>
    <xf numFmtId="0" fontId="0" fillId="2" borderId="47" xfId="0" applyFill="1" applyBorder="1" applyAlignment="1">
      <alignment horizontal="center"/>
    </xf>
    <xf numFmtId="164" fontId="0" fillId="2" borderId="47" xfId="0" applyNumberFormat="1" applyFill="1" applyBorder="1" applyAlignment="1">
      <alignment horizontal="center"/>
    </xf>
    <xf numFmtId="0" fontId="0" fillId="2" borderId="47" xfId="0" applyFill="1" applyBorder="1"/>
    <xf numFmtId="0" fontId="0" fillId="2" borderId="49" xfId="0" applyFill="1" applyBorder="1" applyAlignment="1">
      <alignment horizontal="left"/>
    </xf>
    <xf numFmtId="164" fontId="0" fillId="5" borderId="51" xfId="0" applyNumberFormat="1" applyFill="1" applyBorder="1" applyAlignment="1">
      <alignment horizontal="center"/>
    </xf>
    <xf numFmtId="167" fontId="0" fillId="2" borderId="52" xfId="2" applyNumberFormat="1" applyFont="1" applyFill="1" applyBorder="1" applyAlignment="1">
      <alignment horizontal="right"/>
    </xf>
    <xf numFmtId="0" fontId="0" fillId="2" borderId="53" xfId="0" applyFill="1" applyBorder="1" applyAlignment="1">
      <alignment horizontal="left"/>
    </xf>
    <xf numFmtId="164" fontId="0" fillId="2" borderId="54" xfId="0" applyNumberFormat="1" applyFill="1" applyBorder="1" applyAlignment="1">
      <alignment horizontal="center"/>
    </xf>
    <xf numFmtId="165" fontId="0" fillId="2" borderId="55" xfId="2" applyNumberFormat="1" applyFont="1" applyFill="1" applyBorder="1" applyAlignment="1">
      <alignment horizontal="right"/>
    </xf>
    <xf numFmtId="164" fontId="0" fillId="2" borderId="56" xfId="0" applyNumberFormat="1" applyFill="1" applyBorder="1" applyAlignment="1">
      <alignment horizontal="center"/>
    </xf>
    <xf numFmtId="167" fontId="0" fillId="2" borderId="55" xfId="2" applyNumberFormat="1" applyFont="1" applyFill="1" applyBorder="1" applyAlignment="1">
      <alignment horizontal="right"/>
    </xf>
    <xf numFmtId="167" fontId="0" fillId="2" borderId="44" xfId="2" applyNumberFormat="1" applyFont="1" applyFill="1" applyBorder="1" applyAlignment="1">
      <alignment horizontal="right"/>
    </xf>
    <xf numFmtId="164" fontId="0" fillId="2" borderId="49" xfId="0" applyNumberFormat="1" applyFill="1" applyBorder="1" applyAlignment="1">
      <alignment horizontal="center"/>
    </xf>
    <xf numFmtId="165" fontId="0" fillId="2" borderId="52" xfId="0" applyNumberFormat="1" applyFill="1" applyBorder="1" applyAlignment="1">
      <alignment horizontal="right"/>
    </xf>
    <xf numFmtId="165" fontId="0" fillId="2" borderId="44" xfId="0" applyNumberFormat="1" applyFill="1" applyBorder="1" applyAlignment="1">
      <alignment horizontal="right"/>
    </xf>
    <xf numFmtId="0" fontId="0" fillId="5" borderId="51" xfId="0" applyFill="1" applyBorder="1" applyAlignment="1">
      <alignment horizontal="center"/>
    </xf>
    <xf numFmtId="0" fontId="0" fillId="2" borderId="52" xfId="0" applyFill="1" applyBorder="1"/>
    <xf numFmtId="0" fontId="1" fillId="2" borderId="53" xfId="0" applyFont="1" applyFill="1" applyBorder="1" applyAlignment="1">
      <alignment horizontal="center"/>
    </xf>
    <xf numFmtId="164" fontId="1" fillId="2" borderId="53" xfId="0" applyNumberFormat="1" applyFont="1" applyFill="1" applyBorder="1" applyAlignment="1">
      <alignment horizontal="center"/>
    </xf>
    <xf numFmtId="0" fontId="1" fillId="2" borderId="54" xfId="0" applyFont="1" applyFill="1" applyBorder="1" applyAlignment="1">
      <alignment horizontal="center"/>
    </xf>
    <xf numFmtId="0" fontId="0" fillId="2" borderId="55" xfId="0" applyFill="1" applyBorder="1"/>
    <xf numFmtId="3" fontId="0" fillId="2" borderId="56" xfId="0" applyNumberFormat="1" applyFill="1" applyBorder="1" applyAlignment="1">
      <alignment horizontal="center"/>
    </xf>
    <xf numFmtId="3" fontId="0" fillId="2" borderId="49" xfId="0" applyNumberFormat="1" applyFill="1" applyBorder="1" applyAlignment="1">
      <alignment horizontal="center"/>
    </xf>
    <xf numFmtId="0" fontId="0" fillId="2" borderId="44" xfId="0" applyFill="1" applyBorder="1"/>
    <xf numFmtId="165" fontId="0" fillId="2" borderId="47" xfId="0" applyNumberFormat="1" applyFill="1" applyBorder="1" applyAlignment="1">
      <alignment horizontal="center"/>
    </xf>
    <xf numFmtId="14" fontId="0" fillId="2" borderId="47" xfId="0" applyNumberFormat="1" applyFill="1" applyBorder="1" applyAlignment="1">
      <alignment horizontal="center"/>
    </xf>
    <xf numFmtId="3" fontId="1" fillId="2" borderId="49" xfId="0" applyNumberFormat="1" applyFont="1" applyFill="1" applyBorder="1" applyAlignment="1">
      <alignment horizontal="center"/>
    </xf>
    <xf numFmtId="0" fontId="2" fillId="5" borderId="42" xfId="0" applyFont="1" applyFill="1" applyBorder="1"/>
    <xf numFmtId="0" fontId="1" fillId="0" borderId="52" xfId="0" applyFont="1" applyBorder="1" applyAlignment="1">
      <alignment horizontal="left"/>
    </xf>
    <xf numFmtId="0" fontId="0" fillId="0" borderId="53" xfId="0" applyBorder="1"/>
    <xf numFmtId="0" fontId="0" fillId="0" borderId="54" xfId="0" applyBorder="1"/>
    <xf numFmtId="3" fontId="1" fillId="0" borderId="55" xfId="0" applyNumberFormat="1" applyFont="1" applyBorder="1" applyAlignment="1">
      <alignment horizontal="left"/>
    </xf>
    <xf numFmtId="0" fontId="0" fillId="0" borderId="56" xfId="0" applyBorder="1"/>
    <xf numFmtId="0" fontId="0" fillId="0" borderId="55" xfId="0" applyBorder="1" applyAlignment="1">
      <alignment horizontal="center"/>
    </xf>
    <xf numFmtId="0" fontId="1" fillId="0" borderId="55" xfId="0" applyFont="1" applyBorder="1" applyAlignment="1">
      <alignment horizontal="right"/>
    </xf>
    <xf numFmtId="0" fontId="1" fillId="0" borderId="56" xfId="0" applyFont="1" applyBorder="1" applyAlignment="1">
      <alignment horizontal="right"/>
    </xf>
    <xf numFmtId="0" fontId="0" fillId="0" borderId="55" xfId="0" applyBorder="1" applyAlignment="1">
      <alignment horizontal="right"/>
    </xf>
    <xf numFmtId="165" fontId="0" fillId="0" borderId="56" xfId="0" applyNumberFormat="1" applyBorder="1" applyAlignment="1">
      <alignment horizontal="right"/>
    </xf>
    <xf numFmtId="0" fontId="0" fillId="0" borderId="44" xfId="0" applyBorder="1" applyAlignment="1">
      <alignment horizontal="right"/>
    </xf>
    <xf numFmtId="165" fontId="0" fillId="0" borderId="47" xfId="0" applyNumberFormat="1" applyBorder="1" applyAlignment="1">
      <alignment horizontal="right"/>
    </xf>
    <xf numFmtId="165" fontId="0" fillId="0" borderId="49" xfId="0" applyNumberFormat="1" applyBorder="1" applyAlignment="1">
      <alignment horizontal="right"/>
    </xf>
    <xf numFmtId="0" fontId="2" fillId="5" borderId="42" xfId="0" applyFont="1" applyFill="1" applyBorder="1" applyAlignment="1">
      <alignment horizontal="left"/>
    </xf>
    <xf numFmtId="0" fontId="0" fillId="5" borderId="50" xfId="0" applyFill="1" applyBorder="1" applyAlignment="1">
      <alignment horizontal="left"/>
    </xf>
    <xf numFmtId="0" fontId="0" fillId="5" borderId="51" xfId="0" applyFill="1" applyBorder="1"/>
    <xf numFmtId="0" fontId="1" fillId="0" borderId="53" xfId="0" applyFont="1" applyBorder="1"/>
    <xf numFmtId="0" fontId="0" fillId="0" borderId="55" xfId="0" applyBorder="1" applyAlignment="1">
      <alignment horizontal="left"/>
    </xf>
    <xf numFmtId="0" fontId="5" fillId="0" borderId="56" xfId="0" applyFont="1" applyBorder="1"/>
    <xf numFmtId="165" fontId="5" fillId="0" borderId="56" xfId="0" applyNumberFormat="1" applyFont="1" applyBorder="1"/>
    <xf numFmtId="165" fontId="0" fillId="0" borderId="47" xfId="0" applyNumberFormat="1" applyBorder="1"/>
    <xf numFmtId="165" fontId="5" fillId="0" borderId="49" xfId="0" applyNumberFormat="1" applyFont="1" applyBorder="1"/>
    <xf numFmtId="165" fontId="15" fillId="0" borderId="42" xfId="0" applyNumberFormat="1" applyFont="1" applyBorder="1"/>
    <xf numFmtId="0" fontId="15" fillId="0" borderId="50" xfId="0" applyFont="1" applyBorder="1"/>
    <xf numFmtId="0" fontId="15" fillId="0" borderId="51" xfId="0" applyFont="1" applyBorder="1"/>
    <xf numFmtId="165" fontId="15" fillId="0" borderId="55" xfId="0" applyNumberFormat="1" applyFont="1" applyBorder="1"/>
    <xf numFmtId="0" fontId="15" fillId="0" borderId="56" xfId="0" applyFont="1" applyBorder="1"/>
    <xf numFmtId="0" fontId="15" fillId="0" borderId="47" xfId="0" applyFont="1" applyBorder="1"/>
    <xf numFmtId="0" fontId="15" fillId="0" borderId="49" xfId="0" applyFont="1" applyBorder="1"/>
    <xf numFmtId="0" fontId="1" fillId="5" borderId="42" xfId="0" applyFont="1" applyFill="1" applyBorder="1"/>
    <xf numFmtId="165" fontId="0" fillId="5" borderId="51" xfId="0" applyNumberFormat="1" applyFill="1" applyBorder="1" applyAlignment="1">
      <alignment horizontal="center"/>
    </xf>
    <xf numFmtId="0" fontId="0" fillId="0" borderId="55" xfId="0" applyBorder="1"/>
    <xf numFmtId="165" fontId="0" fillId="0" borderId="56" xfId="0" applyNumberFormat="1" applyBorder="1" applyAlignment="1">
      <alignment horizontal="center"/>
    </xf>
    <xf numFmtId="165" fontId="1" fillId="0" borderId="56" xfId="0" applyNumberFormat="1" applyFont="1" applyBorder="1" applyAlignment="1">
      <alignment horizontal="center"/>
    </xf>
    <xf numFmtId="165" fontId="0" fillId="0" borderId="49" xfId="0" applyNumberFormat="1" applyBorder="1" applyAlignment="1">
      <alignment horizontal="center"/>
    </xf>
    <xf numFmtId="0" fontId="0" fillId="0" borderId="44" xfId="0" applyBorder="1"/>
    <xf numFmtId="0" fontId="0" fillId="0" borderId="47" xfId="0" applyBorder="1" applyAlignment="1">
      <alignment horizontal="center"/>
    </xf>
    <xf numFmtId="164" fontId="0" fillId="0" borderId="47" xfId="0" applyNumberFormat="1" applyBorder="1" applyAlignment="1">
      <alignment horizontal="center"/>
    </xf>
    <xf numFmtId="165" fontId="1" fillId="0" borderId="49" xfId="0" applyNumberFormat="1" applyFont="1" applyBorder="1" applyAlignment="1">
      <alignment horizontal="center"/>
    </xf>
    <xf numFmtId="164" fontId="0" fillId="5" borderId="50" xfId="0" applyNumberFormat="1" applyFill="1" applyBorder="1"/>
    <xf numFmtId="0" fontId="0" fillId="2" borderId="56" xfId="0" applyFill="1" applyBorder="1"/>
    <xf numFmtId="165" fontId="0" fillId="2" borderId="56" xfId="0" applyNumberFormat="1" applyFill="1" applyBorder="1"/>
    <xf numFmtId="165" fontId="0" fillId="2" borderId="47" xfId="0" applyNumberFormat="1" applyFill="1" applyBorder="1"/>
    <xf numFmtId="165" fontId="0" fillId="2" borderId="49" xfId="0" applyNumberFormat="1" applyFill="1" applyBorder="1"/>
    <xf numFmtId="165" fontId="5" fillId="0" borderId="42" xfId="0" applyNumberFormat="1" applyFont="1" applyBorder="1"/>
    <xf numFmtId="0" fontId="5" fillId="0" borderId="50" xfId="0" applyFont="1" applyBorder="1"/>
    <xf numFmtId="0" fontId="5" fillId="0" borderId="51" xfId="0" applyFont="1" applyBorder="1"/>
    <xf numFmtId="165" fontId="5" fillId="0" borderId="55" xfId="0" applyNumberFormat="1" applyFont="1" applyBorder="1"/>
    <xf numFmtId="0" fontId="5" fillId="0" borderId="47" xfId="0" applyFont="1" applyBorder="1"/>
    <xf numFmtId="0" fontId="5" fillId="0" borderId="49" xfId="0" applyFont="1" applyBorder="1"/>
    <xf numFmtId="167" fontId="0" fillId="0" borderId="47" xfId="0" applyNumberFormat="1" applyBorder="1" applyAlignment="1">
      <alignment horizontal="center"/>
    </xf>
    <xf numFmtId="165" fontId="0" fillId="0" borderId="47" xfId="0" applyNumberFormat="1" applyBorder="1" applyAlignment="1">
      <alignment horizontal="center"/>
    </xf>
    <xf numFmtId="0" fontId="0" fillId="0" borderId="49" xfId="0" applyBorder="1"/>
    <xf numFmtId="3" fontId="0" fillId="0" borderId="56" xfId="0" applyNumberFormat="1" applyBorder="1" applyAlignment="1">
      <alignment horizontal="center"/>
    </xf>
    <xf numFmtId="3" fontId="0" fillId="0" borderId="49" xfId="0" applyNumberFormat="1" applyBorder="1" applyAlignment="1">
      <alignment horizontal="center"/>
    </xf>
    <xf numFmtId="0" fontId="0" fillId="0" borderId="0" xfId="0" applyAlignment="1">
      <alignment horizontal="left" vertical="top"/>
    </xf>
    <xf numFmtId="0" fontId="17" fillId="0" borderId="0" xfId="0" applyFont="1" applyAlignment="1">
      <alignment horizontal="left" vertical="top" wrapText="1"/>
    </xf>
    <xf numFmtId="0" fontId="17" fillId="0" borderId="56" xfId="0" applyFont="1" applyBorder="1" applyAlignment="1">
      <alignment horizontal="left" vertical="top" wrapText="1"/>
    </xf>
    <xf numFmtId="0" fontId="17" fillId="2" borderId="55" xfId="0" applyFont="1" applyFill="1" applyBorder="1" applyAlignment="1">
      <alignment horizontal="center" vertical="top" wrapText="1"/>
    </xf>
    <xf numFmtId="165" fontId="0" fillId="2" borderId="0" xfId="0" applyNumberFormat="1" applyFill="1" applyAlignment="1">
      <alignment horizontal="left"/>
    </xf>
    <xf numFmtId="0" fontId="18" fillId="0" borderId="0" xfId="0" applyFont="1" applyAlignment="1">
      <alignment horizontal="left"/>
    </xf>
    <xf numFmtId="0" fontId="0" fillId="2" borderId="0" xfId="0" applyFill="1" applyAlignment="1">
      <alignment horizontal="left" vertical="top" wrapText="1"/>
    </xf>
    <xf numFmtId="0" fontId="1" fillId="0" borderId="55" xfId="0" applyFont="1" applyBorder="1" applyAlignment="1">
      <alignment horizontal="left"/>
    </xf>
    <xf numFmtId="0" fontId="0" fillId="0" borderId="56" xfId="0" applyBorder="1" applyAlignment="1">
      <alignment horizontal="left"/>
    </xf>
    <xf numFmtId="0" fontId="17" fillId="0" borderId="55" xfId="0" applyFont="1" applyBorder="1" applyAlignment="1">
      <alignment horizontal="left"/>
    </xf>
    <xf numFmtId="0" fontId="17" fillId="6" borderId="55" xfId="0" applyFont="1" applyFill="1" applyBorder="1" applyAlignment="1">
      <alignment horizontal="left"/>
    </xf>
    <xf numFmtId="0" fontId="0" fillId="6" borderId="0" xfId="0" applyFill="1" applyAlignment="1">
      <alignment horizontal="left"/>
    </xf>
    <xf numFmtId="0" fontId="5" fillId="0" borderId="55" xfId="0" applyFont="1" applyBorder="1" applyAlignment="1">
      <alignment horizontal="left"/>
    </xf>
    <xf numFmtId="0" fontId="17" fillId="2" borderId="0" xfId="0" applyFont="1" applyFill="1" applyAlignment="1">
      <alignment horizontal="center"/>
    </xf>
    <xf numFmtId="0" fontId="0" fillId="2" borderId="52" xfId="0" applyFill="1" applyBorder="1" applyAlignment="1">
      <alignment horizontal="left"/>
    </xf>
    <xf numFmtId="14" fontId="0" fillId="2" borderId="54" xfId="0" applyNumberFormat="1" applyFill="1" applyBorder="1" applyAlignment="1">
      <alignment horizontal="center"/>
    </xf>
    <xf numFmtId="0" fontId="0" fillId="2" borderId="44" xfId="0" applyFill="1" applyBorder="1" applyAlignment="1">
      <alignment horizontal="left"/>
    </xf>
    <xf numFmtId="9" fontId="0" fillId="2" borderId="49" xfId="0" applyNumberFormat="1" applyFill="1" applyBorder="1" applyAlignment="1">
      <alignment horizontal="center" vertical="top"/>
    </xf>
    <xf numFmtId="0" fontId="0" fillId="2" borderId="0" xfId="2" applyNumberFormat="1" applyFont="1" applyFill="1" applyBorder="1" applyAlignment="1">
      <alignment horizontal="left"/>
    </xf>
    <xf numFmtId="3" fontId="1" fillId="2" borderId="0" xfId="0" applyNumberFormat="1" applyFont="1" applyFill="1" applyAlignment="1">
      <alignment horizontal="center"/>
    </xf>
    <xf numFmtId="0" fontId="0" fillId="6" borderId="0" xfId="0" applyFill="1" applyAlignment="1">
      <alignment horizontal="center"/>
    </xf>
    <xf numFmtId="9" fontId="19" fillId="2" borderId="0" xfId="0" applyNumberFormat="1" applyFont="1" applyFill="1" applyAlignment="1">
      <alignment horizontal="left"/>
    </xf>
    <xf numFmtId="0" fontId="0" fillId="0" borderId="33" xfId="0" applyBorder="1"/>
    <xf numFmtId="165" fontId="12" fillId="0" borderId="19" xfId="0" applyNumberFormat="1" applyFont="1" applyBorder="1" applyAlignment="1">
      <alignment horizontal="right" vertical="top" wrapText="1"/>
    </xf>
    <xf numFmtId="3" fontId="19" fillId="0" borderId="0" xfId="0" applyNumberFormat="1" applyFont="1" applyAlignment="1">
      <alignment vertical="top"/>
    </xf>
    <xf numFmtId="3" fontId="20" fillId="0" borderId="35" xfId="0" applyNumberFormat="1" applyFont="1" applyBorder="1" applyAlignment="1">
      <alignment vertical="top"/>
    </xf>
    <xf numFmtId="0" fontId="10" fillId="0" borderId="0" xfId="0" applyFont="1" applyAlignment="1">
      <alignment vertical="top"/>
    </xf>
    <xf numFmtId="0" fontId="10" fillId="0" borderId="0" xfId="0" applyFont="1"/>
    <xf numFmtId="0" fontId="1" fillId="0" borderId="52" xfId="0" applyFont="1" applyBorder="1" applyAlignment="1">
      <alignment horizontal="right"/>
    </xf>
    <xf numFmtId="0" fontId="1" fillId="0" borderId="53" xfId="0" applyFont="1" applyBorder="1" applyAlignment="1">
      <alignment horizontal="center"/>
    </xf>
    <xf numFmtId="0" fontId="1" fillId="0" borderId="54" xfId="0" applyFont="1" applyBorder="1" applyAlignment="1">
      <alignment horizontal="center"/>
    </xf>
    <xf numFmtId="165" fontId="0" fillId="2" borderId="53" xfId="0" applyNumberFormat="1" applyFill="1" applyBorder="1" applyAlignment="1">
      <alignment horizontal="center"/>
    </xf>
    <xf numFmtId="14" fontId="0" fillId="2" borderId="53" xfId="0" applyNumberFormat="1" applyFill="1" applyBorder="1" applyAlignment="1">
      <alignment horizontal="center"/>
    </xf>
    <xf numFmtId="3" fontId="0" fillId="2" borderId="54" xfId="0" applyNumberFormat="1" applyFill="1" applyBorder="1" applyAlignment="1">
      <alignment horizontal="center"/>
    </xf>
    <xf numFmtId="3" fontId="1" fillId="0" borderId="52" xfId="0" applyNumberFormat="1" applyFont="1" applyBorder="1" applyAlignment="1">
      <alignment horizontal="left"/>
    </xf>
    <xf numFmtId="0" fontId="1" fillId="0" borderId="0" xfId="0" applyFont="1" applyAlignment="1">
      <alignment horizontal="right" wrapText="1"/>
    </xf>
    <xf numFmtId="0" fontId="1" fillId="0" borderId="0" xfId="0" applyFont="1" applyAlignment="1">
      <alignment horizontal="center" wrapText="1"/>
    </xf>
    <xf numFmtId="0" fontId="21" fillId="0" borderId="0" xfId="0" applyFont="1"/>
    <xf numFmtId="0" fontId="4" fillId="2" borderId="55" xfId="0" applyFont="1" applyFill="1" applyBorder="1" applyAlignment="1">
      <alignment horizontal="left" vertical="top" wrapText="1"/>
    </xf>
    <xf numFmtId="0" fontId="4" fillId="2" borderId="0" xfId="0" applyFont="1" applyFill="1" applyAlignment="1">
      <alignment horizontal="left" vertical="top" wrapText="1"/>
    </xf>
    <xf numFmtId="0" fontId="4" fillId="2" borderId="56" xfId="0" applyFont="1" applyFill="1" applyBorder="1" applyAlignment="1">
      <alignment horizontal="left" vertical="top" wrapText="1"/>
    </xf>
    <xf numFmtId="0" fontId="0" fillId="2" borderId="42" xfId="0" applyFill="1" applyBorder="1" applyAlignment="1">
      <alignment horizontal="left" vertical="top" wrapText="1"/>
    </xf>
    <xf numFmtId="0" fontId="4" fillId="2" borderId="50" xfId="0" applyFont="1" applyFill="1" applyBorder="1" applyAlignment="1">
      <alignment horizontal="left" vertical="top" wrapText="1"/>
    </xf>
    <xf numFmtId="0" fontId="4" fillId="2" borderId="51" xfId="0" applyFont="1" applyFill="1" applyBorder="1" applyAlignment="1">
      <alignment horizontal="left" vertical="top" wrapText="1"/>
    </xf>
    <xf numFmtId="0" fontId="0" fillId="0" borderId="44" xfId="0" applyBorder="1" applyAlignment="1">
      <alignment horizontal="left" vertical="top" wrapText="1"/>
    </xf>
    <xf numFmtId="0" fontId="4" fillId="0" borderId="47" xfId="0" applyFont="1" applyBorder="1" applyAlignment="1">
      <alignment horizontal="left" vertical="top" wrapText="1"/>
    </xf>
    <xf numFmtId="0" fontId="4" fillId="0" borderId="49" xfId="0" applyFont="1" applyBorder="1" applyAlignment="1">
      <alignment horizontal="left" vertical="top" wrapText="1"/>
    </xf>
    <xf numFmtId="0" fontId="1" fillId="0" borderId="9" xfId="0" applyFont="1" applyBorder="1" applyAlignment="1">
      <alignment horizontal="left"/>
    </xf>
    <xf numFmtId="0" fontId="0" fillId="0" borderId="9" xfId="0" applyBorder="1" applyAlignment="1">
      <alignment horizontal="left"/>
    </xf>
    <xf numFmtId="3" fontId="11" fillId="0" borderId="2" xfId="0" applyNumberFormat="1" applyFont="1" applyBorder="1" applyAlignment="1">
      <alignment horizontal="center" vertical="top"/>
    </xf>
    <xf numFmtId="0" fontId="1" fillId="0" borderId="13" xfId="0" applyFont="1" applyBorder="1" applyAlignment="1">
      <alignment horizontal="center" vertical="top" wrapText="1"/>
    </xf>
    <xf numFmtId="0" fontId="1" fillId="0" borderId="27" xfId="0" applyFont="1" applyBorder="1" applyAlignment="1">
      <alignment horizontal="center" vertical="top" wrapText="1"/>
    </xf>
    <xf numFmtId="3" fontId="11" fillId="0" borderId="38" xfId="0" applyNumberFormat="1" applyFont="1" applyBorder="1" applyAlignment="1">
      <alignment horizontal="center" vertical="top" wrapText="1"/>
    </xf>
    <xf numFmtId="3" fontId="11" fillId="0" borderId="39" xfId="0" applyNumberFormat="1" applyFont="1" applyBorder="1" applyAlignment="1">
      <alignment horizontal="center" vertical="top" wrapText="1"/>
    </xf>
    <xf numFmtId="3" fontId="11" fillId="0" borderId="40" xfId="0" applyNumberFormat="1" applyFont="1" applyBorder="1" applyAlignment="1">
      <alignment horizontal="center" vertical="top" wrapText="1"/>
    </xf>
    <xf numFmtId="3" fontId="11" fillId="0" borderId="1" xfId="0" applyNumberFormat="1" applyFont="1" applyBorder="1" applyAlignment="1">
      <alignment horizontal="center" vertical="top"/>
    </xf>
    <xf numFmtId="3" fontId="11" fillId="0" borderId="3" xfId="0" applyNumberFormat="1" applyFont="1" applyBorder="1" applyAlignment="1">
      <alignment horizontal="center" vertical="top"/>
    </xf>
    <xf numFmtId="3" fontId="11" fillId="0" borderId="20" xfId="0" applyNumberFormat="1" applyFont="1" applyBorder="1" applyAlignment="1">
      <alignment horizontal="center" vertical="top"/>
    </xf>
    <xf numFmtId="3" fontId="11" fillId="0" borderId="21" xfId="0" applyNumberFormat="1" applyFont="1" applyBorder="1" applyAlignment="1">
      <alignment horizontal="center" vertical="top"/>
    </xf>
    <xf numFmtId="3" fontId="11" fillId="0" borderId="22" xfId="0" applyNumberFormat="1" applyFont="1" applyBorder="1" applyAlignment="1">
      <alignment horizontal="center" vertical="top"/>
    </xf>
    <xf numFmtId="3" fontId="11" fillId="0" borderId="36" xfId="0" applyNumberFormat="1" applyFont="1" applyBorder="1" applyAlignment="1">
      <alignment horizontal="center" vertical="top" wrapText="1"/>
    </xf>
    <xf numFmtId="3" fontId="11" fillId="0" borderId="37" xfId="0" applyNumberFormat="1" applyFont="1" applyBorder="1" applyAlignment="1">
      <alignment horizontal="center" vertical="top" wrapText="1"/>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file:///C:/Users/eleanor.shirtliff/AppData/Local/Microsoft/Windows/INetCache/Content.Outlook/D2S1UX4G/IFR16%20Worked%20Example%20-%20Operating%20Lease.xlsx" TargetMode="External"/><Relationship Id="rId1" Type="http://schemas.openxmlformats.org/officeDocument/2006/relationships/hyperlink" Target="file:///C:/Users/eleanor.shirtliff/AppData/Local/Microsoft/Windows/INetCache/Content.Outlook/D2S1UX4G/IFR16%20Worked%20Example%20-%20Operating%20Lease.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62"/>
  <sheetViews>
    <sheetView showGridLines="0" tabSelected="1" workbookViewId="0">
      <selection activeCell="A8" sqref="A8"/>
    </sheetView>
  </sheetViews>
  <sheetFormatPr defaultColWidth="8.85546875" defaultRowHeight="14.25"/>
  <cols>
    <col min="1" max="1" width="13.140625" style="1" customWidth="1"/>
    <col min="2" max="2" width="19.85546875" style="19" customWidth="1"/>
    <col min="3" max="3" width="49.42578125" style="19" customWidth="1"/>
    <col min="4" max="4" width="22.42578125" style="20" bestFit="1" customWidth="1"/>
    <col min="5" max="5" width="18.42578125" style="19" bestFit="1" customWidth="1"/>
    <col min="6" max="6" width="15" style="19" bestFit="1" customWidth="1"/>
    <col min="7" max="7" width="15.140625" style="1" bestFit="1" customWidth="1"/>
    <col min="8" max="8" width="11.85546875" style="1" customWidth="1"/>
    <col min="9" max="9" width="14.42578125" style="1" customWidth="1"/>
    <col min="10" max="10" width="12.140625" style="7" customWidth="1"/>
    <col min="11" max="11" width="20.42578125" style="1" customWidth="1"/>
    <col min="12" max="12" width="15.42578125" style="1" customWidth="1"/>
    <col min="13" max="13" width="19.42578125" style="1" bestFit="1" customWidth="1"/>
    <col min="14" max="16384" width="8.85546875" style="1"/>
  </cols>
  <sheetData>
    <row r="1" spans="1:10">
      <c r="A1" s="40" t="s">
        <v>0</v>
      </c>
    </row>
    <row r="2" spans="1:10">
      <c r="A2" s="40"/>
    </row>
    <row r="3" spans="1:10">
      <c r="A3" s="125" t="s">
        <v>1</v>
      </c>
      <c r="B3" s="126"/>
      <c r="C3" s="126"/>
      <c r="D3" s="127"/>
      <c r="E3" s="126"/>
      <c r="F3" s="126"/>
      <c r="G3" s="128"/>
      <c r="H3" s="128"/>
      <c r="I3" s="128"/>
      <c r="J3" s="129"/>
    </row>
    <row r="4" spans="1:10" ht="60.4" customHeight="1">
      <c r="A4" s="265" t="s">
        <v>2</v>
      </c>
      <c r="B4" s="266"/>
      <c r="C4" s="266"/>
      <c r="D4" s="266"/>
      <c r="E4" s="266"/>
      <c r="F4" s="266"/>
      <c r="G4" s="266"/>
      <c r="H4" s="266"/>
      <c r="I4" s="266"/>
      <c r="J4" s="267"/>
    </row>
    <row r="5" spans="1:10" ht="14.45" customHeight="1">
      <c r="A5" s="230"/>
      <c r="B5" s="123"/>
      <c r="C5" s="123"/>
      <c r="D5" s="123"/>
      <c r="E5" s="123"/>
      <c r="F5" s="123"/>
      <c r="G5" s="123"/>
      <c r="H5" s="123"/>
      <c r="I5" s="123"/>
      <c r="J5" s="123"/>
    </row>
    <row r="6" spans="1:10" ht="15.6" customHeight="1">
      <c r="A6" s="125" t="s">
        <v>3</v>
      </c>
      <c r="B6" s="126"/>
      <c r="C6" s="126"/>
      <c r="D6" s="127"/>
      <c r="E6" s="126"/>
      <c r="F6" s="126"/>
      <c r="G6" s="128"/>
      <c r="H6" s="128"/>
      <c r="I6" s="128"/>
      <c r="J6" s="129"/>
    </row>
    <row r="7" spans="1:10" ht="15.6" customHeight="1">
      <c r="A7" s="231"/>
      <c r="B7" s="4"/>
      <c r="C7" s="4"/>
      <c r="D7" s="55"/>
      <c r="E7" s="4"/>
      <c r="F7" s="4"/>
      <c r="G7"/>
      <c r="H7"/>
      <c r="I7"/>
      <c r="J7" s="232"/>
    </row>
    <row r="8" spans="1:10" ht="15.6" customHeight="1">
      <c r="A8" s="186" t="s">
        <v>4</v>
      </c>
      <c r="B8" s="4"/>
      <c r="C8" s="4"/>
      <c r="D8" s="55"/>
      <c r="E8" s="4"/>
      <c r="F8" s="4"/>
      <c r="G8"/>
      <c r="H8"/>
      <c r="I8"/>
      <c r="J8" s="232"/>
    </row>
    <row r="9" spans="1:10" ht="15.6" customHeight="1">
      <c r="A9" s="186" t="s">
        <v>5</v>
      </c>
      <c r="B9" s="4"/>
      <c r="C9" s="4"/>
      <c r="D9" s="55"/>
      <c r="E9" s="4"/>
      <c r="F9" s="4"/>
      <c r="G9"/>
      <c r="H9"/>
      <c r="I9"/>
      <c r="J9" s="232"/>
    </row>
    <row r="10" spans="1:10" ht="15.6" customHeight="1">
      <c r="A10" s="186"/>
      <c r="B10" s="4"/>
      <c r="C10" s="4"/>
      <c r="D10" s="55"/>
      <c r="E10" s="4"/>
      <c r="F10" s="4"/>
      <c r="G10"/>
      <c r="H10"/>
      <c r="I10"/>
      <c r="J10" s="232"/>
    </row>
    <row r="11" spans="1:10" ht="15.6" customHeight="1">
      <c r="A11" s="186" t="s">
        <v>6</v>
      </c>
      <c r="B11" s="4"/>
      <c r="C11" s="4"/>
      <c r="D11" s="55"/>
      <c r="E11" s="4"/>
      <c r="F11" s="4"/>
      <c r="G11"/>
      <c r="H11"/>
      <c r="I11"/>
      <c r="J11" s="232"/>
    </row>
    <row r="12" spans="1:10" ht="15.6" customHeight="1">
      <c r="A12" s="186" t="s">
        <v>7</v>
      </c>
      <c r="B12" s="4"/>
      <c r="C12" s="4"/>
      <c r="D12" s="55"/>
      <c r="E12" s="4"/>
      <c r="F12" s="4"/>
      <c r="G12"/>
      <c r="H12"/>
      <c r="I12"/>
      <c r="J12" s="232"/>
    </row>
    <row r="13" spans="1:10" ht="15.6" customHeight="1">
      <c r="A13" s="186" t="s">
        <v>8</v>
      </c>
      <c r="B13" s="4"/>
      <c r="C13" s="4"/>
      <c r="D13" s="55"/>
      <c r="E13" s="4"/>
      <c r="F13" s="4"/>
      <c r="G13"/>
      <c r="H13"/>
      <c r="I13"/>
      <c r="J13" s="232"/>
    </row>
    <row r="14" spans="1:10" ht="15.6" customHeight="1">
      <c r="A14" s="231"/>
      <c r="B14" s="4"/>
      <c r="C14" s="4"/>
      <c r="D14" s="55"/>
      <c r="E14" s="4"/>
      <c r="F14" s="4"/>
      <c r="G14"/>
      <c r="H14"/>
      <c r="I14"/>
      <c r="J14" s="232"/>
    </row>
    <row r="15" spans="1:10" ht="15.6" customHeight="1">
      <c r="A15" s="186" t="s">
        <v>9</v>
      </c>
      <c r="B15" s="4"/>
      <c r="C15" s="4"/>
      <c r="D15" s="55"/>
      <c r="E15" s="4"/>
      <c r="F15" s="4"/>
      <c r="G15"/>
      <c r="H15"/>
      <c r="I15"/>
      <c r="J15" s="232"/>
    </row>
    <row r="16" spans="1:10" ht="15.6" customHeight="1">
      <c r="A16" s="233" t="s">
        <v>10</v>
      </c>
      <c r="B16" s="4"/>
      <c r="C16" s="4"/>
      <c r="D16" s="55"/>
      <c r="E16" s="4"/>
      <c r="F16" s="4"/>
      <c r="G16"/>
      <c r="H16"/>
      <c r="I16"/>
      <c r="J16" s="232"/>
    </row>
    <row r="17" spans="1:10" ht="15.6" customHeight="1">
      <c r="A17" s="233"/>
      <c r="B17" s="4"/>
      <c r="C17" s="4"/>
      <c r="D17" s="55"/>
      <c r="E17" s="4"/>
      <c r="F17" s="4"/>
      <c r="G17"/>
      <c r="H17"/>
      <c r="I17"/>
      <c r="J17" s="232"/>
    </row>
    <row r="18" spans="1:10" ht="15.6" customHeight="1">
      <c r="A18" s="174" t="s">
        <v>11</v>
      </c>
      <c r="B18" s="2" t="s">
        <v>12</v>
      </c>
      <c r="C18" s="4"/>
      <c r="D18" s="55"/>
      <c r="E18" s="4"/>
      <c r="F18" s="4"/>
      <c r="G18"/>
      <c r="H18"/>
      <c r="I18"/>
      <c r="J18" s="232"/>
    </row>
    <row r="19" spans="1:10" ht="15.6" customHeight="1">
      <c r="A19" s="174" t="s">
        <v>13</v>
      </c>
      <c r="B19" s="2" t="s">
        <v>14</v>
      </c>
      <c r="C19" s="4"/>
      <c r="D19" s="55"/>
      <c r="E19" s="4"/>
      <c r="F19" s="4"/>
      <c r="G19"/>
      <c r="H19"/>
      <c r="I19"/>
      <c r="J19" s="232"/>
    </row>
    <row r="20" spans="1:10" ht="15.6" customHeight="1">
      <c r="A20" s="174" t="s">
        <v>15</v>
      </c>
      <c r="B20" s="2" t="s">
        <v>16</v>
      </c>
      <c r="C20" s="4"/>
      <c r="D20" s="55"/>
      <c r="E20" s="4"/>
      <c r="F20" s="4"/>
      <c r="G20"/>
      <c r="H20"/>
      <c r="I20"/>
      <c r="J20" s="232"/>
    </row>
    <row r="21" spans="1:10" ht="15.6" customHeight="1">
      <c r="A21" s="174" t="s">
        <v>17</v>
      </c>
      <c r="B21" s="2" t="s">
        <v>18</v>
      </c>
      <c r="C21" s="4"/>
      <c r="D21" s="55"/>
      <c r="E21" s="4"/>
      <c r="F21" s="4"/>
      <c r="G21"/>
      <c r="H21"/>
      <c r="I21"/>
      <c r="J21" s="232"/>
    </row>
    <row r="22" spans="1:10" ht="15.6" customHeight="1">
      <c r="A22" s="174" t="s">
        <v>19</v>
      </c>
      <c r="B22" s="2" t="s">
        <v>20</v>
      </c>
      <c r="C22" s="4"/>
      <c r="D22" s="55"/>
      <c r="E22" s="4"/>
      <c r="F22" s="4"/>
      <c r="G22"/>
      <c r="H22"/>
      <c r="I22"/>
      <c r="J22" s="232"/>
    </row>
    <row r="23" spans="1:10" ht="15.6" customHeight="1">
      <c r="A23" s="174"/>
      <c r="B23" s="2"/>
      <c r="C23" s="4"/>
      <c r="D23" s="55"/>
      <c r="E23" s="4"/>
      <c r="F23" s="4"/>
      <c r="G23"/>
      <c r="H23"/>
      <c r="I23"/>
      <c r="J23" s="232"/>
    </row>
    <row r="24" spans="1:10" ht="15.6" customHeight="1">
      <c r="A24" s="234" t="s">
        <v>21</v>
      </c>
      <c r="B24" s="235"/>
      <c r="C24" s="4"/>
      <c r="D24" s="55"/>
      <c r="E24" s="4"/>
      <c r="F24" s="4"/>
      <c r="G24"/>
      <c r="H24"/>
      <c r="I24"/>
      <c r="J24" s="232"/>
    </row>
    <row r="25" spans="1:10" customFormat="1" ht="15.6" customHeight="1">
      <c r="A25" s="233"/>
      <c r="B25" s="2"/>
      <c r="C25" s="4"/>
      <c r="D25" s="55"/>
      <c r="E25" s="4"/>
      <c r="F25" s="4"/>
      <c r="J25" s="232"/>
    </row>
    <row r="26" spans="1:10" ht="15.6" customHeight="1">
      <c r="A26" s="174" t="s">
        <v>22</v>
      </c>
      <c r="B26" s="2" t="s">
        <v>23</v>
      </c>
      <c r="C26" s="4"/>
      <c r="D26" s="55"/>
      <c r="E26" s="4"/>
      <c r="F26" s="4"/>
      <c r="G26"/>
      <c r="H26"/>
      <c r="I26"/>
      <c r="J26" s="232"/>
    </row>
    <row r="27" spans="1:10" ht="15.6" customHeight="1">
      <c r="A27" s="174" t="s">
        <v>24</v>
      </c>
      <c r="B27" s="2" t="s">
        <v>25</v>
      </c>
      <c r="C27" s="4"/>
      <c r="D27" s="55"/>
      <c r="E27" s="4"/>
      <c r="F27" s="4"/>
      <c r="G27"/>
      <c r="H27"/>
      <c r="I27"/>
      <c r="J27" s="232"/>
    </row>
    <row r="28" spans="1:10" ht="15.6" customHeight="1">
      <c r="A28" s="174" t="s">
        <v>26</v>
      </c>
      <c r="B28" s="2" t="s">
        <v>27</v>
      </c>
      <c r="C28" s="4"/>
      <c r="D28" s="55"/>
      <c r="E28" s="4"/>
      <c r="F28" s="4"/>
      <c r="G28"/>
      <c r="H28"/>
      <c r="I28"/>
      <c r="J28" s="232"/>
    </row>
    <row r="29" spans="1:10" ht="15.6" customHeight="1">
      <c r="A29" s="174"/>
      <c r="B29" s="2"/>
      <c r="C29" s="4"/>
      <c r="D29" s="55"/>
      <c r="E29" s="4"/>
      <c r="F29" s="4"/>
      <c r="G29"/>
      <c r="H29"/>
      <c r="I29"/>
      <c r="J29" s="232"/>
    </row>
    <row r="30" spans="1:10" ht="15.6" customHeight="1">
      <c r="A30" s="233" t="s">
        <v>28</v>
      </c>
      <c r="B30" s="4"/>
      <c r="C30" s="4"/>
      <c r="D30" s="55"/>
      <c r="E30" s="4"/>
      <c r="F30" s="4"/>
      <c r="G30"/>
      <c r="H30"/>
      <c r="I30"/>
      <c r="J30" s="232"/>
    </row>
    <row r="31" spans="1:10" ht="15.6" customHeight="1">
      <c r="A31" s="233"/>
      <c r="B31" s="4"/>
      <c r="C31" s="4"/>
      <c r="D31" s="55"/>
      <c r="E31" s="4"/>
      <c r="F31" s="4"/>
      <c r="G31"/>
      <c r="H31"/>
      <c r="I31"/>
      <c r="J31" s="232"/>
    </row>
    <row r="32" spans="1:10" ht="15.6" customHeight="1">
      <c r="A32" s="174" t="s">
        <v>29</v>
      </c>
      <c r="B32" s="2" t="s">
        <v>30</v>
      </c>
      <c r="C32" s="4"/>
      <c r="D32" s="55"/>
      <c r="E32" s="4"/>
      <c r="F32" s="4"/>
      <c r="G32"/>
      <c r="H32"/>
      <c r="I32"/>
      <c r="J32" s="232"/>
    </row>
    <row r="33" spans="1:10" ht="15.6" customHeight="1">
      <c r="A33" s="174" t="s">
        <v>31</v>
      </c>
      <c r="B33" s="2" t="s">
        <v>32</v>
      </c>
      <c r="C33" s="4"/>
      <c r="D33" s="55"/>
      <c r="E33" s="4"/>
      <c r="F33" s="4"/>
      <c r="G33"/>
      <c r="H33"/>
      <c r="I33"/>
      <c r="J33" s="232"/>
    </row>
    <row r="34" spans="1:10" ht="15.6" customHeight="1">
      <c r="A34" s="231"/>
      <c r="B34" s="4"/>
      <c r="C34" s="4"/>
      <c r="D34" s="55"/>
      <c r="E34" s="4"/>
      <c r="F34" s="4"/>
      <c r="G34"/>
      <c r="H34"/>
      <c r="I34"/>
      <c r="J34" s="232"/>
    </row>
    <row r="35" spans="1:10" ht="15.6" customHeight="1">
      <c r="A35" s="236" t="s">
        <v>33</v>
      </c>
      <c r="B35" s="4"/>
      <c r="C35" s="4"/>
      <c r="D35" s="55"/>
      <c r="E35" s="4"/>
      <c r="F35" s="4"/>
      <c r="G35"/>
      <c r="H35"/>
      <c r="I35"/>
      <c r="J35" s="232"/>
    </row>
    <row r="36" spans="1:10" ht="15.6" customHeight="1">
      <c r="A36" s="268"/>
      <c r="B36" s="269"/>
      <c r="C36" s="269"/>
      <c r="D36" s="269"/>
      <c r="E36" s="269"/>
      <c r="F36" s="269"/>
      <c r="G36" s="269"/>
      <c r="H36" s="269"/>
      <c r="I36" s="269"/>
      <c r="J36" s="270"/>
    </row>
    <row r="37" spans="1:10" ht="14.45" customHeight="1">
      <c r="A37" s="230"/>
      <c r="B37" s="123"/>
      <c r="C37" s="123"/>
      <c r="D37" s="123"/>
      <c r="E37" s="123"/>
      <c r="F37" s="123"/>
      <c r="G37" s="123"/>
      <c r="H37" s="123"/>
      <c r="I37" s="123"/>
      <c r="J37" s="123"/>
    </row>
    <row r="38" spans="1:10">
      <c r="A38" s="40"/>
    </row>
    <row r="39" spans="1:10" ht="15" customHeight="1">
      <c r="A39" s="130" t="s">
        <v>34</v>
      </c>
      <c r="B39" s="131"/>
      <c r="C39" s="131"/>
      <c r="D39" s="132"/>
      <c r="E39" s="131"/>
      <c r="F39" s="131"/>
      <c r="G39" s="133"/>
      <c r="H39" s="133"/>
      <c r="I39" s="133"/>
      <c r="J39" s="134"/>
    </row>
    <row r="40" spans="1:10" ht="12.2" customHeight="1">
      <c r="A40" s="262"/>
      <c r="B40" s="263"/>
      <c r="C40" s="263"/>
      <c r="D40" s="263"/>
      <c r="E40" s="263"/>
      <c r="F40" s="263"/>
      <c r="G40" s="263"/>
      <c r="H40" s="263"/>
      <c r="I40" s="263"/>
      <c r="J40" s="264"/>
    </row>
    <row r="41" spans="1:10" ht="12.2" customHeight="1">
      <c r="A41" s="135">
        <v>1</v>
      </c>
      <c r="B41" s="7" t="s">
        <v>35</v>
      </c>
      <c r="C41" s="123"/>
      <c r="D41" s="123"/>
      <c r="E41" s="123"/>
      <c r="F41" s="123"/>
      <c r="G41" s="123"/>
      <c r="H41" s="123"/>
      <c r="I41" s="123"/>
      <c r="J41" s="136"/>
    </row>
    <row r="42" spans="1:10" ht="16.149999999999999" customHeight="1">
      <c r="A42" s="135">
        <v>2</v>
      </c>
      <c r="B42" s="7" t="s">
        <v>36</v>
      </c>
      <c r="J42" s="137"/>
    </row>
    <row r="43" spans="1:10" ht="16.149999999999999" customHeight="1">
      <c r="A43" s="135"/>
      <c r="B43" s="7" t="s">
        <v>37</v>
      </c>
      <c r="J43" s="137"/>
    </row>
    <row r="44" spans="1:10" ht="16.149999999999999" customHeight="1">
      <c r="A44" s="135">
        <v>3</v>
      </c>
      <c r="B44" s="7" t="s">
        <v>38</v>
      </c>
      <c r="J44" s="137"/>
    </row>
    <row r="45" spans="1:10" ht="16.149999999999999" customHeight="1">
      <c r="A45" s="135">
        <v>4</v>
      </c>
      <c r="B45" s="7" t="s">
        <v>39</v>
      </c>
      <c r="J45" s="137"/>
    </row>
    <row r="46" spans="1:10" ht="16.149999999999999" customHeight="1">
      <c r="A46" s="135">
        <v>5</v>
      </c>
      <c r="B46" s="7" t="s">
        <v>40</v>
      </c>
      <c r="J46" s="137"/>
    </row>
    <row r="47" spans="1:10" ht="16.149999999999999" customHeight="1">
      <c r="A47" s="135">
        <v>6</v>
      </c>
      <c r="B47" s="7" t="s">
        <v>41</v>
      </c>
      <c r="J47" s="137"/>
    </row>
    <row r="48" spans="1:10" ht="16.149999999999999" customHeight="1">
      <c r="A48" s="135">
        <v>7</v>
      </c>
      <c r="B48" s="7" t="s">
        <v>42</v>
      </c>
      <c r="J48" s="137"/>
    </row>
    <row r="49" spans="1:10" ht="16.149999999999999" customHeight="1">
      <c r="A49" s="135">
        <v>8</v>
      </c>
      <c r="B49" s="7" t="s">
        <v>43</v>
      </c>
      <c r="J49" s="137"/>
    </row>
    <row r="50" spans="1:10" ht="16.149999999999999" customHeight="1">
      <c r="A50" s="135"/>
      <c r="B50" s="7" t="s">
        <v>44</v>
      </c>
      <c r="J50" s="137"/>
    </row>
    <row r="51" spans="1:10" ht="16.149999999999999" customHeight="1">
      <c r="A51" s="135">
        <v>9</v>
      </c>
      <c r="B51" s="7" t="s">
        <v>45</v>
      </c>
      <c r="J51" s="137"/>
    </row>
    <row r="52" spans="1:10" ht="16.149999999999999" customHeight="1">
      <c r="A52" s="135"/>
      <c r="B52" s="7" t="s">
        <v>46</v>
      </c>
      <c r="J52" s="137"/>
    </row>
    <row r="53" spans="1:10" ht="16.149999999999999" customHeight="1">
      <c r="A53" s="138">
        <v>10</v>
      </c>
      <c r="B53" s="224" t="s">
        <v>47</v>
      </c>
      <c r="C53"/>
      <c r="D53" s="225"/>
      <c r="E53" s="225"/>
      <c r="F53" s="225"/>
      <c r="G53" s="225"/>
      <c r="H53" s="225"/>
      <c r="I53" s="225"/>
      <c r="J53" s="226"/>
    </row>
    <row r="54" spans="1:10" ht="16.149999999999999" customHeight="1">
      <c r="A54" s="227"/>
      <c r="B54" s="224" t="s">
        <v>48</v>
      </c>
      <c r="C54" s="225"/>
      <c r="D54" s="225"/>
      <c r="E54" s="225"/>
      <c r="F54" s="225"/>
      <c r="G54" s="225"/>
      <c r="H54" s="225"/>
      <c r="I54" s="225"/>
      <c r="J54" s="226"/>
    </row>
    <row r="55" spans="1:10" ht="16.149999999999999" customHeight="1">
      <c r="A55" s="227"/>
      <c r="B55" s="224" t="s">
        <v>49</v>
      </c>
      <c r="C55"/>
      <c r="D55" s="225"/>
      <c r="E55" s="225"/>
      <c r="F55" s="225"/>
      <c r="G55" s="225"/>
      <c r="H55" s="225"/>
      <c r="I55" s="225"/>
      <c r="J55" s="226"/>
    </row>
    <row r="56" spans="1:10" ht="16.149999999999999" customHeight="1">
      <c r="A56" s="138">
        <v>11</v>
      </c>
      <c r="B56" s="7" t="s">
        <v>50</v>
      </c>
      <c r="C56" s="225"/>
      <c r="D56" s="225"/>
      <c r="E56" s="225"/>
      <c r="F56" s="225"/>
      <c r="G56" s="225"/>
      <c r="H56" s="225"/>
      <c r="I56" s="225"/>
      <c r="J56" s="226"/>
    </row>
    <row r="57" spans="1:10" ht="9.75" customHeight="1">
      <c r="A57" s="139"/>
      <c r="B57" s="140"/>
      <c r="C57" s="141"/>
      <c r="D57" s="142"/>
      <c r="E57" s="141"/>
      <c r="F57" s="141"/>
      <c r="G57" s="143"/>
      <c r="H57" s="143"/>
      <c r="I57" s="143"/>
      <c r="J57" s="144"/>
    </row>
    <row r="58" spans="1:10">
      <c r="A58" s="40"/>
    </row>
    <row r="59" spans="1:10">
      <c r="A59" s="237" t="s">
        <v>11</v>
      </c>
    </row>
    <row r="60" spans="1:10">
      <c r="A60" s="40"/>
    </row>
    <row r="61" spans="1:10">
      <c r="A61" s="7" t="s">
        <v>51</v>
      </c>
    </row>
    <row r="62" spans="1:10">
      <c r="A62" s="7"/>
    </row>
    <row r="63" spans="1:10">
      <c r="A63" s="238" t="s">
        <v>52</v>
      </c>
      <c r="B63" s="133"/>
      <c r="C63" s="239">
        <v>44652</v>
      </c>
      <c r="E63" s="1"/>
    </row>
    <row r="64" spans="1:10">
      <c r="A64" s="240" t="s">
        <v>53</v>
      </c>
      <c r="B64" s="140"/>
      <c r="C64" s="241">
        <v>0.05</v>
      </c>
    </row>
    <row r="65" spans="1:5">
      <c r="A65" s="7"/>
    </row>
    <row r="66" spans="1:5">
      <c r="A66" s="7" t="s">
        <v>54</v>
      </c>
    </row>
    <row r="67" spans="1:5">
      <c r="A67" s="7" t="s">
        <v>55</v>
      </c>
    </row>
    <row r="68" spans="1:5">
      <c r="A68" s="7" t="s">
        <v>56</v>
      </c>
    </row>
    <row r="69" spans="1:5">
      <c r="A69" s="7"/>
    </row>
    <row r="70" spans="1:5">
      <c r="A70" s="237" t="s">
        <v>13</v>
      </c>
    </row>
    <row r="71" spans="1:5">
      <c r="A71" s="7"/>
    </row>
    <row r="72" spans="1:5">
      <c r="A72" s="242" t="s">
        <v>57</v>
      </c>
      <c r="E72" s="1"/>
    </row>
    <row r="73" spans="1:5">
      <c r="A73" s="242" t="s">
        <v>58</v>
      </c>
      <c r="E73" s="1"/>
    </row>
    <row r="74" spans="1:5">
      <c r="A74" s="1" t="s">
        <v>59</v>
      </c>
      <c r="E74" s="22"/>
    </row>
    <row r="75" spans="1:5">
      <c r="E75" s="22"/>
    </row>
    <row r="76" spans="1:5">
      <c r="A76" s="125" t="s">
        <v>60</v>
      </c>
      <c r="B76" s="128"/>
      <c r="C76" s="126"/>
      <c r="D76" s="127"/>
      <c r="E76" s="156"/>
    </row>
    <row r="77" spans="1:5">
      <c r="A77" s="157"/>
      <c r="B77" s="158" t="s">
        <v>61</v>
      </c>
      <c r="C77" s="158" t="s">
        <v>62</v>
      </c>
      <c r="D77" s="159" t="s">
        <v>63</v>
      </c>
      <c r="E77" s="160" t="s">
        <v>64</v>
      </c>
    </row>
    <row r="78" spans="1:5">
      <c r="A78" s="161">
        <v>0</v>
      </c>
      <c r="B78" s="68">
        <v>50000</v>
      </c>
      <c r="C78" s="69">
        <v>44652</v>
      </c>
      <c r="D78" s="20">
        <f t="shared" ref="D78:D87" si="0">1/(1+$C$64)^A78</f>
        <v>1</v>
      </c>
      <c r="E78" s="162">
        <f>B78*D78</f>
        <v>50000</v>
      </c>
    </row>
    <row r="79" spans="1:5">
      <c r="A79" s="157">
        <v>1</v>
      </c>
      <c r="B79" s="255">
        <v>50000</v>
      </c>
      <c r="C79" s="256">
        <v>45017</v>
      </c>
      <c r="D79" s="132">
        <f t="shared" si="0"/>
        <v>0.95238095238095233</v>
      </c>
      <c r="E79" s="257">
        <f>B79*D79</f>
        <v>47619.047619047618</v>
      </c>
    </row>
    <row r="80" spans="1:5">
      <c r="A80" s="161">
        <f>A79+1</f>
        <v>2</v>
      </c>
      <c r="B80" s="68">
        <v>50000</v>
      </c>
      <c r="C80" s="69">
        <v>45383</v>
      </c>
      <c r="D80" s="20">
        <f t="shared" si="0"/>
        <v>0.90702947845804982</v>
      </c>
      <c r="E80" s="162">
        <f t="shared" ref="E80:E87" si="1">B80*D80</f>
        <v>45351.473922902493</v>
      </c>
    </row>
    <row r="81" spans="1:6">
      <c r="A81" s="161">
        <f t="shared" ref="A81:A87" si="2">A80+1</f>
        <v>3</v>
      </c>
      <c r="B81" s="68">
        <v>50000</v>
      </c>
      <c r="C81" s="69">
        <v>45748</v>
      </c>
      <c r="D81" s="20">
        <f t="shared" si="0"/>
        <v>0.86383759853147601</v>
      </c>
      <c r="E81" s="162">
        <f t="shared" si="1"/>
        <v>43191.879926573798</v>
      </c>
    </row>
    <row r="82" spans="1:6">
      <c r="A82" s="161">
        <f t="shared" si="2"/>
        <v>4</v>
      </c>
      <c r="B82" s="68">
        <v>50000</v>
      </c>
      <c r="C82" s="69">
        <v>46113</v>
      </c>
      <c r="D82" s="20">
        <f t="shared" si="0"/>
        <v>0.82270247479188197</v>
      </c>
      <c r="E82" s="162">
        <f t="shared" si="1"/>
        <v>41135.123739594099</v>
      </c>
    </row>
    <row r="83" spans="1:6">
      <c r="A83" s="161">
        <f t="shared" si="2"/>
        <v>5</v>
      </c>
      <c r="B83" s="68">
        <v>50000</v>
      </c>
      <c r="C83" s="69">
        <v>46478</v>
      </c>
      <c r="D83" s="20">
        <f t="shared" si="0"/>
        <v>0.78352616646845896</v>
      </c>
      <c r="E83" s="162">
        <f t="shared" si="1"/>
        <v>39176.308323422949</v>
      </c>
    </row>
    <row r="84" spans="1:6">
      <c r="A84" s="161">
        <f t="shared" si="2"/>
        <v>6</v>
      </c>
      <c r="B84" s="68">
        <v>50000</v>
      </c>
      <c r="C84" s="69">
        <v>46844</v>
      </c>
      <c r="D84" s="20">
        <f t="shared" si="0"/>
        <v>0.74621539663662761</v>
      </c>
      <c r="E84" s="162">
        <f t="shared" si="1"/>
        <v>37310.769831831378</v>
      </c>
    </row>
    <row r="85" spans="1:6">
      <c r="A85" s="161">
        <f t="shared" si="2"/>
        <v>7</v>
      </c>
      <c r="B85" s="68">
        <v>50000</v>
      </c>
      <c r="C85" s="69">
        <v>47209</v>
      </c>
      <c r="D85" s="20">
        <f t="shared" si="0"/>
        <v>0.71068133013012147</v>
      </c>
      <c r="E85" s="162">
        <f t="shared" si="1"/>
        <v>35534.066506506075</v>
      </c>
    </row>
    <row r="86" spans="1:6">
      <c r="A86" s="161">
        <f t="shared" si="2"/>
        <v>8</v>
      </c>
      <c r="B86" s="68">
        <v>50000</v>
      </c>
      <c r="C86" s="69">
        <v>47574</v>
      </c>
      <c r="D86" s="20">
        <f t="shared" si="0"/>
        <v>0.67683936202868722</v>
      </c>
      <c r="E86" s="162">
        <f t="shared" si="1"/>
        <v>33841.968101434359</v>
      </c>
    </row>
    <row r="87" spans="1:6">
      <c r="A87" s="164">
        <f t="shared" si="2"/>
        <v>9</v>
      </c>
      <c r="B87" s="165">
        <v>50000</v>
      </c>
      <c r="C87" s="166">
        <v>47939</v>
      </c>
      <c r="D87" s="142">
        <f t="shared" si="0"/>
        <v>0.64460891621779726</v>
      </c>
      <c r="E87" s="163">
        <f t="shared" si="1"/>
        <v>32230.445810889862</v>
      </c>
    </row>
    <row r="88" spans="1:6">
      <c r="A88" s="164"/>
      <c r="B88" s="165"/>
      <c r="C88" s="166"/>
      <c r="D88" s="142"/>
      <c r="E88" s="167">
        <f>SUM(E79:E87)</f>
        <v>355391.08378220262</v>
      </c>
    </row>
    <row r="90" spans="1:6">
      <c r="A90" s="237" t="s">
        <v>15</v>
      </c>
    </row>
    <row r="92" spans="1:6">
      <c r="A92" s="1" t="s">
        <v>65</v>
      </c>
      <c r="E92" s="1"/>
    </row>
    <row r="93" spans="1:6">
      <c r="A93" s="1" t="s">
        <v>66</v>
      </c>
      <c r="B93" s="68"/>
      <c r="C93" s="69"/>
      <c r="E93" s="243"/>
    </row>
    <row r="94" spans="1:6">
      <c r="A94" s="1" t="s">
        <v>67</v>
      </c>
      <c r="B94" s="68"/>
      <c r="C94" s="69"/>
      <c r="E94" s="243"/>
    </row>
    <row r="96" spans="1:6" customFormat="1">
      <c r="A96" s="168" t="s">
        <v>68</v>
      </c>
      <c r="B96" s="126"/>
      <c r="C96" s="126"/>
      <c r="D96" s="127"/>
      <c r="E96" s="156"/>
      <c r="F96" s="4"/>
    </row>
    <row r="97" spans="1:6" customFormat="1">
      <c r="A97" s="169" t="s">
        <v>69</v>
      </c>
      <c r="B97" s="170"/>
      <c r="C97" s="170"/>
      <c r="D97" s="170"/>
      <c r="E97" s="171"/>
    </row>
    <row r="98" spans="1:6" customFormat="1">
      <c r="A98" s="172">
        <f>SUM(E79:E87)</f>
        <v>355391.08378220262</v>
      </c>
      <c r="C98" s="4"/>
      <c r="D98" s="4"/>
      <c r="E98" s="173"/>
    </row>
    <row r="99" spans="1:6" customFormat="1">
      <c r="A99" s="174"/>
      <c r="B99" s="55"/>
      <c r="C99" s="4"/>
      <c r="D99" s="4"/>
      <c r="E99" s="173"/>
    </row>
    <row r="100" spans="1:6" customFormat="1">
      <c r="A100" s="175" t="s">
        <v>70</v>
      </c>
      <c r="B100" s="56" t="s">
        <v>71</v>
      </c>
      <c r="C100" s="57" t="s">
        <v>72</v>
      </c>
      <c r="D100" s="57" t="s">
        <v>73</v>
      </c>
      <c r="E100" s="176" t="s">
        <v>74</v>
      </c>
    </row>
    <row r="101" spans="1:6" customFormat="1">
      <c r="A101" s="177" t="s">
        <v>75</v>
      </c>
      <c r="B101" s="59">
        <f>A98</f>
        <v>355391.08378220262</v>
      </c>
      <c r="C101" s="59">
        <v>0</v>
      </c>
      <c r="D101" s="59">
        <f t="shared" ref="D101:D110" si="3">SUM(B101:C101)*$C$64</f>
        <v>17769.554189110131</v>
      </c>
      <c r="E101" s="178">
        <f t="shared" ref="E101:E110" si="4">B101+D101+C101</f>
        <v>373160.63797131274</v>
      </c>
    </row>
    <row r="102" spans="1:6" customFormat="1">
      <c r="A102" s="177" t="s">
        <v>76</v>
      </c>
      <c r="B102" s="59">
        <f>E101</f>
        <v>373160.63797131274</v>
      </c>
      <c r="C102" s="59">
        <f t="shared" ref="C102:C110" si="5">-B79</f>
        <v>-50000</v>
      </c>
      <c r="D102" s="59">
        <f t="shared" si="3"/>
        <v>16158.031898565638</v>
      </c>
      <c r="E102" s="178">
        <f t="shared" si="4"/>
        <v>339318.66986987839</v>
      </c>
    </row>
    <row r="103" spans="1:6" customFormat="1">
      <c r="A103" s="177" t="s">
        <v>77</v>
      </c>
      <c r="B103" s="59">
        <f>E102</f>
        <v>339318.66986987839</v>
      </c>
      <c r="C103" s="59">
        <f t="shared" si="5"/>
        <v>-50000</v>
      </c>
      <c r="D103" s="59">
        <f t="shared" si="3"/>
        <v>14465.93349349392</v>
      </c>
      <c r="E103" s="178">
        <f t="shared" si="4"/>
        <v>303784.60336337233</v>
      </c>
    </row>
    <row r="104" spans="1:6" customFormat="1">
      <c r="A104" s="177" t="s">
        <v>78</v>
      </c>
      <c r="B104" s="59">
        <f t="shared" ref="B104:B110" si="6">E103</f>
        <v>303784.60336337233</v>
      </c>
      <c r="C104" s="59">
        <f t="shared" si="5"/>
        <v>-50000</v>
      </c>
      <c r="D104" s="59">
        <f t="shared" si="3"/>
        <v>12689.230168168617</v>
      </c>
      <c r="E104" s="178">
        <f t="shared" si="4"/>
        <v>266473.83353154093</v>
      </c>
    </row>
    <row r="105" spans="1:6" customFormat="1">
      <c r="A105" s="177" t="s">
        <v>79</v>
      </c>
      <c r="B105" s="59">
        <f t="shared" si="6"/>
        <v>266473.83353154093</v>
      </c>
      <c r="C105" s="59">
        <f t="shared" si="5"/>
        <v>-50000</v>
      </c>
      <c r="D105" s="59">
        <f t="shared" si="3"/>
        <v>10823.691676577047</v>
      </c>
      <c r="E105" s="178">
        <f t="shared" si="4"/>
        <v>227297.52520811796</v>
      </c>
    </row>
    <row r="106" spans="1:6" customFormat="1">
      <c r="A106" s="177" t="s">
        <v>80</v>
      </c>
      <c r="B106" s="59">
        <f t="shared" si="6"/>
        <v>227297.52520811796</v>
      </c>
      <c r="C106" s="59">
        <f t="shared" si="5"/>
        <v>-50000</v>
      </c>
      <c r="D106" s="59">
        <f t="shared" si="3"/>
        <v>8864.8762604058993</v>
      </c>
      <c r="E106" s="178">
        <f t="shared" si="4"/>
        <v>186162.40146852387</v>
      </c>
      <c r="F106" s="60"/>
    </row>
    <row r="107" spans="1:6" customFormat="1">
      <c r="A107" s="177" t="s">
        <v>81</v>
      </c>
      <c r="B107" s="59">
        <f t="shared" si="6"/>
        <v>186162.40146852387</v>
      </c>
      <c r="C107" s="59">
        <f t="shared" si="5"/>
        <v>-50000</v>
      </c>
      <c r="D107" s="59">
        <f t="shared" si="3"/>
        <v>6808.1200734261938</v>
      </c>
      <c r="E107" s="178">
        <f t="shared" si="4"/>
        <v>142970.52154195006</v>
      </c>
    </row>
    <row r="108" spans="1:6" customFormat="1">
      <c r="A108" s="177" t="s">
        <v>82</v>
      </c>
      <c r="B108" s="59">
        <f t="shared" si="6"/>
        <v>142970.52154195006</v>
      </c>
      <c r="C108" s="59">
        <f t="shared" si="5"/>
        <v>-50000</v>
      </c>
      <c r="D108" s="59">
        <f t="shared" si="3"/>
        <v>4648.5260770975028</v>
      </c>
      <c r="E108" s="178">
        <f t="shared" si="4"/>
        <v>97619.047619047575</v>
      </c>
    </row>
    <row r="109" spans="1:6" customFormat="1">
      <c r="A109" s="177" t="s">
        <v>83</v>
      </c>
      <c r="B109" s="59">
        <f t="shared" si="6"/>
        <v>97619.047619047575</v>
      </c>
      <c r="C109" s="59">
        <f t="shared" si="5"/>
        <v>-50000</v>
      </c>
      <c r="D109" s="59">
        <f t="shared" si="3"/>
        <v>2380.9523809523789</v>
      </c>
      <c r="E109" s="178">
        <f t="shared" si="4"/>
        <v>49999.999999999956</v>
      </c>
    </row>
    <row r="110" spans="1:6" customFormat="1">
      <c r="A110" s="179" t="s">
        <v>84</v>
      </c>
      <c r="B110" s="180">
        <f t="shared" si="6"/>
        <v>49999.999999999956</v>
      </c>
      <c r="C110" s="180">
        <f t="shared" si="5"/>
        <v>-50000</v>
      </c>
      <c r="D110" s="180">
        <f t="shared" si="3"/>
        <v>0</v>
      </c>
      <c r="E110" s="181">
        <f t="shared" si="4"/>
        <v>0</v>
      </c>
    </row>
    <row r="111" spans="1:6">
      <c r="A111" s="40"/>
    </row>
    <row r="112" spans="1:6">
      <c r="A112" s="237" t="s">
        <v>85</v>
      </c>
    </row>
    <row r="113" spans="1:8">
      <c r="A113" s="40"/>
    </row>
    <row r="114" spans="1:8">
      <c r="A114" s="7" t="s">
        <v>86</v>
      </c>
      <c r="C114" s="20"/>
      <c r="D114" s="21"/>
      <c r="E114" s="1"/>
    </row>
    <row r="115" spans="1:8">
      <c r="A115" s="7" t="s">
        <v>87</v>
      </c>
      <c r="C115" s="20"/>
      <c r="D115" s="21"/>
      <c r="E115" s="1"/>
    </row>
    <row r="116" spans="1:8">
      <c r="A116" s="19"/>
      <c r="C116" s="20"/>
      <c r="D116" s="21"/>
      <c r="E116" s="1"/>
    </row>
    <row r="117" spans="1:8">
      <c r="A117" s="125" t="s">
        <v>88</v>
      </c>
      <c r="B117" s="126"/>
      <c r="C117" s="145"/>
      <c r="D117" s="22"/>
      <c r="E117" s="1"/>
    </row>
    <row r="118" spans="1:8">
      <c r="A118" s="154">
        <v>20000</v>
      </c>
      <c r="B118" s="147" t="s">
        <v>89</v>
      </c>
      <c r="C118" s="148"/>
      <c r="D118" s="245" t="s">
        <v>90</v>
      </c>
      <c r="E118" s="1"/>
    </row>
    <row r="119" spans="1:8">
      <c r="A119" s="155">
        <v>50000</v>
      </c>
      <c r="B119" s="140" t="s">
        <v>91</v>
      </c>
      <c r="C119" s="153"/>
      <c r="D119" s="245" t="s">
        <v>92</v>
      </c>
      <c r="E119" s="1"/>
    </row>
    <row r="121" spans="1:8" customFormat="1">
      <c r="A121" s="2" t="s">
        <v>93</v>
      </c>
      <c r="B121" s="59"/>
      <c r="C121" s="59"/>
      <c r="D121" s="59"/>
      <c r="E121" s="59"/>
    </row>
    <row r="122" spans="1:8" customFormat="1">
      <c r="A122" s="2" t="s">
        <v>94</v>
      </c>
      <c r="B122" s="59"/>
      <c r="C122" s="59"/>
      <c r="D122" s="59"/>
      <c r="E122" s="59"/>
    </row>
    <row r="123" spans="1:8" customFormat="1">
      <c r="A123" s="2" t="s">
        <v>95</v>
      </c>
      <c r="B123" s="59"/>
      <c r="C123" s="59"/>
      <c r="D123" s="59"/>
      <c r="E123" s="59"/>
    </row>
    <row r="124" spans="1:8" customFormat="1">
      <c r="A124" s="4"/>
      <c r="B124" s="55"/>
      <c r="C124" s="61"/>
      <c r="D124" s="4"/>
      <c r="H124" s="2"/>
    </row>
    <row r="125" spans="1:8" customFormat="1">
      <c r="A125" s="182" t="s">
        <v>96</v>
      </c>
      <c r="B125" s="128"/>
      <c r="C125" s="183"/>
      <c r="D125" s="128"/>
      <c r="E125" s="184"/>
      <c r="H125" s="2"/>
    </row>
    <row r="126" spans="1:8" customFormat="1">
      <c r="A126" s="258">
        <f>SUM(A98,A118,A119)</f>
        <v>425391.08378220262</v>
      </c>
      <c r="B126" s="185" t="s">
        <v>97</v>
      </c>
      <c r="C126" s="170"/>
      <c r="D126" s="170"/>
      <c r="E126" s="171"/>
      <c r="H126" s="2"/>
    </row>
    <row r="127" spans="1:8" customFormat="1">
      <c r="A127" s="186"/>
      <c r="E127" s="173"/>
      <c r="H127" s="2"/>
    </row>
    <row r="128" spans="1:8" customFormat="1">
      <c r="A128" s="186" t="s">
        <v>70</v>
      </c>
      <c r="B128" s="58" t="s">
        <v>98</v>
      </c>
      <c r="C128" t="s">
        <v>99</v>
      </c>
      <c r="D128" t="s">
        <v>100</v>
      </c>
      <c r="E128" s="187" t="s">
        <v>101</v>
      </c>
      <c r="H128" s="2"/>
    </row>
    <row r="129" spans="1:9" customFormat="1">
      <c r="A129" s="177" t="s">
        <v>75</v>
      </c>
      <c r="B129" s="60">
        <f>A126</f>
        <v>425391.08378220262</v>
      </c>
      <c r="C129" s="60">
        <f t="shared" ref="C129:C138" si="7">-$A$126*10%</f>
        <v>-42539.108378220262</v>
      </c>
      <c r="D129" s="60">
        <f t="shared" ref="D129:D138" si="8">SUM(B129:C129)</f>
        <v>382851.97540398233</v>
      </c>
      <c r="E129" s="188">
        <f>D129-E101</f>
        <v>9691.3374326695921</v>
      </c>
      <c r="H129" s="2"/>
    </row>
    <row r="130" spans="1:9" customFormat="1">
      <c r="A130" s="177" t="s">
        <v>76</v>
      </c>
      <c r="B130" s="60">
        <f t="shared" ref="B130:B138" si="9">D129</f>
        <v>382851.97540398233</v>
      </c>
      <c r="C130" s="60">
        <f t="shared" si="7"/>
        <v>-42539.108378220262</v>
      </c>
      <c r="D130" s="60">
        <f t="shared" si="8"/>
        <v>340312.8670257621</v>
      </c>
      <c r="E130" s="188">
        <f>D130-E102</f>
        <v>994.19715588371037</v>
      </c>
      <c r="H130" s="2"/>
    </row>
    <row r="131" spans="1:9" customFormat="1">
      <c r="A131" s="177" t="s">
        <v>77</v>
      </c>
      <c r="B131" s="60">
        <f t="shared" si="9"/>
        <v>340312.8670257621</v>
      </c>
      <c r="C131" s="60">
        <f t="shared" si="7"/>
        <v>-42539.108378220262</v>
      </c>
      <c r="D131" s="60">
        <f t="shared" si="8"/>
        <v>297773.75864754186</v>
      </c>
      <c r="E131" s="188">
        <f>D131-E103</f>
        <v>-6010.8447158304625</v>
      </c>
      <c r="H131" s="2"/>
    </row>
    <row r="132" spans="1:9" customFormat="1">
      <c r="A132" s="177" t="s">
        <v>78</v>
      </c>
      <c r="B132" s="60">
        <f t="shared" si="9"/>
        <v>297773.75864754186</v>
      </c>
      <c r="C132" s="60">
        <f t="shared" si="7"/>
        <v>-42539.108378220262</v>
      </c>
      <c r="D132" s="60">
        <f t="shared" si="8"/>
        <v>255234.6502693216</v>
      </c>
      <c r="E132" s="188">
        <f>D132-E104</f>
        <v>-11239.183262219332</v>
      </c>
      <c r="H132" s="2"/>
    </row>
    <row r="133" spans="1:9" customFormat="1">
      <c r="A133" s="177" t="s">
        <v>79</v>
      </c>
      <c r="B133" s="60">
        <f t="shared" si="9"/>
        <v>255234.6502693216</v>
      </c>
      <c r="C133" s="60">
        <f t="shared" si="7"/>
        <v>-42539.108378220262</v>
      </c>
      <c r="D133" s="60">
        <f t="shared" si="8"/>
        <v>212695.54189110134</v>
      </c>
      <c r="E133" s="188">
        <f>D133-E105</f>
        <v>-14601.983317016624</v>
      </c>
      <c r="H133" s="2"/>
    </row>
    <row r="134" spans="1:9" customFormat="1">
      <c r="A134" s="177" t="s">
        <v>80</v>
      </c>
      <c r="B134" s="60">
        <f t="shared" si="9"/>
        <v>212695.54189110134</v>
      </c>
      <c r="C134" s="60">
        <f t="shared" si="7"/>
        <v>-42539.108378220262</v>
      </c>
      <c r="D134" s="60">
        <f t="shared" si="8"/>
        <v>170156.43351288108</v>
      </c>
      <c r="E134" s="188">
        <f>D134-E106</f>
        <v>-16005.967955642787</v>
      </c>
      <c r="G134" s="82" t="s">
        <v>102</v>
      </c>
      <c r="H134" s="83"/>
      <c r="I134" s="84"/>
    </row>
    <row r="135" spans="1:9" customFormat="1">
      <c r="A135" s="177" t="s">
        <v>81</v>
      </c>
      <c r="B135" s="60">
        <f t="shared" si="9"/>
        <v>170156.43351288108</v>
      </c>
      <c r="C135" s="60">
        <f t="shared" si="7"/>
        <v>-42539.108378220262</v>
      </c>
      <c r="D135" s="60">
        <f t="shared" si="8"/>
        <v>127617.32513466082</v>
      </c>
      <c r="E135" s="188">
        <f>D135-E107</f>
        <v>-15353.196407289244</v>
      </c>
      <c r="G135" s="191">
        <f>SUM(B79:B87)+A118+A119</f>
        <v>520000</v>
      </c>
      <c r="H135" s="192" t="s">
        <v>103</v>
      </c>
      <c r="I135" s="193"/>
    </row>
    <row r="136" spans="1:9" customFormat="1">
      <c r="A136" s="177" t="s">
        <v>82</v>
      </c>
      <c r="B136" s="60">
        <f t="shared" si="9"/>
        <v>127617.32513466082</v>
      </c>
      <c r="C136" s="60">
        <f t="shared" si="7"/>
        <v>-42539.108378220262</v>
      </c>
      <c r="D136" s="60">
        <f t="shared" si="8"/>
        <v>85078.216756440554</v>
      </c>
      <c r="E136" s="188">
        <f>D136-E108</f>
        <v>-12540.830862607021</v>
      </c>
      <c r="G136" s="194">
        <f>-SUM(C129:C138)</f>
        <v>425391.08378220256</v>
      </c>
      <c r="H136" s="85" t="s">
        <v>104</v>
      </c>
      <c r="I136" s="195"/>
    </row>
    <row r="137" spans="1:9" customFormat="1">
      <c r="A137" s="177" t="s">
        <v>83</v>
      </c>
      <c r="B137" s="60">
        <f t="shared" si="9"/>
        <v>85078.216756440554</v>
      </c>
      <c r="C137" s="60">
        <f t="shared" si="7"/>
        <v>-42539.108378220262</v>
      </c>
      <c r="D137" s="60">
        <f t="shared" si="8"/>
        <v>42539.108378220291</v>
      </c>
      <c r="E137" s="188">
        <f>D137-E109</f>
        <v>-7460.891621779665</v>
      </c>
      <c r="G137" s="194">
        <f>SUM(D101:D110)</f>
        <v>94608.916217797319</v>
      </c>
      <c r="H137" s="85" t="s">
        <v>105</v>
      </c>
      <c r="I137" s="195"/>
    </row>
    <row r="138" spans="1:9" customFormat="1">
      <c r="A138" s="179" t="s">
        <v>84</v>
      </c>
      <c r="B138" s="189">
        <f t="shared" si="9"/>
        <v>42539.108378220291</v>
      </c>
      <c r="C138" s="189">
        <f t="shared" si="7"/>
        <v>-42539.108378220262</v>
      </c>
      <c r="D138" s="189">
        <f t="shared" si="8"/>
        <v>0</v>
      </c>
      <c r="E138" s="190">
        <f>D138-E110</f>
        <v>0</v>
      </c>
      <c r="G138" s="191">
        <f>SUM(G136:G137)</f>
        <v>519999.99999999988</v>
      </c>
      <c r="H138" s="196" t="s">
        <v>106</v>
      </c>
      <c r="I138" s="197"/>
    </row>
    <row r="141" spans="1:9">
      <c r="A141" s="234" t="s">
        <v>21</v>
      </c>
      <c r="B141" s="244"/>
    </row>
    <row r="143" spans="1:9">
      <c r="A143" s="237" t="s">
        <v>22</v>
      </c>
    </row>
    <row r="145" spans="1:10" customFormat="1">
      <c r="A145" s="2" t="s">
        <v>107</v>
      </c>
      <c r="B145" s="55"/>
      <c r="C145" s="61"/>
      <c r="D145" s="4"/>
      <c r="H145" s="2"/>
    </row>
    <row r="146" spans="1:10" customFormat="1">
      <c r="A146" s="2" t="s">
        <v>108</v>
      </c>
      <c r="B146" s="55"/>
      <c r="C146" s="61"/>
      <c r="D146" s="4"/>
      <c r="H146" s="2"/>
    </row>
    <row r="147" spans="1:10" customFormat="1">
      <c r="B147" s="4"/>
      <c r="C147" s="4"/>
      <c r="D147" s="55"/>
      <c r="E147" s="61"/>
      <c r="F147" s="4"/>
      <c r="G147" s="60"/>
      <c r="J147" s="2"/>
    </row>
    <row r="148" spans="1:10" customFormat="1">
      <c r="A148" s="198" t="s">
        <v>109</v>
      </c>
      <c r="B148" s="126"/>
      <c r="C148" s="126"/>
      <c r="D148" s="127"/>
      <c r="E148" s="199"/>
      <c r="F148" s="4"/>
      <c r="G148" s="60"/>
      <c r="J148" s="2"/>
    </row>
    <row r="149" spans="1:10" customFormat="1">
      <c r="A149" s="200"/>
      <c r="B149" s="4"/>
      <c r="C149" s="4"/>
      <c r="D149" s="55"/>
      <c r="E149" s="201"/>
      <c r="F149" s="4"/>
      <c r="G149" s="60"/>
      <c r="J149" s="2"/>
    </row>
    <row r="150" spans="1:10" customFormat="1">
      <c r="A150" s="200"/>
      <c r="B150" s="5" t="s">
        <v>110</v>
      </c>
      <c r="C150" s="5" t="s">
        <v>111</v>
      </c>
      <c r="D150" s="76" t="s">
        <v>112</v>
      </c>
      <c r="E150" s="202" t="s">
        <v>113</v>
      </c>
      <c r="F150" s="4"/>
      <c r="G150" s="60"/>
      <c r="J150" s="2"/>
    </row>
    <row r="151" spans="1:10" customFormat="1">
      <c r="A151" s="200">
        <v>0</v>
      </c>
      <c r="B151" s="75">
        <v>60000</v>
      </c>
      <c r="C151" s="69">
        <v>46844</v>
      </c>
      <c r="D151" s="20">
        <f>1/(1+$C$64)^A151</f>
        <v>1</v>
      </c>
      <c r="E151" s="201">
        <f>B151*D151</f>
        <v>60000</v>
      </c>
      <c r="F151" s="4"/>
      <c r="G151" s="60"/>
      <c r="J151" s="2"/>
    </row>
    <row r="152" spans="1:10" customFormat="1">
      <c r="A152" s="200">
        <v>1</v>
      </c>
      <c r="B152" s="75">
        <v>60000</v>
      </c>
      <c r="C152" s="69">
        <v>47209</v>
      </c>
      <c r="D152" s="20">
        <f>1/(1+$C$64)^A152</f>
        <v>0.95238095238095233</v>
      </c>
      <c r="E152" s="201">
        <f t="shared" ref="E152:E154" si="10">B152*D152</f>
        <v>57142.857142857138</v>
      </c>
      <c r="F152" s="4"/>
      <c r="G152" s="60"/>
      <c r="J152" s="2"/>
    </row>
    <row r="153" spans="1:10" customFormat="1">
      <c r="A153" s="200">
        <v>2</v>
      </c>
      <c r="B153" s="75">
        <v>60000</v>
      </c>
      <c r="C153" s="69">
        <v>47574</v>
      </c>
      <c r="D153" s="20">
        <f>1/(1+$C$64)^A153</f>
        <v>0.90702947845804982</v>
      </c>
      <c r="E153" s="201">
        <f t="shared" si="10"/>
        <v>54421.768707482988</v>
      </c>
      <c r="F153" s="4"/>
      <c r="G153" s="60"/>
      <c r="J153" s="2"/>
    </row>
    <row r="154" spans="1:10" customFormat="1">
      <c r="A154" s="200">
        <v>3</v>
      </c>
      <c r="B154" s="75">
        <v>60000</v>
      </c>
      <c r="C154" s="69">
        <v>47939</v>
      </c>
      <c r="D154" s="20">
        <f>1/(1+$C$64)^A154</f>
        <v>0.86383759853147601</v>
      </c>
      <c r="E154" s="203">
        <f t="shared" si="10"/>
        <v>51830.255911888562</v>
      </c>
      <c r="F154" s="4"/>
      <c r="G154" s="60"/>
      <c r="J154" s="2"/>
    </row>
    <row r="155" spans="1:10" customFormat="1">
      <c r="A155" s="204"/>
      <c r="B155" s="205"/>
      <c r="C155" s="205"/>
      <c r="D155" s="206"/>
      <c r="E155" s="207">
        <f>SUM(E151:E154)</f>
        <v>223394.88176222867</v>
      </c>
      <c r="F155" s="4"/>
      <c r="G155" s="60"/>
      <c r="J155" s="2"/>
    </row>
    <row r="157" spans="1:10">
      <c r="A157" s="237" t="s">
        <v>24</v>
      </c>
    </row>
    <row r="159" spans="1:10" customFormat="1">
      <c r="A159" s="168" t="s">
        <v>114</v>
      </c>
      <c r="B159" s="128"/>
      <c r="C159" s="128"/>
      <c r="D159" s="208"/>
      <c r="E159" s="184"/>
      <c r="F159" s="1"/>
      <c r="G159" s="60"/>
      <c r="J159" s="2"/>
    </row>
    <row r="160" spans="1:10" customFormat="1">
      <c r="A160" s="161"/>
      <c r="B160" s="1"/>
      <c r="C160" s="1"/>
      <c r="D160" s="1"/>
      <c r="E160" s="209"/>
      <c r="F160" s="1"/>
      <c r="G160" s="60"/>
      <c r="J160" s="2"/>
    </row>
    <row r="161" spans="1:10" customFormat="1">
      <c r="A161" s="175" t="s">
        <v>70</v>
      </c>
      <c r="B161" s="56" t="s">
        <v>71</v>
      </c>
      <c r="C161" s="57" t="s">
        <v>72</v>
      </c>
      <c r="D161" s="57" t="s">
        <v>115</v>
      </c>
      <c r="E161" s="176" t="s">
        <v>74</v>
      </c>
      <c r="F161" s="1"/>
      <c r="G161" s="60"/>
      <c r="J161" s="2"/>
    </row>
    <row r="162" spans="1:10" customFormat="1">
      <c r="A162" s="177" t="s">
        <v>81</v>
      </c>
      <c r="B162" s="77">
        <f>E155</f>
        <v>223394.88176222867</v>
      </c>
      <c r="C162" s="77">
        <v>-60000</v>
      </c>
      <c r="D162" s="77">
        <f>(B162+C162)*$C$64</f>
        <v>8169.7440881114344</v>
      </c>
      <c r="E162" s="210">
        <f>B162+C162+D162</f>
        <v>171564.62585034012</v>
      </c>
      <c r="F162" s="77"/>
      <c r="G162" s="60"/>
      <c r="J162" s="2"/>
    </row>
    <row r="163" spans="1:10" customFormat="1">
      <c r="A163" s="177" t="s">
        <v>82</v>
      </c>
      <c r="B163" s="77">
        <f>E162</f>
        <v>171564.62585034012</v>
      </c>
      <c r="C163" s="77">
        <v>-60000</v>
      </c>
      <c r="D163" s="77">
        <f t="shared" ref="D163:D165" si="11">(B163+C163)*$C$64</f>
        <v>5578.2312925170063</v>
      </c>
      <c r="E163" s="210">
        <f t="shared" ref="E163:E165" si="12">B163+C163+D163</f>
        <v>117142.85714285713</v>
      </c>
      <c r="F163" s="77"/>
      <c r="G163" s="60"/>
      <c r="J163" s="2"/>
    </row>
    <row r="164" spans="1:10" customFormat="1">
      <c r="A164" s="177" t="s">
        <v>83</v>
      </c>
      <c r="B164" s="77">
        <f>E163</f>
        <v>117142.85714285713</v>
      </c>
      <c r="C164" s="77">
        <v>-60000</v>
      </c>
      <c r="D164" s="77">
        <f t="shared" si="11"/>
        <v>2857.1428571428569</v>
      </c>
      <c r="E164" s="210">
        <f t="shared" si="12"/>
        <v>59999.999999999985</v>
      </c>
      <c r="F164" s="77"/>
      <c r="G164" s="60"/>
      <c r="J164" s="2"/>
    </row>
    <row r="165" spans="1:10" customFormat="1">
      <c r="A165" s="179" t="s">
        <v>84</v>
      </c>
      <c r="B165" s="77">
        <f>E164</f>
        <v>59999.999999999985</v>
      </c>
      <c r="C165" s="77">
        <v>-60000</v>
      </c>
      <c r="D165" s="77">
        <f t="shared" si="11"/>
        <v>-7.2759576141834263E-13</v>
      </c>
      <c r="E165" s="210">
        <f t="shared" si="12"/>
        <v>-1.5279510989785195E-11</v>
      </c>
      <c r="F165" s="77"/>
      <c r="G165" s="60"/>
      <c r="J165" s="2"/>
    </row>
    <row r="166" spans="1:10" customFormat="1">
      <c r="A166" s="164"/>
      <c r="B166" s="143"/>
      <c r="C166" s="211"/>
      <c r="D166" s="211"/>
      <c r="E166" s="212"/>
      <c r="F166" s="77"/>
      <c r="J166" s="2"/>
    </row>
    <row r="168" spans="1:10">
      <c r="A168" s="237" t="s">
        <v>26</v>
      </c>
    </row>
    <row r="169" spans="1:10">
      <c r="A169" s="40"/>
    </row>
    <row r="170" spans="1:10">
      <c r="A170" s="70" t="s">
        <v>116</v>
      </c>
      <c r="B170" s="7"/>
    </row>
    <row r="171" spans="1:10">
      <c r="A171" s="70" t="s">
        <v>117</v>
      </c>
      <c r="B171" s="7"/>
    </row>
    <row r="173" spans="1:10" customFormat="1">
      <c r="A173" s="54" t="s">
        <v>118</v>
      </c>
      <c r="B173" s="5"/>
      <c r="C173" s="5"/>
      <c r="D173" s="55"/>
      <c r="E173" s="61"/>
      <c r="F173" s="4"/>
      <c r="G173" s="60"/>
      <c r="J173" s="2"/>
    </row>
    <row r="174" spans="1:10" customFormat="1">
      <c r="A174" s="4" t="s">
        <v>119</v>
      </c>
      <c r="B174" s="4" t="s">
        <v>120</v>
      </c>
      <c r="C174" s="4"/>
      <c r="D174" s="55"/>
      <c r="E174" s="61"/>
      <c r="F174" s="4"/>
      <c r="G174" s="60"/>
      <c r="J174" s="2"/>
    </row>
    <row r="175" spans="1:10" customFormat="1">
      <c r="A175" s="61">
        <f>E155-B107</f>
        <v>37232.480293704808</v>
      </c>
      <c r="B175" s="4"/>
      <c r="C175" s="4" t="s">
        <v>121</v>
      </c>
      <c r="D175" s="55"/>
      <c r="E175" s="61"/>
      <c r="F175" s="4"/>
      <c r="G175" s="60"/>
      <c r="J175" s="2"/>
    </row>
    <row r="176" spans="1:10" customFormat="1">
      <c r="B176" s="61">
        <f>A175</f>
        <v>37232.480293704808</v>
      </c>
      <c r="C176" s="4" t="s">
        <v>122</v>
      </c>
      <c r="D176" s="55"/>
      <c r="E176" s="61"/>
      <c r="F176" s="4"/>
      <c r="G176" s="60"/>
      <c r="J176" s="2"/>
    </row>
    <row r="178" spans="1:10" customFormat="1">
      <c r="A178" t="s">
        <v>123</v>
      </c>
      <c r="B178" s="60"/>
      <c r="C178" s="4"/>
      <c r="D178" s="55"/>
      <c r="E178" s="61"/>
      <c r="F178" s="4"/>
      <c r="G178" s="60"/>
      <c r="J178" s="2"/>
    </row>
    <row r="179" spans="1:10" customFormat="1">
      <c r="A179" t="s">
        <v>124</v>
      </c>
      <c r="B179" s="60"/>
      <c r="C179" s="4"/>
      <c r="D179" s="55"/>
      <c r="E179" s="61"/>
      <c r="F179" s="4"/>
      <c r="G179" s="60"/>
      <c r="J179" s="2"/>
    </row>
    <row r="181" spans="1:10" customFormat="1">
      <c r="A181" s="182" t="s">
        <v>125</v>
      </c>
      <c r="B181" s="128"/>
      <c r="C181" s="183"/>
      <c r="D181" s="128"/>
      <c r="E181" s="184"/>
      <c r="F181" s="4"/>
      <c r="J181" s="2"/>
    </row>
    <row r="182" spans="1:10" customFormat="1">
      <c r="A182" s="172">
        <f>D134+A175</f>
        <v>207388.91380658589</v>
      </c>
      <c r="B182" s="54"/>
      <c r="E182" s="173"/>
      <c r="F182" s="4"/>
      <c r="G182" s="60"/>
      <c r="J182" s="2"/>
    </row>
    <row r="183" spans="1:10" customFormat="1">
      <c r="A183" s="186"/>
      <c r="E183" s="173"/>
      <c r="F183" s="4"/>
      <c r="G183" s="60"/>
      <c r="J183" s="2"/>
    </row>
    <row r="184" spans="1:10" customFormat="1">
      <c r="A184" s="186" t="s">
        <v>70</v>
      </c>
      <c r="B184" s="58" t="s">
        <v>98</v>
      </c>
      <c r="C184" s="89" t="s">
        <v>99</v>
      </c>
      <c r="D184" t="s">
        <v>100</v>
      </c>
      <c r="E184" s="187" t="s">
        <v>101</v>
      </c>
      <c r="F184" s="4"/>
      <c r="G184" s="78" t="s">
        <v>102</v>
      </c>
      <c r="H184" s="79"/>
      <c r="I184" s="80"/>
      <c r="J184" s="2"/>
    </row>
    <row r="185" spans="1:10" customFormat="1">
      <c r="A185" s="177" t="s">
        <v>81</v>
      </c>
      <c r="B185" s="60">
        <f>D134+A175</f>
        <v>207388.91380658589</v>
      </c>
      <c r="C185" s="60">
        <f>-$A$182/4</f>
        <v>-51847.228451646472</v>
      </c>
      <c r="D185" s="60">
        <f t="shared" ref="D185:D188" si="13">SUM(B185:C185)</f>
        <v>155541.68535493943</v>
      </c>
      <c r="E185" s="188">
        <f>D185-E162</f>
        <v>-16022.94049540069</v>
      </c>
      <c r="F185" s="4"/>
      <c r="G185" s="213">
        <f>-SUM(C102:C106,C162:C165)+A118+A119</f>
        <v>560000</v>
      </c>
      <c r="H185" s="214" t="s">
        <v>103</v>
      </c>
      <c r="I185" s="215"/>
      <c r="J185" s="2"/>
    </row>
    <row r="186" spans="1:10" customFormat="1">
      <c r="A186" s="177" t="s">
        <v>82</v>
      </c>
      <c r="B186" s="60">
        <f t="shared" ref="B186:B188" si="14">D185</f>
        <v>155541.68535493943</v>
      </c>
      <c r="C186" s="60">
        <f>-$A$182/4</f>
        <v>-51847.228451646472</v>
      </c>
      <c r="D186" s="60">
        <f t="shared" si="13"/>
        <v>103694.45690329296</v>
      </c>
      <c r="E186" s="188">
        <f>D186-E163</f>
        <v>-13448.400239564173</v>
      </c>
      <c r="F186" s="4"/>
      <c r="G186" s="216">
        <f>-SUM(C129:C134,C185:C188)</f>
        <v>462623.5640759074</v>
      </c>
      <c r="H186" s="81" t="s">
        <v>104</v>
      </c>
      <c r="I186" s="187"/>
      <c r="J186" s="2"/>
    </row>
    <row r="187" spans="1:10" customFormat="1">
      <c r="A187" s="177" t="s">
        <v>83</v>
      </c>
      <c r="B187" s="60">
        <f t="shared" si="14"/>
        <v>103694.45690329296</v>
      </c>
      <c r="C187" s="60">
        <f>-$A$182/4</f>
        <v>-51847.228451646472</v>
      </c>
      <c r="D187" s="60">
        <f t="shared" si="13"/>
        <v>51847.228451646486</v>
      </c>
      <c r="E187" s="188">
        <f>D187-E164</f>
        <v>-8152.7715483534994</v>
      </c>
      <c r="F187" s="4"/>
      <c r="G187" s="216">
        <f>SUM(D101:D106,D162:D165)</f>
        <v>97376.435924092541</v>
      </c>
      <c r="H187" s="81" t="s">
        <v>105</v>
      </c>
      <c r="I187" s="187"/>
      <c r="J187" s="2"/>
    </row>
    <row r="188" spans="1:10" customFormat="1">
      <c r="A188" s="179" t="s">
        <v>84</v>
      </c>
      <c r="B188" s="189">
        <f t="shared" si="14"/>
        <v>51847.228451646486</v>
      </c>
      <c r="C188" s="189">
        <f>-$A$182/4</f>
        <v>-51847.228451646472</v>
      </c>
      <c r="D188" s="189">
        <f t="shared" si="13"/>
        <v>0</v>
      </c>
      <c r="E188" s="190">
        <f>D188-E165</f>
        <v>1.5279510989785195E-11</v>
      </c>
      <c r="F188" s="4"/>
      <c r="G188" s="213">
        <f>SUM(G186:G187)</f>
        <v>560000</v>
      </c>
      <c r="H188" s="217" t="s">
        <v>106</v>
      </c>
      <c r="I188" s="218"/>
      <c r="J188" s="2"/>
    </row>
    <row r="190" spans="1:10">
      <c r="A190" s="237" t="s">
        <v>29</v>
      </c>
    </row>
    <row r="192" spans="1:10">
      <c r="A192" s="70" t="s">
        <v>126</v>
      </c>
      <c r="B192" s="7"/>
    </row>
    <row r="193" spans="1:12">
      <c r="A193" s="70" t="s">
        <v>127</v>
      </c>
      <c r="B193" s="7"/>
    </row>
    <row r="194" spans="1:12">
      <c r="A194" s="70" t="s">
        <v>128</v>
      </c>
      <c r="B194" s="7"/>
    </row>
    <row r="195" spans="1:12">
      <c r="E195" s="1"/>
    </row>
    <row r="196" spans="1:12">
      <c r="A196" s="125" t="s">
        <v>129</v>
      </c>
      <c r="B196" s="126"/>
      <c r="C196" s="145"/>
      <c r="D196" s="21"/>
      <c r="E196" s="1"/>
    </row>
    <row r="197" spans="1:12">
      <c r="A197" s="146">
        <v>5000000</v>
      </c>
      <c r="B197" s="147" t="s">
        <v>130</v>
      </c>
      <c r="C197" s="148"/>
      <c r="D197" s="21"/>
      <c r="E197" s="1"/>
    </row>
    <row r="198" spans="1:12">
      <c r="A198" s="149">
        <v>-2000000</v>
      </c>
      <c r="B198" s="7" t="s">
        <v>131</v>
      </c>
      <c r="C198" s="150"/>
      <c r="D198" s="21"/>
      <c r="E198" s="1"/>
    </row>
    <row r="199" spans="1:12">
      <c r="A199" s="151">
        <v>3000000</v>
      </c>
      <c r="B199" s="7" t="s">
        <v>132</v>
      </c>
      <c r="C199" s="150"/>
      <c r="D199" s="21"/>
      <c r="E199" s="1"/>
    </row>
    <row r="200" spans="1:12">
      <c r="A200" s="152">
        <v>100000</v>
      </c>
      <c r="B200" s="140" t="s">
        <v>133</v>
      </c>
      <c r="C200" s="153"/>
      <c r="D200" s="21"/>
      <c r="E200" s="1"/>
    </row>
    <row r="201" spans="1:12">
      <c r="A201" s="19"/>
      <c r="C201" s="20"/>
      <c r="D201" s="21"/>
      <c r="E201" s="1"/>
    </row>
    <row r="202" spans="1:12" customFormat="1">
      <c r="A202" s="168" t="s">
        <v>134</v>
      </c>
      <c r="B202" s="126"/>
      <c r="C202" s="126"/>
      <c r="D202" s="127"/>
      <c r="E202" s="126"/>
      <c r="F202" s="126"/>
      <c r="G202" s="184"/>
      <c r="H202" s="62"/>
      <c r="I202" s="63"/>
      <c r="J202" s="62"/>
      <c r="K202" s="63"/>
      <c r="L202" s="64"/>
    </row>
    <row r="203" spans="1:12" customFormat="1" ht="29.85" customHeight="1">
      <c r="A203" s="175" t="s">
        <v>70</v>
      </c>
      <c r="B203" s="5" t="s">
        <v>71</v>
      </c>
      <c r="C203" s="5" t="s">
        <v>135</v>
      </c>
      <c r="D203" s="259" t="s">
        <v>136</v>
      </c>
      <c r="E203" s="260" t="s">
        <v>137</v>
      </c>
      <c r="F203" s="3" t="s">
        <v>138</v>
      </c>
      <c r="G203" s="173"/>
      <c r="H203" s="64"/>
      <c r="I203" s="64"/>
      <c r="J203" s="65"/>
      <c r="K203" s="64"/>
      <c r="L203" s="64"/>
    </row>
    <row r="204" spans="1:12" customFormat="1">
      <c r="A204" s="177" t="s">
        <v>75</v>
      </c>
      <c r="B204" s="71">
        <f>A199</f>
        <v>3000000</v>
      </c>
      <c r="C204" s="61">
        <f t="shared" ref="C204:C213" si="15">-$A$200</f>
        <v>-100000</v>
      </c>
      <c r="D204" s="71">
        <v>5000</v>
      </c>
      <c r="E204" s="61">
        <f t="shared" ref="E204:E213" si="16">-$D$204/10</f>
        <v>-500</v>
      </c>
      <c r="F204" s="71">
        <f>B204+C204+D204+E204</f>
        <v>2904500</v>
      </c>
      <c r="G204" s="173"/>
      <c r="H204" s="64"/>
      <c r="I204" s="64"/>
      <c r="J204" s="65"/>
      <c r="K204" s="64"/>
      <c r="L204" s="64"/>
    </row>
    <row r="205" spans="1:12" customFormat="1">
      <c r="A205" s="177" t="s">
        <v>76</v>
      </c>
      <c r="B205" s="71">
        <f>F204</f>
        <v>2904500</v>
      </c>
      <c r="C205" s="61">
        <f t="shared" si="15"/>
        <v>-100000</v>
      </c>
      <c r="D205" s="55"/>
      <c r="E205" s="61">
        <f t="shared" si="16"/>
        <v>-500</v>
      </c>
      <c r="F205" s="71">
        <f t="shared" ref="F205:F213" si="17">B205+C205+D205+E205</f>
        <v>2804000</v>
      </c>
      <c r="G205" s="173"/>
      <c r="H205" s="66"/>
      <c r="I205" s="64"/>
      <c r="J205" s="67"/>
      <c r="K205" s="64"/>
      <c r="L205" s="64"/>
    </row>
    <row r="206" spans="1:12" customFormat="1">
      <c r="A206" s="177" t="s">
        <v>77</v>
      </c>
      <c r="B206" s="71">
        <f t="shared" ref="B206:B213" si="18">F205</f>
        <v>2804000</v>
      </c>
      <c r="C206" s="61">
        <f t="shared" si="15"/>
        <v>-100000</v>
      </c>
      <c r="D206" s="55"/>
      <c r="E206" s="61">
        <f t="shared" si="16"/>
        <v>-500</v>
      </c>
      <c r="F206" s="71">
        <f t="shared" si="17"/>
        <v>2703500</v>
      </c>
      <c r="G206" s="173"/>
      <c r="H206" s="66"/>
      <c r="I206" s="64"/>
      <c r="J206" s="67"/>
      <c r="K206" s="64"/>
      <c r="L206" s="64"/>
    </row>
    <row r="207" spans="1:12" customFormat="1">
      <c r="A207" s="177" t="s">
        <v>78</v>
      </c>
      <c r="B207" s="71">
        <f t="shared" si="18"/>
        <v>2703500</v>
      </c>
      <c r="C207" s="61">
        <f t="shared" si="15"/>
        <v>-100000</v>
      </c>
      <c r="D207" s="55"/>
      <c r="E207" s="61">
        <f t="shared" si="16"/>
        <v>-500</v>
      </c>
      <c r="F207" s="71">
        <f t="shared" si="17"/>
        <v>2603000</v>
      </c>
      <c r="G207" s="173"/>
      <c r="H207" s="66"/>
      <c r="I207" s="64"/>
      <c r="J207" s="67"/>
      <c r="K207" s="64"/>
      <c r="L207" s="64"/>
    </row>
    <row r="208" spans="1:12" customFormat="1">
      <c r="A208" s="177" t="s">
        <v>79</v>
      </c>
      <c r="B208" s="71">
        <f t="shared" si="18"/>
        <v>2603000</v>
      </c>
      <c r="C208" s="61">
        <f t="shared" si="15"/>
        <v>-100000</v>
      </c>
      <c r="D208" s="55"/>
      <c r="E208" s="61">
        <f t="shared" si="16"/>
        <v>-500</v>
      </c>
      <c r="F208" s="71">
        <f t="shared" si="17"/>
        <v>2502500</v>
      </c>
      <c r="G208" s="173"/>
      <c r="H208" s="66"/>
      <c r="I208" s="64"/>
      <c r="J208" s="67"/>
      <c r="K208" s="64"/>
      <c r="L208" s="64"/>
    </row>
    <row r="209" spans="1:12" customFormat="1">
      <c r="A209" s="177" t="s">
        <v>80</v>
      </c>
      <c r="B209" s="71">
        <f t="shared" si="18"/>
        <v>2502500</v>
      </c>
      <c r="C209" s="61">
        <f t="shared" si="15"/>
        <v>-100000</v>
      </c>
      <c r="D209" s="55"/>
      <c r="E209" s="61">
        <f t="shared" si="16"/>
        <v>-500</v>
      </c>
      <c r="F209" s="71">
        <f t="shared" si="17"/>
        <v>2402000</v>
      </c>
      <c r="G209" s="173"/>
      <c r="H209" s="66"/>
      <c r="I209" s="64"/>
      <c r="J209" s="67"/>
      <c r="K209" s="64"/>
      <c r="L209" s="64"/>
    </row>
    <row r="210" spans="1:12" customFormat="1">
      <c r="A210" s="177" t="s">
        <v>81</v>
      </c>
      <c r="B210" s="71">
        <f t="shared" si="18"/>
        <v>2402000</v>
      </c>
      <c r="C210" s="61">
        <f t="shared" si="15"/>
        <v>-100000</v>
      </c>
      <c r="D210" s="55"/>
      <c r="E210" s="61">
        <f t="shared" si="16"/>
        <v>-500</v>
      </c>
      <c r="F210" s="71">
        <f t="shared" si="17"/>
        <v>2301500</v>
      </c>
      <c r="G210" s="173"/>
      <c r="H210" s="66"/>
      <c r="I210" s="64"/>
      <c r="J210" s="67"/>
      <c r="K210" s="64"/>
      <c r="L210" s="64"/>
    </row>
    <row r="211" spans="1:12" customFormat="1">
      <c r="A211" s="177" t="s">
        <v>82</v>
      </c>
      <c r="B211" s="71">
        <f t="shared" si="18"/>
        <v>2301500</v>
      </c>
      <c r="C211" s="61">
        <f t="shared" si="15"/>
        <v>-100000</v>
      </c>
      <c r="D211" s="55"/>
      <c r="E211" s="61">
        <f t="shared" si="16"/>
        <v>-500</v>
      </c>
      <c r="F211" s="71">
        <f t="shared" si="17"/>
        <v>2201000</v>
      </c>
      <c r="G211" s="173"/>
      <c r="H211" s="66"/>
      <c r="I211" s="64"/>
      <c r="J211" s="67"/>
      <c r="K211" s="64"/>
      <c r="L211" s="64"/>
    </row>
    <row r="212" spans="1:12" customFormat="1">
      <c r="A212" s="177" t="s">
        <v>83</v>
      </c>
      <c r="B212" s="71">
        <f t="shared" si="18"/>
        <v>2201000</v>
      </c>
      <c r="C212" s="61">
        <f t="shared" si="15"/>
        <v>-100000</v>
      </c>
      <c r="D212" s="55"/>
      <c r="E212" s="61">
        <f t="shared" si="16"/>
        <v>-500</v>
      </c>
      <c r="F212" s="71">
        <f t="shared" si="17"/>
        <v>2100500</v>
      </c>
      <c r="G212" s="173"/>
      <c r="H212" s="66"/>
      <c r="I212" s="64"/>
      <c r="J212" s="67"/>
      <c r="K212" s="64"/>
      <c r="L212" s="64"/>
    </row>
    <row r="213" spans="1:12" customFormat="1">
      <c r="A213" s="179" t="s">
        <v>84</v>
      </c>
      <c r="B213" s="219">
        <f t="shared" si="18"/>
        <v>2100500</v>
      </c>
      <c r="C213" s="220">
        <f t="shared" si="15"/>
        <v>-100000</v>
      </c>
      <c r="D213" s="206"/>
      <c r="E213" s="220">
        <f t="shared" si="16"/>
        <v>-500</v>
      </c>
      <c r="F213" s="219">
        <f t="shared" si="17"/>
        <v>2000000</v>
      </c>
      <c r="G213" s="221"/>
      <c r="H213" s="66"/>
      <c r="I213" s="64"/>
      <c r="J213" s="67"/>
      <c r="K213" s="64"/>
      <c r="L213" s="64"/>
    </row>
    <row r="215" spans="1:12">
      <c r="A215" s="237" t="s">
        <v>31</v>
      </c>
    </row>
    <row r="216" spans="1:12">
      <c r="A216" s="228"/>
      <c r="B216" s="7"/>
      <c r="C216" s="20"/>
      <c r="D216" s="28"/>
      <c r="E216" s="1"/>
    </row>
    <row r="217" spans="1:12" customFormat="1">
      <c r="A217" t="s">
        <v>139</v>
      </c>
      <c r="B217" s="4"/>
      <c r="C217" s="4"/>
      <c r="D217" s="55"/>
      <c r="E217" s="4"/>
      <c r="F217" s="4"/>
      <c r="H217" s="66"/>
      <c r="I217" s="64"/>
      <c r="J217" s="67"/>
      <c r="K217" s="64"/>
      <c r="L217" s="64"/>
    </row>
    <row r="218" spans="1:12" customFormat="1">
      <c r="A218" s="261" t="s">
        <v>140</v>
      </c>
      <c r="B218" s="4"/>
      <c r="C218" s="4"/>
      <c r="D218" s="55"/>
      <c r="E218" s="4"/>
      <c r="F218" s="4"/>
      <c r="H218" s="66"/>
      <c r="I218" s="64"/>
      <c r="J218" s="67"/>
      <c r="K218" s="64"/>
      <c r="L218" s="64"/>
    </row>
    <row r="219" spans="1:12" customFormat="1">
      <c r="B219" s="4"/>
      <c r="C219" s="4"/>
      <c r="D219" s="55"/>
      <c r="E219" s="4"/>
      <c r="F219" s="4"/>
      <c r="J219" s="2"/>
    </row>
    <row r="220" spans="1:12" customFormat="1">
      <c r="A220" s="168" t="s">
        <v>141</v>
      </c>
      <c r="B220" s="126"/>
      <c r="C220" s="145"/>
      <c r="D220" s="4"/>
      <c r="E220" s="4"/>
      <c r="I220" s="2"/>
    </row>
    <row r="221" spans="1:12" customFormat="1">
      <c r="A221" s="252" t="s">
        <v>70</v>
      </c>
      <c r="B221" s="253" t="s">
        <v>142</v>
      </c>
      <c r="C221" s="254" t="s">
        <v>143</v>
      </c>
      <c r="D221" s="4"/>
      <c r="E221" s="4"/>
      <c r="I221" s="2"/>
    </row>
    <row r="222" spans="1:12" customFormat="1">
      <c r="A222" s="177" t="s">
        <v>75</v>
      </c>
      <c r="B222" s="61">
        <f>A119</f>
        <v>50000</v>
      </c>
      <c r="C222" s="222">
        <f>A119</f>
        <v>50000</v>
      </c>
      <c r="D222" s="4"/>
      <c r="E222" s="4"/>
      <c r="I222" s="2"/>
    </row>
    <row r="223" spans="1:12" customFormat="1">
      <c r="A223" s="177" t="s">
        <v>76</v>
      </c>
      <c r="B223" s="61">
        <f>-C102</f>
        <v>50000</v>
      </c>
      <c r="C223" s="222">
        <f>B223</f>
        <v>50000</v>
      </c>
      <c r="D223" s="4"/>
      <c r="E223" s="4"/>
      <c r="I223" s="2"/>
    </row>
    <row r="224" spans="1:12" customFormat="1">
      <c r="A224" s="177" t="s">
        <v>77</v>
      </c>
      <c r="B224" s="61">
        <f>-C103</f>
        <v>50000</v>
      </c>
      <c r="C224" s="222">
        <f t="shared" ref="C224:C231" si="19">B224</f>
        <v>50000</v>
      </c>
      <c r="D224" s="4"/>
      <c r="E224" s="4"/>
      <c r="I224" s="2"/>
    </row>
    <row r="225" spans="1:10" customFormat="1">
      <c r="A225" s="177" t="s">
        <v>78</v>
      </c>
      <c r="B225" s="61">
        <f>-C104</f>
        <v>50000</v>
      </c>
      <c r="C225" s="222">
        <f t="shared" si="19"/>
        <v>50000</v>
      </c>
      <c r="D225" s="4"/>
      <c r="E225" s="4"/>
      <c r="I225" s="2"/>
    </row>
    <row r="226" spans="1:10" customFormat="1">
      <c r="A226" s="177" t="s">
        <v>79</v>
      </c>
      <c r="B226" s="61">
        <f>-C105</f>
        <v>50000</v>
      </c>
      <c r="C226" s="222">
        <f t="shared" si="19"/>
        <v>50000</v>
      </c>
      <c r="D226" s="4"/>
      <c r="E226" s="4"/>
      <c r="I226" s="2"/>
    </row>
    <row r="227" spans="1:10" customFormat="1">
      <c r="A227" s="177" t="s">
        <v>80</v>
      </c>
      <c r="B227" s="61">
        <f>-C106</f>
        <v>50000</v>
      </c>
      <c r="C227" s="222">
        <f t="shared" si="19"/>
        <v>50000</v>
      </c>
      <c r="D227" s="4"/>
      <c r="E227" s="4"/>
      <c r="I227" s="2"/>
    </row>
    <row r="228" spans="1:10" customFormat="1">
      <c r="A228" s="177" t="s">
        <v>81</v>
      </c>
      <c r="B228" s="61">
        <f>-C162</f>
        <v>60000</v>
      </c>
      <c r="C228" s="222">
        <f t="shared" si="19"/>
        <v>60000</v>
      </c>
      <c r="D228" s="4"/>
      <c r="E228" s="4"/>
      <c r="I228" s="2"/>
    </row>
    <row r="229" spans="1:10" customFormat="1">
      <c r="A229" s="177" t="s">
        <v>82</v>
      </c>
      <c r="B229" s="61">
        <f>-C163</f>
        <v>60000</v>
      </c>
      <c r="C229" s="222">
        <f t="shared" si="19"/>
        <v>60000</v>
      </c>
      <c r="D229" s="4"/>
      <c r="E229" s="4"/>
      <c r="I229" s="2"/>
    </row>
    <row r="230" spans="1:10" customFormat="1">
      <c r="A230" s="177" t="s">
        <v>83</v>
      </c>
      <c r="B230" s="61">
        <f>-C164</f>
        <v>60000</v>
      </c>
      <c r="C230" s="222">
        <f t="shared" si="19"/>
        <v>60000</v>
      </c>
      <c r="D230" s="4"/>
      <c r="E230" s="4"/>
      <c r="I230" s="2"/>
    </row>
    <row r="231" spans="1:10" customFormat="1">
      <c r="A231" s="179" t="s">
        <v>84</v>
      </c>
      <c r="B231" s="220">
        <f>-C165</f>
        <v>60000</v>
      </c>
      <c r="C231" s="223">
        <f t="shared" si="19"/>
        <v>60000</v>
      </c>
      <c r="D231" s="4"/>
      <c r="E231" s="4"/>
      <c r="I231" s="2"/>
    </row>
    <row r="237" spans="1:10" customFormat="1">
      <c r="A237" s="1"/>
      <c r="B237" s="1"/>
      <c r="C237" s="1"/>
      <c r="D237" s="1"/>
      <c r="E237" s="1"/>
      <c r="F237" s="1"/>
      <c r="J237" s="2"/>
    </row>
    <row r="246" spans="1:10" customFormat="1">
      <c r="B246" s="61"/>
      <c r="C246" s="4"/>
      <c r="D246" s="55"/>
      <c r="E246" s="61"/>
      <c r="F246" s="4"/>
      <c r="G246" s="60"/>
      <c r="J246" s="2"/>
    </row>
    <row r="247" spans="1:10" customFormat="1">
      <c r="B247" s="61"/>
      <c r="C247" s="4"/>
      <c r="D247" s="55"/>
      <c r="E247" s="61"/>
      <c r="F247" s="4"/>
      <c r="G247" s="60"/>
      <c r="J247" s="2"/>
    </row>
    <row r="248" spans="1:10" customFormat="1">
      <c r="D248" s="55"/>
      <c r="E248" s="61"/>
      <c r="F248" s="4"/>
      <c r="G248" s="60"/>
      <c r="J248" s="2"/>
    </row>
    <row r="249" spans="1:10" customFormat="1">
      <c r="A249" s="8"/>
      <c r="B249" s="6"/>
      <c r="C249" s="4"/>
      <c r="D249" s="55"/>
      <c r="E249" s="4"/>
      <c r="F249" s="4"/>
      <c r="J249" s="2"/>
    </row>
    <row r="262" spans="2:12" customFormat="1">
      <c r="B262" s="4"/>
      <c r="C262" s="4"/>
      <c r="D262" s="55"/>
      <c r="E262" s="4"/>
      <c r="F262" s="4"/>
      <c r="H262" s="66"/>
      <c r="I262" s="64"/>
      <c r="J262" s="67"/>
      <c r="K262" s="64"/>
      <c r="L262" s="64"/>
    </row>
  </sheetData>
  <mergeCells count="3">
    <mergeCell ref="A40:J40"/>
    <mergeCell ref="A4:J4"/>
    <mergeCell ref="A36:J3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30"/>
  <sheetViews>
    <sheetView showGridLines="0" workbookViewId="0">
      <selection activeCell="C131" sqref="C131"/>
    </sheetView>
  </sheetViews>
  <sheetFormatPr defaultRowHeight="14.25" outlineLevelCol="1"/>
  <cols>
    <col min="1" max="1" width="41.42578125" style="2" customWidth="1"/>
    <col min="2" max="2" width="15.140625" style="4" customWidth="1"/>
    <col min="3" max="3" width="24.5703125" style="4" customWidth="1"/>
    <col min="4" max="4" width="15.5703125" style="4" customWidth="1"/>
    <col min="5" max="5" width="26.42578125" style="4" customWidth="1"/>
    <col min="6" max="6" width="23.5703125" style="6" hidden="1" customWidth="1" outlineLevel="1"/>
    <col min="7" max="7" width="15.85546875" style="4" hidden="1" customWidth="1" outlineLevel="1"/>
    <col min="8" max="8" width="8.85546875" style="2" hidden="1" customWidth="1" outlineLevel="1"/>
    <col min="9" max="9" width="8.85546875" customWidth="1" collapsed="1"/>
    <col min="10" max="12" width="8.85546875" customWidth="1"/>
  </cols>
  <sheetData>
    <row r="1" spans="1:9">
      <c r="A1" s="40" t="s">
        <v>144</v>
      </c>
    </row>
    <row r="3" spans="1:9">
      <c r="B3" s="27"/>
    </row>
    <row r="4" spans="1:9" ht="15" thickBot="1">
      <c r="A4" s="3"/>
      <c r="B4" s="271" t="s">
        <v>145</v>
      </c>
      <c r="C4" s="272"/>
      <c r="D4" s="3" t="s">
        <v>146</v>
      </c>
    </row>
    <row r="5" spans="1:9" ht="18.75" customHeight="1" thickBot="1">
      <c r="A5" s="39" t="s">
        <v>147</v>
      </c>
      <c r="B5" s="36" t="s">
        <v>148</v>
      </c>
      <c r="C5" s="38" t="s">
        <v>149</v>
      </c>
      <c r="D5" s="36" t="s">
        <v>150</v>
      </c>
      <c r="E5" s="37" t="s">
        <v>151</v>
      </c>
      <c r="F5" s="86" t="s">
        <v>152</v>
      </c>
      <c r="G5" s="5"/>
    </row>
    <row r="6" spans="1:9" ht="16.350000000000001">
      <c r="A6" s="124" t="s">
        <v>153</v>
      </c>
      <c r="B6" s="9"/>
      <c r="C6" s="10"/>
      <c r="D6" s="9"/>
      <c r="E6" s="10"/>
      <c r="F6" s="30"/>
    </row>
    <row r="7" spans="1:9">
      <c r="A7" s="2" t="s">
        <v>154</v>
      </c>
      <c r="B7" s="11">
        <f>'Scenario and Data'!D101</f>
        <v>17769.554189110131</v>
      </c>
      <c r="C7" s="10"/>
      <c r="D7" s="11"/>
      <c r="E7" s="10"/>
      <c r="F7" s="30">
        <f>-B7</f>
        <v>-17769.554189110131</v>
      </c>
      <c r="H7" s="229" t="s">
        <v>155</v>
      </c>
    </row>
    <row r="8" spans="1:9">
      <c r="A8" s="2" t="s">
        <v>156</v>
      </c>
      <c r="B8" s="9"/>
      <c r="C8" s="12">
        <f>-'Scenario and Data'!C129</f>
        <v>42539.108378220262</v>
      </c>
      <c r="D8" s="11"/>
      <c r="E8" s="12"/>
      <c r="F8" s="30">
        <f>-C8</f>
        <v>-42539.108378220262</v>
      </c>
      <c r="H8" s="229" t="s">
        <v>157</v>
      </c>
    </row>
    <row r="9" spans="1:9">
      <c r="A9" s="2" t="s">
        <v>158</v>
      </c>
      <c r="B9" s="9"/>
      <c r="C9" s="10"/>
      <c r="D9" s="11">
        <f>-'Scenario and Data'!A119</f>
        <v>-50000</v>
      </c>
      <c r="E9" s="10"/>
      <c r="F9" s="30">
        <f>-D9</f>
        <v>50000</v>
      </c>
      <c r="H9" s="229" t="s">
        <v>159</v>
      </c>
    </row>
    <row r="10" spans="1:9">
      <c r="A10" s="2" t="s">
        <v>160</v>
      </c>
      <c r="B10" s="9"/>
      <c r="C10" s="10"/>
      <c r="D10" s="9"/>
      <c r="E10" s="12">
        <f>-'Scenario and Data'!C204-'Scenario and Data'!E204</f>
        <v>100500</v>
      </c>
      <c r="F10" s="30"/>
      <c r="H10" s="229" t="s">
        <v>161</v>
      </c>
    </row>
    <row r="11" spans="1:9" ht="15" thickBot="1">
      <c r="A11" s="3" t="s">
        <v>162</v>
      </c>
      <c r="B11" s="13">
        <f>SUM(B7:B10)</f>
        <v>17769.554189110131</v>
      </c>
      <c r="C11" s="14">
        <f>SUM(C7:C10)</f>
        <v>42539.108378220262</v>
      </c>
      <c r="D11" s="13">
        <f>SUM(D7:D10)</f>
        <v>-50000</v>
      </c>
      <c r="E11" s="14">
        <f>SUM(E7:E10)</f>
        <v>100500</v>
      </c>
      <c r="F11" s="31">
        <f>SUM(F7:F10)</f>
        <v>-10308.662567330393</v>
      </c>
      <c r="G11" s="6"/>
    </row>
    <row r="12" spans="1:9" ht="15.6" thickTop="1" thickBot="1">
      <c r="A12" s="3"/>
      <c r="B12" s="17"/>
      <c r="C12" s="17"/>
      <c r="D12" s="17"/>
      <c r="E12" s="17"/>
      <c r="F12" s="17"/>
      <c r="G12" s="6"/>
    </row>
    <row r="13" spans="1:9" ht="17.100000000000001" thickBot="1">
      <c r="A13" s="124" t="s">
        <v>163</v>
      </c>
      <c r="B13" s="36" t="s">
        <v>148</v>
      </c>
      <c r="C13" s="38" t="s">
        <v>149</v>
      </c>
      <c r="D13" s="36" t="s">
        <v>150</v>
      </c>
      <c r="E13" s="37" t="s">
        <v>151</v>
      </c>
      <c r="F13" s="86" t="s">
        <v>152</v>
      </c>
    </row>
    <row r="14" spans="1:9">
      <c r="A14" s="8" t="s">
        <v>164</v>
      </c>
      <c r="B14" s="9"/>
      <c r="C14" s="18">
        <f>-B17</f>
        <v>355391.08378220262</v>
      </c>
      <c r="D14" s="9"/>
      <c r="E14" s="12"/>
      <c r="F14" s="30">
        <f>-C14</f>
        <v>-355391.08378220262</v>
      </c>
      <c r="H14" s="2" t="s">
        <v>165</v>
      </c>
      <c r="I14" s="29"/>
    </row>
    <row r="15" spans="1:9">
      <c r="A15" s="8" t="s">
        <v>166</v>
      </c>
      <c r="B15" s="9"/>
      <c r="C15" s="18">
        <f>-B21</f>
        <v>50000</v>
      </c>
      <c r="D15" s="9"/>
      <c r="E15" s="12"/>
      <c r="F15" s="30">
        <f>-C15</f>
        <v>-50000</v>
      </c>
      <c r="H15" s="2" t="s">
        <v>167</v>
      </c>
      <c r="I15" s="29"/>
    </row>
    <row r="16" spans="1:9">
      <c r="A16" s="8" t="s">
        <v>168</v>
      </c>
      <c r="B16" s="9"/>
      <c r="C16" s="18">
        <f>'Scenario and Data'!A118</f>
        <v>20000</v>
      </c>
      <c r="D16" s="9"/>
      <c r="E16" s="12"/>
      <c r="F16" s="30">
        <v>0</v>
      </c>
      <c r="H16" s="2" t="s">
        <v>169</v>
      </c>
      <c r="I16" s="2"/>
    </row>
    <row r="17" spans="1:9">
      <c r="A17" s="2" t="s">
        <v>170</v>
      </c>
      <c r="B17" s="11">
        <f>-'Scenario and Data'!A98</f>
        <v>-355391.08378220262</v>
      </c>
      <c r="C17" s="10"/>
      <c r="D17" s="9"/>
      <c r="E17" s="12"/>
      <c r="F17" s="30">
        <f>-B17</f>
        <v>355391.08378220262</v>
      </c>
      <c r="H17" s="2" t="s">
        <v>171</v>
      </c>
      <c r="I17" s="29"/>
    </row>
    <row r="18" spans="1:9">
      <c r="A18" s="2" t="s">
        <v>172</v>
      </c>
      <c r="B18" s="11">
        <f>-B7</f>
        <v>-17769.554189110131</v>
      </c>
      <c r="C18" s="10"/>
      <c r="D18" s="11"/>
      <c r="E18" s="12"/>
      <c r="F18" s="30">
        <f t="shared" ref="F18" si="0">-B18</f>
        <v>17769.554189110131</v>
      </c>
      <c r="H18" s="2" t="s">
        <v>173</v>
      </c>
      <c r="I18" s="29"/>
    </row>
    <row r="19" spans="1:9">
      <c r="A19" s="2" t="s">
        <v>174</v>
      </c>
      <c r="B19" s="11"/>
      <c r="C19" s="10"/>
      <c r="D19" s="11"/>
      <c r="E19" s="12">
        <f>'Scenario and Data'!D204</f>
        <v>5000</v>
      </c>
      <c r="F19" s="30">
        <f>-E19</f>
        <v>-5000</v>
      </c>
      <c r="H19" s="2" t="s">
        <v>175</v>
      </c>
    </row>
    <row r="20" spans="1:9">
      <c r="A20" s="2" t="s">
        <v>131</v>
      </c>
      <c r="B20" s="9"/>
      <c r="C20" s="12">
        <f>-C8</f>
        <v>-42539.108378220262</v>
      </c>
      <c r="D20" s="11"/>
      <c r="E20" s="12">
        <f>-E10</f>
        <v>-100500</v>
      </c>
      <c r="F20" s="30">
        <f>-C20</f>
        <v>42539.108378220262</v>
      </c>
      <c r="H20" s="2" t="s">
        <v>176</v>
      </c>
      <c r="I20" s="29"/>
    </row>
    <row r="21" spans="1:9">
      <c r="A21" s="2" t="s">
        <v>177</v>
      </c>
      <c r="B21" s="11">
        <v>-50000</v>
      </c>
      <c r="C21" s="12"/>
      <c r="D21" s="11">
        <f>'Scenario and Data'!A119</f>
        <v>50000</v>
      </c>
      <c r="E21" s="10"/>
      <c r="F21" s="30"/>
      <c r="H21" s="2" t="s">
        <v>178</v>
      </c>
      <c r="I21" s="2"/>
    </row>
    <row r="22" spans="1:9">
      <c r="A22" s="2" t="s">
        <v>179</v>
      </c>
      <c r="B22" s="11">
        <v>-20000</v>
      </c>
      <c r="C22" s="12"/>
      <c r="D22" s="11">
        <v>-5000</v>
      </c>
      <c r="E22" s="10"/>
      <c r="F22" s="30"/>
      <c r="H22" s="2" t="s">
        <v>169</v>
      </c>
      <c r="I22" s="2"/>
    </row>
    <row r="23" spans="1:9">
      <c r="B23" s="11"/>
      <c r="C23" s="10"/>
      <c r="D23" s="9"/>
      <c r="E23" s="12"/>
      <c r="F23" s="30"/>
      <c r="I23" s="2"/>
    </row>
    <row r="24" spans="1:9" ht="15" thickBot="1">
      <c r="A24" s="3" t="s">
        <v>180</v>
      </c>
      <c r="B24" s="13">
        <f>SUM(B14:B23)</f>
        <v>-443160.63797131274</v>
      </c>
      <c r="C24" s="14">
        <f>SUM(C14:C23)</f>
        <v>382851.97540398233</v>
      </c>
      <c r="D24" s="13">
        <f>SUM(D14:D23)</f>
        <v>45000</v>
      </c>
      <c r="E24" s="14">
        <f>SUM(E14:E23)</f>
        <v>-95500</v>
      </c>
      <c r="F24" s="31">
        <f>SUM(F14:F23)</f>
        <v>5308.6625673303934</v>
      </c>
      <c r="G24" s="6"/>
      <c r="I24" s="2"/>
    </row>
    <row r="25" spans="1:9" ht="15" thickTop="1">
      <c r="B25" s="9"/>
      <c r="C25" s="10"/>
      <c r="D25" s="9"/>
      <c r="E25" s="12"/>
      <c r="F25" s="30"/>
      <c r="I25" s="2"/>
    </row>
    <row r="26" spans="1:9">
      <c r="A26" s="2" t="s">
        <v>181</v>
      </c>
      <c r="B26" s="11">
        <f>B17+B18</f>
        <v>-373160.63797131274</v>
      </c>
      <c r="C26" s="10"/>
      <c r="D26" s="9"/>
      <c r="E26" s="12"/>
      <c r="F26" s="30">
        <f>-B26</f>
        <v>373160.63797131274</v>
      </c>
      <c r="I26" s="2"/>
    </row>
    <row r="27" spans="1:9">
      <c r="A27" s="2" t="s">
        <v>182</v>
      </c>
      <c r="B27" s="11"/>
      <c r="C27" s="12">
        <f>C24</f>
        <v>382851.97540398233</v>
      </c>
      <c r="D27" s="9"/>
      <c r="E27" s="12"/>
      <c r="F27" s="30">
        <f>-C27</f>
        <v>-382851.97540398233</v>
      </c>
      <c r="I27" s="2"/>
    </row>
    <row r="28" spans="1:9">
      <c r="A28" s="2" t="s">
        <v>183</v>
      </c>
      <c r="B28" s="9"/>
      <c r="C28" s="12"/>
      <c r="D28" s="11"/>
      <c r="E28" s="12">
        <f>'Scenario and Data'!A199+Accounting!E20+E19</f>
        <v>2904500</v>
      </c>
      <c r="F28" s="30"/>
      <c r="I28" s="2"/>
    </row>
    <row r="29" spans="1:9" ht="15" thickBot="1">
      <c r="A29" s="3" t="s">
        <v>184</v>
      </c>
      <c r="B29" s="13">
        <f>SUM(B26:B28)</f>
        <v>-373160.63797131274</v>
      </c>
      <c r="C29" s="14">
        <f t="shared" ref="C29:F29" si="1">SUM(C26:C28)</f>
        <v>382851.97540398233</v>
      </c>
      <c r="D29" s="13"/>
      <c r="E29" s="14">
        <f t="shared" si="1"/>
        <v>2904500</v>
      </c>
      <c r="F29" s="31">
        <f t="shared" si="1"/>
        <v>-9691.3374326695921</v>
      </c>
      <c r="G29" s="6"/>
      <c r="I29" s="2"/>
    </row>
    <row r="30" spans="1:9" ht="15" thickTop="1">
      <c r="B30" s="35"/>
      <c r="C30" s="35"/>
      <c r="D30" s="35"/>
      <c r="E30" s="35"/>
      <c r="F30" s="17"/>
      <c r="I30" s="2"/>
    </row>
    <row r="31" spans="1:9">
      <c r="I31" s="2"/>
    </row>
    <row r="32" spans="1:9" ht="15" thickBot="1">
      <c r="B32" s="271" t="s">
        <v>145</v>
      </c>
      <c r="C32" s="272"/>
      <c r="D32" s="3" t="s">
        <v>146</v>
      </c>
      <c r="I32" s="2"/>
    </row>
    <row r="33" spans="1:9" ht="17.100000000000001" customHeight="1" thickBot="1">
      <c r="A33" s="39" t="s">
        <v>185</v>
      </c>
      <c r="B33" s="36" t="s">
        <v>148</v>
      </c>
      <c r="C33" s="38" t="s">
        <v>149</v>
      </c>
      <c r="D33" s="36" t="s">
        <v>150</v>
      </c>
      <c r="E33" s="37" t="s">
        <v>151</v>
      </c>
      <c r="F33" s="86" t="s">
        <v>152</v>
      </c>
      <c r="G33" s="5"/>
      <c r="I33" s="2"/>
    </row>
    <row r="34" spans="1:9" ht="16.350000000000001">
      <c r="A34" s="124" t="s">
        <v>153</v>
      </c>
      <c r="B34" s="9"/>
      <c r="D34" s="9"/>
      <c r="E34" s="10"/>
      <c r="F34" s="12"/>
      <c r="I34" s="2"/>
    </row>
    <row r="35" spans="1:9">
      <c r="A35" s="2" t="s">
        <v>154</v>
      </c>
      <c r="B35" s="11">
        <f>'Scenario and Data'!D102</f>
        <v>16158.031898565638</v>
      </c>
      <c r="C35" s="10"/>
      <c r="D35" s="11"/>
      <c r="E35" s="10"/>
      <c r="F35" s="30">
        <f>-B35</f>
        <v>-16158.031898565638</v>
      </c>
      <c r="I35" s="34"/>
    </row>
    <row r="36" spans="1:9">
      <c r="A36" s="2" t="s">
        <v>156</v>
      </c>
      <c r="B36" s="9"/>
      <c r="C36" s="12">
        <f>-'Scenario and Data'!C130</f>
        <v>42539.108378220262</v>
      </c>
      <c r="D36" s="11"/>
      <c r="E36" s="12"/>
      <c r="F36" s="30">
        <f>-C36</f>
        <v>-42539.108378220262</v>
      </c>
      <c r="I36" s="2"/>
    </row>
    <row r="37" spans="1:9">
      <c r="A37" s="2" t="s">
        <v>186</v>
      </c>
      <c r="B37" s="9"/>
      <c r="C37" s="10"/>
      <c r="D37" s="11">
        <f>-'Scenario and Data'!B223</f>
        <v>-50000</v>
      </c>
      <c r="E37" s="10"/>
      <c r="F37" s="30">
        <f>-D37</f>
        <v>50000</v>
      </c>
      <c r="I37" s="2"/>
    </row>
    <row r="38" spans="1:9">
      <c r="A38" s="2" t="s">
        <v>187</v>
      </c>
      <c r="B38" s="9"/>
      <c r="C38" s="10"/>
      <c r="D38" s="9"/>
      <c r="E38" s="12">
        <f>-'Scenario and Data'!C205-'Scenario and Data'!E205</f>
        <v>100500</v>
      </c>
      <c r="F38" s="30"/>
      <c r="I38" s="2"/>
    </row>
    <row r="39" spans="1:9" ht="15" thickBot="1">
      <c r="A39" s="3" t="s">
        <v>162</v>
      </c>
      <c r="B39" s="13">
        <f>SUM(B35:B38)</f>
        <v>16158.031898565638</v>
      </c>
      <c r="C39" s="14">
        <f>SUM(C35:C38)</f>
        <v>42539.108378220262</v>
      </c>
      <c r="D39" s="13">
        <f>SUM(D35:D38)</f>
        <v>-50000</v>
      </c>
      <c r="E39" s="14">
        <f>SUM(E35:E38)</f>
        <v>100500</v>
      </c>
      <c r="F39" s="31">
        <f>SUM(F34:F38)</f>
        <v>-8697.1402767858963</v>
      </c>
      <c r="G39" s="6"/>
      <c r="I39" s="2"/>
    </row>
    <row r="40" spans="1:9" ht="15.6" thickTop="1" thickBot="1">
      <c r="A40" s="3"/>
      <c r="B40" s="26"/>
      <c r="C40" s="26"/>
      <c r="D40" s="26"/>
      <c r="E40" s="26"/>
      <c r="F40" s="26"/>
      <c r="G40" s="6"/>
      <c r="I40" s="2"/>
    </row>
    <row r="41" spans="1:9" ht="16.350000000000001">
      <c r="A41" s="124" t="s">
        <v>163</v>
      </c>
      <c r="B41" s="23"/>
      <c r="C41" s="24"/>
      <c r="D41" s="23"/>
      <c r="E41" s="25"/>
      <c r="F41" s="32"/>
      <c r="I41" s="2"/>
    </row>
    <row r="42" spans="1:9">
      <c r="A42" s="2" t="s">
        <v>188</v>
      </c>
      <c r="B42" s="11">
        <f>-B35</f>
        <v>-16158.031898565638</v>
      </c>
      <c r="C42" s="10"/>
      <c r="D42" s="11"/>
      <c r="E42" s="12"/>
      <c r="F42" s="30">
        <f>-B42</f>
        <v>16158.031898565638</v>
      </c>
      <c r="I42" s="2"/>
    </row>
    <row r="43" spans="1:9">
      <c r="A43" s="2" t="s">
        <v>131</v>
      </c>
      <c r="B43" s="9"/>
      <c r="C43" s="12">
        <f>-C36</f>
        <v>-42539.108378220262</v>
      </c>
      <c r="D43" s="11"/>
      <c r="E43" s="12">
        <f>-E38</f>
        <v>-100500</v>
      </c>
      <c r="F43" s="30">
        <v>42039.108378220262</v>
      </c>
      <c r="I43" s="2"/>
    </row>
    <row r="44" spans="1:9">
      <c r="A44" s="2" t="s">
        <v>122</v>
      </c>
      <c r="B44" s="11">
        <v>50000</v>
      </c>
      <c r="C44" s="12"/>
      <c r="D44" s="11"/>
      <c r="E44" s="12"/>
      <c r="F44" s="30">
        <f>-B44</f>
        <v>-50000</v>
      </c>
      <c r="I44" s="2"/>
    </row>
    <row r="45" spans="1:9">
      <c r="A45" s="2" t="s">
        <v>177</v>
      </c>
      <c r="B45" s="11">
        <v>-50000</v>
      </c>
      <c r="C45" s="12"/>
      <c r="D45" s="11">
        <f>-D37</f>
        <v>50000</v>
      </c>
      <c r="E45" s="10"/>
      <c r="F45" s="30"/>
      <c r="I45" s="2"/>
    </row>
    <row r="46" spans="1:9">
      <c r="B46" s="11"/>
      <c r="C46" s="10"/>
      <c r="D46" s="9"/>
      <c r="E46" s="12"/>
      <c r="F46" s="30"/>
      <c r="I46" s="2"/>
    </row>
    <row r="47" spans="1:9" ht="15" thickBot="1">
      <c r="A47" s="3" t="s">
        <v>180</v>
      </c>
      <c r="B47" s="13">
        <f>SUM(B42:B45)</f>
        <v>-16158.031898565634</v>
      </c>
      <c r="C47" s="14">
        <f>SUM(C42:C45)</f>
        <v>-42539.108378220262</v>
      </c>
      <c r="D47" s="13">
        <f>SUM(D42:D45)</f>
        <v>50000</v>
      </c>
      <c r="E47" s="14">
        <f>SUM(E42:E45)</f>
        <v>-100500</v>
      </c>
      <c r="F47" s="31">
        <f>SUM(F42:F45)</f>
        <v>8197.1402767858963</v>
      </c>
      <c r="G47" s="6"/>
      <c r="I47" s="2"/>
    </row>
    <row r="48" spans="1:9" ht="15" thickTop="1">
      <c r="B48" s="9"/>
      <c r="C48" s="10"/>
      <c r="D48" s="9"/>
      <c r="E48" s="12"/>
      <c r="F48" s="30"/>
      <c r="I48" s="2"/>
    </row>
    <row r="49" spans="1:9">
      <c r="A49" s="2" t="s">
        <v>181</v>
      </c>
      <c r="B49" s="11">
        <f>B26+B42+B44</f>
        <v>-339318.66986987839</v>
      </c>
      <c r="C49" s="10"/>
      <c r="D49" s="9"/>
      <c r="E49" s="12"/>
      <c r="F49" s="30">
        <f>-B49</f>
        <v>339318.66986987839</v>
      </c>
      <c r="I49" s="2"/>
    </row>
    <row r="50" spans="1:9">
      <c r="A50" s="2" t="s">
        <v>182</v>
      </c>
      <c r="B50" s="11"/>
      <c r="C50" s="12">
        <f>C27+C43</f>
        <v>340312.8670257621</v>
      </c>
      <c r="D50" s="9"/>
      <c r="E50" s="12"/>
      <c r="F50" s="30">
        <f>-C50</f>
        <v>-340312.8670257621</v>
      </c>
      <c r="I50" s="2"/>
    </row>
    <row r="51" spans="1:9">
      <c r="A51" s="2" t="s">
        <v>183</v>
      </c>
      <c r="B51" s="9"/>
      <c r="C51" s="12"/>
      <c r="D51" s="11"/>
      <c r="E51" s="12">
        <f>E28+E43</f>
        <v>2804000</v>
      </c>
      <c r="F51" s="30"/>
      <c r="I51" s="2"/>
    </row>
    <row r="52" spans="1:9" ht="15" thickBot="1">
      <c r="A52" s="3" t="s">
        <v>184</v>
      </c>
      <c r="B52" s="15">
        <f>SUM(B49:B51)</f>
        <v>-339318.66986987839</v>
      </c>
      <c r="C52" s="16">
        <f t="shared" ref="C52:F52" si="2">SUM(C49:C51)</f>
        <v>340312.8670257621</v>
      </c>
      <c r="D52" s="15">
        <f t="shared" si="2"/>
        <v>0</v>
      </c>
      <c r="E52" s="16">
        <f t="shared" si="2"/>
        <v>2804000</v>
      </c>
      <c r="F52" s="33">
        <f t="shared" si="2"/>
        <v>-994.19715588371037</v>
      </c>
      <c r="G52" s="6"/>
      <c r="I52" s="2"/>
    </row>
    <row r="53" spans="1:9" ht="15" thickTop="1">
      <c r="C53" s="35"/>
      <c r="D53" s="35"/>
      <c r="E53" s="35"/>
      <c r="I53" s="2"/>
    </row>
    <row r="54" spans="1:9" ht="15" thickBot="1">
      <c r="B54" s="271" t="s">
        <v>145</v>
      </c>
      <c r="C54" s="272"/>
      <c r="D54" s="3" t="s">
        <v>146</v>
      </c>
      <c r="I54" s="2"/>
    </row>
    <row r="55" spans="1:9" ht="16.149999999999999" customHeight="1" thickBot="1">
      <c r="A55" s="39" t="s">
        <v>189</v>
      </c>
      <c r="B55" s="36" t="s">
        <v>148</v>
      </c>
      <c r="C55" s="38" t="s">
        <v>149</v>
      </c>
      <c r="D55" s="36" t="s">
        <v>150</v>
      </c>
      <c r="E55" s="37" t="s">
        <v>151</v>
      </c>
      <c r="F55" s="86" t="s">
        <v>152</v>
      </c>
      <c r="G55" s="5"/>
      <c r="I55" s="2"/>
    </row>
    <row r="56" spans="1:9" ht="16.350000000000001">
      <c r="A56" s="124" t="s">
        <v>153</v>
      </c>
      <c r="B56" s="9"/>
      <c r="D56" s="9"/>
      <c r="E56" s="10"/>
      <c r="F56" s="12"/>
      <c r="I56" s="2"/>
    </row>
    <row r="57" spans="1:9">
      <c r="A57" s="2" t="s">
        <v>154</v>
      </c>
      <c r="B57" s="11">
        <f>'Scenario and Data'!D103</f>
        <v>14465.93349349392</v>
      </c>
      <c r="C57" s="10"/>
      <c r="D57" s="11"/>
      <c r="E57" s="10"/>
      <c r="F57" s="30">
        <f>-B57</f>
        <v>-14465.93349349392</v>
      </c>
      <c r="I57" s="34"/>
    </row>
    <row r="58" spans="1:9">
      <c r="A58" s="2" t="s">
        <v>156</v>
      </c>
      <c r="B58" s="9"/>
      <c r="C58" s="12">
        <f>-'Scenario and Data'!C131</f>
        <v>42539.108378220262</v>
      </c>
      <c r="D58" s="11"/>
      <c r="E58" s="12"/>
      <c r="F58" s="30">
        <f>-C58</f>
        <v>-42539.108378220262</v>
      </c>
      <c r="I58" s="2"/>
    </row>
    <row r="59" spans="1:9">
      <c r="A59" s="2" t="s">
        <v>186</v>
      </c>
      <c r="B59" s="9"/>
      <c r="C59" s="10"/>
      <c r="D59" s="11">
        <f>-'Scenario and Data'!B224</f>
        <v>-50000</v>
      </c>
      <c r="E59" s="10"/>
      <c r="F59" s="30">
        <f>-D59</f>
        <v>50000</v>
      </c>
      <c r="I59" s="2"/>
    </row>
    <row r="60" spans="1:9">
      <c r="A60" s="2" t="s">
        <v>187</v>
      </c>
      <c r="B60" s="9"/>
      <c r="C60" s="10"/>
      <c r="D60" s="9"/>
      <c r="E60" s="12">
        <f>-'Scenario and Data'!C206-'Scenario and Data'!E206</f>
        <v>100500</v>
      </c>
      <c r="F60" s="30"/>
      <c r="I60" s="2"/>
    </row>
    <row r="61" spans="1:9" ht="15" thickBot="1">
      <c r="A61" s="3" t="s">
        <v>162</v>
      </c>
      <c r="B61" s="13">
        <f>SUM(B57:B60)</f>
        <v>14465.93349349392</v>
      </c>
      <c r="C61" s="14">
        <f>SUM(C57:C60)</f>
        <v>42539.108378220262</v>
      </c>
      <c r="D61" s="13">
        <f>SUM(D57:D60)</f>
        <v>-50000</v>
      </c>
      <c r="E61" s="14">
        <f>SUM(E57:E60)</f>
        <v>100500</v>
      </c>
      <c r="F61" s="31">
        <f>SUM(F56:F60)</f>
        <v>-7005.0418717141802</v>
      </c>
      <c r="G61" s="6"/>
      <c r="I61" s="2"/>
    </row>
    <row r="62" spans="1:9" ht="15.6" thickTop="1" thickBot="1">
      <c r="A62" s="3"/>
      <c r="B62" s="26"/>
      <c r="C62" s="26"/>
      <c r="D62" s="26"/>
      <c r="E62" s="26"/>
      <c r="F62" s="26"/>
      <c r="G62" s="6"/>
      <c r="I62" s="2"/>
    </row>
    <row r="63" spans="1:9" ht="16.350000000000001">
      <c r="A63" s="124" t="s">
        <v>163</v>
      </c>
      <c r="B63" s="23"/>
      <c r="C63" s="24"/>
      <c r="D63" s="23"/>
      <c r="E63" s="25"/>
      <c r="F63" s="32"/>
      <c r="I63" s="2"/>
    </row>
    <row r="64" spans="1:9">
      <c r="A64" s="2" t="s">
        <v>188</v>
      </c>
      <c r="B64" s="11">
        <f>-B57</f>
        <v>-14465.93349349392</v>
      </c>
      <c r="C64" s="10"/>
      <c r="D64" s="11"/>
      <c r="E64" s="12"/>
      <c r="F64" s="30">
        <f>-B64</f>
        <v>14465.93349349392</v>
      </c>
      <c r="I64" s="2"/>
    </row>
    <row r="65" spans="1:9">
      <c r="A65" s="2" t="s">
        <v>131</v>
      </c>
      <c r="B65" s="9"/>
      <c r="C65" s="12">
        <f>-C58</f>
        <v>-42539.108378220262</v>
      </c>
      <c r="D65" s="11"/>
      <c r="E65" s="12">
        <f>-E60</f>
        <v>-100500</v>
      </c>
      <c r="F65" s="30">
        <v>42039.108378220262</v>
      </c>
      <c r="I65" s="2"/>
    </row>
    <row r="66" spans="1:9">
      <c r="A66" s="2" t="s">
        <v>122</v>
      </c>
      <c r="B66" s="11">
        <v>50000</v>
      </c>
      <c r="C66" s="12"/>
      <c r="D66" s="11"/>
      <c r="E66" s="12"/>
      <c r="F66" s="30">
        <f>-B66</f>
        <v>-50000</v>
      </c>
      <c r="I66" s="2"/>
    </row>
    <row r="67" spans="1:9">
      <c r="A67" s="2" t="s">
        <v>177</v>
      </c>
      <c r="B67" s="11">
        <v>-50000</v>
      </c>
      <c r="C67" s="12"/>
      <c r="D67" s="11">
        <v>50000</v>
      </c>
      <c r="E67" s="10"/>
      <c r="F67" s="30"/>
      <c r="I67" s="2"/>
    </row>
    <row r="68" spans="1:9">
      <c r="B68" s="11"/>
      <c r="C68" s="10"/>
      <c r="D68" s="9"/>
      <c r="E68" s="12"/>
      <c r="F68" s="30"/>
      <c r="I68" s="2"/>
    </row>
    <row r="69" spans="1:9" ht="15" thickBot="1">
      <c r="A69" s="3" t="s">
        <v>180</v>
      </c>
      <c r="B69" s="13">
        <f>SUM(B64:B67)</f>
        <v>-14465.933493493918</v>
      </c>
      <c r="C69" s="14">
        <f>SUM(C64:C67)</f>
        <v>-42539.108378220262</v>
      </c>
      <c r="D69" s="13">
        <f>SUM(D64:D67)</f>
        <v>50000</v>
      </c>
      <c r="E69" s="14">
        <f>SUM(E64:E67)</f>
        <v>-100500</v>
      </c>
      <c r="F69" s="31">
        <f>SUM(F64:F67)</f>
        <v>6505.0418717141802</v>
      </c>
      <c r="G69" s="6"/>
      <c r="I69" s="2"/>
    </row>
    <row r="70" spans="1:9" ht="15" thickTop="1">
      <c r="B70" s="9"/>
      <c r="C70" s="10"/>
      <c r="D70" s="9"/>
      <c r="E70" s="12"/>
      <c r="F70" s="30"/>
      <c r="I70" s="2"/>
    </row>
    <row r="71" spans="1:9">
      <c r="A71" s="2" t="s">
        <v>181</v>
      </c>
      <c r="B71" s="11">
        <f>B49+B64+B66</f>
        <v>-303784.60336337233</v>
      </c>
      <c r="C71" s="10"/>
      <c r="D71" s="9"/>
      <c r="E71" s="12"/>
      <c r="F71" s="30">
        <f>-B71</f>
        <v>303784.60336337233</v>
      </c>
      <c r="I71" s="2"/>
    </row>
    <row r="72" spans="1:9">
      <c r="A72" s="2" t="s">
        <v>182</v>
      </c>
      <c r="B72" s="11"/>
      <c r="C72" s="12">
        <f>C50+C65</f>
        <v>297773.75864754186</v>
      </c>
      <c r="D72" s="9"/>
      <c r="E72" s="12"/>
      <c r="F72" s="30">
        <f>-C72</f>
        <v>-297773.75864754186</v>
      </c>
      <c r="I72" s="2"/>
    </row>
    <row r="73" spans="1:9">
      <c r="A73" s="2" t="s">
        <v>183</v>
      </c>
      <c r="B73" s="9"/>
      <c r="C73" s="12"/>
      <c r="D73" s="11"/>
      <c r="E73" s="12">
        <f>E51+E65</f>
        <v>2703500</v>
      </c>
      <c r="F73" s="30"/>
      <c r="I73" s="2"/>
    </row>
    <row r="74" spans="1:9" ht="15" thickBot="1">
      <c r="A74" s="3" t="s">
        <v>184</v>
      </c>
      <c r="B74" s="15">
        <f>SUM(B71:B73)</f>
        <v>-303784.60336337233</v>
      </c>
      <c r="C74" s="16">
        <f t="shared" ref="C74:F74" si="3">SUM(C71:C73)</f>
        <v>297773.75864754186</v>
      </c>
      <c r="D74" s="15">
        <f t="shared" si="3"/>
        <v>0</v>
      </c>
      <c r="E74" s="16">
        <f t="shared" si="3"/>
        <v>2703500</v>
      </c>
      <c r="F74" s="33">
        <f t="shared" si="3"/>
        <v>6010.8447158304625</v>
      </c>
      <c r="G74" s="6"/>
      <c r="I74" s="2"/>
    </row>
    <row r="75" spans="1:9">
      <c r="I75" s="2"/>
    </row>
    <row r="76" spans="1:9" ht="15" thickBot="1">
      <c r="B76" s="271" t="s">
        <v>145</v>
      </c>
      <c r="C76" s="272"/>
      <c r="D76" s="3" t="s">
        <v>146</v>
      </c>
      <c r="I76" s="2"/>
    </row>
    <row r="77" spans="1:9" ht="15" thickBot="1">
      <c r="A77" s="39" t="s">
        <v>190</v>
      </c>
      <c r="B77" s="36" t="s">
        <v>148</v>
      </c>
      <c r="C77" s="38" t="s">
        <v>149</v>
      </c>
      <c r="D77" s="36" t="s">
        <v>150</v>
      </c>
      <c r="E77" s="37" t="s">
        <v>151</v>
      </c>
      <c r="F77" s="86" t="s">
        <v>152</v>
      </c>
      <c r="G77" s="5"/>
      <c r="I77" s="2"/>
    </row>
    <row r="78" spans="1:9" ht="16.350000000000001">
      <c r="A78" s="124" t="s">
        <v>153</v>
      </c>
      <c r="B78" s="9"/>
      <c r="D78" s="9"/>
      <c r="E78" s="10"/>
      <c r="F78" s="12"/>
      <c r="I78" s="2"/>
    </row>
    <row r="79" spans="1:9">
      <c r="A79" s="2" t="s">
        <v>154</v>
      </c>
      <c r="B79" s="11">
        <f>'Scenario and Data'!D104</f>
        <v>12689.230168168617</v>
      </c>
      <c r="C79" s="10"/>
      <c r="D79" s="11"/>
      <c r="E79" s="10"/>
      <c r="F79" s="30">
        <f>-B79</f>
        <v>-12689.230168168617</v>
      </c>
      <c r="I79" s="2"/>
    </row>
    <row r="80" spans="1:9">
      <c r="A80" s="2" t="s">
        <v>156</v>
      </c>
      <c r="B80" s="9"/>
      <c r="C80" s="12">
        <f>-'Scenario and Data'!C132</f>
        <v>42539.108378220262</v>
      </c>
      <c r="D80" s="11"/>
      <c r="E80" s="12"/>
      <c r="F80" s="30">
        <f>-C80</f>
        <v>-42539.108378220262</v>
      </c>
      <c r="I80" s="2"/>
    </row>
    <row r="81" spans="1:9">
      <c r="A81" s="2" t="s">
        <v>186</v>
      </c>
      <c r="B81" s="9"/>
      <c r="C81" s="10"/>
      <c r="D81" s="11">
        <f>-'Scenario and Data'!B225</f>
        <v>-50000</v>
      </c>
      <c r="E81" s="10"/>
      <c r="F81" s="30">
        <f>-D81</f>
        <v>50000</v>
      </c>
      <c r="I81" s="2"/>
    </row>
    <row r="82" spans="1:9">
      <c r="A82" s="2" t="s">
        <v>187</v>
      </c>
      <c r="B82" s="9"/>
      <c r="C82" s="10"/>
      <c r="D82" s="9"/>
      <c r="E82" s="12">
        <f>-'Scenario and Data'!C207-'Scenario and Data'!E207</f>
        <v>100500</v>
      </c>
      <c r="F82" s="30"/>
      <c r="I82" s="2"/>
    </row>
    <row r="83" spans="1:9" ht="15" thickBot="1">
      <c r="A83" s="3" t="s">
        <v>162</v>
      </c>
      <c r="B83" s="13">
        <f>SUM(B79:B82)</f>
        <v>12689.230168168617</v>
      </c>
      <c r="C83" s="14">
        <f>SUM(C79:C82)</f>
        <v>42539.108378220262</v>
      </c>
      <c r="D83" s="13">
        <f>SUM(D79:D82)</f>
        <v>-50000</v>
      </c>
      <c r="E83" s="14">
        <f>SUM(E79:E82)</f>
        <v>100500</v>
      </c>
      <c r="F83" s="31">
        <f>SUM(F78:F82)</f>
        <v>-5228.3385463888771</v>
      </c>
      <c r="G83" s="6"/>
      <c r="I83" s="2"/>
    </row>
    <row r="84" spans="1:9" ht="15.6" thickTop="1" thickBot="1">
      <c r="A84" s="3"/>
      <c r="B84" s="26"/>
      <c r="C84" s="26"/>
      <c r="D84" s="26"/>
      <c r="E84" s="26"/>
      <c r="F84" s="26"/>
      <c r="G84" s="6"/>
      <c r="I84" s="2"/>
    </row>
    <row r="85" spans="1:9" ht="16.350000000000001">
      <c r="A85" s="124" t="s">
        <v>163</v>
      </c>
      <c r="B85" s="23"/>
      <c r="C85" s="24"/>
      <c r="D85" s="23"/>
      <c r="E85" s="25"/>
      <c r="F85" s="32"/>
      <c r="I85" s="2"/>
    </row>
    <row r="86" spans="1:9">
      <c r="A86" s="2" t="s">
        <v>188</v>
      </c>
      <c r="B86" s="11">
        <f>-B79</f>
        <v>-12689.230168168617</v>
      </c>
      <c r="C86" s="10"/>
      <c r="D86" s="11"/>
      <c r="E86" s="12"/>
      <c r="F86" s="30">
        <f>-B86</f>
        <v>12689.230168168617</v>
      </c>
      <c r="I86" s="2"/>
    </row>
    <row r="87" spans="1:9">
      <c r="A87" s="2" t="s">
        <v>131</v>
      </c>
      <c r="B87" s="9"/>
      <c r="C87" s="12">
        <f>-C80</f>
        <v>-42539.108378220262</v>
      </c>
      <c r="D87" s="11"/>
      <c r="E87" s="12">
        <f>-E82</f>
        <v>-100500</v>
      </c>
      <c r="F87" s="30">
        <v>42039.108378220262</v>
      </c>
      <c r="I87" s="2"/>
    </row>
    <row r="88" spans="1:9">
      <c r="A88" s="2" t="s">
        <v>122</v>
      </c>
      <c r="B88" s="11">
        <v>50000</v>
      </c>
      <c r="C88" s="12"/>
      <c r="D88" s="11"/>
      <c r="E88" s="12"/>
      <c r="F88" s="30">
        <f>-B88</f>
        <v>-50000</v>
      </c>
      <c r="I88" s="2"/>
    </row>
    <row r="89" spans="1:9">
      <c r="A89" s="2" t="s">
        <v>177</v>
      </c>
      <c r="B89" s="11">
        <v>-50000</v>
      </c>
      <c r="C89" s="12"/>
      <c r="D89" s="11">
        <f>-D81</f>
        <v>50000</v>
      </c>
      <c r="E89" s="10"/>
      <c r="F89" s="30"/>
      <c r="I89" s="2"/>
    </row>
    <row r="90" spans="1:9">
      <c r="B90" s="11"/>
      <c r="C90" s="10"/>
      <c r="D90" s="9"/>
      <c r="E90" s="12"/>
      <c r="F90" s="30"/>
      <c r="I90" s="2"/>
    </row>
    <row r="91" spans="1:9" ht="15" thickBot="1">
      <c r="A91" s="3" t="s">
        <v>180</v>
      </c>
      <c r="B91" s="13">
        <f>SUM(B86:B89)</f>
        <v>-12689.230168168615</v>
      </c>
      <c r="C91" s="14">
        <f>SUM(C86:C89)</f>
        <v>-42539.108378220262</v>
      </c>
      <c r="D91" s="13">
        <f>SUM(D86:D89)</f>
        <v>50000</v>
      </c>
      <c r="E91" s="14">
        <f>SUM(E86:E89)</f>
        <v>-100500</v>
      </c>
      <c r="F91" s="31">
        <f>SUM(F86:F89)</f>
        <v>4728.3385463888771</v>
      </c>
      <c r="G91" s="6"/>
      <c r="I91" s="2"/>
    </row>
    <row r="92" spans="1:9" ht="15" thickTop="1">
      <c r="B92" s="9"/>
      <c r="C92" s="10"/>
      <c r="D92" s="9"/>
      <c r="E92" s="12"/>
      <c r="F92" s="30"/>
      <c r="I92" s="2"/>
    </row>
    <row r="93" spans="1:9">
      <c r="A93" s="2" t="s">
        <v>181</v>
      </c>
      <c r="B93" s="11">
        <f>B71+B86+B88</f>
        <v>-266473.83353154093</v>
      </c>
      <c r="C93" s="10"/>
      <c r="D93" s="9"/>
      <c r="E93" s="12"/>
      <c r="F93" s="30">
        <f>-B93</f>
        <v>266473.83353154093</v>
      </c>
      <c r="I93" s="2"/>
    </row>
    <row r="94" spans="1:9">
      <c r="A94" s="2" t="s">
        <v>182</v>
      </c>
      <c r="B94" s="11"/>
      <c r="C94" s="12">
        <f>C72+C87</f>
        <v>255234.6502693216</v>
      </c>
      <c r="D94" s="9"/>
      <c r="E94" s="12"/>
      <c r="F94" s="30">
        <f>-C94</f>
        <v>-255234.6502693216</v>
      </c>
      <c r="I94" s="2"/>
    </row>
    <row r="95" spans="1:9">
      <c r="A95" s="2" t="s">
        <v>183</v>
      </c>
      <c r="B95" s="9"/>
      <c r="C95" s="12"/>
      <c r="D95" s="11"/>
      <c r="E95" s="12">
        <f>E73+E87</f>
        <v>2603000</v>
      </c>
      <c r="F95" s="30"/>
      <c r="I95" s="2"/>
    </row>
    <row r="96" spans="1:9" ht="15" thickBot="1">
      <c r="A96" s="3" t="s">
        <v>184</v>
      </c>
      <c r="B96" s="15">
        <f>SUM(B93:B95)</f>
        <v>-266473.83353154093</v>
      </c>
      <c r="C96" s="16">
        <f t="shared" ref="C96:F96" si="4">SUM(C93:C95)</f>
        <v>255234.6502693216</v>
      </c>
      <c r="D96" s="15">
        <f t="shared" si="4"/>
        <v>0</v>
      </c>
      <c r="E96" s="16">
        <f t="shared" si="4"/>
        <v>2603000</v>
      </c>
      <c r="F96" s="33">
        <f t="shared" si="4"/>
        <v>11239.183262219332</v>
      </c>
      <c r="G96" s="6"/>
      <c r="I96" s="2"/>
    </row>
    <row r="97" spans="1:9">
      <c r="I97" s="2"/>
    </row>
    <row r="98" spans="1:9" ht="15" thickBot="1">
      <c r="B98" s="271" t="s">
        <v>145</v>
      </c>
      <c r="C98" s="272"/>
      <c r="D98" s="3" t="s">
        <v>146</v>
      </c>
      <c r="I98" s="2"/>
    </row>
    <row r="99" spans="1:9" ht="18.75" customHeight="1" thickBot="1">
      <c r="A99" s="39" t="s">
        <v>191</v>
      </c>
      <c r="B99" s="36" t="s">
        <v>148</v>
      </c>
      <c r="C99" s="38" t="s">
        <v>149</v>
      </c>
      <c r="D99" s="36" t="s">
        <v>150</v>
      </c>
      <c r="E99" s="37" t="s">
        <v>151</v>
      </c>
      <c r="F99" s="86" t="s">
        <v>152</v>
      </c>
      <c r="G99" s="5"/>
      <c r="I99" s="2"/>
    </row>
    <row r="100" spans="1:9" ht="16.350000000000001">
      <c r="A100" s="124" t="s">
        <v>153</v>
      </c>
      <c r="B100" s="9"/>
      <c r="D100" s="9"/>
      <c r="E100" s="10"/>
      <c r="F100" s="12"/>
      <c r="I100" s="2"/>
    </row>
    <row r="101" spans="1:9">
      <c r="A101" s="2" t="s">
        <v>154</v>
      </c>
      <c r="B101" s="11">
        <f>'Scenario and Data'!D105</f>
        <v>10823.691676577047</v>
      </c>
      <c r="C101" s="10"/>
      <c r="D101" s="11"/>
      <c r="E101" s="10"/>
      <c r="F101" s="30">
        <f>-B101</f>
        <v>-10823.691676577047</v>
      </c>
      <c r="I101" s="2"/>
    </row>
    <row r="102" spans="1:9">
      <c r="A102" s="2" t="s">
        <v>156</v>
      </c>
      <c r="B102" s="9"/>
      <c r="C102" s="12">
        <f>-'Scenario and Data'!C133</f>
        <v>42539.108378220262</v>
      </c>
      <c r="D102" s="11"/>
      <c r="E102" s="12"/>
      <c r="F102" s="30">
        <f>-C102</f>
        <v>-42539.108378220262</v>
      </c>
      <c r="I102" s="2"/>
    </row>
    <row r="103" spans="1:9">
      <c r="A103" s="2" t="s">
        <v>186</v>
      </c>
      <c r="B103" s="9"/>
      <c r="C103" s="10"/>
      <c r="D103" s="11">
        <f>-'Scenario and Data'!B226</f>
        <v>-50000</v>
      </c>
      <c r="E103" s="10"/>
      <c r="F103" s="30">
        <f>-D103</f>
        <v>50000</v>
      </c>
      <c r="I103" s="2"/>
    </row>
    <row r="104" spans="1:9">
      <c r="A104" s="2" t="s">
        <v>187</v>
      </c>
      <c r="B104" s="9"/>
      <c r="C104" s="10"/>
      <c r="D104" s="9"/>
      <c r="E104" s="12">
        <f>-'Scenario and Data'!C207-'Scenario and Data'!E207</f>
        <v>100500</v>
      </c>
      <c r="F104" s="30"/>
      <c r="I104" s="2"/>
    </row>
    <row r="105" spans="1:9" ht="15" thickBot="1">
      <c r="A105" s="3" t="s">
        <v>162</v>
      </c>
      <c r="B105" s="13">
        <f>SUM(B101:B104)</f>
        <v>10823.691676577047</v>
      </c>
      <c r="C105" s="14">
        <f>SUM(C101:C104)</f>
        <v>42539.108378220262</v>
      </c>
      <c r="D105" s="13">
        <f>SUM(D101:D104)</f>
        <v>-50000</v>
      </c>
      <c r="E105" s="14">
        <f>SUM(E101:E104)</f>
        <v>100500</v>
      </c>
      <c r="F105" s="31">
        <f>SUM(F100:F104)</f>
        <v>-3362.8000547973061</v>
      </c>
      <c r="G105" s="6"/>
    </row>
    <row r="106" spans="1:9" ht="15.6" thickTop="1" thickBot="1">
      <c r="A106" s="3"/>
      <c r="B106" s="26"/>
      <c r="C106" s="26"/>
      <c r="D106" s="26"/>
      <c r="E106" s="26"/>
      <c r="F106" s="26"/>
      <c r="G106" s="6"/>
    </row>
    <row r="107" spans="1:9" ht="16.350000000000001">
      <c r="A107" s="124" t="s">
        <v>163</v>
      </c>
      <c r="B107" s="23"/>
      <c r="C107" s="24"/>
      <c r="D107" s="23"/>
      <c r="E107" s="25"/>
      <c r="F107" s="32"/>
    </row>
    <row r="108" spans="1:9">
      <c r="A108" s="2" t="s">
        <v>188</v>
      </c>
      <c r="B108" s="11">
        <f>-B101</f>
        <v>-10823.691676577047</v>
      </c>
      <c r="C108" s="10"/>
      <c r="D108" s="11"/>
      <c r="E108" s="12"/>
      <c r="F108" s="30">
        <f>-B108</f>
        <v>10823.691676577047</v>
      </c>
    </row>
    <row r="109" spans="1:9">
      <c r="A109" s="2" t="s">
        <v>131</v>
      </c>
      <c r="B109" s="9"/>
      <c r="C109" s="12">
        <f>-C102</f>
        <v>-42539.108378220262</v>
      </c>
      <c r="D109" s="11"/>
      <c r="E109" s="12">
        <f>-E104</f>
        <v>-100500</v>
      </c>
      <c r="F109" s="30">
        <v>42039.108378220262</v>
      </c>
    </row>
    <row r="110" spans="1:9">
      <c r="A110" s="2" t="s">
        <v>122</v>
      </c>
      <c r="B110" s="11">
        <v>50000</v>
      </c>
      <c r="C110" s="12"/>
      <c r="D110" s="11"/>
      <c r="E110" s="12"/>
      <c r="F110" s="30">
        <f>-B110</f>
        <v>-50000</v>
      </c>
    </row>
    <row r="111" spans="1:9">
      <c r="A111" s="2" t="s">
        <v>177</v>
      </c>
      <c r="B111" s="11">
        <v>-50000</v>
      </c>
      <c r="C111" s="12"/>
      <c r="D111" s="11">
        <f>-D103</f>
        <v>50000</v>
      </c>
      <c r="E111" s="10"/>
      <c r="F111" s="30"/>
    </row>
    <row r="112" spans="1:9">
      <c r="B112" s="11"/>
      <c r="C112" s="10"/>
      <c r="D112" s="9"/>
      <c r="E112" s="12"/>
      <c r="F112" s="30"/>
    </row>
    <row r="113" spans="1:7" ht="15" thickBot="1">
      <c r="A113" s="3" t="s">
        <v>180</v>
      </c>
      <c r="B113" s="13">
        <f>SUM(B108:B111)</f>
        <v>-10823.691676577044</v>
      </c>
      <c r="C113" s="14">
        <f>SUM(C108:C111)</f>
        <v>-42539.108378220262</v>
      </c>
      <c r="D113" s="13">
        <f>SUM(D108:D111)</f>
        <v>50000</v>
      </c>
      <c r="E113" s="14">
        <f>SUM(E108:E111)</f>
        <v>-100500</v>
      </c>
      <c r="F113" s="31">
        <f>SUM(F108:F111)</f>
        <v>2862.8000547973061</v>
      </c>
      <c r="G113" s="6"/>
    </row>
    <row r="114" spans="1:7" ht="15" thickTop="1">
      <c r="B114" s="9"/>
      <c r="C114" s="10"/>
      <c r="D114" s="9"/>
      <c r="E114" s="12"/>
      <c r="F114" s="30"/>
    </row>
    <row r="115" spans="1:7">
      <c r="A115" s="2" t="s">
        <v>181</v>
      </c>
      <c r="B115" s="11">
        <f>B93+B108+B110</f>
        <v>-227297.52520811796</v>
      </c>
      <c r="C115" s="10"/>
      <c r="D115" s="9"/>
      <c r="E115" s="12"/>
      <c r="F115" s="30">
        <f>-B115</f>
        <v>227297.52520811796</v>
      </c>
    </row>
    <row r="116" spans="1:7">
      <c r="A116" s="2" t="s">
        <v>182</v>
      </c>
      <c r="B116" s="11"/>
      <c r="C116" s="12">
        <f>C94+C109</f>
        <v>212695.54189110134</v>
      </c>
      <c r="D116" s="9"/>
      <c r="E116" s="12"/>
      <c r="F116" s="30">
        <f>-C116</f>
        <v>-212695.54189110134</v>
      </c>
    </row>
    <row r="117" spans="1:7">
      <c r="A117" s="2" t="s">
        <v>183</v>
      </c>
      <c r="B117" s="9"/>
      <c r="C117" s="12"/>
      <c r="D117" s="11"/>
      <c r="E117" s="12">
        <f>E95+E109</f>
        <v>2502500</v>
      </c>
      <c r="F117" s="30"/>
    </row>
    <row r="118" spans="1:7" ht="15" thickBot="1">
      <c r="A118" s="3" t="s">
        <v>184</v>
      </c>
      <c r="B118" s="15">
        <f>SUM(B115:B117)</f>
        <v>-227297.52520811796</v>
      </c>
      <c r="C118" s="16">
        <f t="shared" ref="C118:F118" si="5">SUM(C115:C117)</f>
        <v>212695.54189110134</v>
      </c>
      <c r="D118" s="15">
        <f t="shared" si="5"/>
        <v>0</v>
      </c>
      <c r="E118" s="16">
        <f t="shared" si="5"/>
        <v>2502500</v>
      </c>
      <c r="F118" s="33">
        <f t="shared" si="5"/>
        <v>14601.983317016624</v>
      </c>
      <c r="G118" s="6"/>
    </row>
    <row r="120" spans="1:7" ht="15" thickBot="1">
      <c r="B120" s="271" t="s">
        <v>145</v>
      </c>
      <c r="C120" s="272"/>
      <c r="D120" s="3" t="s">
        <v>146</v>
      </c>
    </row>
    <row r="121" spans="1:7" ht="19.149999999999999" customHeight="1" thickBot="1">
      <c r="A121" s="39" t="s">
        <v>192</v>
      </c>
      <c r="B121" s="36" t="s">
        <v>148</v>
      </c>
      <c r="C121" s="38" t="s">
        <v>149</v>
      </c>
      <c r="D121" s="36" t="s">
        <v>150</v>
      </c>
      <c r="E121" s="37" t="s">
        <v>151</v>
      </c>
      <c r="F121" s="86" t="s">
        <v>152</v>
      </c>
      <c r="G121" s="5"/>
    </row>
    <row r="122" spans="1:7" ht="16.350000000000001">
      <c r="A122" s="124" t="s">
        <v>153</v>
      </c>
      <c r="B122" s="9"/>
      <c r="D122" s="9"/>
      <c r="E122" s="10"/>
      <c r="F122" s="12"/>
    </row>
    <row r="123" spans="1:7">
      <c r="A123" s="2" t="s">
        <v>154</v>
      </c>
      <c r="B123" s="11">
        <f>'Scenario and Data'!D106</f>
        <v>8864.8762604058993</v>
      </c>
      <c r="C123" s="10"/>
      <c r="D123" s="11"/>
      <c r="E123" s="10"/>
      <c r="F123" s="30">
        <f>-B123</f>
        <v>-8864.8762604058993</v>
      </c>
    </row>
    <row r="124" spans="1:7">
      <c r="A124" s="2" t="s">
        <v>156</v>
      </c>
      <c r="B124" s="9"/>
      <c r="C124" s="12">
        <f>-'Scenario and Data'!C134</f>
        <v>42539.108378220262</v>
      </c>
      <c r="D124" s="11"/>
      <c r="E124" s="12"/>
      <c r="F124" s="30">
        <f>-C124</f>
        <v>-42539.108378220262</v>
      </c>
    </row>
    <row r="125" spans="1:7">
      <c r="A125" s="2" t="s">
        <v>186</v>
      </c>
      <c r="B125" s="9"/>
      <c r="C125" s="10"/>
      <c r="D125" s="11">
        <f>-'Scenario and Data'!B227</f>
        <v>-50000</v>
      </c>
      <c r="E125" s="10"/>
      <c r="F125" s="30">
        <f>-D125</f>
        <v>50000</v>
      </c>
    </row>
    <row r="126" spans="1:7">
      <c r="A126" s="2" t="s">
        <v>187</v>
      </c>
      <c r="B126" s="9"/>
      <c r="C126" s="10"/>
      <c r="D126" s="9"/>
      <c r="E126" s="12">
        <f>-'Scenario and Data'!C208-'Scenario and Data'!E208</f>
        <v>100500</v>
      </c>
      <c r="F126" s="30"/>
    </row>
    <row r="127" spans="1:7" ht="15" thickBot="1">
      <c r="A127" s="3" t="s">
        <v>162</v>
      </c>
      <c r="B127" s="13">
        <f>SUM(B123:B126)</f>
        <v>8864.8762604058993</v>
      </c>
      <c r="C127" s="14">
        <f>SUM(C123:C126)</f>
        <v>42539.108378220262</v>
      </c>
      <c r="D127" s="13">
        <f>SUM(D123:D126)</f>
        <v>-50000</v>
      </c>
      <c r="E127" s="14">
        <f>SUM(E123:E126)</f>
        <v>100500</v>
      </c>
      <c r="F127" s="31">
        <f>SUM(F122:F126)</f>
        <v>-1403.9846386261634</v>
      </c>
      <c r="G127" s="6"/>
    </row>
    <row r="128" spans="1:7" ht="15.6" thickTop="1" thickBot="1">
      <c r="A128" s="3"/>
      <c r="B128" s="26"/>
      <c r="C128" s="26"/>
      <c r="D128" s="26"/>
      <c r="E128" s="26"/>
      <c r="F128" s="26"/>
      <c r="G128" s="6"/>
    </row>
    <row r="129" spans="1:7" ht="16.350000000000001">
      <c r="A129" s="124" t="s">
        <v>163</v>
      </c>
      <c r="B129" s="23"/>
      <c r="C129" s="24"/>
      <c r="D129" s="23"/>
      <c r="E129" s="25"/>
      <c r="F129" s="32"/>
    </row>
    <row r="130" spans="1:7">
      <c r="A130" s="2" t="s">
        <v>188</v>
      </c>
      <c r="B130" s="11">
        <f>-B123</f>
        <v>-8864.8762604058993</v>
      </c>
      <c r="C130" s="10"/>
      <c r="D130" s="11"/>
      <c r="E130" s="12"/>
      <c r="F130" s="30">
        <f>-B130</f>
        <v>8864.8762604058993</v>
      </c>
    </row>
    <row r="131" spans="1:7">
      <c r="A131" s="2" t="s">
        <v>131</v>
      </c>
      <c r="B131" s="9"/>
      <c r="C131" s="12">
        <f>-C124</f>
        <v>-42539.108378220262</v>
      </c>
      <c r="D131" s="11"/>
      <c r="E131" s="12">
        <f>-E126</f>
        <v>-100500</v>
      </c>
      <c r="F131" s="30">
        <v>42039.108378220262</v>
      </c>
    </row>
    <row r="132" spans="1:7">
      <c r="A132" s="2" t="s">
        <v>122</v>
      </c>
      <c r="B132" s="11">
        <v>50000</v>
      </c>
      <c r="C132" s="12"/>
      <c r="D132" s="11"/>
      <c r="E132" s="12"/>
      <c r="F132" s="30">
        <f>-B132</f>
        <v>-50000</v>
      </c>
    </row>
    <row r="133" spans="1:7">
      <c r="A133" s="2" t="s">
        <v>177</v>
      </c>
      <c r="B133" s="11">
        <v>-50000</v>
      </c>
      <c r="C133" s="12"/>
      <c r="D133" s="11">
        <f>-D125</f>
        <v>50000</v>
      </c>
      <c r="E133" s="10"/>
      <c r="F133" s="30"/>
    </row>
    <row r="134" spans="1:7">
      <c r="B134" s="11"/>
      <c r="C134" s="10"/>
      <c r="D134" s="9"/>
      <c r="E134" s="12"/>
      <c r="F134" s="30"/>
    </row>
    <row r="135" spans="1:7" ht="15" thickBot="1">
      <c r="A135" s="3" t="s">
        <v>180</v>
      </c>
      <c r="B135" s="13">
        <f>SUM(B130:B133)</f>
        <v>-8864.8762604059011</v>
      </c>
      <c r="C135" s="14">
        <f>SUM(C130:C133)</f>
        <v>-42539.108378220262</v>
      </c>
      <c r="D135" s="13">
        <f>SUM(D130:D133)</f>
        <v>50000</v>
      </c>
      <c r="E135" s="14">
        <f>SUM(E130:E133)</f>
        <v>-100500</v>
      </c>
      <c r="F135" s="31">
        <f>SUM(F130:F133)</f>
        <v>903.98463862616336</v>
      </c>
      <c r="G135" s="6"/>
    </row>
    <row r="136" spans="1:7" ht="15" thickTop="1">
      <c r="B136" s="9"/>
      <c r="C136" s="10"/>
      <c r="D136" s="9"/>
      <c r="E136" s="12"/>
      <c r="F136" s="30"/>
    </row>
    <row r="137" spans="1:7">
      <c r="A137" s="2" t="s">
        <v>181</v>
      </c>
      <c r="B137" s="11">
        <f>B115+B130+B132</f>
        <v>-186162.40146852387</v>
      </c>
      <c r="C137" s="10"/>
      <c r="D137" s="9"/>
      <c r="E137" s="12"/>
      <c r="F137" s="30">
        <f>-B137</f>
        <v>186162.40146852387</v>
      </c>
    </row>
    <row r="138" spans="1:7">
      <c r="A138" s="2" t="s">
        <v>182</v>
      </c>
      <c r="B138" s="11"/>
      <c r="C138" s="12">
        <f>C116+C131</f>
        <v>170156.43351288108</v>
      </c>
      <c r="D138" s="9"/>
      <c r="E138" s="12"/>
      <c r="F138" s="30">
        <f>-C138</f>
        <v>-170156.43351288108</v>
      </c>
    </row>
    <row r="139" spans="1:7">
      <c r="A139" s="2" t="s">
        <v>183</v>
      </c>
      <c r="B139" s="9"/>
      <c r="C139" s="12"/>
      <c r="D139" s="11"/>
      <c r="E139" s="12">
        <f>E117+E131</f>
        <v>2402000</v>
      </c>
      <c r="F139" s="30"/>
    </row>
    <row r="140" spans="1:7" ht="15" thickBot="1">
      <c r="A140" s="3" t="s">
        <v>184</v>
      </c>
      <c r="B140" s="15">
        <f>SUM(B137:B139)</f>
        <v>-186162.40146852387</v>
      </c>
      <c r="C140" s="16">
        <f t="shared" ref="C140:F140" si="6">SUM(C137:C139)</f>
        <v>170156.43351288108</v>
      </c>
      <c r="D140" s="15">
        <f t="shared" si="6"/>
        <v>0</v>
      </c>
      <c r="E140" s="16">
        <f t="shared" si="6"/>
        <v>2402000</v>
      </c>
      <c r="F140" s="33">
        <f t="shared" si="6"/>
        <v>16005.967955642787</v>
      </c>
      <c r="G140" s="6"/>
    </row>
    <row r="142" spans="1:7" ht="15" thickBot="1">
      <c r="B142" s="271" t="s">
        <v>145</v>
      </c>
      <c r="C142" s="272"/>
      <c r="D142" s="3" t="s">
        <v>146</v>
      </c>
    </row>
    <row r="143" spans="1:7" ht="17.100000000000001" customHeight="1" thickBot="1">
      <c r="A143" s="39" t="s">
        <v>193</v>
      </c>
      <c r="B143" s="36" t="s">
        <v>148</v>
      </c>
      <c r="C143" s="38" t="s">
        <v>149</v>
      </c>
      <c r="D143" s="36" t="s">
        <v>150</v>
      </c>
      <c r="E143" s="37" t="s">
        <v>151</v>
      </c>
      <c r="F143" s="86" t="s">
        <v>152</v>
      </c>
      <c r="G143" s="5"/>
    </row>
    <row r="144" spans="1:7" ht="16.350000000000001">
      <c r="A144" s="124" t="s">
        <v>153</v>
      </c>
      <c r="B144" s="9"/>
      <c r="D144" s="9"/>
      <c r="E144" s="10"/>
      <c r="F144" s="12"/>
    </row>
    <row r="145" spans="1:8">
      <c r="A145" s="2" t="s">
        <v>154</v>
      </c>
      <c r="B145" s="11">
        <f>'Scenario and Data'!D162</f>
        <v>8169.7440881114344</v>
      </c>
      <c r="C145" s="10"/>
      <c r="D145" s="11"/>
      <c r="E145" s="10"/>
      <c r="F145" s="30">
        <f>-B145</f>
        <v>-8169.7440881114344</v>
      </c>
    </row>
    <row r="146" spans="1:8">
      <c r="A146" s="2" t="s">
        <v>194</v>
      </c>
      <c r="B146" s="9"/>
      <c r="C146" s="12">
        <f>-'Scenario and Data'!C185</f>
        <v>51847.228451646472</v>
      </c>
      <c r="D146" s="11"/>
      <c r="E146" s="12"/>
      <c r="F146" s="30">
        <f>-C146</f>
        <v>-51847.228451646472</v>
      </c>
      <c r="H146" s="2" t="s">
        <v>195</v>
      </c>
    </row>
    <row r="147" spans="1:8">
      <c r="A147" s="2" t="s">
        <v>158</v>
      </c>
      <c r="B147" s="9"/>
      <c r="C147" s="10"/>
      <c r="D147" s="11">
        <f>-'Scenario and Data'!B228</f>
        <v>-60000</v>
      </c>
      <c r="E147" s="10"/>
      <c r="F147" s="30">
        <f>-D147</f>
        <v>60000</v>
      </c>
    </row>
    <row r="148" spans="1:8">
      <c r="A148" s="2" t="s">
        <v>160</v>
      </c>
      <c r="B148" s="9"/>
      <c r="C148" s="10"/>
      <c r="D148" s="9"/>
      <c r="E148" s="12">
        <f>-'Scenario and Data'!C209-'Scenario and Data'!E209</f>
        <v>100500</v>
      </c>
      <c r="F148" s="30"/>
    </row>
    <row r="149" spans="1:8" ht="15" thickBot="1">
      <c r="A149" s="3" t="s">
        <v>162</v>
      </c>
      <c r="B149" s="13">
        <f>SUM(B145:B148)</f>
        <v>8169.7440881114344</v>
      </c>
      <c r="C149" s="14">
        <f>SUM(C145:C148)</f>
        <v>51847.228451646472</v>
      </c>
      <c r="D149" s="13">
        <f>SUM(D145:D148)</f>
        <v>-60000</v>
      </c>
      <c r="E149" s="14">
        <f>SUM(E145:E148)</f>
        <v>100500</v>
      </c>
      <c r="F149" s="31">
        <f>SUM(F144:F148)</f>
        <v>-16.972539757902268</v>
      </c>
      <c r="G149" s="6"/>
    </row>
    <row r="150" spans="1:8" ht="15.6" thickTop="1" thickBot="1">
      <c r="A150" s="3"/>
      <c r="B150" s="26"/>
      <c r="C150" s="26"/>
      <c r="D150" s="26"/>
      <c r="E150" s="26"/>
      <c r="F150" s="26"/>
      <c r="G150" s="6"/>
    </row>
    <row r="151" spans="1:8" ht="16.350000000000001">
      <c r="A151" s="124" t="s">
        <v>163</v>
      </c>
      <c r="B151" s="23"/>
      <c r="C151" s="24"/>
      <c r="D151" s="23"/>
      <c r="E151" s="25"/>
      <c r="F151" s="32"/>
    </row>
    <row r="152" spans="1:8">
      <c r="A152" s="2" t="s">
        <v>196</v>
      </c>
      <c r="B152" s="9"/>
      <c r="C152" s="12">
        <f>'Scenario and Data'!A175</f>
        <v>37232.480293704808</v>
      </c>
      <c r="D152" s="9"/>
      <c r="E152" s="12"/>
      <c r="F152" s="30">
        <f>-C152</f>
        <v>-37232.480293704808</v>
      </c>
      <c r="H152" s="2" t="s">
        <v>197</v>
      </c>
    </row>
    <row r="153" spans="1:8">
      <c r="A153" s="2" t="s">
        <v>21</v>
      </c>
      <c r="B153" s="11">
        <f>-'Scenario and Data'!B176</f>
        <v>-37232.480293704808</v>
      </c>
      <c r="C153" s="10"/>
      <c r="D153" s="9"/>
      <c r="E153" s="12"/>
      <c r="F153" s="30">
        <f>-B153</f>
        <v>37232.480293704808</v>
      </c>
      <c r="H153" s="2" t="s">
        <v>198</v>
      </c>
    </row>
    <row r="154" spans="1:8">
      <c r="A154" s="2" t="s">
        <v>188</v>
      </c>
      <c r="B154" s="11">
        <f>-'Scenario and Data'!D162</f>
        <v>-8169.7440881114344</v>
      </c>
      <c r="C154" s="10"/>
      <c r="D154" s="11"/>
      <c r="E154" s="12"/>
      <c r="F154" s="30">
        <f>-B154</f>
        <v>8169.7440881114344</v>
      </c>
    </row>
    <row r="155" spans="1:8">
      <c r="A155" s="2" t="s">
        <v>131</v>
      </c>
      <c r="B155" s="9"/>
      <c r="C155" s="12">
        <f>'Scenario and Data'!C185</f>
        <v>-51847.228451646472</v>
      </c>
      <c r="D155" s="11"/>
      <c r="E155" s="12">
        <f>-E148</f>
        <v>-100500</v>
      </c>
      <c r="F155" s="30">
        <f>-C155</f>
        <v>51847.228451646472</v>
      </c>
    </row>
    <row r="156" spans="1:8">
      <c r="A156" s="2" t="s">
        <v>122</v>
      </c>
      <c r="B156" s="11">
        <f>-B157</f>
        <v>60000</v>
      </c>
      <c r="C156" s="12"/>
      <c r="D156" s="11"/>
      <c r="E156" s="12"/>
      <c r="F156" s="30">
        <f>-B156</f>
        <v>-60000</v>
      </c>
      <c r="H156" s="2" t="s">
        <v>199</v>
      </c>
    </row>
    <row r="157" spans="1:8">
      <c r="A157" s="2" t="s">
        <v>177</v>
      </c>
      <c r="B157" s="11">
        <f>-'Scenario and Data'!B151</f>
        <v>-60000</v>
      </c>
      <c r="C157" s="12"/>
      <c r="D157" s="11">
        <f>-D147</f>
        <v>60000</v>
      </c>
      <c r="E157" s="10"/>
      <c r="F157" s="30"/>
    </row>
    <row r="158" spans="1:8">
      <c r="B158" s="11"/>
      <c r="C158" s="10"/>
      <c r="D158" s="9"/>
      <c r="E158" s="12"/>
      <c r="F158" s="30"/>
    </row>
    <row r="159" spans="1:8" ht="15" thickBot="1">
      <c r="A159" s="3" t="s">
        <v>180</v>
      </c>
      <c r="B159" s="13">
        <f>SUM(B154:B157)</f>
        <v>-8169.7440881114308</v>
      </c>
      <c r="C159" s="14">
        <f>SUM(C154:C157)</f>
        <v>-51847.228451646472</v>
      </c>
      <c r="D159" s="13">
        <f>SUM(D154:D157)</f>
        <v>60000</v>
      </c>
      <c r="E159" s="14">
        <f>SUM(E154:E157)</f>
        <v>-100500</v>
      </c>
      <c r="F159" s="31">
        <f>SUM(F152:L157)</f>
        <v>16.972539757902268</v>
      </c>
      <c r="G159" s="6"/>
    </row>
    <row r="160" spans="1:8" ht="15" thickTop="1">
      <c r="B160" s="9"/>
      <c r="C160" s="10"/>
      <c r="D160" s="9"/>
      <c r="E160" s="12"/>
      <c r="F160" s="30"/>
    </row>
    <row r="161" spans="1:7">
      <c r="A161" s="2" t="s">
        <v>181</v>
      </c>
      <c r="B161" s="11">
        <f>B137+B154+B156+B153</f>
        <v>-171564.62585034012</v>
      </c>
      <c r="C161" s="10"/>
      <c r="D161" s="9"/>
      <c r="E161" s="12"/>
      <c r="F161" s="30">
        <f>-B161</f>
        <v>171564.62585034012</v>
      </c>
    </row>
    <row r="162" spans="1:7">
      <c r="A162" s="2" t="s">
        <v>182</v>
      </c>
      <c r="B162" s="11"/>
      <c r="C162" s="12">
        <f>C138+C155+C152</f>
        <v>155541.68535493943</v>
      </c>
      <c r="D162" s="9"/>
      <c r="E162" s="12"/>
      <c r="F162" s="30">
        <f>-C162</f>
        <v>-155541.68535493943</v>
      </c>
    </row>
    <row r="163" spans="1:7">
      <c r="A163" s="2" t="s">
        <v>183</v>
      </c>
      <c r="B163" s="9"/>
      <c r="C163" s="12"/>
      <c r="D163" s="11"/>
      <c r="E163" s="12">
        <f>E139+E155</f>
        <v>2301500</v>
      </c>
      <c r="F163" s="30"/>
    </row>
    <row r="164" spans="1:7" ht="15" thickBot="1">
      <c r="A164" s="3" t="s">
        <v>184</v>
      </c>
      <c r="B164" s="15">
        <f>SUM(B161:B163)</f>
        <v>-171564.62585034012</v>
      </c>
      <c r="C164" s="16">
        <f t="shared" ref="C164:F164" si="7">SUM(C161:C163)</f>
        <v>155541.68535493943</v>
      </c>
      <c r="D164" s="15">
        <f t="shared" si="7"/>
        <v>0</v>
      </c>
      <c r="E164" s="16">
        <f t="shared" si="7"/>
        <v>2301500</v>
      </c>
      <c r="F164" s="33">
        <f t="shared" si="7"/>
        <v>16022.94049540069</v>
      </c>
      <c r="G164" s="6"/>
    </row>
    <row r="166" spans="1:7" ht="15" thickBot="1">
      <c r="B166" s="271" t="s">
        <v>145</v>
      </c>
      <c r="C166" s="272"/>
      <c r="D166" s="3" t="s">
        <v>146</v>
      </c>
    </row>
    <row r="167" spans="1:7" ht="15" thickBot="1">
      <c r="A167" s="39" t="s">
        <v>200</v>
      </c>
      <c r="B167" s="36" t="s">
        <v>148</v>
      </c>
      <c r="C167" s="38" t="s">
        <v>149</v>
      </c>
      <c r="D167" s="36" t="s">
        <v>150</v>
      </c>
      <c r="E167" s="37" t="s">
        <v>151</v>
      </c>
      <c r="F167" s="86" t="s">
        <v>152</v>
      </c>
      <c r="G167" s="5"/>
    </row>
    <row r="168" spans="1:7" ht="16.350000000000001">
      <c r="A168" s="124" t="s">
        <v>153</v>
      </c>
      <c r="B168" s="9"/>
      <c r="D168" s="9"/>
      <c r="E168" s="10"/>
      <c r="F168" s="12"/>
    </row>
    <row r="169" spans="1:7">
      <c r="A169" s="2" t="s">
        <v>154</v>
      </c>
      <c r="B169" s="11">
        <f>'Scenario and Data'!D163</f>
        <v>5578.2312925170063</v>
      </c>
      <c r="C169" s="10"/>
      <c r="D169" s="11"/>
      <c r="E169" s="10"/>
      <c r="F169" s="30">
        <f>-B169</f>
        <v>-5578.2312925170063</v>
      </c>
    </row>
    <row r="170" spans="1:7">
      <c r="A170" s="2" t="s">
        <v>156</v>
      </c>
      <c r="B170" s="9"/>
      <c r="C170" s="12">
        <f>-'Scenario and Data'!C186</f>
        <v>51847.228451646472</v>
      </c>
      <c r="D170" s="11"/>
      <c r="E170" s="12"/>
      <c r="F170" s="30">
        <f>-C170</f>
        <v>-51847.228451646472</v>
      </c>
    </row>
    <row r="171" spans="1:7">
      <c r="A171" s="2" t="s">
        <v>158</v>
      </c>
      <c r="B171" s="9"/>
      <c r="C171" s="10"/>
      <c r="D171" s="11">
        <f>-'Scenario and Data'!B229</f>
        <v>-60000</v>
      </c>
      <c r="E171" s="10"/>
      <c r="F171" s="30">
        <f>-D171</f>
        <v>60000</v>
      </c>
    </row>
    <row r="172" spans="1:7">
      <c r="A172" s="2" t="s">
        <v>160</v>
      </c>
      <c r="B172" s="9"/>
      <c r="C172" s="10"/>
      <c r="D172" s="9"/>
      <c r="E172" s="12">
        <f>-'Scenario and Data'!C210-'Scenario and Data'!E210</f>
        <v>100500</v>
      </c>
      <c r="F172" s="30"/>
    </row>
    <row r="173" spans="1:7" ht="15" thickBot="1">
      <c r="A173" s="3" t="s">
        <v>162</v>
      </c>
      <c r="B173" s="13">
        <f>SUM(B169:B172)</f>
        <v>5578.2312925170063</v>
      </c>
      <c r="C173" s="14">
        <f>SUM(C169:C172)</f>
        <v>51847.228451646472</v>
      </c>
      <c r="D173" s="13">
        <f>SUM(D169:D172)</f>
        <v>-60000</v>
      </c>
      <c r="E173" s="14">
        <f>SUM(E169:E172)</f>
        <v>100500</v>
      </c>
      <c r="F173" s="31">
        <f>SUM(F168:F172)</f>
        <v>2574.540255836524</v>
      </c>
      <c r="G173" s="6"/>
    </row>
    <row r="174" spans="1:7" ht="15.6" thickTop="1" thickBot="1">
      <c r="A174" s="3"/>
      <c r="B174" s="26"/>
      <c r="C174" s="26"/>
      <c r="D174" s="26"/>
      <c r="E174" s="26"/>
      <c r="F174" s="26"/>
      <c r="G174" s="6"/>
    </row>
    <row r="175" spans="1:7" ht="16.350000000000001">
      <c r="A175" s="124" t="s">
        <v>163</v>
      </c>
      <c r="B175" s="23"/>
      <c r="C175" s="24"/>
      <c r="D175" s="23"/>
      <c r="E175" s="25"/>
      <c r="F175" s="32"/>
    </row>
    <row r="176" spans="1:7">
      <c r="A176" s="2" t="s">
        <v>188</v>
      </c>
      <c r="B176" s="11">
        <f>-B169</f>
        <v>-5578.2312925170063</v>
      </c>
      <c r="C176" s="10"/>
      <c r="D176" s="11"/>
      <c r="E176" s="12"/>
      <c r="F176" s="30">
        <f>-B176</f>
        <v>5578.2312925170063</v>
      </c>
    </row>
    <row r="177" spans="1:7">
      <c r="A177" s="2" t="s">
        <v>131</v>
      </c>
      <c r="B177" s="9"/>
      <c r="C177" s="12">
        <f>'Scenario and Data'!C186</f>
        <v>-51847.228451646472</v>
      </c>
      <c r="D177" s="11"/>
      <c r="E177" s="12">
        <f>-E172</f>
        <v>-100500</v>
      </c>
      <c r="F177" s="30">
        <f>-C177</f>
        <v>51847.228451646472</v>
      </c>
    </row>
    <row r="178" spans="1:7">
      <c r="A178" s="2" t="s">
        <v>122</v>
      </c>
      <c r="B178" s="11">
        <f>-B179</f>
        <v>60000</v>
      </c>
      <c r="C178" s="12"/>
      <c r="D178" s="11"/>
      <c r="E178" s="12"/>
      <c r="F178" s="30">
        <f>-B178</f>
        <v>-60000</v>
      </c>
    </row>
    <row r="179" spans="1:7">
      <c r="A179" s="2" t="s">
        <v>177</v>
      </c>
      <c r="B179" s="11">
        <f>-'Scenario and Data'!B152</f>
        <v>-60000</v>
      </c>
      <c r="C179" s="12"/>
      <c r="D179" s="11">
        <f>-D171</f>
        <v>60000</v>
      </c>
      <c r="E179" s="10"/>
      <c r="F179" s="30"/>
    </row>
    <row r="180" spans="1:7">
      <c r="B180" s="11"/>
      <c r="C180" s="10"/>
      <c r="D180" s="9"/>
      <c r="E180" s="12"/>
      <c r="F180" s="30"/>
    </row>
    <row r="181" spans="1:7" ht="15" thickBot="1">
      <c r="A181" s="3" t="s">
        <v>180</v>
      </c>
      <c r="B181" s="13">
        <f>SUM(B176:B179)</f>
        <v>-5578.2312925170045</v>
      </c>
      <c r="C181" s="14">
        <f>SUM(C176:C179)</f>
        <v>-51847.228451646472</v>
      </c>
      <c r="D181" s="13">
        <f>SUM(D176:D179)</f>
        <v>60000</v>
      </c>
      <c r="E181" s="14">
        <f>SUM(E176:E179)</f>
        <v>-100500</v>
      </c>
      <c r="F181" s="31">
        <f>SUM(F176:F179)</f>
        <v>-2574.540255836524</v>
      </c>
      <c r="G181" s="6"/>
    </row>
    <row r="182" spans="1:7" ht="15" thickTop="1">
      <c r="B182" s="9"/>
      <c r="C182" s="10"/>
      <c r="D182" s="9"/>
      <c r="E182" s="12"/>
      <c r="F182" s="30"/>
    </row>
    <row r="183" spans="1:7">
      <c r="A183" s="2" t="s">
        <v>181</v>
      </c>
      <c r="B183" s="11">
        <f>B161+B176+B178</f>
        <v>-117142.85714285713</v>
      </c>
      <c r="C183" s="10"/>
      <c r="D183" s="9"/>
      <c r="E183" s="12"/>
      <c r="F183" s="30">
        <f>-B183</f>
        <v>117142.85714285713</v>
      </c>
    </row>
    <row r="184" spans="1:7">
      <c r="A184" s="2" t="s">
        <v>182</v>
      </c>
      <c r="B184" s="11"/>
      <c r="C184" s="12">
        <f>C162+C177</f>
        <v>103694.45690329296</v>
      </c>
      <c r="D184" s="9"/>
      <c r="E184" s="12"/>
      <c r="F184" s="30">
        <f>-C184</f>
        <v>-103694.45690329296</v>
      </c>
    </row>
    <row r="185" spans="1:7">
      <c r="A185" s="2" t="s">
        <v>183</v>
      </c>
      <c r="B185" s="9"/>
      <c r="C185" s="12"/>
      <c r="D185" s="11"/>
      <c r="E185" s="12">
        <f>E163+E177</f>
        <v>2201000</v>
      </c>
      <c r="F185" s="30"/>
    </row>
    <row r="186" spans="1:7" ht="15" thickBot="1">
      <c r="A186" s="3" t="s">
        <v>184</v>
      </c>
      <c r="B186" s="15">
        <f>SUM(B183:B185)</f>
        <v>-117142.85714285713</v>
      </c>
      <c r="C186" s="16">
        <f t="shared" ref="C186:F186" si="8">SUM(C183:C185)</f>
        <v>103694.45690329296</v>
      </c>
      <c r="D186" s="15">
        <f t="shared" si="8"/>
        <v>0</v>
      </c>
      <c r="E186" s="16">
        <f t="shared" si="8"/>
        <v>2201000</v>
      </c>
      <c r="F186" s="33">
        <f t="shared" si="8"/>
        <v>13448.400239564173</v>
      </c>
      <c r="G186" s="6"/>
    </row>
    <row r="188" spans="1:7" ht="15" thickBot="1">
      <c r="B188" s="271" t="s">
        <v>145</v>
      </c>
      <c r="C188" s="272"/>
      <c r="D188" s="3" t="s">
        <v>146</v>
      </c>
    </row>
    <row r="189" spans="1:7" ht="15" thickBot="1">
      <c r="A189" s="39" t="s">
        <v>201</v>
      </c>
      <c r="B189" s="36" t="s">
        <v>148</v>
      </c>
      <c r="C189" s="38" t="s">
        <v>149</v>
      </c>
      <c r="D189" s="36" t="s">
        <v>150</v>
      </c>
      <c r="E189" s="37" t="s">
        <v>151</v>
      </c>
      <c r="F189" s="86" t="s">
        <v>152</v>
      </c>
      <c r="G189" s="5"/>
    </row>
    <row r="190" spans="1:7" ht="16.350000000000001">
      <c r="A190" s="124" t="s">
        <v>153</v>
      </c>
      <c r="B190" s="9"/>
      <c r="D190" s="9"/>
      <c r="E190" s="10"/>
      <c r="F190" s="12"/>
    </row>
    <row r="191" spans="1:7">
      <c r="A191" s="2" t="s">
        <v>154</v>
      </c>
      <c r="B191" s="11">
        <f>'Scenario and Data'!D164</f>
        <v>2857.1428571428569</v>
      </c>
      <c r="C191" s="10"/>
      <c r="D191" s="11"/>
      <c r="E191" s="10"/>
      <c r="F191" s="30">
        <f>-B191</f>
        <v>-2857.1428571428569</v>
      </c>
    </row>
    <row r="192" spans="1:7">
      <c r="A192" s="2" t="s">
        <v>156</v>
      </c>
      <c r="B192" s="9"/>
      <c r="C192" s="12">
        <f>-'Scenario and Data'!C187</f>
        <v>51847.228451646472</v>
      </c>
      <c r="D192" s="11"/>
      <c r="E192" s="12"/>
      <c r="F192" s="30">
        <f>-C192</f>
        <v>-51847.228451646472</v>
      </c>
    </row>
    <row r="193" spans="1:7">
      <c r="A193" s="2" t="s">
        <v>158</v>
      </c>
      <c r="B193" s="9"/>
      <c r="C193" s="10"/>
      <c r="D193" s="11">
        <f>-'Scenario and Data'!B230</f>
        <v>-60000</v>
      </c>
      <c r="E193" s="10"/>
      <c r="F193" s="30">
        <f>-D193</f>
        <v>60000</v>
      </c>
    </row>
    <row r="194" spans="1:7">
      <c r="A194" s="2" t="s">
        <v>160</v>
      </c>
      <c r="B194" s="9"/>
      <c r="C194" s="10"/>
      <c r="D194" s="9"/>
      <c r="E194" s="12">
        <f>-'Scenario and Data'!C211-'Scenario and Data'!E211</f>
        <v>100500</v>
      </c>
      <c r="F194" s="30"/>
    </row>
    <row r="195" spans="1:7" ht="15" thickBot="1">
      <c r="A195" s="3" t="s">
        <v>162</v>
      </c>
      <c r="B195" s="13">
        <f>SUM(B191:B194)</f>
        <v>2857.1428571428569</v>
      </c>
      <c r="C195" s="14">
        <f>SUM(C191:C194)</f>
        <v>51847.228451646472</v>
      </c>
      <c r="D195" s="13">
        <f>SUM(D191:D194)</f>
        <v>-60000</v>
      </c>
      <c r="E195" s="14">
        <f>SUM(E191:E194)</f>
        <v>100500</v>
      </c>
      <c r="F195" s="31">
        <f>SUM(F190:F194)</f>
        <v>5295.6286912106734</v>
      </c>
      <c r="G195" s="6"/>
    </row>
    <row r="196" spans="1:7" ht="15.6" thickTop="1" thickBot="1">
      <c r="A196" s="3"/>
      <c r="B196" s="26"/>
      <c r="C196" s="26"/>
      <c r="D196" s="26"/>
      <c r="E196" s="26"/>
      <c r="F196" s="26"/>
      <c r="G196" s="6"/>
    </row>
    <row r="197" spans="1:7" ht="16.350000000000001">
      <c r="A197" s="124" t="s">
        <v>163</v>
      </c>
      <c r="B197" s="23"/>
      <c r="C197" s="24"/>
      <c r="D197" s="23"/>
      <c r="E197" s="25"/>
      <c r="F197" s="32"/>
    </row>
    <row r="198" spans="1:7">
      <c r="A198" s="2" t="s">
        <v>188</v>
      </c>
      <c r="B198" s="11">
        <f>-B191</f>
        <v>-2857.1428571428569</v>
      </c>
      <c r="C198" s="10"/>
      <c r="D198" s="11"/>
      <c r="E198" s="12"/>
      <c r="F198" s="30">
        <f>-B198</f>
        <v>2857.1428571428569</v>
      </c>
    </row>
    <row r="199" spans="1:7">
      <c r="A199" s="2" t="s">
        <v>131</v>
      </c>
      <c r="B199" s="9"/>
      <c r="C199" s="12">
        <f>-C192</f>
        <v>-51847.228451646472</v>
      </c>
      <c r="D199" s="11"/>
      <c r="E199" s="12">
        <f>-E194</f>
        <v>-100500</v>
      </c>
      <c r="F199" s="30">
        <f>-C199</f>
        <v>51847.228451646472</v>
      </c>
    </row>
    <row r="200" spans="1:7">
      <c r="A200" s="2" t="s">
        <v>122</v>
      </c>
      <c r="B200" s="11">
        <f>-B201</f>
        <v>60000</v>
      </c>
      <c r="C200" s="12"/>
      <c r="D200" s="11"/>
      <c r="E200" s="12"/>
      <c r="F200" s="30">
        <f>-B200</f>
        <v>-60000</v>
      </c>
    </row>
    <row r="201" spans="1:7">
      <c r="A201" s="2" t="s">
        <v>177</v>
      </c>
      <c r="B201" s="11">
        <f>-'Scenario and Data'!B153</f>
        <v>-60000</v>
      </c>
      <c r="C201" s="12"/>
      <c r="D201" s="11">
        <f>-D193</f>
        <v>60000</v>
      </c>
      <c r="E201" s="10"/>
      <c r="F201" s="30"/>
    </row>
    <row r="202" spans="1:7">
      <c r="B202" s="11"/>
      <c r="C202" s="10"/>
      <c r="D202" s="9"/>
      <c r="E202" s="12"/>
      <c r="F202" s="30"/>
    </row>
    <row r="203" spans="1:7" ht="15" thickBot="1">
      <c r="A203" s="3" t="s">
        <v>180</v>
      </c>
      <c r="B203" s="13">
        <f>SUM(B198:B201)</f>
        <v>-2857.1428571428551</v>
      </c>
      <c r="C203" s="14">
        <f>SUM(C198:C201)</f>
        <v>-51847.228451646472</v>
      </c>
      <c r="D203" s="13">
        <f>SUM(D198:D201)</f>
        <v>60000</v>
      </c>
      <c r="E203" s="14">
        <f>SUM(E198:E201)</f>
        <v>-100500</v>
      </c>
      <c r="F203" s="31">
        <f>SUM(F198:F202)</f>
        <v>-5295.6286912106734</v>
      </c>
      <c r="G203" s="6"/>
    </row>
    <row r="204" spans="1:7" ht="15" thickTop="1">
      <c r="B204" s="9"/>
      <c r="C204" s="10"/>
      <c r="D204" s="9"/>
      <c r="E204" s="12"/>
      <c r="F204" s="30"/>
    </row>
    <row r="205" spans="1:7">
      <c r="A205" s="2" t="s">
        <v>181</v>
      </c>
      <c r="B205" s="11">
        <f>B183+B198+B200</f>
        <v>-59999.999999999985</v>
      </c>
      <c r="C205" s="10"/>
      <c r="D205" s="9"/>
      <c r="E205" s="12"/>
      <c r="F205" s="30">
        <f>-B205</f>
        <v>59999.999999999985</v>
      </c>
    </row>
    <row r="206" spans="1:7">
      <c r="A206" s="2" t="s">
        <v>182</v>
      </c>
      <c r="B206" s="11"/>
      <c r="C206" s="12">
        <f>C184+C199</f>
        <v>51847.228451646486</v>
      </c>
      <c r="D206" s="9"/>
      <c r="E206" s="12"/>
      <c r="F206" s="30">
        <f>-C206</f>
        <v>-51847.228451646486</v>
      </c>
    </row>
    <row r="207" spans="1:7">
      <c r="A207" s="2" t="s">
        <v>183</v>
      </c>
      <c r="B207" s="9"/>
      <c r="C207" s="12"/>
      <c r="D207" s="11"/>
      <c r="E207" s="12">
        <f>E185+E199</f>
        <v>2100500</v>
      </c>
      <c r="F207" s="30"/>
    </row>
    <row r="208" spans="1:7" ht="15" thickBot="1">
      <c r="A208" s="3" t="s">
        <v>184</v>
      </c>
      <c r="B208" s="15">
        <f>SUM(B205:B207)</f>
        <v>-59999.999999999985</v>
      </c>
      <c r="C208" s="16">
        <f t="shared" ref="C208:F208" si="9">SUM(C205:C207)</f>
        <v>51847.228451646486</v>
      </c>
      <c r="D208" s="15">
        <f t="shared" si="9"/>
        <v>0</v>
      </c>
      <c r="E208" s="16">
        <f t="shared" si="9"/>
        <v>2100500</v>
      </c>
      <c r="F208" s="33">
        <f t="shared" si="9"/>
        <v>8152.7715483534994</v>
      </c>
      <c r="G208" s="6"/>
    </row>
    <row r="210" spans="1:7" ht="15" thickBot="1">
      <c r="B210" s="271" t="s">
        <v>145</v>
      </c>
      <c r="C210" s="272"/>
      <c r="D210" s="3" t="s">
        <v>146</v>
      </c>
    </row>
    <row r="211" spans="1:7" ht="15" thickBot="1">
      <c r="A211" s="39" t="s">
        <v>202</v>
      </c>
      <c r="B211" s="36" t="s">
        <v>148</v>
      </c>
      <c r="C211" s="38" t="s">
        <v>149</v>
      </c>
      <c r="D211" s="36" t="s">
        <v>150</v>
      </c>
      <c r="E211" s="37" t="s">
        <v>151</v>
      </c>
      <c r="F211" s="86" t="s">
        <v>152</v>
      </c>
      <c r="G211" s="5"/>
    </row>
    <row r="212" spans="1:7" ht="16.350000000000001">
      <c r="A212" s="124" t="s">
        <v>153</v>
      </c>
      <c r="B212" s="9"/>
      <c r="D212" s="9"/>
      <c r="E212" s="10"/>
      <c r="F212" s="12"/>
    </row>
    <row r="213" spans="1:7">
      <c r="A213" s="2" t="s">
        <v>154</v>
      </c>
      <c r="B213" s="11">
        <f>'Scenario and Data'!D165</f>
        <v>-7.2759576141834263E-13</v>
      </c>
      <c r="C213" s="10"/>
      <c r="D213" s="11"/>
      <c r="E213" s="10"/>
      <c r="F213" s="30">
        <f>-B213</f>
        <v>7.2759576141834263E-13</v>
      </c>
    </row>
    <row r="214" spans="1:7">
      <c r="A214" s="2" t="s">
        <v>156</v>
      </c>
      <c r="B214" s="9"/>
      <c r="C214" s="12">
        <f>-'Scenario and Data'!C188</f>
        <v>51847.228451646472</v>
      </c>
      <c r="D214" s="11"/>
      <c r="E214" s="12"/>
      <c r="F214" s="30">
        <f>-C214</f>
        <v>-51847.228451646472</v>
      </c>
    </row>
    <row r="215" spans="1:7">
      <c r="A215" s="2" t="s">
        <v>158</v>
      </c>
      <c r="B215" s="9"/>
      <c r="C215" s="10"/>
      <c r="D215" s="11">
        <f>-'Scenario and Data'!B231</f>
        <v>-60000</v>
      </c>
      <c r="E215" s="10"/>
      <c r="F215" s="30">
        <f>-D215</f>
        <v>60000</v>
      </c>
    </row>
    <row r="216" spans="1:7">
      <c r="A216" s="2" t="s">
        <v>160</v>
      </c>
      <c r="B216" s="9"/>
      <c r="C216" s="10"/>
      <c r="D216" s="9"/>
      <c r="E216" s="12">
        <f>-'Scenario and Data'!C212-'Scenario and Data'!E212</f>
        <v>100500</v>
      </c>
      <c r="F216" s="30"/>
    </row>
    <row r="217" spans="1:7" ht="15" thickBot="1">
      <c r="A217" s="3" t="s">
        <v>162</v>
      </c>
      <c r="B217" s="13">
        <f>SUM(B213:B216)</f>
        <v>-7.2759576141834263E-13</v>
      </c>
      <c r="C217" s="14">
        <f>SUM(C213:C216)</f>
        <v>51847.228451646472</v>
      </c>
      <c r="D217" s="13">
        <f>SUM(D213:D216)</f>
        <v>-60000</v>
      </c>
      <c r="E217" s="14">
        <f>SUM(E213:E216)</f>
        <v>100500</v>
      </c>
      <c r="F217" s="31">
        <f>SUM(F212:F216)</f>
        <v>8152.7715483535285</v>
      </c>
      <c r="G217" s="6"/>
    </row>
    <row r="218" spans="1:7" ht="15.6" thickTop="1" thickBot="1">
      <c r="A218" s="3"/>
      <c r="B218" s="26"/>
      <c r="C218" s="26"/>
      <c r="D218" s="26"/>
      <c r="E218" s="26"/>
      <c r="F218" s="26"/>
      <c r="G218" s="6"/>
    </row>
    <row r="219" spans="1:7" ht="16.350000000000001">
      <c r="A219" s="124" t="s">
        <v>163</v>
      </c>
      <c r="B219" s="23"/>
      <c r="C219" s="24"/>
      <c r="D219" s="23"/>
      <c r="E219" s="25"/>
      <c r="F219" s="32"/>
    </row>
    <row r="220" spans="1:7">
      <c r="A220" s="2" t="s">
        <v>188</v>
      </c>
      <c r="B220" s="11">
        <f>-B213</f>
        <v>7.2759576141834263E-13</v>
      </c>
      <c r="C220" s="10"/>
      <c r="D220" s="11">
        <v>0</v>
      </c>
      <c r="E220" s="12"/>
      <c r="F220" s="30">
        <f>-B220</f>
        <v>-7.2759576141834263E-13</v>
      </c>
    </row>
    <row r="221" spans="1:7">
      <c r="A221" s="2" t="s">
        <v>131</v>
      </c>
      <c r="B221" s="9"/>
      <c r="C221" s="12">
        <f>-C214</f>
        <v>-51847.228451646472</v>
      </c>
      <c r="D221" s="11"/>
      <c r="E221" s="12">
        <f>-E216</f>
        <v>-100500</v>
      </c>
      <c r="F221" s="30">
        <f>-C221</f>
        <v>51847.228451646472</v>
      </c>
    </row>
    <row r="222" spans="1:7">
      <c r="A222" s="2" t="s">
        <v>122</v>
      </c>
      <c r="B222" s="11">
        <f>-B223</f>
        <v>60000</v>
      </c>
      <c r="C222" s="12"/>
      <c r="D222" s="11"/>
      <c r="E222" s="12"/>
      <c r="F222" s="30">
        <f>-B222</f>
        <v>-60000</v>
      </c>
    </row>
    <row r="223" spans="1:7">
      <c r="A223" s="2" t="s">
        <v>177</v>
      </c>
      <c r="B223" s="11">
        <f>-'Scenario and Data'!B154</f>
        <v>-60000</v>
      </c>
      <c r="C223" s="12"/>
      <c r="D223" s="11">
        <f>-D215</f>
        <v>60000</v>
      </c>
      <c r="E223" s="10"/>
      <c r="F223" s="30"/>
    </row>
    <row r="224" spans="1:7">
      <c r="B224" s="11"/>
      <c r="C224" s="10"/>
      <c r="D224" s="9"/>
      <c r="E224" s="12"/>
      <c r="F224" s="30"/>
    </row>
    <row r="225" spans="1:7" ht="15" thickBot="1">
      <c r="A225" s="3" t="s">
        <v>180</v>
      </c>
      <c r="B225" s="13">
        <f>SUM(B220:B223)</f>
        <v>0</v>
      </c>
      <c r="C225" s="14">
        <f>SUM(C220:C223)</f>
        <v>-51847.228451646472</v>
      </c>
      <c r="D225" s="13">
        <f>SUM(D220:D223)</f>
        <v>60000</v>
      </c>
      <c r="E225" s="14">
        <f>SUM(E220:E223)</f>
        <v>-100500</v>
      </c>
      <c r="F225" s="31">
        <f>SUM(F220:F223)</f>
        <v>-8152.7715483535285</v>
      </c>
      <c r="G225" s="6"/>
    </row>
    <row r="226" spans="1:7" ht="15" thickTop="1">
      <c r="B226" s="9"/>
      <c r="C226" s="10"/>
      <c r="D226" s="9"/>
      <c r="E226" s="12"/>
      <c r="F226" s="30"/>
    </row>
    <row r="227" spans="1:7">
      <c r="A227" s="2" t="s">
        <v>181</v>
      </c>
      <c r="B227" s="11">
        <f>B205+B220+B222</f>
        <v>0</v>
      </c>
      <c r="C227" s="10"/>
      <c r="D227" s="9"/>
      <c r="E227" s="12"/>
      <c r="F227" s="30">
        <f>-B227</f>
        <v>0</v>
      </c>
    </row>
    <row r="228" spans="1:7">
      <c r="A228" s="2" t="s">
        <v>182</v>
      </c>
      <c r="B228" s="11"/>
      <c r="C228" s="12">
        <f>C206+C221</f>
        <v>0</v>
      </c>
      <c r="D228" s="9"/>
      <c r="E228" s="12"/>
      <c r="F228" s="30">
        <f>-C228</f>
        <v>0</v>
      </c>
    </row>
    <row r="229" spans="1:7">
      <c r="A229" s="2" t="s">
        <v>183</v>
      </c>
      <c r="B229" s="9"/>
      <c r="C229" s="12"/>
      <c r="D229" s="11"/>
      <c r="E229" s="12">
        <f>E207+E221</f>
        <v>2000000</v>
      </c>
      <c r="F229" s="30"/>
    </row>
    <row r="230" spans="1:7" ht="15" thickBot="1">
      <c r="A230" s="3" t="s">
        <v>184</v>
      </c>
      <c r="B230" s="15">
        <f>SUM(B227:B229)</f>
        <v>0</v>
      </c>
      <c r="C230" s="16">
        <f t="shared" ref="C230:F230" si="10">SUM(C227:C229)</f>
        <v>0</v>
      </c>
      <c r="D230" s="15">
        <f t="shared" si="10"/>
        <v>0</v>
      </c>
      <c r="E230" s="16">
        <f t="shared" si="10"/>
        <v>2000000</v>
      </c>
      <c r="F230" s="33">
        <f t="shared" si="10"/>
        <v>0</v>
      </c>
      <c r="G230" s="6"/>
    </row>
  </sheetData>
  <mergeCells count="10">
    <mergeCell ref="B32:C32"/>
    <mergeCell ref="B4:C4"/>
    <mergeCell ref="B54:C54"/>
    <mergeCell ref="B76:C76"/>
    <mergeCell ref="B210:C210"/>
    <mergeCell ref="B98:C98"/>
    <mergeCell ref="B120:C120"/>
    <mergeCell ref="B142:C142"/>
    <mergeCell ref="B166:C166"/>
    <mergeCell ref="B188:C18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73202-8600-4E31-987B-948B24D7170B}">
  <dimension ref="A1:T27"/>
  <sheetViews>
    <sheetView showGridLines="0" workbookViewId="0">
      <selection activeCell="A3" sqref="A3"/>
    </sheetView>
  </sheetViews>
  <sheetFormatPr defaultRowHeight="14.25" outlineLevelCol="1"/>
  <cols>
    <col min="1" max="1" width="24.42578125" customWidth="1"/>
    <col min="2" max="13" width="14.42578125" customWidth="1"/>
    <col min="14" max="17" width="14.42578125" hidden="1" customWidth="1" outlineLevel="1"/>
    <col min="18" max="19" width="8.85546875" hidden="1" customWidth="1" outlineLevel="1"/>
    <col min="20" max="20" width="8.85546875" collapsed="1"/>
  </cols>
  <sheetData>
    <row r="1" spans="1:19">
      <c r="A1" s="40" t="s">
        <v>203</v>
      </c>
    </row>
    <row r="3" spans="1:19">
      <c r="A3" s="90" t="s">
        <v>204</v>
      </c>
      <c r="D3" s="87" t="s">
        <v>205</v>
      </c>
    </row>
    <row r="5" spans="1:19" ht="15" thickBot="1"/>
    <row r="6" spans="1:19" ht="15" thickBot="1">
      <c r="A6" s="52" t="s">
        <v>206</v>
      </c>
      <c r="B6" s="279" t="s">
        <v>207</v>
      </c>
      <c r="C6" s="273"/>
      <c r="D6" s="273"/>
      <c r="E6" s="273"/>
      <c r="F6" s="273"/>
      <c r="G6" s="280"/>
      <c r="H6" s="281" t="s">
        <v>208</v>
      </c>
      <c r="I6" s="282"/>
      <c r="J6" s="282"/>
      <c r="K6" s="282"/>
      <c r="L6" s="282"/>
      <c r="M6" s="283"/>
      <c r="N6" s="116" t="s">
        <v>209</v>
      </c>
      <c r="O6" s="273" t="s">
        <v>210</v>
      </c>
      <c r="P6" s="273"/>
      <c r="Q6" s="274" t="s">
        <v>211</v>
      </c>
    </row>
    <row r="7" spans="1:19">
      <c r="A7" s="53" t="s">
        <v>212</v>
      </c>
      <c r="B7" s="284" t="s">
        <v>213</v>
      </c>
      <c r="C7" s="285"/>
      <c r="D7" s="276" t="s">
        <v>214</v>
      </c>
      <c r="E7" s="277"/>
      <c r="F7" s="277"/>
      <c r="G7" s="278"/>
      <c r="H7" s="42" t="s">
        <v>215</v>
      </c>
      <c r="I7" s="43" t="s">
        <v>216</v>
      </c>
      <c r="J7" s="43" t="s">
        <v>217</v>
      </c>
      <c r="K7" s="43" t="s">
        <v>218</v>
      </c>
      <c r="L7" s="43" t="s">
        <v>219</v>
      </c>
      <c r="M7" s="41" t="s">
        <v>220</v>
      </c>
      <c r="N7" s="117"/>
      <c r="O7" s="113" t="s">
        <v>221</v>
      </c>
      <c r="P7" s="41" t="s">
        <v>222</v>
      </c>
      <c r="Q7" s="275"/>
    </row>
    <row r="8" spans="1:19">
      <c r="A8" s="91"/>
      <c r="B8" s="92" t="s">
        <v>223</v>
      </c>
      <c r="C8" s="93" t="s">
        <v>224</v>
      </c>
      <c r="D8" s="94" t="s">
        <v>225</v>
      </c>
      <c r="E8" s="94" t="s">
        <v>226</v>
      </c>
      <c r="F8" s="93" t="s">
        <v>227</v>
      </c>
      <c r="G8" s="95" t="s">
        <v>228</v>
      </c>
      <c r="H8" s="96"/>
      <c r="I8" s="97"/>
      <c r="J8" s="97"/>
      <c r="K8" s="97"/>
      <c r="L8" s="97"/>
      <c r="M8" s="95"/>
      <c r="N8" s="118"/>
      <c r="O8" s="114"/>
      <c r="P8" s="95"/>
      <c r="Q8" s="88"/>
    </row>
    <row r="9" spans="1:19" ht="30.6" customHeight="1">
      <c r="A9" s="46" t="s">
        <v>196</v>
      </c>
      <c r="B9" s="98"/>
      <c r="C9" s="99"/>
      <c r="D9" s="103">
        <f>Accounting!C152</f>
        <v>37232.480293704808</v>
      </c>
      <c r="E9" s="103"/>
      <c r="F9" s="112"/>
      <c r="G9" s="72"/>
      <c r="H9" s="100"/>
      <c r="I9" s="74"/>
      <c r="J9" s="101"/>
      <c r="K9" s="74"/>
      <c r="L9" s="74">
        <f>D9</f>
        <v>37232.480293704808</v>
      </c>
      <c r="M9" s="246"/>
      <c r="N9" s="122">
        <f>-L9</f>
        <v>-37232.480293704808</v>
      </c>
      <c r="O9" s="115"/>
      <c r="P9" s="44"/>
      <c r="Q9" s="45"/>
      <c r="S9" t="s">
        <v>229</v>
      </c>
    </row>
    <row r="10" spans="1:19" ht="18" customHeight="1">
      <c r="A10" s="46" t="s">
        <v>230</v>
      </c>
      <c r="B10" s="98"/>
      <c r="C10" s="99"/>
      <c r="D10" s="103"/>
      <c r="E10" s="103"/>
      <c r="F10" s="99">
        <f>Accounting!B153</f>
        <v>-37232.480293704808</v>
      </c>
      <c r="G10" s="72"/>
      <c r="H10" s="100"/>
      <c r="I10" s="74"/>
      <c r="J10" s="101"/>
      <c r="K10" s="74"/>
      <c r="L10" s="74">
        <f>G10</f>
        <v>0</v>
      </c>
      <c r="M10" s="72"/>
      <c r="N10" s="119"/>
      <c r="O10" s="115"/>
      <c r="P10" s="44"/>
      <c r="Q10" s="45"/>
    </row>
    <row r="11" spans="1:19" ht="18" customHeight="1">
      <c r="A11" s="46" t="s">
        <v>231</v>
      </c>
      <c r="B11" s="98"/>
      <c r="C11" s="74">
        <f>Accounting!B145</f>
        <v>8169.7440881114344</v>
      </c>
      <c r="D11" s="74"/>
      <c r="E11" s="103"/>
      <c r="F11" s="99">
        <f>Accounting!B154</f>
        <v>-8169.7440881114344</v>
      </c>
      <c r="G11" s="72"/>
      <c r="H11" s="100"/>
      <c r="I11" s="74">
        <f>C11</f>
        <v>8169.7440881114344</v>
      </c>
      <c r="J11" s="101"/>
      <c r="K11" s="74"/>
      <c r="L11" s="74"/>
      <c r="M11" s="102"/>
      <c r="N11" s="119">
        <f>-I11</f>
        <v>-8169.7440881114344</v>
      </c>
      <c r="O11" s="115"/>
      <c r="P11" s="44"/>
      <c r="Q11" s="45"/>
    </row>
    <row r="12" spans="1:19" ht="18" customHeight="1">
      <c r="A12" s="46" t="s">
        <v>99</v>
      </c>
      <c r="B12" s="98"/>
      <c r="C12" s="99">
        <f>Accounting!C146</f>
        <v>51847.228451646472</v>
      </c>
      <c r="D12" s="103">
        <f>Accounting!C155</f>
        <v>-51847.228451646472</v>
      </c>
      <c r="E12" s="103"/>
      <c r="F12" s="99"/>
      <c r="G12" s="72"/>
      <c r="H12" s="100">
        <f>C12</f>
        <v>51847.228451646472</v>
      </c>
      <c r="I12" s="74"/>
      <c r="J12" s="101"/>
      <c r="K12" s="74"/>
      <c r="L12" s="74"/>
      <c r="M12" s="102"/>
      <c r="N12" s="119">
        <f>-H12</f>
        <v>-51847.228451646472</v>
      </c>
      <c r="O12" s="115"/>
      <c r="P12" s="44"/>
      <c r="Q12" s="45"/>
    </row>
    <row r="13" spans="1:19" ht="18" customHeight="1" thickBot="1">
      <c r="A13" s="46" t="s">
        <v>232</v>
      </c>
      <c r="B13" s="98"/>
      <c r="C13" s="104"/>
      <c r="D13" s="105"/>
      <c r="E13" s="105">
        <f>Accounting!B157</f>
        <v>-60000</v>
      </c>
      <c r="F13" s="104">
        <f>Accounting!B156</f>
        <v>60000</v>
      </c>
      <c r="G13" s="72"/>
      <c r="H13" s="100"/>
      <c r="I13" s="74"/>
      <c r="J13" s="101"/>
      <c r="K13" s="74"/>
      <c r="L13" s="74"/>
      <c r="M13" s="102"/>
      <c r="N13" s="119"/>
      <c r="O13" s="115"/>
      <c r="P13" s="44"/>
      <c r="Q13" s="45"/>
    </row>
    <row r="14" spans="1:19" ht="18" customHeight="1" thickBot="1">
      <c r="A14" s="47" t="s">
        <v>233</v>
      </c>
      <c r="B14" s="48"/>
      <c r="C14" s="50"/>
      <c r="D14" s="50"/>
      <c r="E14" s="50"/>
      <c r="F14" s="50"/>
      <c r="G14" s="49"/>
      <c r="H14" s="106">
        <f t="shared" ref="H14:K14" si="0">SUM(H9:H13)</f>
        <v>51847.228451646472</v>
      </c>
      <c r="I14" s="106">
        <f t="shared" si="0"/>
        <v>8169.7440881114344</v>
      </c>
      <c r="J14" s="106">
        <f t="shared" si="0"/>
        <v>0</v>
      </c>
      <c r="K14" s="106">
        <f t="shared" si="0"/>
        <v>0</v>
      </c>
      <c r="L14" s="106">
        <f>SUM(L9:L13)</f>
        <v>37232.480293704808</v>
      </c>
      <c r="M14" s="247">
        <f>SUM(M10:M13)</f>
        <v>0</v>
      </c>
      <c r="N14" s="120"/>
      <c r="O14" s="50"/>
      <c r="P14" s="50"/>
      <c r="Q14" s="51"/>
    </row>
    <row r="15" spans="1:19" s="251" customFormat="1" ht="18" customHeight="1" thickBot="1">
      <c r="A15" s="248" t="s">
        <v>234</v>
      </c>
      <c r="B15" s="248"/>
      <c r="C15" s="248"/>
      <c r="D15" s="248"/>
      <c r="E15" s="248"/>
      <c r="F15" s="248"/>
      <c r="G15" s="249">
        <f>SUM(B9:G13)</f>
        <v>0</v>
      </c>
      <c r="H15" s="250"/>
      <c r="I15" s="250"/>
      <c r="J15" s="250"/>
      <c r="K15" s="250"/>
      <c r="L15" s="250"/>
      <c r="M15" s="250"/>
      <c r="N15" s="250"/>
      <c r="O15" s="250"/>
      <c r="P15" s="250"/>
      <c r="Q15" s="250"/>
    </row>
    <row r="16" spans="1:19" ht="15" thickBot="1"/>
    <row r="17" spans="1:17" ht="15" thickBot="1">
      <c r="A17" s="52" t="s">
        <v>235</v>
      </c>
      <c r="B17" s="279" t="s">
        <v>207</v>
      </c>
      <c r="C17" s="273"/>
      <c r="D17" s="273"/>
      <c r="E17" s="273"/>
      <c r="F17" s="273"/>
      <c r="G17" s="280"/>
      <c r="H17" s="281" t="s">
        <v>208</v>
      </c>
      <c r="I17" s="282"/>
      <c r="J17" s="282"/>
      <c r="K17" s="282"/>
      <c r="L17" s="282"/>
      <c r="M17" s="283"/>
      <c r="N17" s="116" t="s">
        <v>209</v>
      </c>
      <c r="O17" s="273" t="s">
        <v>210</v>
      </c>
      <c r="P17" s="273"/>
      <c r="Q17" s="274" t="s">
        <v>211</v>
      </c>
    </row>
    <row r="18" spans="1:17">
      <c r="A18" s="53" t="s">
        <v>212</v>
      </c>
      <c r="B18" s="284" t="s">
        <v>213</v>
      </c>
      <c r="C18" s="277"/>
      <c r="D18" s="276" t="s">
        <v>214</v>
      </c>
      <c r="E18" s="277"/>
      <c r="F18" s="277"/>
      <c r="G18" s="278"/>
      <c r="H18" s="42" t="s">
        <v>215</v>
      </c>
      <c r="I18" s="43" t="s">
        <v>216</v>
      </c>
      <c r="J18" s="43" t="s">
        <v>217</v>
      </c>
      <c r="K18" s="43" t="s">
        <v>218</v>
      </c>
      <c r="L18" s="43" t="s">
        <v>219</v>
      </c>
      <c r="M18" s="41" t="s">
        <v>220</v>
      </c>
      <c r="N18" s="117"/>
      <c r="O18" s="113" t="s">
        <v>221</v>
      </c>
      <c r="P18" s="41" t="s">
        <v>222</v>
      </c>
      <c r="Q18" s="275"/>
    </row>
    <row r="19" spans="1:17">
      <c r="A19" s="91"/>
      <c r="B19" s="92" t="s">
        <v>223</v>
      </c>
      <c r="C19" s="93" t="s">
        <v>224</v>
      </c>
      <c r="D19" s="94" t="s">
        <v>225</v>
      </c>
      <c r="E19" s="94" t="s">
        <v>226</v>
      </c>
      <c r="F19" s="93" t="s">
        <v>227</v>
      </c>
      <c r="G19" s="95" t="s">
        <v>228</v>
      </c>
      <c r="H19" s="107"/>
      <c r="I19" s="108"/>
      <c r="J19" s="108"/>
      <c r="K19" s="108"/>
      <c r="L19" s="99"/>
      <c r="M19" s="109"/>
      <c r="N19" s="121"/>
      <c r="O19" s="114"/>
      <c r="P19" s="95"/>
      <c r="Q19" s="88"/>
    </row>
    <row r="20" spans="1:17">
      <c r="A20" s="46" t="s">
        <v>236</v>
      </c>
      <c r="B20" s="73">
        <f>SUM(Accounting!D147:D147)</f>
        <v>-60000</v>
      </c>
      <c r="C20" s="110"/>
      <c r="D20" s="103"/>
      <c r="E20" s="103">
        <f>Accounting!D157</f>
        <v>60000</v>
      </c>
      <c r="F20" s="99"/>
      <c r="G20" s="72"/>
      <c r="H20" s="100"/>
      <c r="I20" s="74">
        <f>B20</f>
        <v>-60000</v>
      </c>
      <c r="J20" s="101"/>
      <c r="K20" s="74"/>
      <c r="L20" s="74"/>
      <c r="M20" s="102"/>
      <c r="N20" s="119">
        <f>-I20</f>
        <v>60000</v>
      </c>
      <c r="O20" s="115"/>
      <c r="P20" s="44"/>
      <c r="Q20" s="45"/>
    </row>
    <row r="21" spans="1:17">
      <c r="A21" s="46" t="s">
        <v>237</v>
      </c>
      <c r="B21" s="73"/>
      <c r="C21" s="110">
        <f>500</f>
        <v>500</v>
      </c>
      <c r="D21" s="103">
        <v>-500</v>
      </c>
      <c r="E21" s="103"/>
      <c r="F21" s="99"/>
      <c r="G21" s="72"/>
      <c r="H21" s="100">
        <f>C21</f>
        <v>500</v>
      </c>
      <c r="I21" s="74"/>
      <c r="J21" s="101"/>
      <c r="K21" s="74"/>
      <c r="L21" s="74"/>
      <c r="M21" s="102"/>
      <c r="N21" s="119">
        <f>-H21</f>
        <v>-500</v>
      </c>
      <c r="O21" s="115"/>
      <c r="P21" s="44"/>
      <c r="Q21" s="45"/>
    </row>
    <row r="22" spans="1:17" ht="15" thickBot="1">
      <c r="A22" s="46" t="s">
        <v>238</v>
      </c>
      <c r="B22" s="73"/>
      <c r="C22" s="110"/>
      <c r="D22" s="105"/>
      <c r="E22" s="105"/>
      <c r="F22" s="104"/>
      <c r="G22" s="111"/>
      <c r="H22" s="100"/>
      <c r="I22" s="74"/>
      <c r="J22" s="101"/>
      <c r="K22" s="74"/>
      <c r="L22" s="74"/>
      <c r="M22" s="102"/>
      <c r="N22" s="119"/>
      <c r="O22" s="115"/>
      <c r="P22" s="44"/>
      <c r="Q22" s="45"/>
    </row>
    <row r="23" spans="1:17" ht="15" thickBot="1">
      <c r="A23" s="47" t="s">
        <v>239</v>
      </c>
      <c r="B23" s="48"/>
      <c r="C23" s="50"/>
      <c r="D23" s="50"/>
      <c r="E23" s="50"/>
      <c r="F23" s="50"/>
      <c r="G23" s="49"/>
      <c r="H23" s="106">
        <f t="shared" ref="H23:M23" si="1">SUM(H19:H22)</f>
        <v>500</v>
      </c>
      <c r="I23" s="106">
        <f t="shared" si="1"/>
        <v>-60000</v>
      </c>
      <c r="J23" s="106">
        <f t="shared" si="1"/>
        <v>0</v>
      </c>
      <c r="K23" s="106">
        <f t="shared" si="1"/>
        <v>0</v>
      </c>
      <c r="L23" s="106">
        <f t="shared" si="1"/>
        <v>0</v>
      </c>
      <c r="M23" s="106">
        <f t="shared" si="1"/>
        <v>0</v>
      </c>
      <c r="N23" s="120"/>
      <c r="O23" s="50"/>
      <c r="P23" s="50"/>
      <c r="Q23" s="51"/>
    </row>
    <row r="24" spans="1:17" s="251" customFormat="1" thickBot="1">
      <c r="A24" s="248" t="s">
        <v>234</v>
      </c>
      <c r="B24" s="248"/>
      <c r="C24" s="248"/>
      <c r="D24" s="248"/>
      <c r="E24" s="248"/>
      <c r="F24" s="248"/>
      <c r="G24" s="249">
        <f>SUM(B20:G22)</f>
        <v>0</v>
      </c>
      <c r="H24" s="250"/>
      <c r="I24" s="250"/>
      <c r="J24" s="250"/>
      <c r="K24" s="250"/>
      <c r="L24" s="250"/>
      <c r="M24" s="250"/>
      <c r="N24" s="250"/>
      <c r="O24" s="250"/>
      <c r="P24" s="250"/>
      <c r="Q24" s="250"/>
    </row>
    <row r="27" spans="1:17">
      <c r="A27" t="s">
        <v>240</v>
      </c>
    </row>
  </sheetData>
  <mergeCells count="12">
    <mergeCell ref="O17:P17"/>
    <mergeCell ref="Q17:Q18"/>
    <mergeCell ref="D18:G18"/>
    <mergeCell ref="B6:G6"/>
    <mergeCell ref="H6:M6"/>
    <mergeCell ref="O6:P6"/>
    <mergeCell ref="Q6:Q7"/>
    <mergeCell ref="B7:C7"/>
    <mergeCell ref="D7:G7"/>
    <mergeCell ref="B18:C18"/>
    <mergeCell ref="B17:G17"/>
    <mergeCell ref="H17:M17"/>
  </mergeCells>
  <hyperlinks>
    <hyperlink ref="D5" r:id="rId1" display="&quot;IFRS 16 Worked Example - Operating Lease&quot;" xr:uid="{328EA844-F72B-4751-800D-C3AACF9EDE8C}"/>
    <hyperlink ref="D3" r:id="rId2" xr:uid="{42028FD4-4849-45FF-9708-06C7347FC9C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0B453C2E56BC40827FBB9E03A7F75B" ma:contentTypeVersion="33" ma:contentTypeDescription="Create a new document." ma:contentTypeScope="" ma:versionID="e9ba3eeae428211e0618048c8325463d">
  <xsd:schema xmlns:xsd="http://www.w3.org/2001/XMLSchema" xmlns:xs="http://www.w3.org/2001/XMLSchema" xmlns:p="http://schemas.microsoft.com/office/2006/metadata/properties" xmlns:ns1="http://schemas.microsoft.com/sharepoint/v3" xmlns:ns2="cf922d0c-7565-4a19-867a-78a71dd2f738" targetNamespace="http://schemas.microsoft.com/office/2006/metadata/properties" ma:root="true" ma:fieldsID="6c68d28761018736f924c3f0c0486311" ns1:_="" ns2:_="">
    <xsd:import namespace="http://schemas.microsoft.com/sharepoint/v3"/>
    <xsd:import namespace="cf922d0c-7565-4a19-867a-78a71dd2f738"/>
    <xsd:element name="properties">
      <xsd:complexType>
        <xsd:sequence>
          <xsd:element name="documentManagement">
            <xsd:complexType>
              <xsd:all>
                <xsd:element ref="ns2:savestamp" minOccurs="0"/>
                <xsd:element ref="ns2:Time"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Review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922d0c-7565-4a19-867a-78a71dd2f738" elementFormDefault="qualified">
    <xsd:import namespace="http://schemas.microsoft.com/office/2006/documentManagement/types"/>
    <xsd:import namespace="http://schemas.microsoft.com/office/infopath/2007/PartnerControls"/>
    <xsd:element name="savestamp" ma:index="8" nillable="true" ma:displayName="save stamp" ma:format="DateTime" ma:internalName="savestamp">
      <xsd:simpleType>
        <xsd:restriction base="dms:DateTime"/>
      </xsd:simpleType>
    </xsd:element>
    <xsd:element name="Time" ma:index="9" nillable="true" ma:displayName="Time" ma:format="DateTime" ma:internalName="Time">
      <xsd:simpleType>
        <xsd:restriction base="dms:DateTim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Review_x0020_Date" ma:index="16" nillable="true" ma:displayName="Review date" ma:indexed="true" ma:internalName="Review_x0020_Dat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avestamp xmlns="cf922d0c-7565-4a19-867a-78a71dd2f738" xsi:nil="true"/>
    <_ip_UnifiedCompliancePolicyUIAction xmlns="http://schemas.microsoft.com/sharepoint/v3" xsi:nil="true"/>
    <Time xmlns="cf922d0c-7565-4a19-867a-78a71dd2f738" xsi:nil="true"/>
    <_ip_UnifiedCompliancePolicyProperties xmlns="http://schemas.microsoft.com/sharepoint/v3" xsi:nil="true"/>
    <Review_x0020_Date xmlns="cf922d0c-7565-4a19-867a-78a71dd2f73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91168E-00D6-4EE4-BBF3-C72EB5304347}"/>
</file>

<file path=customXml/itemProps2.xml><?xml version="1.0" encoding="utf-8"?>
<ds:datastoreItem xmlns:ds="http://schemas.openxmlformats.org/officeDocument/2006/customXml" ds:itemID="{996571C2-0834-4D24-A7F0-8A19AC9C6539}"/>
</file>

<file path=customXml/itemProps3.xml><?xml version="1.0" encoding="utf-8"?>
<ds:datastoreItem xmlns:ds="http://schemas.openxmlformats.org/officeDocument/2006/customXml" ds:itemID="{761D6468-E376-4134-8672-971742FB193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IFRS 16 example: initial measurement of the right-of-use asset and lease liability</dc:title>
  <dc:subject/>
  <dc:creator>MM</dc:creator>
  <cp:keywords/>
  <dc:description/>
  <cp:lastModifiedBy>Eleanor Shirtliff</cp:lastModifiedBy>
  <cp:revision/>
  <dcterms:created xsi:type="dcterms:W3CDTF">2018-10-06T14:44:45Z</dcterms:created>
  <dcterms:modified xsi:type="dcterms:W3CDTF">2021-10-28T16:45:24Z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0x010100430B453C2E56BC40827FBB9E03A7F75B</vt:lpwstr>
  </property>
  <property fmtid="{D5CDD505-2E9C-101B-9397-08002B2CF9AE}" pid="5" name="Order">
    <vt:r8>100</vt:r8>
  </property>
</Properties>
</file>