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f/sfp/ResLib/AIF/Allocations/Allocation years/2024-25/Publications/Final for sign off/"/>
    </mc:Choice>
  </mc:AlternateContent>
  <xr:revisionPtr revIDLastSave="2" documentId="8_{D7A16281-B978-4D0E-A2B2-8AD3FFA369E2}" xr6:coauthVersionLast="47" xr6:coauthVersionMax="47" xr10:uidLastSave="{F66D3361-DDB7-4F24-8096-E23EC445470C}"/>
  <bookViews>
    <workbookView xWindow="390" yWindow="120" windowWidth="23820" windowHeight="14205" xr2:uid="{BE6751E6-65B9-42E5-BB41-B94CE8C7315A}"/>
  </bookViews>
  <sheets>
    <sheet name="PMC Baseline 2024-25" sheetId="4" r:id="rId1"/>
    <sheet name="PMC Allocations 2024-25" sheetId="10" r:id="rId2"/>
    <sheet name="PMC Allocation 2024-25 - Alt" sheetId="5" state="hidden" r:id="rId3"/>
    <sheet name="Totals" sheetId="9" state="hidden" r:id="rId4"/>
  </sheets>
  <definedNames>
    <definedName name="________net1" hidden="1">{"NET",#N/A,FALSE,"401C11"}</definedName>
    <definedName name="_______net1" hidden="1">{"NET",#N/A,FALSE,"401C11"}</definedName>
    <definedName name="______net1" hidden="1">{"NET",#N/A,FALSE,"401C11"}</definedName>
    <definedName name="_____net1" hidden="1">{"NET",#N/A,FALSE,"401C11"}</definedName>
    <definedName name="____net1" hidden="1">{"NET",#N/A,FALSE,"401C11"}</definedName>
    <definedName name="___net1" hidden="1">{"NET",#N/A,FALSE,"401C11"}</definedName>
    <definedName name="___range1" hidden="1">{"NET",#N/A,FALSE,"401C11"}</definedName>
    <definedName name="___Range2" hidden="1">{"NET",#N/A,FALSE,"401C11"}</definedName>
    <definedName name="__123Graph_A" hidden="1">#REF!</definedName>
    <definedName name="__123Graph_ACFSINDIV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C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CFSUK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" hidden="1">#REF!</definedName>
    <definedName name="__123Graph_LBL_ARESID" hidden="1">#REF!</definedName>
    <definedName name="__123Graph_LBL_B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FDS_HYPERLINK_TOGGLE_STATE__" hidden="1">"ON"</definedName>
    <definedName name="__net1" hidden="1">{"NET",#N/A,FALSE,"401C11"}</definedName>
    <definedName name="_1" hidden="1">#REF!</definedName>
    <definedName name="_1_0__123Grap" hidden="1">#REF!</definedName>
    <definedName name="_1_123Grap" hidden="1">#REF!</definedName>
    <definedName name="_10_0__123Grap" hidden="1">#REF!</definedName>
    <definedName name="_10_0_S" hidden="1">#REF!</definedName>
    <definedName name="_12_0__123Grap" hidden="1">#REF!</definedName>
    <definedName name="_12_0_S" hidden="1">#REF!</definedName>
    <definedName name="_123Graph_A_1" hidden="1">#REF!</definedName>
    <definedName name="_123Graph_A_v1" hidden="1">#REF!</definedName>
    <definedName name="_123Graph_A_v2" hidden="1">#REF!</definedName>
    <definedName name="_123Graph_A_v3" hidden="1">#REF!</definedName>
    <definedName name="_123Graph_B_1" hidden="1">#REF!</definedName>
    <definedName name="_123Graph_B_v1" hidden="1">#REF!</definedName>
    <definedName name="_123Graph_B_v2" hidden="1">#REF!</definedName>
    <definedName name="_123Graph_B_v3" hidden="1">#REF!</definedName>
    <definedName name="_123Graph_B2" hidden="1">#REF!</definedName>
    <definedName name="_123Graph_LBL_A_v1" hidden="1">#REF!</definedName>
    <definedName name="_123Graph_LBL_A_v2" hidden="1">#REF!</definedName>
    <definedName name="_123Graph_LBL_A_v3" hidden="1">#REF!</definedName>
    <definedName name="_123Graph_X_V1" hidden="1">#REF!</definedName>
    <definedName name="_123Graph_X_v2" hidden="1">#REF!</definedName>
    <definedName name="_123Graph_X_v3" hidden="1">#REF!</definedName>
    <definedName name="_124Graph_B" hidden="1">#REF!</definedName>
    <definedName name="_15_0_S" hidden="1">#REF!</definedName>
    <definedName name="_17_0__123Grap" hidden="1">#REF!</definedName>
    <definedName name="_18_0__123Grap" hidden="1">#REF!</definedName>
    <definedName name="_2_0__123Grap" hidden="1">#REF!</definedName>
    <definedName name="_2_123Grap" hidden="1">#REF!</definedName>
    <definedName name="_26_0_S" hidden="1">#REF!</definedName>
    <definedName name="_27_0_S" hidden="1">#REF!</definedName>
    <definedName name="_3" hidden="1">#REF!</definedName>
    <definedName name="_3_0__123Grap" hidden="1">#REF!</definedName>
    <definedName name="_3_0_S" hidden="1">#REF!</definedName>
    <definedName name="_3_123Grap" hidden="1">#REF!</definedName>
    <definedName name="_30_0_S" hidden="1">#REF!</definedName>
    <definedName name="_34_123Grap" hidden="1">#REF!</definedName>
    <definedName name="_4_0__123Grap" hidden="1">#REF!</definedName>
    <definedName name="_42S" hidden="1">#REF!</definedName>
    <definedName name="_4S" hidden="1">#REF!</definedName>
    <definedName name="_5" hidden="1">#REF!</definedName>
    <definedName name="_5_0__123Grap" hidden="1">#REF!</definedName>
    <definedName name="_6_0__123Grap" hidden="1">#REF!</definedName>
    <definedName name="_6_0_S" hidden="1">#REF!</definedName>
    <definedName name="_6_123Grap" hidden="1">#REF!</definedName>
    <definedName name="_8_0__123Grap" hidden="1">#REF!</definedName>
    <definedName name="_8_123Grap" hidden="1">#REF!</definedName>
    <definedName name="_8S" hidden="1">#REF!</definedName>
    <definedName name="_9_0__123Grap" hidden="1">#REF!</definedName>
    <definedName name="_9_0_S" hidden="1">#REF!</definedName>
    <definedName name="_987423" hidden="1">#REF!</definedName>
    <definedName name="_AMO_UniqueIdentifier" hidden="1">"'95855f14-3708-42be-827a-67de891e7598'"</definedName>
    <definedName name="_AMO_UniqueIdentifier2" hidden="1">"'f6a48cb9-158b-447f-a1b7-2ab5a8bc2aae'"</definedName>
    <definedName name="_Fill" hidden="1">#REF!</definedName>
    <definedName name="_xlnm._FilterDatabase" localSheetId="0" hidden="1">'PMC Baseline 2024-25'!$M$4:$N$4</definedName>
    <definedName name="_Key1" hidden="1">#REF!</definedName>
    <definedName name="_Key2" hidden="1">#REF!</definedName>
    <definedName name="_net1" hidden="1">{"NET",#N/A,FALSE,"401C11"}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xlcn.WorksheetConnection_findCCGslikeminesimilar10andclustersApril2018testv5combinedAsian.xlsxTable191" localSheetId="2" hidden="1">Table19</definedName>
    <definedName name="_xlcn.WorksheetConnection_findCCGslikeminesimilar10andclustersApril2018testv5combinedAsian.xlsxTable191" localSheetId="1" hidden="1">Table19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localSheetId="2" hidden="1">Table20</definedName>
    <definedName name="_xlcn.WorksheetConnection_findCCGslikeminesimilar10andclustersApril2018testv5combinedAsian.xlsxTable201" localSheetId="1" hidden="1">Table20</definedName>
    <definedName name="_xlcn.WorksheetConnection_findCCGslikeminesimilar10andclustersApril2018testv5combinedAsian.xlsxTable201" hidden="1">Table20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{"CHARGE",#N/A,FALSE,"401C11"}</definedName>
    <definedName name="AAAAAAAAAAAAA" hidden="1">#REF!</definedName>
    <definedName name="abc" hidden="1">{"NET",#N/A,FALSE,"401C11"}</definedName>
    <definedName name="Act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dbr" hidden="1">{"CHARGE",#N/A,FALSE,"401C11"}</definedName>
    <definedName name="anscount" hidden="1">1</definedName>
    <definedName name="Area" hidden="1">#REF!</definedName>
    <definedName name="AS2DocOpenMode" hidden="1">"AS2DocumentEdit"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Ts" hidden="1">#REF!</definedName>
    <definedName name="Author" hidden="1">"Kirill Lapin"</definedName>
    <definedName name="b" hidden="1">{"CHARGE",#N/A,FALSE,"401C11"}</definedName>
    <definedName name="bb" hidden="1">#REF!</definedName>
    <definedName name="BGroup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MGHIndex" hidden="1">"O"</definedName>
    <definedName name="bn" hidden="1">#REF!</definedName>
    <definedName name="bnn" hidden="1">{#N/A,#N/A,FALSE,"INPUTS";#N/A,#N/A,FALSE,"PROFORMA BSHEET";#N/A,#N/A,FALSE,"COMBINED";#N/A,#N/A,FALSE,"ACQUIROR";#N/A,#N/A,FALSE,"TARGET 1";#N/A,#N/A,FALSE,"TARGET 2";#N/A,#N/A,FALSE,"HIGH YIELD";#N/A,#N/A,FALSE,"OVERFUND"}</definedName>
    <definedName name="CCG" hidden="1">#REF!</definedName>
    <definedName name="cfef" hidden="1">{#N/A,#N/A,FALSE,"Admin";#N/A,#N/A,FALSE,"Other"}</definedName>
    <definedName name="change1" hidden="1">{"CHARGE",#N/A,FALSE,"401C11"}</definedName>
    <definedName name="charge" hidden="1">{"CHARGE",#N/A,FALSE,"401C11"}</definedName>
    <definedName name="CurrentMonth" hidden="1">#REF!</definedName>
    <definedName name="cv" hidden="1">#REF!</definedName>
    <definedName name="d" hidden="1">#REF!</definedName>
    <definedName name="dd" hidden="1">#REF!</definedName>
    <definedName name="ddas" hidden="1">#REF!</definedName>
    <definedName name="ddd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elete" hidden="1">{"IGRONIC2",#N/A,FALSE,"IG fixed RONIC";"IGRONIC1",#N/A,FALSE,"IG fixed RONIC"}</definedName>
    <definedName name="delete2" hidden="1">{"IGRONIC2",#N/A,FALSE,"IG fixed RONIC";"IGRONIC1",#N/A,FALSE,"IG fixed RONIC"}</definedName>
    <definedName name="df" hidden="1">{"'Trust by name'!$A$6:$E$350","'Trust by name'!$A$1:$D$348"}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hdhd" hidden="1">#REF!</definedName>
    <definedName name="Distribution" hidden="1">#REF!</definedName>
    <definedName name="dog" hidden="1">{"NET",#N/A,FALSE,"401C11"}</definedName>
    <definedName name="edff" hidden="1">#REF!</definedName>
    <definedName name="EmpOtherAdmin" hidden="1">SUMIF(#REF!,CONCATENATE(#REF!,"_",#REF!,"_",#REF!),#REF!)</definedName>
    <definedName name="EmpOtherProg" hidden="1">SUMIF(#REF!,CONCATENATE(#REF!,"_",#REF!,"_",#REF!),#REF!)</definedName>
    <definedName name="EmpPermAdmin" comment="Feeds to HMT " hidden="1">SUMIF(#REF!,CONCATENATE(#REF!,"_Perm_",#REF!),#REF!)</definedName>
    <definedName name="EmpPermProg" hidden="1">SUMIF(#REF!,CONCATENATE(#REF!,"_",#REF!,"_",#REF!),#REF!)</definedName>
    <definedName name="EV__LASTREFTIME__" hidden="1">40339.4799074074</definedName>
    <definedName name="ewgw" hidden="1">{#N/A,#N/A,FALSE,"Admin";#N/A,#N/A,FALSE,"Other"}</definedName>
    <definedName name="Expired" hidden="1">FALSE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fif" hidden="1">#REF!</definedName>
    <definedName name="FJDA" hidden="1">{"IGRONIC2",#N/A,FALSE,"IG fixed RONIC";"IGRONIC1",#N/A,FALSE,"IG fixed RONIC"}</definedName>
    <definedName name="fofo" hidden="1">#REF!</definedName>
    <definedName name="ftkf" hidden="1">{"GROSS",#N/A,FALSE,"401C11"}</definedName>
    <definedName name="fuckoff" hidden="1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ff" hidden="1">{"CHARGE",#N/A,FALSE,"401C11"}</definedName>
    <definedName name="GG" hidden="1">#REF!</definedName>
    <definedName name="gh" hidden="1">{"'Trust by name'!$A$6:$E$350","'Trust by name'!$A$1:$D$348"}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oss" hidden="1">{"GROSS",#N/A,FALSE,"401C11"}</definedName>
    <definedName name="gross1" hidden="1">{"GROSS",#N/A,FALSE,"401C11"}</definedName>
    <definedName name="gsg" hidden="1">#REF!</definedName>
    <definedName name="ha" hidden="1">{"Reader",#N/A,FALSE,"Summary";"Reader",#N/A,FALSE,"Buildup";"Reader",#N/A,FALSE,"Financials";"Reader",#N/A,FALSE,"Debt &amp; Other"}</definedName>
    <definedName name="hasdfjklhklj" hidden="1">{"NET",#N/A,FALSE,"401C11"}</definedName>
    <definedName name="Header1" hidden="1">IF(COUNTA(#REF!)=0,0,INDEX(#REF!,MATCH(ROW(#REF!),#REF!,TRUE)))+1</definedName>
    <definedName name="help" hidden="1">{"CHARGE",#N/A,FALSE,"401C11"}</definedName>
    <definedName name="hghghhj" hidden="1">{"CHARGE",#N/A,FALSE,"401C11"}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{"'Trust by name'!$A$6:$E$350","'Trust by name'!$A$1:$D$348"}</definedName>
    <definedName name="HTML_Control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i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40299.6389814815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FDA" hidden="1">{"IGRONIC2",#N/A,FALSE,"IG fixed RONIC";"IGRONIC1",#N/A,FALSE,"IG fixed RONIC"}</definedName>
    <definedName name="JFDKA" hidden="1">{"IGRONIC2",#N/A,FALSE,"IG fixed RONIC";"IGRONIC1",#N/A,FALSE,"IG fixed RONIC"}</definedName>
    <definedName name="JFELL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" hidden="1">{"IGRONIC2",#N/A,FALSE,"IG fixed RONIC";"IGRONIC1",#N/A,FALSE,"IG fixed RONIC"}</definedName>
    <definedName name="kj" hidden="1">{#N/A,#N/A,FALSE,"Admin";#N/A,#N/A,FALSE,"Other"}</definedName>
    <definedName name="kk" hidden="1">#REF!</definedName>
    <definedName name="l" hidden="1">#REF!</definedName>
    <definedName name="ListOffset" hidden="1">1</definedName>
    <definedName name="Liz" hidden="1">#REF!</definedName>
    <definedName name="matt" hidden="1">#REF!</definedName>
    <definedName name="matt1" hidden="1">#REF!</definedName>
    <definedName name="matt2" hidden="1">#REF!</definedName>
    <definedName name="mbn" hidden="1">#REF!</definedName>
    <definedName name="mmm" hidden="1">#REF!</definedName>
    <definedName name="nb" hidden="1">#REF!</definedName>
    <definedName name="new" hidden="1">#REF!</definedName>
    <definedName name="nnn" hidden="1">#REF!</definedName>
    <definedName name="no_idea_what_this_is" hidden="1">{"'Trust by name'!$A$6:$E$350","'Trust by name'!$A$1:$D$348"}</definedName>
    <definedName name="No_idea2" hidden="1">{"'Trust by name'!$A$6:$E$350","'Trust by name'!$A$1:$D$348"}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ISIII" hidden="1">#REF!</definedName>
    <definedName name="ooo" hidden="1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#REF!</definedName>
    <definedName name="PopCache_GL_INTERFACE_REFERENCE7" hidden="1">#REF!</definedName>
    <definedName name="Population" hidden="1">#REF!</definedName>
    <definedName name="Print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s" hidden="1">#REF!</definedName>
    <definedName name="Projections" hidden="1">#REF!</definedName>
    <definedName name="Providers" hidden="1">#REF!</definedName>
    <definedName name="PWrd" hidden="1">"banner"</definedName>
    <definedName name="qe" hidden="1">#REF!</definedName>
    <definedName name="qfx" hidden="1">{"NET",#N/A,FALSE,"401C11"}</definedName>
    <definedName name="range3" hidden="1">{"CHARGE",#N/A,FALSE,"401C11"}</definedName>
    <definedName name="redo" hidden="1">{#N/A,#N/A,FALSE,"ACQ_GRAPHS";#N/A,#N/A,FALSE,"T_1 GRAPHS";#N/A,#N/A,FALSE,"T_2 GRAPHS";#N/A,#N/A,FALSE,"COMB_GRAPHS"}</definedName>
    <definedName name="Results" hidden="1">#REF!</definedName>
    <definedName name="rjd" hidden="1">{"CHARGE",#N/A,FALSE,"401C11"}</definedName>
    <definedName name="rjh" hidden="1">{"NET",#N/A,FALSE,"401C11"}</definedName>
    <definedName name="rrrr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ytry" hidden="1">{"NET",#N/A,FALSE,"401C11"}</definedName>
    <definedName name="s" hidden="1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rj" hidden="1">{"CHARGE",#N/A,FALSE,"401C11"}</definedName>
    <definedName name="sdsds" hidden="1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rjdj" hidden="1">{"CHARGE",#N/A,FALSE,"401C11"}</definedName>
    <definedName name="submission" hidden="1">#REF!</definedName>
    <definedName name="Table3.4" hidden="1">{"CHARGE",#N/A,FALSE,"401C11"}</definedName>
    <definedName name="Test23" hidden="1">{"NET",#N/A,FALSE,"401C11"}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vvv" hidden="1">#REF!</definedName>
    <definedName name="w" hidden="1">#REF!</definedName>
    <definedName name="wert" hidden="1">{"GROSS",#N/A,FALSE,"401C11"}</definedName>
    <definedName name="wombat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CHARGE." hidden="1">{"CHARGE",#N/A,FALSE,"401C11"}</definedName>
    <definedName name="wrn.COMBINED." hidden="1">{#N/A,#N/A,FALSE,"INPUTS";#N/A,#N/A,FALSE,"PROFORMA BSHEET";#N/A,#N/A,FALSE,"COMBINED";#N/A,#N/A,FALSE,"HIGH YIELD";#N/A,#N/A,FALSE,"COMB_GRAPHS"}</definedName>
    <definedName name="wrn.GRAPHS." hidden="1">{#N/A,#N/A,FALSE,"ACQ_GRAPHS";#N/A,#N/A,FALSE,"T_1 GRAPHS";#N/A,#N/A,FALSE,"T_2 GRAPHS";#N/A,#N/A,FALSE,"COMB_GRAPHS"}</definedName>
    <definedName name="wrn.GROSS." hidden="1">{"GROSS",#N/A,FALSE,"401C11"}</definedName>
    <definedName name="wrn.IGRONICbasicdata." hidden="1">{"IGRONIC2",#N/A,FALSE,"IG fixed RONIC";"IGRONIC1",#N/A,FALSE,"IG fixed RONIC"}</definedName>
    <definedName name="wrn.IGRONICbasicdata2" hidden="1">{"IGRONIC2",#N/A,FALSE,"IG fixed RONIC";"IGRONIC1",#N/A,FALSE,"IG fixed RONIC"}</definedName>
    <definedName name="wrn.NET." hidden="1">{"NET",#N/A,FALSE,"401C11"}</definedName>
    <definedName name="wrn.Period._.3.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rint." hidden="1">{#N/A,#N/A,FALSE,"Admin";#N/A,#N/A,FALSE,"Other"}</definedName>
    <definedName name="wrn.printall.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wrn.Reader." hidden="1">{"Reader",#N/A,FALSE,"Summary";"Reader",#N/A,FALSE,"Buildup";"Reader",#N/A,FALSE,"Financials";"Reader",#N/A,FALSE,"Debt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hidden="1">#REF!</definedName>
    <definedName name="xx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x" hidden="1">{"CHARGE",#N/A,FALSE,"401C11"}</definedName>
    <definedName name="xxxxxxxx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yy" hidden="1">{"GROSS",#N/A,FALSE,"401C11"}</definedName>
    <definedName name="z" hidden="1">#REF!</definedName>
    <definedName name="zujd" hidden="1">{"CHARGE",#N/A,FALSE,"401C11"}</definedName>
    <definedName name="zxxxx" hidden="1">{#N/A,#N/A,FALSE,"INPUTS";#N/A,#N/A,FALSE,"PROFORMA BSHEET";#N/A,#N/A,FALSE,"COMBINED";#N/A,#N/A,FALSE,"HIGH YIELD";#N/A,#N/A,FALSE,"COMB_GRAPHS"}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9" l="1"/>
  <c r="H28" i="9" l="1"/>
  <c r="H31" i="9" s="1"/>
  <c r="I16" i="9"/>
  <c r="F57" i="5"/>
  <c r="F56" i="5"/>
  <c r="F55" i="5"/>
  <c r="F54" i="5"/>
  <c r="F53" i="5"/>
  <c r="F52" i="5"/>
  <c r="F51" i="5"/>
  <c r="F50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M14" i="9"/>
  <c r="J20" i="9" s="1"/>
  <c r="M20" i="9" s="1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I26" i="9" l="1"/>
  <c r="I28" i="9" s="1"/>
  <c r="I31" i="9" s="1"/>
  <c r="J25" i="9"/>
  <c r="M25" i="9" s="1"/>
  <c r="J19" i="9"/>
  <c r="M19" i="9" s="1"/>
  <c r="J18" i="9"/>
  <c r="M18" i="9" s="1"/>
  <c r="J17" i="9"/>
  <c r="M17" i="9" s="1"/>
  <c r="J24" i="9"/>
  <c r="M24" i="9" s="1"/>
  <c r="J16" i="9"/>
  <c r="J23" i="9"/>
  <c r="M23" i="9" s="1"/>
  <c r="J22" i="9"/>
  <c r="M22" i="9" s="1"/>
  <c r="J21" i="9"/>
  <c r="M21" i="9" s="1"/>
  <c r="I41" i="5"/>
  <c r="I33" i="5"/>
  <c r="I25" i="5"/>
  <c r="I17" i="5"/>
  <c r="I9" i="5"/>
  <c r="I40" i="5"/>
  <c r="I32" i="5"/>
  <c r="I24" i="5"/>
  <c r="I8" i="5"/>
  <c r="I30" i="5"/>
  <c r="I22" i="5"/>
  <c r="I10" i="5"/>
  <c r="I16" i="5"/>
  <c r="I46" i="5"/>
  <c r="I6" i="5"/>
  <c r="I34" i="5"/>
  <c r="I39" i="5"/>
  <c r="I31" i="5"/>
  <c r="I23" i="5"/>
  <c r="I15" i="5"/>
  <c r="I7" i="5"/>
  <c r="I38" i="5"/>
  <c r="I14" i="5"/>
  <c r="I26" i="5"/>
  <c r="I45" i="5"/>
  <c r="I37" i="5"/>
  <c r="I29" i="5"/>
  <c r="I21" i="5"/>
  <c r="I13" i="5"/>
  <c r="I5" i="5"/>
  <c r="I12" i="5"/>
  <c r="I43" i="5"/>
  <c r="I35" i="5"/>
  <c r="I19" i="5"/>
  <c r="I11" i="5"/>
  <c r="I18" i="5"/>
  <c r="I44" i="5"/>
  <c r="I36" i="5"/>
  <c r="I28" i="5"/>
  <c r="I20" i="5"/>
  <c r="I27" i="5"/>
  <c r="I42" i="5"/>
  <c r="J26" i="9" l="1"/>
  <c r="M26" i="9" s="1"/>
  <c r="M16" i="9"/>
  <c r="E32" i="5"/>
  <c r="K32" i="5" s="1"/>
  <c r="E16" i="5"/>
  <c r="K16" i="5" s="1"/>
  <c r="J28" i="9" l="1"/>
  <c r="M28" i="9" s="1"/>
  <c r="E10" i="5"/>
  <c r="K10" i="5" s="1"/>
  <c r="E18" i="5"/>
  <c r="K18" i="5" s="1"/>
  <c r="L18" i="5" s="1"/>
  <c r="E26" i="5"/>
  <c r="K26" i="5" s="1"/>
  <c r="L26" i="5" s="1"/>
  <c r="E42" i="5"/>
  <c r="K42" i="5" s="1"/>
  <c r="E9" i="5"/>
  <c r="K9" i="5" s="1"/>
  <c r="M9" i="5" s="1"/>
  <c r="E36" i="5"/>
  <c r="K36" i="5" s="1"/>
  <c r="L36" i="5" s="1"/>
  <c r="E28" i="5"/>
  <c r="K28" i="5" s="1"/>
  <c r="E25" i="5"/>
  <c r="K25" i="5" s="1"/>
  <c r="L25" i="5" s="1"/>
  <c r="E12" i="5"/>
  <c r="K12" i="5" s="1"/>
  <c r="M12" i="5" s="1"/>
  <c r="E33" i="5"/>
  <c r="K33" i="5" s="1"/>
  <c r="M33" i="5" s="1"/>
  <c r="E17" i="5"/>
  <c r="K17" i="5" s="1"/>
  <c r="E40" i="5"/>
  <c r="K40" i="5" s="1"/>
  <c r="M40" i="5" s="1"/>
  <c r="E35" i="5"/>
  <c r="K35" i="5" s="1"/>
  <c r="E11" i="5"/>
  <c r="E27" i="5"/>
  <c r="E20" i="5"/>
  <c r="E44" i="5"/>
  <c r="K44" i="5" s="1"/>
  <c r="E19" i="5"/>
  <c r="K19" i="5" s="1"/>
  <c r="E5" i="5"/>
  <c r="E13" i="5"/>
  <c r="E21" i="5"/>
  <c r="E29" i="5"/>
  <c r="E37" i="5"/>
  <c r="E45" i="5"/>
  <c r="E43" i="5"/>
  <c r="L10" i="5"/>
  <c r="M18" i="5" l="1"/>
  <c r="J31" i="9"/>
  <c r="M31" i="9" s="1"/>
  <c r="M26" i="5"/>
  <c r="E41" i="5"/>
  <c r="K41" i="5" s="1"/>
  <c r="L41" i="5" s="1"/>
  <c r="E8" i="5"/>
  <c r="K8" i="5" s="1"/>
  <c r="L8" i="5" s="1"/>
  <c r="E24" i="5"/>
  <c r="K24" i="5" s="1"/>
  <c r="L24" i="5" s="1"/>
  <c r="E34" i="5"/>
  <c r="K34" i="5" s="1"/>
  <c r="M34" i="5" s="1"/>
  <c r="M25" i="5"/>
  <c r="M36" i="5"/>
  <c r="L17" i="5"/>
  <c r="M17" i="5"/>
  <c r="L12" i="5"/>
  <c r="K11" i="5"/>
  <c r="M11" i="5" s="1"/>
  <c r="K21" i="5"/>
  <c r="L21" i="5" s="1"/>
  <c r="L33" i="5"/>
  <c r="K29" i="5"/>
  <c r="L29" i="5" s="1"/>
  <c r="K13" i="5"/>
  <c r="M13" i="5" s="1"/>
  <c r="E51" i="5"/>
  <c r="K5" i="5"/>
  <c r="L5" i="5" s="1"/>
  <c r="K43" i="5"/>
  <c r="L43" i="5" s="1"/>
  <c r="K20" i="5"/>
  <c r="M20" i="5" s="1"/>
  <c r="K45" i="5"/>
  <c r="L45" i="5" s="1"/>
  <c r="K37" i="5"/>
  <c r="M37" i="5" s="1"/>
  <c r="K27" i="5"/>
  <c r="M27" i="5" s="1"/>
  <c r="L40" i="5"/>
  <c r="E39" i="5"/>
  <c r="K39" i="5" s="1"/>
  <c r="E22" i="5"/>
  <c r="K22" i="5" s="1"/>
  <c r="E7" i="5"/>
  <c r="E6" i="5"/>
  <c r="K6" i="5" s="1"/>
  <c r="E38" i="5"/>
  <c r="K38" i="5" s="1"/>
  <c r="E46" i="5"/>
  <c r="K46" i="5" s="1"/>
  <c r="E31" i="5"/>
  <c r="K31" i="5" s="1"/>
  <c r="E15" i="5"/>
  <c r="K15" i="5" s="1"/>
  <c r="E30" i="5"/>
  <c r="K30" i="5" s="1"/>
  <c r="E14" i="5"/>
  <c r="K14" i="5" s="1"/>
  <c r="M8" i="5"/>
  <c r="E23" i="5"/>
  <c r="K23" i="5" s="1"/>
  <c r="M10" i="5"/>
  <c r="L32" i="5"/>
  <c r="M32" i="5"/>
  <c r="L35" i="5"/>
  <c r="M35" i="5"/>
  <c r="L16" i="5"/>
  <c r="M16" i="5"/>
  <c r="L44" i="5"/>
  <c r="M44" i="5"/>
  <c r="L28" i="5"/>
  <c r="M28" i="5"/>
  <c r="L42" i="5"/>
  <c r="M42" i="5"/>
  <c r="L19" i="5"/>
  <c r="M19" i="5"/>
  <c r="L9" i="5"/>
  <c r="L34" i="5" l="1"/>
  <c r="M41" i="5"/>
  <c r="M24" i="5"/>
  <c r="M21" i="5"/>
  <c r="M43" i="5"/>
  <c r="M45" i="5"/>
  <c r="L27" i="5"/>
  <c r="L13" i="5"/>
  <c r="K51" i="5"/>
  <c r="L51" i="5" s="1"/>
  <c r="L20" i="5"/>
  <c r="M29" i="5"/>
  <c r="E50" i="5"/>
  <c r="H50" i="5" s="1" a="1"/>
  <c r="H50" i="5" s="1"/>
  <c r="K7" i="5"/>
  <c r="L37" i="5"/>
  <c r="M5" i="5"/>
  <c r="L11" i="5"/>
  <c r="J53" i="5" a="1"/>
  <c r="J53" i="5" s="1"/>
  <c r="E55" i="5"/>
  <c r="E54" i="5"/>
  <c r="E52" i="5"/>
  <c r="H52" i="5" s="1" a="1"/>
  <c r="H52" i="5" s="1"/>
  <c r="J57" i="5" a="1"/>
  <c r="J57" i="5" s="1"/>
  <c r="J55" i="5" a="1"/>
  <c r="J55" i="5" s="1"/>
  <c r="J52" i="5" a="1"/>
  <c r="J52" i="5" s="1"/>
  <c r="J50" i="5" a="1"/>
  <c r="J50" i="5" s="1"/>
  <c r="J56" i="5" a="1"/>
  <c r="J56" i="5" s="1"/>
  <c r="E53" i="5"/>
  <c r="J54" i="5" a="1"/>
  <c r="J54" i="5" s="1"/>
  <c r="H51" i="5" a="1"/>
  <c r="H51" i="5" s="1"/>
  <c r="E56" i="5"/>
  <c r="J51" i="5" a="1"/>
  <c r="J51" i="5" s="1"/>
  <c r="M51" i="5" l="1"/>
  <c r="L6" i="5"/>
  <c r="M6" i="5"/>
  <c r="K50" i="5"/>
  <c r="L14" i="5"/>
  <c r="M14" i="5"/>
  <c r="K52" i="5"/>
  <c r="L15" i="5"/>
  <c r="M15" i="5"/>
  <c r="L7" i="5"/>
  <c r="M7" i="5"/>
  <c r="M23" i="5"/>
  <c r="L23" i="5"/>
  <c r="K53" i="5"/>
  <c r="L46" i="5"/>
  <c r="M46" i="5"/>
  <c r="K56" i="5"/>
  <c r="L39" i="5"/>
  <c r="M39" i="5"/>
  <c r="E57" i="5"/>
  <c r="L38" i="5"/>
  <c r="M38" i="5"/>
  <c r="K55" i="5"/>
  <c r="H56" i="5" a="1"/>
  <c r="H56" i="5" s="1"/>
  <c r="H55" i="5" a="1"/>
  <c r="H55" i="5" s="1"/>
  <c r="L22" i="5"/>
  <c r="M22" i="5"/>
  <c r="H53" i="5" a="1"/>
  <c r="H53" i="5" s="1"/>
  <c r="L30" i="5"/>
  <c r="K54" i="5"/>
  <c r="M30" i="5"/>
  <c r="L31" i="5"/>
  <c r="M31" i="5"/>
  <c r="H54" i="5" a="1"/>
  <c r="H54" i="5" s="1"/>
  <c r="H57" i="5" l="1" a="1"/>
  <c r="H57" i="5" s="1"/>
  <c r="M50" i="5"/>
  <c r="L50" i="5"/>
  <c r="K57" i="5"/>
  <c r="K59" i="5" s="1"/>
  <c r="L54" i="5"/>
  <c r="M54" i="5"/>
  <c r="L52" i="5"/>
  <c r="M52" i="5"/>
  <c r="L56" i="5"/>
  <c r="M56" i="5"/>
  <c r="L55" i="5"/>
  <c r="M55" i="5"/>
  <c r="L53" i="5"/>
  <c r="M53" i="5"/>
  <c r="L57" i="5" l="1"/>
  <c r="M5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<sst xmlns="http://schemas.openxmlformats.org/spreadsheetml/2006/main" count="750" uniqueCount="148">
  <si>
    <t>Allocations (primary medical care)</t>
  </si>
  <si>
    <t>Allocations 2024/25</t>
  </si>
  <si>
    <t>R23</t>
  </si>
  <si>
    <t>Region</t>
  </si>
  <si>
    <t>ICB23</t>
  </si>
  <si>
    <t>System Name</t>
  </si>
  <si>
    <t>2023/24 Adjusted recurrent baseline (£k)</t>
  </si>
  <si>
    <t>2023/24 Distance from target (%)</t>
  </si>
  <si>
    <t xml:space="preserve"> </t>
  </si>
  <si>
    <t>2024/25 Base growth (%)</t>
  </si>
  <si>
    <t>2024/25 Convergence (%)</t>
  </si>
  <si>
    <t>2024/25 Recurrent allocation (£k)</t>
  </si>
  <si>
    <t>2024/25 Recurrent allocation £/head</t>
  </si>
  <si>
    <t>2024/25 Recurrent allocation growth 
(%)</t>
  </si>
  <si>
    <t>Y63</t>
  </si>
  <si>
    <t>North East and Yorkshire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</si>
  <si>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</si>
  <si>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</si>
  <si>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</si>
  <si>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</si>
  <si>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</si>
  <si>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</si>
  <si>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</si>
  <si>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</si>
  <si>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Y62</t>
  </si>
  <si>
    <t>North West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</si>
  <si>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</si>
  <si>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</si>
  <si>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</si>
  <si>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</si>
  <si>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</si>
  <si>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</si>
  <si>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Y60</t>
  </si>
  <si>
    <t>Midlands</t>
  </si>
  <si>
    <t>QHL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</si>
  <si>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</si>
  <si>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</si>
  <si>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</si>
  <si>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</si>
  <si>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</si>
  <si>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</si>
  <si>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</si>
  <si>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</si>
  <si>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</si>
  <si>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</si>
  <si>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</si>
  <si>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</si>
  <si>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</si>
  <si>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</si>
  <si>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</si>
  <si>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</si>
  <si>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</si>
  <si>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</si>
  <si>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</si>
  <si>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</si>
  <si>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</si>
  <si>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Y61</t>
  </si>
  <si>
    <t>East of England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</si>
  <si>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</si>
  <si>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</si>
  <si>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</si>
  <si>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</si>
  <si>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</si>
  <si>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</si>
  <si>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</si>
  <si>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</si>
  <si>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</si>
  <si>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</si>
  <si>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</si>
  <si>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</si>
  <si>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Y56</t>
  </si>
  <si>
    <t>London</t>
  </si>
  <si>
    <t>QMJ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</si>
  <si>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</si>
  <si>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</si>
  <si>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</si>
  <si>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</si>
  <si>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</si>
  <si>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</si>
  <si>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</si>
  <si>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</si>
  <si>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</si>
  <si>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Y59</t>
  </si>
  <si>
    <t>South East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</si>
  <si>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</si>
  <si>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</si>
  <si>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</si>
  <si>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</si>
  <si>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</si>
  <si>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</si>
  <si>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</si>
  <si>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</si>
  <si>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</si>
  <si>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</si>
  <si>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</si>
  <si>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</si>
  <si>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Y58</t>
  </si>
  <si>
    <t>South West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</si>
  <si>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</si>
  <si>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</si>
  <si>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</si>
  <si>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</si>
  <si>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</si>
  <si>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</si>
  <si>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</si>
  <si>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</si>
  <si>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</si>
  <si>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</si>
  <si>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</si>
  <si>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</si>
  <si>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</si>
  <si>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</si>
  <si>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Sort</t>
  </si>
  <si>
    <t>2024/25 Recurrent allocation growth (%)</t>
  </si>
  <si>
    <t>Total</t>
  </si>
  <si>
    <t>ENGLAND</t>
  </si>
  <si>
    <t>Baseline construction 2024/25</t>
  </si>
  <si>
    <t>2023/24 Recurrent baseline (£k)</t>
  </si>
  <si>
    <t>M1-5 Adjustments</t>
  </si>
  <si>
    <t>2022/23</t>
  </si>
  <si>
    <t>2023/24</t>
  </si>
  <si>
    <t>2024/25</t>
  </si>
  <si>
    <t>GP Allocations (published)</t>
  </si>
  <si>
    <t>Recurrent 20/21 transfers</t>
  </si>
  <si>
    <t>Recurrent 22/23 transfers</t>
  </si>
  <si>
    <t>Investment and Impact Fund (IIF)</t>
  </si>
  <si>
    <t>Care Home Premium</t>
  </si>
  <si>
    <t>Increase in Practice Funding</t>
  </si>
  <si>
    <t>New QOF Indicators</t>
  </si>
  <si>
    <t>GP PCNs</t>
  </si>
  <si>
    <t>Improving Access (from Core)</t>
  </si>
  <si>
    <t>Improving Access (from SDF)</t>
  </si>
  <si>
    <t xml:space="preserve">Additional ICB allocations to support 2023/24 DDRB uplifts </t>
  </si>
  <si>
    <t>Additional ICB allocations for 23/24 DDRB Uplifts
(£k)</t>
  </si>
  <si>
    <t>2023/24 DDRB pay (£k)</t>
  </si>
  <si>
    <t>2024/25 Updated Base Growth (%)</t>
  </si>
  <si>
    <t>2024/25 Original Base Growth (%)</t>
  </si>
  <si>
    <t>M6 MH Reset</t>
  </si>
  <si>
    <t>GP Pay</t>
  </si>
  <si>
    <t>Increase in GDP deflator</t>
  </si>
  <si>
    <t>2023/24 Adjusted recurrent allocation £/head</t>
  </si>
  <si>
    <t>M6 Mental Health reset (£k)</t>
  </si>
  <si>
    <t>M6 Mental health reset (£k)</t>
  </si>
  <si>
    <t>M1-5 adjustments (£k)</t>
  </si>
  <si>
    <t>Other population adjustment (£k)</t>
  </si>
  <si>
    <t>Total 2024/25 Recurrent allocation (£k)</t>
  </si>
  <si>
    <t>PCN funding for SDF leadership (£k)</t>
  </si>
  <si>
    <t>Additional SDF for IIF cancer indicator (£k)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</si>
</sst>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#,##0_ ;[Red]\-#,##0\ "/>
    <numFmt numFmtId="165" formatCode="0.00%\ ;[Red]\-0.00%\ ;\-\ "/>
    <numFmt numFmtId="166" formatCode="_(* #,##0.00_);_(* \(#,##0.00\);_(* &quot;-&quot;??_);_(@_)"/>
    <numFmt numFmtId="167" formatCode="#,##0_ ;[Red]\-#,##0\ ;\-\ "/>
    <numFmt numFmtId="168" formatCode="_-* #,##0_-;\-* #,##0_-;_-* &quot;-&quot;??_-;_-@_-"/>
    <numFmt numFmtId="169" formatCode="#,##0.0\ ;[Red]\(#,##0.0\);\-\ "/>
    <numFmt numFmtId="170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0" tint="-0.34998626667073579"/>
      <name val="Arial"/>
      <family val="2"/>
    </font>
    <font>
      <sz val="20"/>
      <color rgb="FF005EB8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hair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hair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0" fontId="7" fillId="0" borderId="0" xfId="2" applyNumberFormat="1" applyFont="1" applyBorder="1"/>
    <xf numFmtId="164" fontId="7" fillId="0" borderId="1" xfId="1" applyNumberFormat="1" applyFont="1" applyBorder="1"/>
    <xf numFmtId="165" fontId="7" fillId="0" borderId="1" xfId="2" applyNumberFormat="1" applyFont="1" applyBorder="1"/>
    <xf numFmtId="0" fontId="7" fillId="2" borderId="1" xfId="0" applyFont="1" applyFill="1" applyBorder="1"/>
    <xf numFmtId="10" fontId="7" fillId="0" borderId="1" xfId="2" applyNumberFormat="1" applyFont="1" applyBorder="1"/>
    <xf numFmtId="10" fontId="8" fillId="0" borderId="0" xfId="2" applyNumberFormat="1" applyFont="1" applyBorder="1"/>
    <xf numFmtId="0" fontId="8" fillId="0" borderId="0" xfId="0" applyFont="1"/>
    <xf numFmtId="10" fontId="8" fillId="0" borderId="3" xfId="2" applyNumberFormat="1" applyFont="1" applyBorder="1"/>
    <xf numFmtId="0" fontId="8" fillId="0" borderId="3" xfId="0" applyFont="1" applyBorder="1"/>
    <xf numFmtId="0" fontId="7" fillId="0" borderId="3" xfId="0" applyFont="1" applyBorder="1"/>
    <xf numFmtId="164" fontId="7" fillId="0" borderId="4" xfId="1" applyNumberFormat="1" applyFont="1" applyBorder="1"/>
    <xf numFmtId="165" fontId="7" fillId="0" borderId="4" xfId="2" applyNumberFormat="1" applyFont="1" applyBorder="1"/>
    <xf numFmtId="0" fontId="7" fillId="2" borderId="4" xfId="0" applyFont="1" applyFill="1" applyBorder="1"/>
    <xf numFmtId="10" fontId="7" fillId="0" borderId="4" xfId="2" applyNumberFormat="1" applyFont="1" applyBorder="1"/>
    <xf numFmtId="0" fontId="7" fillId="0" borderId="1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right"/>
    </xf>
    <xf numFmtId="0" fontId="10" fillId="3" borderId="5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3" borderId="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4" fillId="4" borderId="10" xfId="0" applyFont="1" applyFill="1" applyBorder="1"/>
    <xf numFmtId="0" fontId="14" fillId="4" borderId="11" xfId="0" applyFont="1" applyFill="1" applyBorder="1"/>
    <xf numFmtId="167" fontId="15" fillId="4" borderId="12" xfId="0" applyNumberFormat="1" applyFont="1" applyFill="1" applyBorder="1" applyAlignment="1">
      <alignment horizontal="right"/>
    </xf>
    <xf numFmtId="10" fontId="15" fillId="4" borderId="12" xfId="2" applyNumberFormat="1" applyFont="1" applyFill="1" applyBorder="1" applyAlignment="1">
      <alignment horizontal="right"/>
    </xf>
    <xf numFmtId="168" fontId="0" fillId="0" borderId="0" xfId="0" applyNumberFormat="1"/>
    <xf numFmtId="0" fontId="16" fillId="0" borderId="0" xfId="0" applyFont="1"/>
    <xf numFmtId="0" fontId="11" fillId="5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169" fontId="13" fillId="0" borderId="9" xfId="0" applyNumberFormat="1" applyFont="1" applyBorder="1" applyAlignment="1">
      <alignment horizontal="center" vertical="center"/>
    </xf>
    <xf numFmtId="170" fontId="17" fillId="6" borderId="9" xfId="2" applyNumberFormat="1" applyFont="1" applyFill="1" applyBorder="1" applyAlignment="1">
      <alignment vertical="center"/>
    </xf>
    <xf numFmtId="169" fontId="18" fillId="6" borderId="9" xfId="0" applyNumberFormat="1" applyFont="1" applyFill="1" applyBorder="1" applyAlignment="1">
      <alignment horizontal="center" vertical="center"/>
    </xf>
    <xf numFmtId="43" fontId="0" fillId="0" borderId="0" xfId="1" applyFont="1"/>
    <xf numFmtId="0" fontId="19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0" fillId="3" borderId="16" xfId="0" applyFont="1" applyFill="1" applyBorder="1" applyAlignment="1">
      <alignment wrapText="1"/>
    </xf>
    <xf numFmtId="0" fontId="10" fillId="3" borderId="17" xfId="0" applyFont="1" applyFill="1" applyBorder="1" applyAlignment="1">
      <alignment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/>
    <xf numFmtId="0" fontId="7" fillId="0" borderId="23" xfId="0" applyFont="1" applyBorder="1"/>
    <xf numFmtId="168" fontId="7" fillId="0" borderId="21" xfId="1" applyNumberFormat="1" applyFont="1" applyBorder="1"/>
    <xf numFmtId="0" fontId="7" fillId="0" borderId="24" xfId="0" applyFont="1" applyBorder="1"/>
    <xf numFmtId="0" fontId="7" fillId="0" borderId="25" xfId="0" applyFont="1" applyBorder="1"/>
    <xf numFmtId="168" fontId="7" fillId="0" borderId="26" xfId="1" applyNumberFormat="1" applyFont="1" applyBorder="1"/>
    <xf numFmtId="0" fontId="7" fillId="0" borderId="27" xfId="0" applyFont="1" applyBorder="1"/>
    <xf numFmtId="0" fontId="7" fillId="0" borderId="28" xfId="0" applyFont="1" applyBorder="1"/>
    <xf numFmtId="0" fontId="0" fillId="0" borderId="29" xfId="0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168" fontId="0" fillId="0" borderId="32" xfId="0" applyNumberFormat="1" applyBorder="1"/>
    <xf numFmtId="170" fontId="13" fillId="0" borderId="9" xfId="2" applyNumberFormat="1" applyFont="1" applyBorder="1" applyAlignment="1">
      <alignment horizontal="center" vertical="center"/>
    </xf>
    <xf numFmtId="170" fontId="18" fillId="6" borderId="9" xfId="2" applyNumberFormat="1" applyFont="1" applyFill="1" applyBorder="1" applyAlignment="1">
      <alignment horizontal="center" vertical="center"/>
    </xf>
    <xf numFmtId="167" fontId="7" fillId="0" borderId="0" xfId="0" applyNumberFormat="1" applyFont="1"/>
    <xf numFmtId="10" fontId="13" fillId="0" borderId="9" xfId="2" applyNumberFormat="1" applyFont="1" applyBorder="1" applyAlignment="1">
      <alignment horizontal="center" vertical="center"/>
    </xf>
    <xf numFmtId="10" fontId="18" fillId="6" borderId="9" xfId="2" applyNumberFormat="1" applyFont="1" applyFill="1" applyBorder="1" applyAlignment="1">
      <alignment horizontal="center" vertical="center"/>
    </xf>
    <xf numFmtId="10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" xfId="1" applyNumberFormat="1" applyFont="1" applyBorder="1"/>
    <xf numFmtId="164" fontId="1" fillId="0" borderId="2" xfId="1" applyNumberFormat="1" applyFont="1" applyBorder="1"/>
    <xf numFmtId="0" fontId="1" fillId="0" borderId="3" xfId="0" applyFont="1" applyBorder="1"/>
    <xf numFmtId="164" fontId="1" fillId="0" borderId="4" xfId="1" applyNumberFormat="1" applyFont="1" applyBorder="1"/>
    <xf numFmtId="164" fontId="1" fillId="0" borderId="8" xfId="1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165" fontId="1" fillId="0" borderId="1" xfId="2" applyNumberFormat="1" applyFont="1" applyBorder="1"/>
    <xf numFmtId="0" fontId="1" fillId="2" borderId="1" xfId="0" applyFont="1" applyFill="1" applyBorder="1"/>
    <xf numFmtId="10" fontId="1" fillId="0" borderId="1" xfId="2" applyNumberFormat="1" applyFont="1" applyBorder="1"/>
    <xf numFmtId="165" fontId="1" fillId="0" borderId="4" xfId="2" applyNumberFormat="1" applyFont="1" applyBorder="1"/>
    <xf numFmtId="10" fontId="1" fillId="0" borderId="4" xfId="2" applyNumberFormat="1" applyFont="1" applyBorder="1"/>
    <xf numFmtId="167" fontId="1" fillId="0" borderId="0" xfId="0" applyNumberFormat="1" applyFont="1"/>
    <xf numFmtId="0" fontId="10" fillId="3" borderId="33" xfId="0" applyFont="1" applyFill="1" applyBorder="1" applyAlignment="1">
      <alignment wrapText="1"/>
    </xf>
    <xf numFmtId="0" fontId="10" fillId="3" borderId="34" xfId="0" applyFont="1" applyFill="1" applyBorder="1" applyAlignment="1">
      <alignment wrapText="1"/>
    </xf>
    <xf numFmtId="0" fontId="10" fillId="3" borderId="35" xfId="0" applyFont="1" applyFill="1" applyBorder="1" applyAlignment="1">
      <alignment horizontal="center" vertical="top" wrapText="1"/>
    </xf>
    <xf numFmtId="0" fontId="1" fillId="0" borderId="36" xfId="0" applyFont="1" applyBorder="1" applyAlignment="1">
      <alignment wrapText="1"/>
    </xf>
    <xf numFmtId="0" fontId="1" fillId="0" borderId="0" xfId="0" applyFont="1" applyAlignment="1">
      <alignment wrapText="1"/>
    </xf>
    <xf numFmtId="10" fontId="1" fillId="0" borderId="36" xfId="2" applyNumberFormat="1" applyFont="1" applyBorder="1"/>
    <xf numFmtId="10" fontId="8" fillId="0" borderId="36" xfId="2" applyNumberFormat="1" applyFont="1" applyBorder="1"/>
    <xf numFmtId="10" fontId="8" fillId="0" borderId="37" xfId="2" applyNumberFormat="1" applyFont="1" applyBorder="1"/>
    <xf numFmtId="0" fontId="1" fillId="0" borderId="36" xfId="0" applyFont="1" applyBorder="1"/>
    <xf numFmtId="0" fontId="14" fillId="4" borderId="38" xfId="0" applyFont="1" applyFill="1" applyBorder="1"/>
    <xf numFmtId="0" fontId="14" fillId="4" borderId="39" xfId="0" applyFont="1" applyFill="1" applyBorder="1"/>
    <xf numFmtId="167" fontId="15" fillId="4" borderId="40" xfId="0" applyNumberFormat="1" applyFont="1" applyFill="1" applyBorder="1" applyAlignment="1">
      <alignment horizontal="right"/>
    </xf>
    <xf numFmtId="10" fontId="15" fillId="4" borderId="40" xfId="2" applyNumberFormat="1" applyFont="1" applyFill="1" applyBorder="1" applyAlignment="1">
      <alignment horizontal="right"/>
    </xf>
    <xf numFmtId="0" fontId="10" fillId="3" borderId="41" xfId="0" applyFont="1" applyFill="1" applyBorder="1" applyAlignment="1">
      <alignment wrapText="1"/>
    </xf>
    <xf numFmtId="0" fontId="10" fillId="3" borderId="42" xfId="0" applyFont="1" applyFill="1" applyBorder="1" applyAlignment="1">
      <alignment wrapText="1"/>
    </xf>
    <xf numFmtId="0" fontId="10" fillId="3" borderId="42" xfId="0" applyFont="1" applyFill="1" applyBorder="1" applyAlignment="1">
      <alignment horizontal="center" vertical="top" wrapText="1"/>
    </xf>
    <xf numFmtId="0" fontId="10" fillId="3" borderId="43" xfId="0" applyFont="1" applyFill="1" applyBorder="1" applyAlignment="1">
      <alignment horizontal="center" vertical="top" wrapText="1"/>
    </xf>
    <xf numFmtId="0" fontId="1" fillId="0" borderId="44" xfId="0" applyFont="1" applyBorder="1"/>
    <xf numFmtId="0" fontId="10" fillId="2" borderId="4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0" fontId="1" fillId="0" borderId="0" xfId="2" applyNumberFormat="1" applyFont="1" applyBorder="1"/>
  </cellXfs>
  <cellStyles count="4">
    <cellStyle name="Comma" xfId="1" builtinId="3"/>
    <cellStyle name="Comma 2" xfId="3" xr:uid="{27CC9944-AC59-4263-BABE-98546BA3D77B}"/>
    <cellStyle name="Normal" xfId="0" builtinId="0"/>
    <cellStyle name="Per cent" xfId="2" builtin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88CBD6C8-3AFE-42B5-A21C-DC1C4B6BA8C8}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9204-B233-4FE5-8B5F-184B7AFBBEDA}">
  <sheetPr>
    <tabColor rgb="FF00B050"/>
    <pageSetUpPr fitToPage="1"/>
  </sheetPr>
  <dimension ref="A1:K58"/>
  <sheetViews>
    <sheetView tabSelected="1" workbookViewId="0">
      <selection activeCell="D1" sqref="D1"/>
    </sheetView>
  </sheetViews>
  <sheetFormatPr defaultRowHeight="12.75" x14ac:dyDescent="0.2"/>
  <cols>
    <col min="1" max="1" width="4.85546875" style="71" customWidth="1"/>
    <col min="2" max="2" width="23" style="71" customWidth="1"/>
    <col min="3" max="3" width="6.85546875" style="71" customWidth="1"/>
    <col min="4" max="4" width="54.85546875" style="71" customWidth="1"/>
    <col min="5" max="9" width="12" style="71" customWidth="1"/>
    <col min="10" max="11" width="13.85546875" style="71" customWidth="1"/>
    <col min="12" max="16384" width="9.140625" style="71"/>
  </cols>
  <sheetData>
    <row r="1" spans="1:11" s="3" customFormat="1" ht="25.5" x14ac:dyDescent="0.35">
      <c r="A1" s="1" t="s">
        <v>0</v>
      </c>
      <c r="B1" s="2"/>
      <c r="C1" s="2"/>
      <c r="D1" s="2"/>
      <c r="K1" s="26" t="s">
        <v>116</v>
      </c>
    </row>
    <row r="2" spans="1:11" x14ac:dyDescent="0.2">
      <c r="A2" s="4"/>
    </row>
    <row r="3" spans="1:11" ht="63.75" x14ac:dyDescent="0.2">
      <c r="A3" s="101" t="s">
        <v>2</v>
      </c>
      <c r="B3" s="102" t="s">
        <v>3</v>
      </c>
      <c r="C3" s="102" t="s">
        <v>4</v>
      </c>
      <c r="D3" s="102" t="s">
        <v>5</v>
      </c>
      <c r="E3" s="103" t="s">
        <v>117</v>
      </c>
      <c r="F3" s="103" t="s">
        <v>134</v>
      </c>
      <c r="G3" s="103" t="s">
        <v>143</v>
      </c>
      <c r="H3" s="103" t="s">
        <v>142</v>
      </c>
      <c r="I3" s="103" t="s">
        <v>144</v>
      </c>
      <c r="J3" s="103" t="s">
        <v>6</v>
      </c>
      <c r="K3" s="104" t="s">
        <v>140</v>
      </c>
    </row>
    <row r="4" spans="1:11" x14ac:dyDescent="0.2">
      <c r="A4" s="91"/>
      <c r="B4" s="92"/>
      <c r="C4" s="92"/>
      <c r="D4" s="92"/>
      <c r="E4" s="72"/>
      <c r="F4" s="73"/>
      <c r="G4" s="73"/>
      <c r="H4" s="73"/>
      <c r="I4" s="73"/>
      <c r="J4" s="73"/>
      <c r="K4" s="73"/>
    </row>
    <row r="5" spans="1:11" x14ac:dyDescent="0.2">
      <c r="A5" s="93" t="s">
        <v>14</v>
      </c>
      <c r="B5" s="71" t="s">
        <v>15</v>
      </c>
      <c r="C5" s="71" t="s">
        <v>16</v>
      </c>
      <c r="D5" s="71" t="s">
        <v>17</v>
      </c>
      <c r="E5" s="74">
        <v>325088</v>
      </c>
      <c r="F5" s="75">
        <v>4822.0534069392625</v>
      </c>
      <c r="G5" s="75">
        <v>0</v>
      </c>
      <c r="H5" s="75">
        <v>0</v>
      </c>
      <c r="I5" s="75">
        <v>0</v>
      </c>
      <c r="J5" s="75">
        <v>329910.05340693926</v>
      </c>
      <c r="K5" s="75">
        <v>185.49694069279965</v>
      </c>
    </row>
    <row r="6" spans="1:11" x14ac:dyDescent="0.2">
      <c r="A6" s="94" t="s">
        <v>14</v>
      </c>
      <c r="B6" s="15" t="s">
        <v>15</v>
      </c>
      <c r="C6" s="71" t="s">
        <v>18</v>
      </c>
      <c r="D6" s="71" t="s">
        <v>19</v>
      </c>
      <c r="E6" s="74">
        <v>574386</v>
      </c>
      <c r="F6" s="75">
        <v>8339.255902774039</v>
      </c>
      <c r="G6" s="75">
        <v>0</v>
      </c>
      <c r="H6" s="75">
        <v>0</v>
      </c>
      <c r="I6" s="75">
        <v>0</v>
      </c>
      <c r="J6" s="75">
        <v>582725.25590277405</v>
      </c>
      <c r="K6" s="75">
        <v>184.65247579162781</v>
      </c>
    </row>
    <row r="7" spans="1:11" x14ac:dyDescent="0.2">
      <c r="A7" s="94" t="s">
        <v>14</v>
      </c>
      <c r="B7" s="15" t="s">
        <v>15</v>
      </c>
      <c r="C7" s="71" t="s">
        <v>20</v>
      </c>
      <c r="D7" s="71" t="s">
        <v>21</v>
      </c>
      <c r="E7" s="74">
        <v>259411</v>
      </c>
      <c r="F7" s="75">
        <v>3750.5243379643316</v>
      </c>
      <c r="G7" s="75">
        <v>0</v>
      </c>
      <c r="H7" s="75">
        <v>0</v>
      </c>
      <c r="I7" s="75">
        <v>0</v>
      </c>
      <c r="J7" s="75">
        <v>263161.52433796431</v>
      </c>
      <c r="K7" s="75">
        <v>176.90490552579897</v>
      </c>
    </row>
    <row r="8" spans="1:11" x14ac:dyDescent="0.2">
      <c r="A8" s="95" t="s">
        <v>14</v>
      </c>
      <c r="B8" s="17" t="s">
        <v>15</v>
      </c>
      <c r="C8" s="76" t="s">
        <v>22</v>
      </c>
      <c r="D8" s="76" t="s">
        <v>23</v>
      </c>
      <c r="E8" s="77">
        <v>462408</v>
      </c>
      <c r="F8" s="78">
        <v>6679.5336570470754</v>
      </c>
      <c r="G8" s="78">
        <v>0</v>
      </c>
      <c r="H8" s="78">
        <v>0</v>
      </c>
      <c r="I8" s="78">
        <v>0</v>
      </c>
      <c r="J8" s="78">
        <v>469087.53365704708</v>
      </c>
      <c r="K8" s="78">
        <v>178.36702627660469</v>
      </c>
    </row>
    <row r="9" spans="1:11" x14ac:dyDescent="0.2">
      <c r="A9" s="93" t="s">
        <v>24</v>
      </c>
      <c r="B9" s="71" t="s">
        <v>25</v>
      </c>
      <c r="C9" s="71" t="s">
        <v>26</v>
      </c>
      <c r="D9" s="71" t="s">
        <v>27</v>
      </c>
      <c r="E9" s="74">
        <v>494372</v>
      </c>
      <c r="F9" s="75">
        <v>7143.5167669409857</v>
      </c>
      <c r="G9" s="75">
        <v>0</v>
      </c>
      <c r="H9" s="75">
        <v>0</v>
      </c>
      <c r="I9" s="75">
        <v>0</v>
      </c>
      <c r="J9" s="75">
        <v>501515.516766941</v>
      </c>
      <c r="K9" s="75">
        <v>183.84031628103551</v>
      </c>
    </row>
    <row r="10" spans="1:11" x14ac:dyDescent="0.2">
      <c r="A10" s="94" t="s">
        <v>24</v>
      </c>
      <c r="B10" s="15" t="s">
        <v>25</v>
      </c>
      <c r="C10" s="71" t="s">
        <v>28</v>
      </c>
      <c r="D10" s="71" t="s">
        <v>29</v>
      </c>
      <c r="E10" s="74">
        <v>561851</v>
      </c>
      <c r="F10" s="75">
        <v>8097.1006986346438</v>
      </c>
      <c r="G10" s="75">
        <v>0</v>
      </c>
      <c r="H10" s="75">
        <v>0</v>
      </c>
      <c r="I10" s="75">
        <v>0</v>
      </c>
      <c r="J10" s="75">
        <v>569948.10069863463</v>
      </c>
      <c r="K10" s="75">
        <v>179.55994992605781</v>
      </c>
    </row>
    <row r="11" spans="1:11" x14ac:dyDescent="0.2">
      <c r="A11" s="95" t="s">
        <v>24</v>
      </c>
      <c r="B11" s="17" t="s">
        <v>25</v>
      </c>
      <c r="C11" s="76" t="s">
        <v>30</v>
      </c>
      <c r="D11" s="76" t="s">
        <v>31</v>
      </c>
      <c r="E11" s="77">
        <v>323950</v>
      </c>
      <c r="F11" s="78">
        <v>4701.6906871128431</v>
      </c>
      <c r="G11" s="78">
        <v>0</v>
      </c>
      <c r="H11" s="78">
        <v>0</v>
      </c>
      <c r="I11" s="78">
        <v>0</v>
      </c>
      <c r="J11" s="78">
        <v>328651.69068711286</v>
      </c>
      <c r="K11" s="78">
        <v>180.54947572199242</v>
      </c>
    </row>
    <row r="12" spans="1:11" x14ac:dyDescent="0.2">
      <c r="A12" s="93" t="s">
        <v>32</v>
      </c>
      <c r="B12" s="71" t="s">
        <v>33</v>
      </c>
      <c r="C12" s="71" t="s">
        <v>34</v>
      </c>
      <c r="D12" s="71" t="s">
        <v>35</v>
      </c>
      <c r="E12" s="74">
        <v>278124</v>
      </c>
      <c r="F12" s="75">
        <v>4008.1765834715879</v>
      </c>
      <c r="G12" s="75">
        <v>-1434</v>
      </c>
      <c r="H12" s="75">
        <v>0</v>
      </c>
      <c r="I12" s="75">
        <v>438</v>
      </c>
      <c r="J12" s="75">
        <v>281136.17658347159</v>
      </c>
      <c r="K12" s="75">
        <v>178.4116035435033</v>
      </c>
    </row>
    <row r="13" spans="1:11" x14ac:dyDescent="0.2">
      <c r="A13" s="94" t="s">
        <v>32</v>
      </c>
      <c r="B13" s="15" t="s">
        <v>33</v>
      </c>
      <c r="C13" s="71" t="s">
        <v>36</v>
      </c>
      <c r="D13" s="71" t="s">
        <v>37</v>
      </c>
      <c r="E13" s="74">
        <v>227175</v>
      </c>
      <c r="F13" s="75">
        <v>3274.1370679493075</v>
      </c>
      <c r="G13" s="75">
        <v>1434</v>
      </c>
      <c r="H13" s="75">
        <v>0</v>
      </c>
      <c r="I13" s="75">
        <v>0</v>
      </c>
      <c r="J13" s="75">
        <v>231883.13706794931</v>
      </c>
      <c r="K13" s="75">
        <v>178.98869954453562</v>
      </c>
    </row>
    <row r="14" spans="1:11" x14ac:dyDescent="0.2">
      <c r="A14" s="94" t="s">
        <v>32</v>
      </c>
      <c r="B14" s="15" t="s">
        <v>33</v>
      </c>
      <c r="C14" s="71" t="s">
        <v>38</v>
      </c>
      <c r="D14" s="71" t="s">
        <v>39</v>
      </c>
      <c r="E14" s="74">
        <v>180933</v>
      </c>
      <c r="F14" s="75">
        <v>2645.4378515758335</v>
      </c>
      <c r="G14" s="75">
        <v>0</v>
      </c>
      <c r="H14" s="75">
        <v>0</v>
      </c>
      <c r="I14" s="75">
        <v>0</v>
      </c>
      <c r="J14" s="75">
        <v>183578.43785157584</v>
      </c>
      <c r="K14" s="75">
        <v>172.70906814863537</v>
      </c>
    </row>
    <row r="15" spans="1:11" x14ac:dyDescent="0.2">
      <c r="A15" s="94" t="s">
        <v>32</v>
      </c>
      <c r="B15" s="15" t="s">
        <v>33</v>
      </c>
      <c r="C15" s="71" t="s">
        <v>40</v>
      </c>
      <c r="D15" s="71" t="s">
        <v>41</v>
      </c>
      <c r="E15" s="74">
        <v>189422</v>
      </c>
      <c r="F15" s="75">
        <v>2754.8567150262961</v>
      </c>
      <c r="G15" s="75">
        <v>0</v>
      </c>
      <c r="H15" s="75">
        <v>0</v>
      </c>
      <c r="I15" s="75">
        <v>0</v>
      </c>
      <c r="J15" s="75">
        <v>192176.85671502628</v>
      </c>
      <c r="K15" s="75">
        <v>172.34871929968574</v>
      </c>
    </row>
    <row r="16" spans="1:11" x14ac:dyDescent="0.2">
      <c r="A16" s="94" t="s">
        <v>32</v>
      </c>
      <c r="B16" s="15" t="s">
        <v>33</v>
      </c>
      <c r="C16" s="71" t="s">
        <v>42</v>
      </c>
      <c r="D16" s="71" t="s">
        <v>43</v>
      </c>
      <c r="E16" s="74">
        <v>152591</v>
      </c>
      <c r="F16" s="75">
        <v>2273.876375261209</v>
      </c>
      <c r="G16" s="75">
        <v>0</v>
      </c>
      <c r="H16" s="75">
        <v>0</v>
      </c>
      <c r="I16" s="75">
        <v>0</v>
      </c>
      <c r="J16" s="75">
        <v>154864.8763752612</v>
      </c>
      <c r="K16" s="75">
        <v>188.58049477117717</v>
      </c>
    </row>
    <row r="17" spans="1:11" x14ac:dyDescent="0.2">
      <c r="A17" s="94" t="s">
        <v>32</v>
      </c>
      <c r="B17" s="15" t="s">
        <v>33</v>
      </c>
      <c r="C17" s="71" t="s">
        <v>44</v>
      </c>
      <c r="D17" s="71" t="s">
        <v>45</v>
      </c>
      <c r="E17" s="74">
        <v>195134</v>
      </c>
      <c r="F17" s="75">
        <v>2844.9207579849731</v>
      </c>
      <c r="G17" s="75">
        <v>0</v>
      </c>
      <c r="H17" s="75">
        <v>0</v>
      </c>
      <c r="I17" s="75">
        <v>0</v>
      </c>
      <c r="J17" s="75">
        <v>197978.92075798498</v>
      </c>
      <c r="K17" s="75">
        <v>165.43335329494499</v>
      </c>
    </row>
    <row r="18" spans="1:11" x14ac:dyDescent="0.2">
      <c r="A18" s="94" t="s">
        <v>32</v>
      </c>
      <c r="B18" s="15" t="s">
        <v>33</v>
      </c>
      <c r="C18" s="71" t="s">
        <v>46</v>
      </c>
      <c r="D18" s="71" t="s">
        <v>47</v>
      </c>
      <c r="E18" s="74">
        <v>153175</v>
      </c>
      <c r="F18" s="75">
        <v>2350.444438009717</v>
      </c>
      <c r="G18" s="75">
        <v>0</v>
      </c>
      <c r="H18" s="75">
        <v>0</v>
      </c>
      <c r="I18" s="75">
        <v>0</v>
      </c>
      <c r="J18" s="75">
        <v>155525.44443800973</v>
      </c>
      <c r="K18" s="75">
        <v>191.82554111171561</v>
      </c>
    </row>
    <row r="19" spans="1:11" x14ac:dyDescent="0.2">
      <c r="A19" s="94" t="s">
        <v>32</v>
      </c>
      <c r="B19" s="15" t="s">
        <v>33</v>
      </c>
      <c r="C19" s="71" t="s">
        <v>48</v>
      </c>
      <c r="D19" s="71" t="s">
        <v>49</v>
      </c>
      <c r="E19" s="74">
        <v>136558</v>
      </c>
      <c r="F19" s="75">
        <v>2000.2177114547849</v>
      </c>
      <c r="G19" s="75">
        <v>0</v>
      </c>
      <c r="H19" s="75">
        <v>0</v>
      </c>
      <c r="I19" s="75">
        <v>0</v>
      </c>
      <c r="J19" s="75">
        <v>138558.21771145478</v>
      </c>
      <c r="K19" s="75">
        <v>169.06976118582469</v>
      </c>
    </row>
    <row r="20" spans="1:11" x14ac:dyDescent="0.2">
      <c r="A20" s="94" t="s">
        <v>32</v>
      </c>
      <c r="B20" s="15" t="s">
        <v>33</v>
      </c>
      <c r="C20" s="71" t="s">
        <v>50</v>
      </c>
      <c r="D20" s="71" t="s">
        <v>51</v>
      </c>
      <c r="E20" s="74">
        <v>214055</v>
      </c>
      <c r="F20" s="75">
        <v>3109.2671255489422</v>
      </c>
      <c r="G20" s="75">
        <v>0</v>
      </c>
      <c r="H20" s="75">
        <v>0</v>
      </c>
      <c r="I20" s="75">
        <v>0</v>
      </c>
      <c r="J20" s="75">
        <v>217164.26712554894</v>
      </c>
      <c r="K20" s="75">
        <v>173.85735912630656</v>
      </c>
    </row>
    <row r="21" spans="1:11" x14ac:dyDescent="0.2">
      <c r="A21" s="94" t="s">
        <v>32</v>
      </c>
      <c r="B21" s="15" t="s">
        <v>33</v>
      </c>
      <c r="C21" s="71" t="s">
        <v>52</v>
      </c>
      <c r="D21" s="71" t="s">
        <v>53</v>
      </c>
      <c r="E21" s="74">
        <v>91504</v>
      </c>
      <c r="F21" s="75">
        <v>1352.0984766555671</v>
      </c>
      <c r="G21" s="75">
        <v>0</v>
      </c>
      <c r="H21" s="75">
        <v>0</v>
      </c>
      <c r="I21" s="75">
        <v>0</v>
      </c>
      <c r="J21" s="75">
        <v>92856.098476655563</v>
      </c>
      <c r="K21" s="75">
        <v>177.11588761224542</v>
      </c>
    </row>
    <row r="22" spans="1:11" x14ac:dyDescent="0.2">
      <c r="A22" s="95" t="s">
        <v>32</v>
      </c>
      <c r="B22" s="17" t="s">
        <v>33</v>
      </c>
      <c r="C22" s="76" t="s">
        <v>54</v>
      </c>
      <c r="D22" s="76" t="s">
        <v>55</v>
      </c>
      <c r="E22" s="77">
        <v>208541</v>
      </c>
      <c r="F22" s="78">
        <v>3036.1426892979202</v>
      </c>
      <c r="G22" s="78">
        <v>0</v>
      </c>
      <c r="H22" s="78">
        <v>0</v>
      </c>
      <c r="I22" s="78">
        <v>0</v>
      </c>
      <c r="J22" s="78">
        <v>211577.14268929791</v>
      </c>
      <c r="K22" s="78">
        <v>179.93889928833676</v>
      </c>
    </row>
    <row r="23" spans="1:11" x14ac:dyDescent="0.2">
      <c r="A23" s="93" t="s">
        <v>56</v>
      </c>
      <c r="B23" s="71" t="s">
        <v>57</v>
      </c>
      <c r="C23" s="71" t="s">
        <v>58</v>
      </c>
      <c r="D23" s="71" t="s">
        <v>59</v>
      </c>
      <c r="E23" s="74">
        <v>173457</v>
      </c>
      <c r="F23" s="75">
        <v>2520.1493789159399</v>
      </c>
      <c r="G23" s="75">
        <v>0</v>
      </c>
      <c r="H23" s="75">
        <v>0</v>
      </c>
      <c r="I23" s="75">
        <v>0</v>
      </c>
      <c r="J23" s="75">
        <v>175977.14937891593</v>
      </c>
      <c r="K23" s="75">
        <v>162.67480577410092</v>
      </c>
    </row>
    <row r="24" spans="1:11" x14ac:dyDescent="0.2">
      <c r="A24" s="94" t="s">
        <v>56</v>
      </c>
      <c r="B24" s="15" t="s">
        <v>57</v>
      </c>
      <c r="C24" s="71" t="s">
        <v>60</v>
      </c>
      <c r="D24" s="71" t="s">
        <v>61</v>
      </c>
      <c r="E24" s="74">
        <v>167988</v>
      </c>
      <c r="F24" s="75">
        <v>2495.4309664995262</v>
      </c>
      <c r="G24" s="75">
        <v>0</v>
      </c>
      <c r="H24" s="75">
        <v>0</v>
      </c>
      <c r="I24" s="75">
        <v>0</v>
      </c>
      <c r="J24" s="75">
        <v>170483.43096649952</v>
      </c>
      <c r="K24" s="75">
        <v>167.31714639379976</v>
      </c>
    </row>
    <row r="25" spans="1:11" x14ac:dyDescent="0.2">
      <c r="A25" s="94" t="s">
        <v>56</v>
      </c>
      <c r="B25" s="15" t="s">
        <v>57</v>
      </c>
      <c r="C25" s="71" t="s">
        <v>62</v>
      </c>
      <c r="D25" s="71" t="s">
        <v>63</v>
      </c>
      <c r="E25" s="74">
        <v>259189</v>
      </c>
      <c r="F25" s="75">
        <v>3768.4231178187915</v>
      </c>
      <c r="G25" s="75">
        <v>0</v>
      </c>
      <c r="H25" s="75">
        <v>0</v>
      </c>
      <c r="I25" s="75">
        <v>0</v>
      </c>
      <c r="J25" s="75">
        <v>262957.42311781878</v>
      </c>
      <c r="K25" s="75">
        <v>162.62539767421907</v>
      </c>
    </row>
    <row r="26" spans="1:11" x14ac:dyDescent="0.2">
      <c r="A26" s="94" t="s">
        <v>56</v>
      </c>
      <c r="B26" s="15" t="s">
        <v>57</v>
      </c>
      <c r="C26" s="71" t="s">
        <v>64</v>
      </c>
      <c r="D26" s="71" t="s">
        <v>65</v>
      </c>
      <c r="E26" s="74">
        <v>208881</v>
      </c>
      <c r="F26" s="75">
        <v>3046.6086263659654</v>
      </c>
      <c r="G26" s="75">
        <v>0</v>
      </c>
      <c r="H26" s="75">
        <v>0</v>
      </c>
      <c r="I26" s="75">
        <v>0</v>
      </c>
      <c r="J26" s="75">
        <v>211927.60862636595</v>
      </c>
      <c r="K26" s="75">
        <v>168.18710988717447</v>
      </c>
    </row>
    <row r="27" spans="1:11" x14ac:dyDescent="0.2">
      <c r="A27" s="94" t="s">
        <v>56</v>
      </c>
      <c r="B27" s="15" t="s">
        <v>57</v>
      </c>
      <c r="C27" s="71" t="s">
        <v>66</v>
      </c>
      <c r="D27" s="71" t="s">
        <v>67</v>
      </c>
      <c r="E27" s="74">
        <v>207318</v>
      </c>
      <c r="F27" s="75">
        <v>3130.4687805005697</v>
      </c>
      <c r="G27" s="75">
        <v>0</v>
      </c>
      <c r="H27" s="75">
        <v>0</v>
      </c>
      <c r="I27" s="75">
        <v>0</v>
      </c>
      <c r="J27" s="75">
        <v>210448.46878050058</v>
      </c>
      <c r="K27" s="75">
        <v>193.41633243982841</v>
      </c>
    </row>
    <row r="28" spans="1:11" x14ac:dyDescent="0.2">
      <c r="A28" s="95" t="s">
        <v>56</v>
      </c>
      <c r="B28" s="17" t="s">
        <v>57</v>
      </c>
      <c r="C28" s="76" t="s">
        <v>68</v>
      </c>
      <c r="D28" s="76" t="s">
        <v>69</v>
      </c>
      <c r="E28" s="77">
        <v>187432</v>
      </c>
      <c r="F28" s="78">
        <v>2795.2605893452524</v>
      </c>
      <c r="G28" s="78">
        <v>0</v>
      </c>
      <c r="H28" s="78">
        <v>0</v>
      </c>
      <c r="I28" s="78">
        <v>0</v>
      </c>
      <c r="J28" s="78">
        <v>190227.26058934524</v>
      </c>
      <c r="K28" s="78">
        <v>180.59663820765599</v>
      </c>
    </row>
    <row r="29" spans="1:11" x14ac:dyDescent="0.2">
      <c r="A29" s="93" t="s">
        <v>70</v>
      </c>
      <c r="B29" s="71" t="s">
        <v>71</v>
      </c>
      <c r="C29" s="71" t="s">
        <v>72</v>
      </c>
      <c r="D29" s="71" t="s">
        <v>73</v>
      </c>
      <c r="E29" s="74">
        <v>289764</v>
      </c>
      <c r="F29" s="75">
        <v>4175.9261319881107</v>
      </c>
      <c r="G29" s="75">
        <v>0</v>
      </c>
      <c r="H29" s="75">
        <v>0</v>
      </c>
      <c r="I29" s="75">
        <v>85</v>
      </c>
      <c r="J29" s="75">
        <v>294024.92613198812</v>
      </c>
      <c r="K29" s="75">
        <v>167.4163165039044</v>
      </c>
    </row>
    <row r="30" spans="1:11" x14ac:dyDescent="0.2">
      <c r="A30" s="94" t="s">
        <v>70</v>
      </c>
      <c r="B30" s="15" t="s">
        <v>71</v>
      </c>
      <c r="C30" s="71" t="s">
        <v>74</v>
      </c>
      <c r="D30" s="71" t="s">
        <v>75</v>
      </c>
      <c r="E30" s="74">
        <v>392894</v>
      </c>
      <c r="F30" s="75">
        <v>5662.1813672552025</v>
      </c>
      <c r="G30" s="75">
        <v>0</v>
      </c>
      <c r="H30" s="75">
        <v>0</v>
      </c>
      <c r="I30" s="75">
        <v>128</v>
      </c>
      <c r="J30" s="75">
        <v>398684.18136725522</v>
      </c>
      <c r="K30" s="75">
        <v>167.98568527479406</v>
      </c>
    </row>
    <row r="31" spans="1:11" x14ac:dyDescent="0.2">
      <c r="A31" s="94" t="s">
        <v>70</v>
      </c>
      <c r="B31" s="15" t="s">
        <v>71</v>
      </c>
      <c r="C31" s="71" t="s">
        <v>76</v>
      </c>
      <c r="D31" s="71" t="s">
        <v>77</v>
      </c>
      <c r="E31" s="74">
        <v>435995</v>
      </c>
      <c r="F31" s="75">
        <v>6283.3302753832641</v>
      </c>
      <c r="G31" s="75">
        <v>0</v>
      </c>
      <c r="H31" s="75">
        <v>0</v>
      </c>
      <c r="I31" s="75">
        <v>-751</v>
      </c>
      <c r="J31" s="75">
        <v>441527.33027538325</v>
      </c>
      <c r="K31" s="75">
        <v>159.24204895043709</v>
      </c>
    </row>
    <row r="32" spans="1:11" x14ac:dyDescent="0.2">
      <c r="A32" s="94" t="s">
        <v>70</v>
      </c>
      <c r="B32" s="15" t="s">
        <v>71</v>
      </c>
      <c r="C32" s="71" t="s">
        <v>78</v>
      </c>
      <c r="D32" s="71" t="s">
        <v>79</v>
      </c>
      <c r="E32" s="74">
        <v>347252</v>
      </c>
      <c r="F32" s="75">
        <v>5004.4129056236634</v>
      </c>
      <c r="G32" s="75">
        <v>0</v>
      </c>
      <c r="H32" s="75">
        <v>0</v>
      </c>
      <c r="I32" s="75">
        <v>100</v>
      </c>
      <c r="J32" s="75">
        <v>352356.41290562367</v>
      </c>
      <c r="K32" s="75">
        <v>170.75167551023583</v>
      </c>
    </row>
    <row r="33" spans="1:11" x14ac:dyDescent="0.2">
      <c r="A33" s="95" t="s">
        <v>70</v>
      </c>
      <c r="B33" s="17" t="s">
        <v>71</v>
      </c>
      <c r="C33" s="76" t="s">
        <v>80</v>
      </c>
      <c r="D33" s="76" t="s">
        <v>81</v>
      </c>
      <c r="E33" s="77">
        <v>278433</v>
      </c>
      <c r="F33" s="78">
        <v>4012.6297287028251</v>
      </c>
      <c r="G33" s="78">
        <v>0</v>
      </c>
      <c r="H33" s="78">
        <v>0</v>
      </c>
      <c r="I33" s="78">
        <v>0</v>
      </c>
      <c r="J33" s="78">
        <v>282445.62972870283</v>
      </c>
      <c r="K33" s="78">
        <v>162.74585111535274</v>
      </c>
    </row>
    <row r="34" spans="1:11" x14ac:dyDescent="0.2">
      <c r="A34" s="93" t="s">
        <v>82</v>
      </c>
      <c r="B34" s="71" t="s">
        <v>83</v>
      </c>
      <c r="C34" s="71" t="s">
        <v>84</v>
      </c>
      <c r="D34" s="71" t="s">
        <v>85</v>
      </c>
      <c r="E34" s="74">
        <v>313631</v>
      </c>
      <c r="F34" s="75">
        <v>4607.6088433407776</v>
      </c>
      <c r="G34" s="75">
        <v>0</v>
      </c>
      <c r="H34" s="75">
        <v>0</v>
      </c>
      <c r="I34" s="75">
        <v>0</v>
      </c>
      <c r="J34" s="75">
        <v>318238.60884334077</v>
      </c>
      <c r="K34" s="75">
        <v>163.2702929597134</v>
      </c>
    </row>
    <row r="35" spans="1:11" x14ac:dyDescent="0.2">
      <c r="A35" s="94" t="s">
        <v>82</v>
      </c>
      <c r="B35" s="15" t="s">
        <v>83</v>
      </c>
      <c r="C35" s="71" t="s">
        <v>86</v>
      </c>
      <c r="D35" s="71" t="s">
        <v>87</v>
      </c>
      <c r="E35" s="74">
        <v>128540</v>
      </c>
      <c r="F35" s="75">
        <v>1855.3084707244295</v>
      </c>
      <c r="G35" s="75">
        <v>0</v>
      </c>
      <c r="H35" s="75">
        <v>0</v>
      </c>
      <c r="I35" s="75">
        <v>0</v>
      </c>
      <c r="J35" s="75">
        <v>130395.30847072443</v>
      </c>
      <c r="K35" s="75">
        <v>160.36298114594368</v>
      </c>
    </row>
    <row r="36" spans="1:11" x14ac:dyDescent="0.2">
      <c r="A36" s="94" t="s">
        <v>82</v>
      </c>
      <c r="B36" s="15" t="s">
        <v>83</v>
      </c>
      <c r="C36" s="71" t="s">
        <v>88</v>
      </c>
      <c r="D36" s="71" t="s">
        <v>89</v>
      </c>
      <c r="E36" s="74">
        <v>325802</v>
      </c>
      <c r="F36" s="75">
        <v>4736.2043363736429</v>
      </c>
      <c r="G36" s="75">
        <v>0</v>
      </c>
      <c r="H36" s="75">
        <v>0</v>
      </c>
      <c r="I36" s="75">
        <v>0</v>
      </c>
      <c r="J36" s="75">
        <v>330538.20433637366</v>
      </c>
      <c r="K36" s="75">
        <v>171.45291449419409</v>
      </c>
    </row>
    <row r="37" spans="1:11" x14ac:dyDescent="0.2">
      <c r="A37" s="94" t="s">
        <v>82</v>
      </c>
      <c r="B37" s="15" t="s">
        <v>83</v>
      </c>
      <c r="C37" s="71" t="s">
        <v>90</v>
      </c>
      <c r="D37" s="71" t="s">
        <v>91</v>
      </c>
      <c r="E37" s="74">
        <v>339580</v>
      </c>
      <c r="F37" s="75">
        <v>4968.8387971592356</v>
      </c>
      <c r="G37" s="75">
        <v>0</v>
      </c>
      <c r="H37" s="75">
        <v>0</v>
      </c>
      <c r="I37" s="75">
        <v>0</v>
      </c>
      <c r="J37" s="75">
        <v>344548.83879715926</v>
      </c>
      <c r="K37" s="75">
        <v>174.18559579675477</v>
      </c>
    </row>
    <row r="38" spans="1:11" x14ac:dyDescent="0.2">
      <c r="A38" s="94" t="s">
        <v>82</v>
      </c>
      <c r="B38" s="15" t="s">
        <v>83</v>
      </c>
      <c r="C38" s="71" t="s">
        <v>92</v>
      </c>
      <c r="D38" s="71" t="s">
        <v>93</v>
      </c>
      <c r="E38" s="74">
        <v>181625</v>
      </c>
      <c r="F38" s="75">
        <v>2631.541230135746</v>
      </c>
      <c r="G38" s="75">
        <v>0</v>
      </c>
      <c r="H38" s="75">
        <v>0</v>
      </c>
      <c r="I38" s="75">
        <v>0</v>
      </c>
      <c r="J38" s="75">
        <v>184256.54123013574</v>
      </c>
      <c r="K38" s="75">
        <v>163.46006077402384</v>
      </c>
    </row>
    <row r="39" spans="1:11" x14ac:dyDescent="0.2">
      <c r="A39" s="95" t="s">
        <v>82</v>
      </c>
      <c r="B39" s="17" t="s">
        <v>83</v>
      </c>
      <c r="C39" s="76" t="s">
        <v>94</v>
      </c>
      <c r="D39" s="76" t="s">
        <v>95</v>
      </c>
      <c r="E39" s="77">
        <v>316731</v>
      </c>
      <c r="F39" s="78">
        <v>4615.5425527391444</v>
      </c>
      <c r="G39" s="78">
        <v>0</v>
      </c>
      <c r="H39" s="78">
        <v>0</v>
      </c>
      <c r="I39" s="78">
        <v>0</v>
      </c>
      <c r="J39" s="78">
        <v>321346.54255273915</v>
      </c>
      <c r="K39" s="78">
        <v>175.68588127522287</v>
      </c>
    </row>
    <row r="40" spans="1:11" x14ac:dyDescent="0.2">
      <c r="A40" s="93" t="s">
        <v>96</v>
      </c>
      <c r="B40" s="71" t="s">
        <v>97</v>
      </c>
      <c r="C40" s="71" t="s">
        <v>98</v>
      </c>
      <c r="D40" s="71" t="s">
        <v>99</v>
      </c>
      <c r="E40" s="74">
        <v>163173</v>
      </c>
      <c r="F40" s="75">
        <v>2401.4225421626556</v>
      </c>
      <c r="G40" s="75">
        <v>0</v>
      </c>
      <c r="H40" s="75">
        <v>0</v>
      </c>
      <c r="I40" s="75">
        <v>0</v>
      </c>
      <c r="J40" s="75">
        <v>165574.42254216265</v>
      </c>
      <c r="K40" s="75">
        <v>167.81673125442811</v>
      </c>
    </row>
    <row r="41" spans="1:11" x14ac:dyDescent="0.2">
      <c r="A41" s="94" t="s">
        <v>96</v>
      </c>
      <c r="B41" s="15" t="s">
        <v>97</v>
      </c>
      <c r="C41" s="71" t="s">
        <v>100</v>
      </c>
      <c r="D41" s="71" t="s">
        <v>101</v>
      </c>
      <c r="E41" s="74">
        <v>172186</v>
      </c>
      <c r="F41" s="75">
        <v>2488.8268899491691</v>
      </c>
      <c r="G41" s="75">
        <v>0</v>
      </c>
      <c r="H41" s="75">
        <v>0</v>
      </c>
      <c r="I41" s="75">
        <v>0</v>
      </c>
      <c r="J41" s="75">
        <v>174674.82688994918</v>
      </c>
      <c r="K41" s="75">
        <v>163.65582920913016</v>
      </c>
    </row>
    <row r="42" spans="1:11" x14ac:dyDescent="0.2">
      <c r="A42" s="94" t="s">
        <v>96</v>
      </c>
      <c r="B42" s="15" t="s">
        <v>97</v>
      </c>
      <c r="C42" s="71" t="s">
        <v>102</v>
      </c>
      <c r="D42" s="71" t="s">
        <v>103</v>
      </c>
      <c r="E42" s="74">
        <v>110847</v>
      </c>
      <c r="F42" s="75">
        <v>1678.8878267811742</v>
      </c>
      <c r="G42" s="75">
        <v>0</v>
      </c>
      <c r="H42" s="75">
        <v>0</v>
      </c>
      <c r="I42" s="75">
        <v>0</v>
      </c>
      <c r="J42" s="75">
        <v>112525.88782678117</v>
      </c>
      <c r="K42" s="75">
        <v>186.59120804098592</v>
      </c>
    </row>
    <row r="43" spans="1:11" x14ac:dyDescent="0.2">
      <c r="A43" s="94" t="s">
        <v>96</v>
      </c>
      <c r="B43" s="15" t="s">
        <v>97</v>
      </c>
      <c r="C43" s="71" t="s">
        <v>104</v>
      </c>
      <c r="D43" s="71" t="s">
        <v>105</v>
      </c>
      <c r="E43" s="74">
        <v>220682</v>
      </c>
      <c r="F43" s="75">
        <v>3240.6940956947074</v>
      </c>
      <c r="G43" s="75">
        <v>0</v>
      </c>
      <c r="H43" s="75">
        <v>1961</v>
      </c>
      <c r="I43" s="75">
        <v>0</v>
      </c>
      <c r="J43" s="75">
        <v>225883.69409569469</v>
      </c>
      <c r="K43" s="75">
        <v>176.53098142482307</v>
      </c>
    </row>
    <row r="44" spans="1:11" x14ac:dyDescent="0.2">
      <c r="A44" s="94" t="s">
        <v>96</v>
      </c>
      <c r="B44" s="15" t="s">
        <v>97</v>
      </c>
      <c r="C44" s="71" t="s">
        <v>106</v>
      </c>
      <c r="D44" s="71" t="s">
        <v>107</v>
      </c>
      <c r="E44" s="74">
        <v>143785</v>
      </c>
      <c r="F44" s="75">
        <v>2105.4243684867338</v>
      </c>
      <c r="G44" s="75">
        <v>0</v>
      </c>
      <c r="H44" s="75">
        <v>0</v>
      </c>
      <c r="I44" s="75">
        <v>0</v>
      </c>
      <c r="J44" s="75">
        <v>145890.42436848674</v>
      </c>
      <c r="K44" s="75">
        <v>177.45699713153763</v>
      </c>
    </row>
    <row r="45" spans="1:11" x14ac:dyDescent="0.2">
      <c r="A45" s="94" t="s">
        <v>96</v>
      </c>
      <c r="B45" s="15" t="s">
        <v>97</v>
      </c>
      <c r="C45" s="71" t="s">
        <v>108</v>
      </c>
      <c r="D45" s="71" t="s">
        <v>109</v>
      </c>
      <c r="E45" s="74">
        <v>114129</v>
      </c>
      <c r="F45" s="75">
        <v>1682.4329460439335</v>
      </c>
      <c r="G45" s="75">
        <v>0</v>
      </c>
      <c r="H45" s="75">
        <v>0</v>
      </c>
      <c r="I45" s="75">
        <v>0</v>
      </c>
      <c r="J45" s="75">
        <v>115811.43294604393</v>
      </c>
      <c r="K45" s="75">
        <v>170.28563314200326</v>
      </c>
    </row>
    <row r="46" spans="1:11" x14ac:dyDescent="0.2">
      <c r="A46" s="95" t="s">
        <v>96</v>
      </c>
      <c r="B46" s="17" t="s">
        <v>97</v>
      </c>
      <c r="C46" s="76" t="s">
        <v>110</v>
      </c>
      <c r="D46" s="76" t="s">
        <v>111</v>
      </c>
      <c r="E46" s="77">
        <v>103692</v>
      </c>
      <c r="F46" s="78">
        <v>1534.3939823606263</v>
      </c>
      <c r="G46" s="78">
        <v>0</v>
      </c>
      <c r="H46" s="78">
        <v>311</v>
      </c>
      <c r="I46" s="78">
        <v>0</v>
      </c>
      <c r="J46" s="78">
        <v>105537.39398236062</v>
      </c>
      <c r="K46" s="78">
        <v>176.22993056249169</v>
      </c>
    </row>
    <row r="47" spans="1:11" x14ac:dyDescent="0.2">
      <c r="C47" s="25"/>
      <c r="D47" s="105"/>
      <c r="E47" s="105"/>
      <c r="F47" s="105"/>
      <c r="G47" s="105"/>
      <c r="H47" s="105"/>
      <c r="I47" s="105"/>
      <c r="J47" s="105"/>
      <c r="K47" s="105"/>
    </row>
    <row r="48" spans="1:11" x14ac:dyDescent="0.2">
      <c r="C48" s="25"/>
      <c r="D48" s="76"/>
      <c r="E48" s="76"/>
      <c r="F48" s="76"/>
      <c r="G48" s="76"/>
      <c r="H48" s="76"/>
      <c r="I48" s="76"/>
      <c r="J48" s="76"/>
      <c r="K48" s="76"/>
    </row>
    <row r="49" spans="2:11" ht="63.75" x14ac:dyDescent="0.2">
      <c r="B49" s="80"/>
      <c r="C49" s="101" t="s">
        <v>2</v>
      </c>
      <c r="D49" s="102" t="s">
        <v>3</v>
      </c>
      <c r="E49" s="103" t="s">
        <v>117</v>
      </c>
      <c r="F49" s="103" t="s">
        <v>134</v>
      </c>
      <c r="G49" s="103" t="s">
        <v>118</v>
      </c>
      <c r="H49" s="103" t="s">
        <v>141</v>
      </c>
      <c r="I49" s="103" t="s">
        <v>144</v>
      </c>
      <c r="J49" s="103" t="s">
        <v>6</v>
      </c>
      <c r="K49" s="104" t="s">
        <v>140</v>
      </c>
    </row>
    <row r="50" spans="2:11" x14ac:dyDescent="0.2">
      <c r="B50" s="80"/>
      <c r="C50" s="96" t="s">
        <v>14</v>
      </c>
      <c r="D50" s="71" t="s">
        <v>15</v>
      </c>
      <c r="E50" s="74">
        <v>1621293</v>
      </c>
      <c r="F50" s="75">
        <v>23591.36730472471</v>
      </c>
      <c r="G50" s="75">
        <v>0</v>
      </c>
      <c r="H50" s="75">
        <v>0</v>
      </c>
      <c r="I50" s="75">
        <v>0</v>
      </c>
      <c r="J50" s="75">
        <v>1644884.3673047246</v>
      </c>
      <c r="K50" s="75">
        <v>181.27285481951543</v>
      </c>
    </row>
    <row r="51" spans="2:11" x14ac:dyDescent="0.2">
      <c r="B51" s="80"/>
      <c r="C51" s="96" t="s">
        <v>24</v>
      </c>
      <c r="D51" s="71" t="s">
        <v>25</v>
      </c>
      <c r="E51" s="74">
        <v>1380173</v>
      </c>
      <c r="F51" s="75">
        <v>19942.308152688471</v>
      </c>
      <c r="G51" s="75">
        <v>0</v>
      </c>
      <c r="H51" s="75">
        <v>0</v>
      </c>
      <c r="I51" s="75">
        <v>0</v>
      </c>
      <c r="J51" s="75">
        <v>1400115.3081526887</v>
      </c>
      <c r="K51" s="75">
        <v>180.65193246005967</v>
      </c>
    </row>
    <row r="52" spans="2:11" x14ac:dyDescent="0.2">
      <c r="B52" s="80"/>
      <c r="C52" s="96" t="s">
        <v>32</v>
      </c>
      <c r="D52" s="71" t="s">
        <v>33</v>
      </c>
      <c r="E52" s="74">
        <v>2027212</v>
      </c>
      <c r="F52" s="75">
        <v>29649.575792236141</v>
      </c>
      <c r="G52" s="75">
        <v>0</v>
      </c>
      <c r="H52" s="75">
        <v>0</v>
      </c>
      <c r="I52" s="75">
        <v>438</v>
      </c>
      <c r="J52" s="75">
        <v>2057299.5757922363</v>
      </c>
      <c r="K52" s="75">
        <v>175.62155082454819</v>
      </c>
    </row>
    <row r="53" spans="2:11" x14ac:dyDescent="0.2">
      <c r="B53" s="80"/>
      <c r="C53" s="96" t="s">
        <v>56</v>
      </c>
      <c r="D53" s="71" t="s">
        <v>57</v>
      </c>
      <c r="E53" s="74">
        <v>1204265</v>
      </c>
      <c r="F53" s="75">
        <v>17756.341459446045</v>
      </c>
      <c r="G53" s="75">
        <v>0</v>
      </c>
      <c r="H53" s="75">
        <v>0</v>
      </c>
      <c r="I53" s="75">
        <v>0</v>
      </c>
      <c r="J53" s="75">
        <v>1222021.3414594461</v>
      </c>
      <c r="K53" s="75">
        <v>170.96266437703864</v>
      </c>
    </row>
    <row r="54" spans="2:11" x14ac:dyDescent="0.2">
      <c r="B54" s="80"/>
      <c r="C54" s="96" t="s">
        <v>70</v>
      </c>
      <c r="D54" s="71" t="s">
        <v>71</v>
      </c>
      <c r="E54" s="74">
        <v>1744338</v>
      </c>
      <c r="F54" s="75">
        <v>25138.480408953066</v>
      </c>
      <c r="G54" s="75">
        <v>0</v>
      </c>
      <c r="H54" s="75">
        <v>0</v>
      </c>
      <c r="I54" s="75">
        <v>-438</v>
      </c>
      <c r="J54" s="75">
        <v>1769038.480408953</v>
      </c>
      <c r="K54" s="75">
        <v>164.78472437288895</v>
      </c>
    </row>
    <row r="55" spans="2:11" x14ac:dyDescent="0.2">
      <c r="B55" s="80"/>
      <c r="C55" s="96" t="s">
        <v>82</v>
      </c>
      <c r="D55" s="71" t="s">
        <v>83</v>
      </c>
      <c r="E55" s="74">
        <v>1605909</v>
      </c>
      <c r="F55" s="75">
        <v>23415.044230472977</v>
      </c>
      <c r="G55" s="75">
        <v>0</v>
      </c>
      <c r="H55" s="75">
        <v>0</v>
      </c>
      <c r="I55" s="75">
        <v>0</v>
      </c>
      <c r="J55" s="75">
        <v>1629324.0442304732</v>
      </c>
      <c r="K55" s="75">
        <v>168.68932319325629</v>
      </c>
    </row>
    <row r="56" spans="2:11" x14ac:dyDescent="0.2">
      <c r="B56" s="80"/>
      <c r="C56" s="96" t="s">
        <v>96</v>
      </c>
      <c r="D56" s="71" t="s">
        <v>97</v>
      </c>
      <c r="E56" s="74">
        <v>1028494</v>
      </c>
      <c r="F56" s="75">
        <v>15132.082651479001</v>
      </c>
      <c r="G56" s="75">
        <v>0</v>
      </c>
      <c r="H56" s="75">
        <v>2272</v>
      </c>
      <c r="I56" s="75">
        <v>0</v>
      </c>
      <c r="J56" s="75">
        <v>1045898.0826514789</v>
      </c>
      <c r="K56" s="75">
        <v>172.19976681855289</v>
      </c>
    </row>
    <row r="57" spans="2:11" x14ac:dyDescent="0.2">
      <c r="B57" s="80"/>
      <c r="C57" s="97" t="s">
        <v>114</v>
      </c>
      <c r="D57" s="98" t="s">
        <v>115</v>
      </c>
      <c r="E57" s="99">
        <v>10611684</v>
      </c>
      <c r="F57" s="99">
        <v>154625.20000000039</v>
      </c>
      <c r="G57" s="99">
        <v>0</v>
      </c>
      <c r="H57" s="99">
        <v>2272</v>
      </c>
      <c r="I57" s="99">
        <v>0</v>
      </c>
      <c r="J57" s="99">
        <v>10768581.200000001</v>
      </c>
      <c r="K57" s="99">
        <v>173.95741707148079</v>
      </c>
    </row>
    <row r="58" spans="2:11" x14ac:dyDescent="0.2">
      <c r="B58" s="80"/>
      <c r="C58" s="25"/>
      <c r="D58" s="25"/>
    </row>
  </sheetData>
  <printOptions horizontalCentered="1"/>
  <pageMargins left="0.39370078740157483" right="0.39370078740157483" top="0.39370078740157483" bottom="0.39370078740157483" header="0.11811023622047245" footer="0.11811023622047245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EF8E-52AF-4E9A-B4A6-BEEEA983985F}">
  <sheetPr>
    <tabColor rgb="FF0070C0"/>
    <pageSetUpPr fitToPage="1"/>
  </sheetPr>
  <dimension ref="A1:O60"/>
  <sheetViews>
    <sheetView zoomScale="85" zoomScaleNormal="85" workbookViewId="0">
      <selection activeCell="A2" sqref="A2"/>
    </sheetView>
  </sheetViews>
  <sheetFormatPr defaultRowHeight="12.75" x14ac:dyDescent="0.2"/>
  <cols>
    <col min="1" max="1" width="4.85546875" style="71" customWidth="1"/>
    <col min="2" max="2" width="23" style="71" customWidth="1"/>
    <col min="3" max="3" width="6.85546875" style="71" customWidth="1"/>
    <col min="4" max="4" width="54.85546875" style="71" customWidth="1"/>
    <col min="5" max="5" width="14" style="71" customWidth="1"/>
    <col min="6" max="6" width="11" style="71" bestFit="1" customWidth="1"/>
    <col min="7" max="7" width="1.42578125" style="71" customWidth="1"/>
    <col min="8" max="8" width="9.7109375" style="71" customWidth="1"/>
    <col min="9" max="9" width="12.85546875" style="71" customWidth="1"/>
    <col min="10" max="11" width="11.7109375" style="71" customWidth="1"/>
    <col min="12" max="12" width="12.85546875" style="71" customWidth="1"/>
    <col min="13" max="13" width="11.42578125" style="71" customWidth="1"/>
    <col min="14" max="14" width="11.28515625" style="71" customWidth="1"/>
    <col min="15" max="15" width="10.7109375" style="71" customWidth="1"/>
    <col min="16" max="17" width="9.140625" style="71"/>
    <col min="18" max="21" width="17" style="71" customWidth="1"/>
    <col min="22" max="22" width="13.7109375" style="71" bestFit="1" customWidth="1"/>
    <col min="23" max="23" width="8.85546875" style="71" bestFit="1" customWidth="1"/>
    <col min="24" max="24" width="10.5703125" style="71" bestFit="1" customWidth="1"/>
    <col min="25" max="25" width="8.85546875" style="71" bestFit="1" customWidth="1"/>
    <col min="26" max="16384" width="9.140625" style="71"/>
  </cols>
  <sheetData>
    <row r="1" spans="1:15" s="3" customFormat="1" ht="25.5" x14ac:dyDescent="0.35">
      <c r="A1" s="1" t="s">
        <v>0</v>
      </c>
      <c r="B1" s="2"/>
      <c r="C1" s="2"/>
      <c r="D1" s="2"/>
      <c r="E1" s="2" t="s">
        <v>1</v>
      </c>
    </row>
    <row r="2" spans="1:15" x14ac:dyDescent="0.2">
      <c r="A2" s="4"/>
    </row>
    <row r="3" spans="1:15" ht="63.75" x14ac:dyDescent="0.2">
      <c r="A3" s="88" t="s">
        <v>2</v>
      </c>
      <c r="B3" s="89" t="s">
        <v>3</v>
      </c>
      <c r="C3" s="89" t="s">
        <v>4</v>
      </c>
      <c r="D3" s="89" t="s">
        <v>5</v>
      </c>
      <c r="E3" s="90" t="s">
        <v>6</v>
      </c>
      <c r="F3" s="90" t="s">
        <v>7</v>
      </c>
      <c r="G3" s="107" t="s">
        <v>8</v>
      </c>
      <c r="H3" s="90" t="s">
        <v>9</v>
      </c>
      <c r="I3" s="90" t="s">
        <v>10</v>
      </c>
      <c r="J3" s="90" t="s">
        <v>11</v>
      </c>
      <c r="K3" s="90" t="s">
        <v>12</v>
      </c>
      <c r="L3" s="90" t="s">
        <v>13</v>
      </c>
      <c r="M3" s="29" t="s">
        <v>146</v>
      </c>
      <c r="N3" s="29" t="s">
        <v>147</v>
      </c>
      <c r="O3" s="29" t="s">
        <v>145</v>
      </c>
    </row>
    <row r="4" spans="1:15" x14ac:dyDescent="0.2">
      <c r="A4" s="91"/>
      <c r="B4" s="92"/>
      <c r="C4" s="92"/>
      <c r="D4" s="92"/>
      <c r="E4" s="72"/>
      <c r="F4" s="72"/>
      <c r="G4" s="81"/>
      <c r="H4" s="72"/>
      <c r="I4" s="72"/>
      <c r="J4" s="72"/>
      <c r="K4" s="72"/>
      <c r="L4" s="72"/>
    </row>
    <row r="5" spans="1:15" x14ac:dyDescent="0.2">
      <c r="A5" s="108" t="s">
        <v>14</v>
      </c>
      <c r="B5" s="71" t="s">
        <v>15</v>
      </c>
      <c r="C5" s="71" t="s">
        <v>16</v>
      </c>
      <c r="D5" s="71" t="s">
        <v>17</v>
      </c>
      <c r="E5" s="74">
        <v>329910.05340693926</v>
      </c>
      <c r="F5" s="82">
        <v>1.7727615523585039E-2</v>
      </c>
      <c r="G5" s="83"/>
      <c r="H5" s="84">
        <v>3.6095645156814404E-2</v>
      </c>
      <c r="I5" s="82">
        <v>-4.0000000000000001E-3</v>
      </c>
      <c r="J5" s="74">
        <v>340451.09614986833</v>
      </c>
      <c r="K5" s="74">
        <v>191.12828488927178</v>
      </c>
      <c r="L5" s="82">
        <v>3.19512625761873E-2</v>
      </c>
      <c r="M5" s="74">
        <v>1336.4521128634749</v>
      </c>
      <c r="N5" s="74">
        <v>152.35432203185988</v>
      </c>
      <c r="O5" s="74">
        <v>341939.90258476365</v>
      </c>
    </row>
    <row r="6" spans="1:15" x14ac:dyDescent="0.2">
      <c r="A6" s="14" t="s">
        <v>14</v>
      </c>
      <c r="B6" s="15" t="s">
        <v>15</v>
      </c>
      <c r="C6" s="71" t="s">
        <v>18</v>
      </c>
      <c r="D6" s="71" t="s">
        <v>19</v>
      </c>
      <c r="E6" s="74">
        <v>582725.25590277405</v>
      </c>
      <c r="F6" s="82">
        <v>-7.5354188961984647E-6</v>
      </c>
      <c r="G6" s="83"/>
      <c r="H6" s="84">
        <v>3.5519422715265536E-2</v>
      </c>
      <c r="I6" s="82">
        <v>1.8838547240496162E-6</v>
      </c>
      <c r="J6" s="74">
        <v>603424.45735591894</v>
      </c>
      <c r="K6" s="74">
        <v>190.89948535585654</v>
      </c>
      <c r="L6" s="82">
        <v>3.5521373483421659E-2</v>
      </c>
      <c r="M6" s="74">
        <v>2368.7627976730355</v>
      </c>
      <c r="N6" s="74">
        <v>270.03679864033688</v>
      </c>
      <c r="O6" s="74">
        <v>606063.25695223233</v>
      </c>
    </row>
    <row r="7" spans="1:15" x14ac:dyDescent="0.2">
      <c r="A7" s="14" t="s">
        <v>14</v>
      </c>
      <c r="B7" s="15" t="s">
        <v>15</v>
      </c>
      <c r="C7" s="71" t="s">
        <v>20</v>
      </c>
      <c r="D7" s="71" t="s">
        <v>21</v>
      </c>
      <c r="E7" s="74">
        <v>263161.52433796431</v>
      </c>
      <c r="F7" s="82">
        <v>1.1696345231373195E-2</v>
      </c>
      <c r="G7" s="83"/>
      <c r="H7" s="84">
        <v>3.6772539709101659E-2</v>
      </c>
      <c r="I7" s="82">
        <v>-4.0000000000000001E-3</v>
      </c>
      <c r="J7" s="74">
        <v>271747.28737382346</v>
      </c>
      <c r="K7" s="74">
        <v>181.90305532062197</v>
      </c>
      <c r="L7" s="82">
        <v>3.2625449550265362E-2</v>
      </c>
      <c r="M7" s="74">
        <v>1066.7530240989202</v>
      </c>
      <c r="N7" s="74">
        <v>121.60887187630188</v>
      </c>
      <c r="O7" s="74">
        <v>272935.64926979871</v>
      </c>
    </row>
    <row r="8" spans="1:15" x14ac:dyDescent="0.2">
      <c r="A8" s="16" t="s">
        <v>14</v>
      </c>
      <c r="B8" s="17" t="s">
        <v>15</v>
      </c>
      <c r="C8" s="76" t="s">
        <v>22</v>
      </c>
      <c r="D8" s="76" t="s">
        <v>23</v>
      </c>
      <c r="E8" s="77">
        <v>469087.53365704708</v>
      </c>
      <c r="F8" s="85">
        <v>1.4293254936966759E-2</v>
      </c>
      <c r="G8" s="83"/>
      <c r="H8" s="86">
        <v>3.599138544753E-2</v>
      </c>
      <c r="I8" s="85">
        <v>-4.0000000000000001E-3</v>
      </c>
      <c r="J8" s="77">
        <v>484026.76131397096</v>
      </c>
      <c r="K8" s="77">
        <v>183.48641759356119</v>
      </c>
      <c r="L8" s="85">
        <v>3.1847419905739915E-2</v>
      </c>
      <c r="M8" s="77">
        <v>1900.0631666515828</v>
      </c>
      <c r="N8" s="77">
        <v>216.6054681545352</v>
      </c>
      <c r="O8" s="77">
        <v>486143.42994877708</v>
      </c>
    </row>
    <row r="9" spans="1:15" x14ac:dyDescent="0.2">
      <c r="A9" s="108" t="s">
        <v>24</v>
      </c>
      <c r="B9" s="71" t="s">
        <v>25</v>
      </c>
      <c r="C9" s="71" t="s">
        <v>26</v>
      </c>
      <c r="D9" s="71" t="s">
        <v>27</v>
      </c>
      <c r="E9" s="74">
        <v>501515.516766941</v>
      </c>
      <c r="F9" s="82">
        <v>-1.0655996474295826E-3</v>
      </c>
      <c r="G9" s="83"/>
      <c r="H9" s="84">
        <v>3.6939792119655479E-2</v>
      </c>
      <c r="I9" s="82">
        <v>2.663999118574234E-4</v>
      </c>
      <c r="J9" s="74">
        <v>520179.9346830704</v>
      </c>
      <c r="K9" s="74">
        <v>189.95048853553132</v>
      </c>
      <c r="L9" s="82">
        <v>3.7216032788877751E-2</v>
      </c>
      <c r="M9" s="74">
        <v>2041.9836523902545</v>
      </c>
      <c r="N9" s="74">
        <v>232.78427409829624</v>
      </c>
      <c r="O9" s="74">
        <v>522454.70260955894</v>
      </c>
    </row>
    <row r="10" spans="1:15" x14ac:dyDescent="0.2">
      <c r="A10" s="14" t="s">
        <v>24</v>
      </c>
      <c r="B10" s="15" t="s">
        <v>25</v>
      </c>
      <c r="C10" s="71" t="s">
        <v>28</v>
      </c>
      <c r="D10" s="71" t="s">
        <v>29</v>
      </c>
      <c r="E10" s="74">
        <v>569948.10069863463</v>
      </c>
      <c r="F10" s="82">
        <v>-1.6425053244938592E-2</v>
      </c>
      <c r="G10" s="83"/>
      <c r="H10" s="84">
        <v>3.625244652416959E-2</v>
      </c>
      <c r="I10" s="82">
        <v>4.1062633112347036E-3</v>
      </c>
      <c r="J10" s="74">
        <v>593035.31438206171</v>
      </c>
      <c r="K10" s="74">
        <v>186.08676787973943</v>
      </c>
      <c r="L10" s="82">
        <v>4.050757192650889E-2</v>
      </c>
      <c r="M10" s="74">
        <v>2327.9798710346081</v>
      </c>
      <c r="N10" s="74">
        <v>265.38758219728777</v>
      </c>
      <c r="O10" s="74">
        <v>595628.68183529365</v>
      </c>
    </row>
    <row r="11" spans="1:15" x14ac:dyDescent="0.2">
      <c r="A11" s="16" t="s">
        <v>24</v>
      </c>
      <c r="B11" s="17" t="s">
        <v>25</v>
      </c>
      <c r="C11" s="76" t="s">
        <v>30</v>
      </c>
      <c r="D11" s="76" t="s">
        <v>31</v>
      </c>
      <c r="E11" s="77">
        <v>328651.69068711286</v>
      </c>
      <c r="F11" s="85">
        <v>-8.5287765373676105E-3</v>
      </c>
      <c r="G11" s="83"/>
      <c r="H11" s="86">
        <v>3.6086365882679106E-2</v>
      </c>
      <c r="I11" s="85">
        <v>2.1321941343419026E-3</v>
      </c>
      <c r="J11" s="77">
        <v>341237.57254461403</v>
      </c>
      <c r="K11" s="77">
        <v>186.98258492497334</v>
      </c>
      <c r="L11" s="85">
        <v>3.8295503154685884E-2</v>
      </c>
      <c r="M11" s="77">
        <v>1339.5394521358749</v>
      </c>
      <c r="N11" s="77">
        <v>152.70627589328259</v>
      </c>
      <c r="O11" s="77">
        <v>342729.81827264314</v>
      </c>
    </row>
    <row r="12" spans="1:15" x14ac:dyDescent="0.2">
      <c r="A12" s="108" t="s">
        <v>32</v>
      </c>
      <c r="B12" s="71" t="s">
        <v>33</v>
      </c>
      <c r="C12" s="71" t="s">
        <v>34</v>
      </c>
      <c r="D12" s="71" t="s">
        <v>35</v>
      </c>
      <c r="E12" s="74">
        <v>281136.17658347159</v>
      </c>
      <c r="F12" s="82">
        <v>-4.8975904269887849E-6</v>
      </c>
      <c r="G12" s="83"/>
      <c r="H12" s="84">
        <v>3.5306415434470662E-2</v>
      </c>
      <c r="I12" s="82">
        <v>1.2243976067471962E-6</v>
      </c>
      <c r="J12" s="74">
        <v>291062.4436033094</v>
      </c>
      <c r="K12" s="74">
        <v>184.00705597010392</v>
      </c>
      <c r="L12" s="82">
        <v>3.5307683061168049E-2</v>
      </c>
      <c r="M12" s="74">
        <v>1142.5753129536497</v>
      </c>
      <c r="N12" s="74">
        <v>130.25254365636681</v>
      </c>
      <c r="O12" s="74">
        <v>292335.27145991946</v>
      </c>
    </row>
    <row r="13" spans="1:15" x14ac:dyDescent="0.2">
      <c r="A13" s="14" t="s">
        <v>32</v>
      </c>
      <c r="B13" s="15" t="s">
        <v>33</v>
      </c>
      <c r="C13" s="71" t="s">
        <v>36</v>
      </c>
      <c r="D13" s="71" t="s">
        <v>37</v>
      </c>
      <c r="E13" s="74">
        <v>231883.13706794931</v>
      </c>
      <c r="F13" s="82">
        <v>-9.8139156465101296E-3</v>
      </c>
      <c r="G13" s="83"/>
      <c r="H13" s="84">
        <v>3.6504585226898367E-2</v>
      </c>
      <c r="I13" s="82">
        <v>2.4534789116275038E-3</v>
      </c>
      <c r="J13" s="74">
        <v>240937.62339723081</v>
      </c>
      <c r="K13" s="74">
        <v>185.05974073758</v>
      </c>
      <c r="L13" s="82">
        <v>3.9047627368557825E-2</v>
      </c>
      <c r="M13" s="74">
        <v>945.8086623865255</v>
      </c>
      <c r="N13" s="74">
        <v>107.82132494146437</v>
      </c>
      <c r="O13" s="74">
        <v>241991.2533845588</v>
      </c>
    </row>
    <row r="14" spans="1:15" x14ac:dyDescent="0.2">
      <c r="A14" s="14" t="s">
        <v>32</v>
      </c>
      <c r="B14" s="15" t="s">
        <v>33</v>
      </c>
      <c r="C14" s="71" t="s">
        <v>38</v>
      </c>
      <c r="D14" s="71" t="s">
        <v>39</v>
      </c>
      <c r="E14" s="74">
        <v>183578.43785157584</v>
      </c>
      <c r="F14" s="82">
        <v>-5.0288073317248383E-3</v>
      </c>
      <c r="G14" s="83"/>
      <c r="H14" s="84">
        <v>4.0749430304696688E-2</v>
      </c>
      <c r="I14" s="82">
        <v>1.2572018329312096E-3</v>
      </c>
      <c r="J14" s="74">
        <v>191299.35452962801</v>
      </c>
      <c r="K14" s="74">
        <v>178.29406783693608</v>
      </c>
      <c r="L14" s="82">
        <v>4.2057862396097878E-2</v>
      </c>
      <c r="M14" s="74">
        <v>750.95198529775439</v>
      </c>
      <c r="N14" s="74">
        <v>85.607841461212317</v>
      </c>
      <c r="O14" s="74">
        <v>192135.91435638696</v>
      </c>
    </row>
    <row r="15" spans="1:15" x14ac:dyDescent="0.2">
      <c r="A15" s="14" t="s">
        <v>32</v>
      </c>
      <c r="B15" s="15" t="s">
        <v>33</v>
      </c>
      <c r="C15" s="71" t="s">
        <v>40</v>
      </c>
      <c r="D15" s="71" t="s">
        <v>41</v>
      </c>
      <c r="E15" s="74">
        <v>192176.85671502628</v>
      </c>
      <c r="F15" s="82">
        <v>2.8726505650220613E-3</v>
      </c>
      <c r="G15" s="83"/>
      <c r="H15" s="84">
        <v>3.7962323473819115E-2</v>
      </c>
      <c r="I15" s="82">
        <v>-2.7358576809733918E-3</v>
      </c>
      <c r="J15" s="74">
        <v>198926.60878928367</v>
      </c>
      <c r="K15" s="74">
        <v>177.64119091270541</v>
      </c>
      <c r="L15" s="82">
        <v>3.5122606278582325E-2</v>
      </c>
      <c r="M15" s="74">
        <v>780.89302583467941</v>
      </c>
      <c r="N15" s="74">
        <v>89.021092776411237</v>
      </c>
      <c r="O15" s="74">
        <v>199796.52290789475</v>
      </c>
    </row>
    <row r="16" spans="1:15" x14ac:dyDescent="0.2">
      <c r="A16" s="14" t="s">
        <v>32</v>
      </c>
      <c r="B16" s="15" t="s">
        <v>33</v>
      </c>
      <c r="C16" s="71" t="s">
        <v>42</v>
      </c>
      <c r="D16" s="71" t="s">
        <v>43</v>
      </c>
      <c r="E16" s="74">
        <v>154864.8763752612</v>
      </c>
      <c r="F16" s="82">
        <v>4.9663285832579396E-2</v>
      </c>
      <c r="G16" s="83"/>
      <c r="H16" s="84">
        <v>4.0035603103804052E-2</v>
      </c>
      <c r="I16" s="82">
        <v>-4.0000000000000001E-3</v>
      </c>
      <c r="J16" s="74">
        <v>160420.72516013865</v>
      </c>
      <c r="K16" s="74">
        <v>194.21477465152765</v>
      </c>
      <c r="L16" s="82">
        <v>3.5875460691388694E-2</v>
      </c>
      <c r="M16" s="74">
        <v>629.73689763942036</v>
      </c>
      <c r="N16" s="74">
        <v>71.789432015437797</v>
      </c>
      <c r="O16" s="74">
        <v>161122.2514897935</v>
      </c>
    </row>
    <row r="17" spans="1:15" x14ac:dyDescent="0.2">
      <c r="A17" s="14" t="s">
        <v>32</v>
      </c>
      <c r="B17" s="15" t="s">
        <v>33</v>
      </c>
      <c r="C17" s="71" t="s">
        <v>44</v>
      </c>
      <c r="D17" s="71" t="s">
        <v>45</v>
      </c>
      <c r="E17" s="74">
        <v>197978.92075798498</v>
      </c>
      <c r="F17" s="82">
        <v>-2.3572781942983179E-3</v>
      </c>
      <c r="G17" s="83"/>
      <c r="H17" s="84">
        <v>4.0578933483562674E-2</v>
      </c>
      <c r="I17" s="82">
        <v>5.8931954857452395E-4</v>
      </c>
      <c r="J17" s="74">
        <v>206134.10152252592</v>
      </c>
      <c r="K17" s="74">
        <v>170.92915992703922</v>
      </c>
      <c r="L17" s="82">
        <v>4.1192166990899226E-2</v>
      </c>
      <c r="M17" s="74">
        <v>809.18627852419195</v>
      </c>
      <c r="N17" s="74">
        <v>92.246497779775638</v>
      </c>
      <c r="O17" s="74">
        <v>207035.53429882988</v>
      </c>
    </row>
    <row r="18" spans="1:15" x14ac:dyDescent="0.2">
      <c r="A18" s="14" t="s">
        <v>32</v>
      </c>
      <c r="B18" s="15" t="s">
        <v>33</v>
      </c>
      <c r="C18" s="71" t="s">
        <v>46</v>
      </c>
      <c r="D18" s="71" t="s">
        <v>47</v>
      </c>
      <c r="E18" s="74">
        <v>155525.44443800973</v>
      </c>
      <c r="F18" s="82">
        <v>1.3383603416319279E-3</v>
      </c>
      <c r="G18" s="83"/>
      <c r="H18" s="84">
        <v>3.913056509221402E-2</v>
      </c>
      <c r="I18" s="82">
        <v>-1.2746288967923124E-3</v>
      </c>
      <c r="J18" s="74">
        <v>161405.24860475695</v>
      </c>
      <c r="K18" s="74">
        <v>197.96125935918744</v>
      </c>
      <c r="L18" s="82">
        <v>3.7806059246407342E-2</v>
      </c>
      <c r="M18" s="74">
        <v>633.60167719984383</v>
      </c>
      <c r="N18" s="74">
        <v>72.230013360675315</v>
      </c>
      <c r="O18" s="74">
        <v>162111.08029531749</v>
      </c>
    </row>
    <row r="19" spans="1:15" x14ac:dyDescent="0.2">
      <c r="A19" s="14" t="s">
        <v>32</v>
      </c>
      <c r="B19" s="15" t="s">
        <v>33</v>
      </c>
      <c r="C19" s="71" t="s">
        <v>48</v>
      </c>
      <c r="D19" s="71" t="s">
        <v>49</v>
      </c>
      <c r="E19" s="74">
        <v>138558.21771145478</v>
      </c>
      <c r="F19" s="82">
        <v>-4.9476042296218159E-3</v>
      </c>
      <c r="G19" s="83"/>
      <c r="H19" s="84">
        <v>4.1036049013262854E-2</v>
      </c>
      <c r="I19" s="82">
        <v>1.2369010574053985E-3</v>
      </c>
      <c r="J19" s="74">
        <v>144422.51520387892</v>
      </c>
      <c r="K19" s="74">
        <v>174.94419691519639</v>
      </c>
      <c r="L19" s="82">
        <v>4.2323707603084459E-2</v>
      </c>
      <c r="M19" s="74">
        <v>566.93539181414667</v>
      </c>
      <c r="N19" s="74">
        <v>64.630117625871705</v>
      </c>
      <c r="O19" s="74">
        <v>145054.08071331895</v>
      </c>
    </row>
    <row r="20" spans="1:15" x14ac:dyDescent="0.2">
      <c r="A20" s="14" t="s">
        <v>32</v>
      </c>
      <c r="B20" s="15" t="s">
        <v>33</v>
      </c>
      <c r="C20" s="71" t="s">
        <v>50</v>
      </c>
      <c r="D20" s="71" t="s">
        <v>51</v>
      </c>
      <c r="E20" s="74">
        <v>217164.26712554894</v>
      </c>
      <c r="F20" s="82">
        <v>7.9147412221358682E-3</v>
      </c>
      <c r="G20" s="83"/>
      <c r="H20" s="84">
        <v>3.8465162275446385E-2</v>
      </c>
      <c r="I20" s="82">
        <v>-4.0000000000000001E-3</v>
      </c>
      <c r="J20" s="74">
        <v>224615.45579735772</v>
      </c>
      <c r="K20" s="74">
        <v>178.80811888158269</v>
      </c>
      <c r="L20" s="82">
        <v>3.4311301626344548E-2</v>
      </c>
      <c r="M20" s="74">
        <v>881.73545004545076</v>
      </c>
      <c r="N20" s="74">
        <v>100.51703716888403</v>
      </c>
      <c r="O20" s="74">
        <v>225597.70828457203</v>
      </c>
    </row>
    <row r="21" spans="1:15" x14ac:dyDescent="0.2">
      <c r="A21" s="14" t="s">
        <v>32</v>
      </c>
      <c r="B21" s="15" t="s">
        <v>33</v>
      </c>
      <c r="C21" s="71" t="s">
        <v>52</v>
      </c>
      <c r="D21" s="71" t="s">
        <v>53</v>
      </c>
      <c r="E21" s="74">
        <v>92856.098476655563</v>
      </c>
      <c r="F21" s="82">
        <v>-1.1531084294080785E-6</v>
      </c>
      <c r="G21" s="83"/>
      <c r="H21" s="84">
        <v>4.30421754625816E-2</v>
      </c>
      <c r="I21" s="82">
        <v>2.8827710732426404E-7</v>
      </c>
      <c r="J21" s="74">
        <v>96852.854880511324</v>
      </c>
      <c r="K21" s="74">
        <v>183.17404052438556</v>
      </c>
      <c r="L21" s="82">
        <v>4.3042476147762798E-2</v>
      </c>
      <c r="M21" s="74">
        <v>380.1991064377101</v>
      </c>
      <c r="N21" s="74">
        <v>43.342351395087789</v>
      </c>
      <c r="O21" s="74">
        <v>97276.396338344115</v>
      </c>
    </row>
    <row r="22" spans="1:15" x14ac:dyDescent="0.2">
      <c r="A22" s="16" t="s">
        <v>32</v>
      </c>
      <c r="B22" s="17" t="s">
        <v>33</v>
      </c>
      <c r="C22" s="76" t="s">
        <v>54</v>
      </c>
      <c r="D22" s="76" t="s">
        <v>55</v>
      </c>
      <c r="E22" s="77">
        <v>211577.14268929791</v>
      </c>
      <c r="F22" s="85">
        <v>3.6658505751878678E-2</v>
      </c>
      <c r="G22" s="83"/>
      <c r="H22" s="86">
        <v>3.7047894091986278E-2</v>
      </c>
      <c r="I22" s="85">
        <v>-4.0000000000000001E-3</v>
      </c>
      <c r="J22" s="77">
        <v>218537.96774288034</v>
      </c>
      <c r="K22" s="77">
        <v>185.18281491414453</v>
      </c>
      <c r="L22" s="85">
        <v>3.2899702515618356E-2</v>
      </c>
      <c r="M22" s="77">
        <v>857.87806834463413</v>
      </c>
      <c r="N22" s="77">
        <v>97.797317412748995</v>
      </c>
      <c r="O22" s="77">
        <v>219493.64312863772</v>
      </c>
    </row>
    <row r="23" spans="1:15" x14ac:dyDescent="0.2">
      <c r="A23" s="108" t="s">
        <v>56</v>
      </c>
      <c r="B23" s="71" t="s">
        <v>57</v>
      </c>
      <c r="C23" s="71" t="s">
        <v>58</v>
      </c>
      <c r="D23" s="71" t="s">
        <v>59</v>
      </c>
      <c r="E23" s="74">
        <v>175977.14937891593</v>
      </c>
      <c r="F23" s="82">
        <v>-9.4816927697132236E-3</v>
      </c>
      <c r="G23" s="83"/>
      <c r="H23" s="84">
        <v>3.7504697554068267E-2</v>
      </c>
      <c r="I23" s="82">
        <v>2.3704231924283337E-3</v>
      </c>
      <c r="J23" s="74">
        <v>183009.90418042211</v>
      </c>
      <c r="K23" s="74">
        <v>168.69060639707195</v>
      </c>
      <c r="L23" s="82">
        <v>3.996402275140376E-2</v>
      </c>
      <c r="M23" s="74">
        <v>718.41147196424379</v>
      </c>
      <c r="N23" s="74">
        <v>81.898252617902855</v>
      </c>
      <c r="O23" s="74">
        <v>183810.21390500426</v>
      </c>
    </row>
    <row r="24" spans="1:15" x14ac:dyDescent="0.2">
      <c r="A24" s="14" t="s">
        <v>56</v>
      </c>
      <c r="B24" s="15" t="s">
        <v>57</v>
      </c>
      <c r="C24" s="71" t="s">
        <v>60</v>
      </c>
      <c r="D24" s="71" t="s">
        <v>61</v>
      </c>
      <c r="E24" s="74">
        <v>170483.43096649952</v>
      </c>
      <c r="F24" s="82">
        <v>-3.3823308334977042E-3</v>
      </c>
      <c r="G24" s="83"/>
      <c r="H24" s="84">
        <v>3.7597164474174383E-2</v>
      </c>
      <c r="I24" s="82">
        <v>8.4558270837439831E-4</v>
      </c>
      <c r="J24" s="74">
        <v>177042.7023280274</v>
      </c>
      <c r="K24" s="74">
        <v>173.15170360124992</v>
      </c>
      <c r="L24" s="82">
        <v>3.8474538694712068E-2</v>
      </c>
      <c r="M24" s="74">
        <v>694.9870224215548</v>
      </c>
      <c r="N24" s="74">
        <v>79.227886732963384</v>
      </c>
      <c r="O24" s="74">
        <v>177816.91723718191</v>
      </c>
    </row>
    <row r="25" spans="1:15" x14ac:dyDescent="0.2">
      <c r="A25" s="14" t="s">
        <v>56</v>
      </c>
      <c r="B25" s="15" t="s">
        <v>57</v>
      </c>
      <c r="C25" s="71" t="s">
        <v>62</v>
      </c>
      <c r="D25" s="71" t="s">
        <v>63</v>
      </c>
      <c r="E25" s="74">
        <v>262957.42311781878</v>
      </c>
      <c r="F25" s="82">
        <v>6.7237678443075044E-3</v>
      </c>
      <c r="G25" s="83"/>
      <c r="H25" s="84">
        <v>3.6406571174544711E-2</v>
      </c>
      <c r="I25" s="82">
        <v>-4.0000000000000001E-3</v>
      </c>
      <c r="J25" s="74">
        <v>271440.67805339879</v>
      </c>
      <c r="K25" s="74">
        <v>167.42080336396791</v>
      </c>
      <c r="L25" s="82">
        <v>3.2260944889846543E-2</v>
      </c>
      <c r="M25" s="74">
        <v>1065.5494190033889</v>
      </c>
      <c r="N25" s="74">
        <v>121.47166199309039</v>
      </c>
      <c r="O25" s="74">
        <v>272627.69913439522</v>
      </c>
    </row>
    <row r="26" spans="1:15" x14ac:dyDescent="0.2">
      <c r="A26" s="14" t="s">
        <v>56</v>
      </c>
      <c r="B26" s="15" t="s">
        <v>57</v>
      </c>
      <c r="C26" s="71" t="s">
        <v>64</v>
      </c>
      <c r="D26" s="71" t="s">
        <v>65</v>
      </c>
      <c r="E26" s="74">
        <v>211927.60862636595</v>
      </c>
      <c r="F26" s="82">
        <v>3.460708639462462E-3</v>
      </c>
      <c r="G26" s="83"/>
      <c r="H26" s="84">
        <v>3.7963854434903688E-2</v>
      </c>
      <c r="I26" s="82">
        <v>-3.2959129899642497E-3</v>
      </c>
      <c r="J26" s="74">
        <v>219248.18499187409</v>
      </c>
      <c r="K26" s="74">
        <v>173.11181475664617</v>
      </c>
      <c r="L26" s="82">
        <v>3.4542815883958244E-2</v>
      </c>
      <c r="M26" s="74">
        <v>860.66604980142449</v>
      </c>
      <c r="N26" s="74">
        <v>98.115144756204344</v>
      </c>
      <c r="O26" s="74">
        <v>220206.96618643173</v>
      </c>
    </row>
    <row r="27" spans="1:15" x14ac:dyDescent="0.2">
      <c r="A27" s="14" t="s">
        <v>56</v>
      </c>
      <c r="B27" s="15" t="s">
        <v>57</v>
      </c>
      <c r="C27" s="71" t="s">
        <v>66</v>
      </c>
      <c r="D27" s="71" t="s">
        <v>67</v>
      </c>
      <c r="E27" s="74">
        <v>210448.46878050058</v>
      </c>
      <c r="F27" s="82">
        <v>1.8913473935205483E-2</v>
      </c>
      <c r="G27" s="83"/>
      <c r="H27" s="84">
        <v>3.9090662070801141E-2</v>
      </c>
      <c r="I27" s="82">
        <v>-4.0000000000000001E-3</v>
      </c>
      <c r="J27" s="74">
        <v>217800.338601889</v>
      </c>
      <c r="K27" s="74">
        <v>199.05495639304581</v>
      </c>
      <c r="L27" s="82">
        <v>3.4934299422517912E-2</v>
      </c>
      <c r="M27" s="74">
        <v>854.98248059315983</v>
      </c>
      <c r="N27" s="74">
        <v>97.467223049835823</v>
      </c>
      <c r="O27" s="74">
        <v>218752.78830553201</v>
      </c>
    </row>
    <row r="28" spans="1:15" x14ac:dyDescent="0.2">
      <c r="A28" s="16" t="s">
        <v>56</v>
      </c>
      <c r="B28" s="17" t="s">
        <v>57</v>
      </c>
      <c r="C28" s="76" t="s">
        <v>68</v>
      </c>
      <c r="D28" s="76" t="s">
        <v>69</v>
      </c>
      <c r="E28" s="77">
        <v>190227.26058934524</v>
      </c>
      <c r="F28" s="85">
        <v>2.2236447055290487E-3</v>
      </c>
      <c r="G28" s="83"/>
      <c r="H28" s="86">
        <v>3.8755341552389133E-2</v>
      </c>
      <c r="I28" s="85">
        <v>-2.1177568624088294E-3</v>
      </c>
      <c r="J28" s="77">
        <v>197181.11517305573</v>
      </c>
      <c r="K28" s="77">
        <v>186.27721298119289</v>
      </c>
      <c r="L28" s="85">
        <v>3.6555510299452809E-2</v>
      </c>
      <c r="M28" s="77">
        <v>774.04103252997686</v>
      </c>
      <c r="N28" s="77">
        <v>88.239971788643061</v>
      </c>
      <c r="O28" s="77">
        <v>198043.39617737435</v>
      </c>
    </row>
    <row r="29" spans="1:15" x14ac:dyDescent="0.2">
      <c r="A29" s="108" t="s">
        <v>70</v>
      </c>
      <c r="B29" s="71" t="s">
        <v>71</v>
      </c>
      <c r="C29" s="71" t="s">
        <v>72</v>
      </c>
      <c r="D29" s="71" t="s">
        <v>73</v>
      </c>
      <c r="E29" s="74">
        <v>294024.92613198812</v>
      </c>
      <c r="F29" s="82">
        <v>-5.4379426917482432E-3</v>
      </c>
      <c r="G29" s="83"/>
      <c r="H29" s="84">
        <v>3.7463867432927289E-2</v>
      </c>
      <c r="I29" s="82">
        <v>1.3594856729369775E-3</v>
      </c>
      <c r="J29" s="74">
        <v>305454.93481842568</v>
      </c>
      <c r="K29" s="74">
        <v>173.27558626005171</v>
      </c>
      <c r="L29" s="82">
        <v>3.8874284696892136E-2</v>
      </c>
      <c r="M29" s="74">
        <v>1199.0735164000084</v>
      </c>
      <c r="N29" s="74">
        <v>136.69328732330237</v>
      </c>
      <c r="O29" s="74">
        <v>306790.70162214898</v>
      </c>
    </row>
    <row r="30" spans="1:15" x14ac:dyDescent="0.2">
      <c r="A30" s="14" t="s">
        <v>70</v>
      </c>
      <c r="B30" s="15" t="s">
        <v>71</v>
      </c>
      <c r="C30" s="71" t="s">
        <v>74</v>
      </c>
      <c r="D30" s="71" t="s">
        <v>75</v>
      </c>
      <c r="E30" s="74">
        <v>398684.18136725522</v>
      </c>
      <c r="F30" s="82">
        <v>2.4137873755615491E-2</v>
      </c>
      <c r="G30" s="83"/>
      <c r="H30" s="84">
        <v>3.791083865919509E-2</v>
      </c>
      <c r="I30" s="82">
        <v>-4.0000000000000001E-3</v>
      </c>
      <c r="J30" s="74">
        <v>412143.43851087033</v>
      </c>
      <c r="K30" s="74">
        <v>172.78541330634491</v>
      </c>
      <c r="L30" s="82">
        <v>3.3759195304558176E-2</v>
      </c>
      <c r="M30" s="74">
        <v>1617.8827897155629</v>
      </c>
      <c r="N30" s="74">
        <v>184.43716253027392</v>
      </c>
      <c r="O30" s="74">
        <v>413945.75846311613</v>
      </c>
    </row>
    <row r="31" spans="1:15" x14ac:dyDescent="0.2">
      <c r="A31" s="14" t="s">
        <v>70</v>
      </c>
      <c r="B31" s="15" t="s">
        <v>71</v>
      </c>
      <c r="C31" s="71" t="s">
        <v>76</v>
      </c>
      <c r="D31" s="71" t="s">
        <v>77</v>
      </c>
      <c r="E31" s="74">
        <v>441527.33027538325</v>
      </c>
      <c r="F31" s="82">
        <v>-3.9861550620058139E-2</v>
      </c>
      <c r="G31" s="83"/>
      <c r="H31" s="84">
        <v>3.5090970383670594E-2</v>
      </c>
      <c r="I31" s="82">
        <v>9.9653876550144793E-3</v>
      </c>
      <c r="J31" s="74">
        <v>461575.34370623244</v>
      </c>
      <c r="K31" s="74">
        <v>166.3726836804527</v>
      </c>
      <c r="L31" s="82">
        <v>4.540605316174906E-2</v>
      </c>
      <c r="M31" s="74">
        <v>1811.9293793383122</v>
      </c>
      <c r="N31" s="74">
        <v>206.55829677819335</v>
      </c>
      <c r="O31" s="74">
        <v>463593.83138234896</v>
      </c>
    </row>
    <row r="32" spans="1:15" x14ac:dyDescent="0.2">
      <c r="A32" s="14" t="s">
        <v>70</v>
      </c>
      <c r="B32" s="15" t="s">
        <v>71</v>
      </c>
      <c r="C32" s="71" t="s">
        <v>78</v>
      </c>
      <c r="D32" s="71" t="s">
        <v>79</v>
      </c>
      <c r="E32" s="74">
        <v>352356.41290562367</v>
      </c>
      <c r="F32" s="82">
        <v>1.3619408387419707E-2</v>
      </c>
      <c r="G32" s="83"/>
      <c r="H32" s="84">
        <v>3.7611515799106376E-2</v>
      </c>
      <c r="I32" s="82">
        <v>-4.0000000000000001E-3</v>
      </c>
      <c r="J32" s="74">
        <v>364146.63540975383</v>
      </c>
      <c r="K32" s="74">
        <v>175.63018268941116</v>
      </c>
      <c r="L32" s="82">
        <v>3.3461069735909899E-2</v>
      </c>
      <c r="M32" s="74">
        <v>1429.4697411438462</v>
      </c>
      <c r="N32" s="74">
        <v>162.95824682442387</v>
      </c>
      <c r="O32" s="74">
        <v>365739.06339772214</v>
      </c>
    </row>
    <row r="33" spans="1:15" x14ac:dyDescent="0.2">
      <c r="A33" s="16" t="s">
        <v>70</v>
      </c>
      <c r="B33" s="17" t="s">
        <v>71</v>
      </c>
      <c r="C33" s="76" t="s">
        <v>80</v>
      </c>
      <c r="D33" s="76" t="s">
        <v>81</v>
      </c>
      <c r="E33" s="77">
        <v>282445.62972870283</v>
      </c>
      <c r="F33" s="85">
        <v>2.1658558093907709E-2</v>
      </c>
      <c r="G33" s="83"/>
      <c r="H33" s="86">
        <v>3.7003631774181978E-2</v>
      </c>
      <c r="I33" s="85">
        <v>-4.0000000000000001E-3</v>
      </c>
      <c r="J33" s="77">
        <v>291725.55523218104</v>
      </c>
      <c r="K33" s="77">
        <v>167.69532078753244</v>
      </c>
      <c r="L33" s="85">
        <v>3.28556172470853E-2</v>
      </c>
      <c r="M33" s="77">
        <v>1145.1783797303233</v>
      </c>
      <c r="N33" s="77">
        <v>130.5492908949297</v>
      </c>
      <c r="O33" s="77">
        <v>293001.2829028063</v>
      </c>
    </row>
    <row r="34" spans="1:15" x14ac:dyDescent="0.2">
      <c r="A34" s="108" t="s">
        <v>82</v>
      </c>
      <c r="B34" s="71" t="s">
        <v>83</v>
      </c>
      <c r="C34" s="71" t="s">
        <v>84</v>
      </c>
      <c r="D34" s="71" t="s">
        <v>85</v>
      </c>
      <c r="E34" s="74">
        <v>318238.60884334077</v>
      </c>
      <c r="F34" s="82">
        <v>-5.9780453529240107E-3</v>
      </c>
      <c r="G34" s="83"/>
      <c r="H34" s="84">
        <v>3.71552009375824E-2</v>
      </c>
      <c r="I34" s="82">
        <v>1.4945113382310304E-3</v>
      </c>
      <c r="J34" s="74">
        <v>330556.11094023619</v>
      </c>
      <c r="K34" s="74">
        <v>169.1485773686683</v>
      </c>
      <c r="L34" s="82">
        <v>3.8705241144888713E-2</v>
      </c>
      <c r="M34" s="74">
        <v>1297.609018980927</v>
      </c>
      <c r="N34" s="74">
        <v>147.92624475386765</v>
      </c>
      <c r="O34" s="74">
        <v>332001.646203971</v>
      </c>
    </row>
    <row r="35" spans="1:15" x14ac:dyDescent="0.2">
      <c r="A35" s="14" t="s">
        <v>82</v>
      </c>
      <c r="B35" s="15" t="s">
        <v>83</v>
      </c>
      <c r="C35" s="71" t="s">
        <v>86</v>
      </c>
      <c r="D35" s="71" t="s">
        <v>87</v>
      </c>
      <c r="E35" s="74">
        <v>130395.30847072443</v>
      </c>
      <c r="F35" s="82">
        <v>-1.3223941302105136E-2</v>
      </c>
      <c r="G35" s="83"/>
      <c r="H35" s="84">
        <v>3.5825590421009856E-2</v>
      </c>
      <c r="I35" s="82">
        <v>3.3059853255263108E-3</v>
      </c>
      <c r="J35" s="74">
        <v>135513.32623493791</v>
      </c>
      <c r="K35" s="74">
        <v>166.53429800087213</v>
      </c>
      <c r="L35" s="82">
        <v>3.9250014622746576E-2</v>
      </c>
      <c r="M35" s="74">
        <v>531.96207389538222</v>
      </c>
      <c r="N35" s="74">
        <v>60.643191278543341</v>
      </c>
      <c r="O35" s="74">
        <v>136105.93150011182</v>
      </c>
    </row>
    <row r="36" spans="1:15" x14ac:dyDescent="0.2">
      <c r="A36" s="14" t="s">
        <v>82</v>
      </c>
      <c r="B36" s="15" t="s">
        <v>83</v>
      </c>
      <c r="C36" s="71" t="s">
        <v>88</v>
      </c>
      <c r="D36" s="71" t="s">
        <v>89</v>
      </c>
      <c r="E36" s="74">
        <v>330538.20433637366</v>
      </c>
      <c r="F36" s="82">
        <v>-6.6791385266230519E-3</v>
      </c>
      <c r="G36" s="83"/>
      <c r="H36" s="84">
        <v>3.7656229061914237E-2</v>
      </c>
      <c r="I36" s="82">
        <v>1.6697846316558185E-3</v>
      </c>
      <c r="J36" s="74">
        <v>343557.73779900389</v>
      </c>
      <c r="K36" s="74">
        <v>177.61409462925585</v>
      </c>
      <c r="L36" s="82">
        <v>3.9388891486143773E-2</v>
      </c>
      <c r="M36" s="74">
        <v>1348.6473380892126</v>
      </c>
      <c r="N36" s="74">
        <v>153.74456658563753</v>
      </c>
      <c r="O36" s="74">
        <v>345060.12970367871</v>
      </c>
    </row>
    <row r="37" spans="1:15" x14ac:dyDescent="0.2">
      <c r="A37" s="14" t="s">
        <v>82</v>
      </c>
      <c r="B37" s="15" t="s">
        <v>83</v>
      </c>
      <c r="C37" s="71" t="s">
        <v>90</v>
      </c>
      <c r="D37" s="71" t="s">
        <v>91</v>
      </c>
      <c r="E37" s="74">
        <v>344548.83879715926</v>
      </c>
      <c r="F37" s="82">
        <v>-8.9996807480349217E-3</v>
      </c>
      <c r="G37" s="83"/>
      <c r="H37" s="84">
        <v>3.9417974052103899E-2</v>
      </c>
      <c r="I37" s="82">
        <v>2.2499201870087582E-3</v>
      </c>
      <c r="J37" s="74">
        <v>358936.02047706646</v>
      </c>
      <c r="K37" s="74">
        <v>180.34637898870321</v>
      </c>
      <c r="L37" s="82">
        <v>4.1756581534663439E-2</v>
      </c>
      <c r="M37" s="74">
        <v>1409.0152987441586</v>
      </c>
      <c r="N37" s="74">
        <v>160.62645904516171</v>
      </c>
      <c r="O37" s="74">
        <v>360505.66223485576</v>
      </c>
    </row>
    <row r="38" spans="1:15" x14ac:dyDescent="0.2">
      <c r="A38" s="14" t="s">
        <v>82</v>
      </c>
      <c r="B38" s="15" t="s">
        <v>83</v>
      </c>
      <c r="C38" s="71" t="s">
        <v>92</v>
      </c>
      <c r="D38" s="71" t="s">
        <v>93</v>
      </c>
      <c r="E38" s="74">
        <v>184256.54123013574</v>
      </c>
      <c r="F38" s="82">
        <v>-8.0946984880388984E-3</v>
      </c>
      <c r="G38" s="83"/>
      <c r="H38" s="84">
        <v>3.5614812560756715E-2</v>
      </c>
      <c r="I38" s="82">
        <v>2.0236746220097523E-3</v>
      </c>
      <c r="J38" s="74">
        <v>191204.95857900172</v>
      </c>
      <c r="K38" s="74">
        <v>169.43593641096734</v>
      </c>
      <c r="L38" s="82">
        <v>3.77105599751133E-2</v>
      </c>
      <c r="M38" s="74">
        <v>750.58143085076642</v>
      </c>
      <c r="N38" s="74">
        <v>85.56559859219864</v>
      </c>
      <c r="O38" s="74">
        <v>192041.10560844466</v>
      </c>
    </row>
    <row r="39" spans="1:15" x14ac:dyDescent="0.2">
      <c r="A39" s="16" t="s">
        <v>82</v>
      </c>
      <c r="B39" s="17" t="s">
        <v>83</v>
      </c>
      <c r="C39" s="76" t="s">
        <v>94</v>
      </c>
      <c r="D39" s="76" t="s">
        <v>95</v>
      </c>
      <c r="E39" s="77">
        <v>321346.54255273915</v>
      </c>
      <c r="F39" s="85">
        <v>8.3005244322142957E-5</v>
      </c>
      <c r="G39" s="83"/>
      <c r="H39" s="86">
        <v>3.8827884966460058E-2</v>
      </c>
      <c r="I39" s="85">
        <v>-7.9052613640136156E-5</v>
      </c>
      <c r="J39" s="77">
        <v>333797.35950148175</v>
      </c>
      <c r="K39" s="77">
        <v>181.63535517415562</v>
      </c>
      <c r="L39" s="85">
        <v>3.8745762907031134E-2</v>
      </c>
      <c r="M39" s="77">
        <v>1310.3326481217346</v>
      </c>
      <c r="N39" s="77">
        <v>149.37672687206276</v>
      </c>
      <c r="O39" s="77">
        <v>335257.06887647556</v>
      </c>
    </row>
    <row r="40" spans="1:15" x14ac:dyDescent="0.2">
      <c r="A40" s="108" t="s">
        <v>96</v>
      </c>
      <c r="B40" s="71" t="s">
        <v>97</v>
      </c>
      <c r="C40" s="71" t="s">
        <v>98</v>
      </c>
      <c r="D40" s="71" t="s">
        <v>99</v>
      </c>
      <c r="E40" s="74">
        <v>165574.42254216265</v>
      </c>
      <c r="F40" s="82">
        <v>-1.1254479288801744E-2</v>
      </c>
      <c r="G40" s="83"/>
      <c r="H40" s="84">
        <v>3.9479778775227903E-2</v>
      </c>
      <c r="I40" s="82">
        <v>2.813619822200436E-3</v>
      </c>
      <c r="J40" s="74">
        <v>172595.51977930116</v>
      </c>
      <c r="K40" s="74">
        <v>173.99670277716766</v>
      </c>
      <c r="L40" s="82">
        <v>4.2404479685566265E-2</v>
      </c>
      <c r="M40" s="74">
        <v>677.52945926270866</v>
      </c>
      <c r="N40" s="74">
        <v>77.237740454025158</v>
      </c>
      <c r="O40" s="74">
        <v>173350.2869790179</v>
      </c>
    </row>
    <row r="41" spans="1:15" x14ac:dyDescent="0.2">
      <c r="A41" s="14" t="s">
        <v>96</v>
      </c>
      <c r="B41" s="15" t="s">
        <v>97</v>
      </c>
      <c r="C41" s="71" t="s">
        <v>100</v>
      </c>
      <c r="D41" s="71" t="s">
        <v>101</v>
      </c>
      <c r="E41" s="74">
        <v>174674.82688994918</v>
      </c>
      <c r="F41" s="82">
        <v>-1.163303379373537E-2</v>
      </c>
      <c r="G41" s="83"/>
      <c r="H41" s="84">
        <v>3.831563553330497E-2</v>
      </c>
      <c r="I41" s="82">
        <v>2.9082584484338139E-3</v>
      </c>
      <c r="J41" s="74">
        <v>181895.06776020429</v>
      </c>
      <c r="K41" s="74">
        <v>169.21249844278302</v>
      </c>
      <c r="L41" s="82">
        <v>4.1335325752485774E-2</v>
      </c>
      <c r="M41" s="74">
        <v>714.03514447948407</v>
      </c>
      <c r="N41" s="74">
        <v>81.399355275818976</v>
      </c>
      <c r="O41" s="74">
        <v>182690.50225995958</v>
      </c>
    </row>
    <row r="42" spans="1:15" x14ac:dyDescent="0.2">
      <c r="A42" s="14" t="s">
        <v>96</v>
      </c>
      <c r="B42" s="15" t="s">
        <v>97</v>
      </c>
      <c r="C42" s="71" t="s">
        <v>102</v>
      </c>
      <c r="D42" s="71" t="s">
        <v>103</v>
      </c>
      <c r="E42" s="74">
        <v>112525.88782678117</v>
      </c>
      <c r="F42" s="82">
        <v>-2.5351393160077951E-3</v>
      </c>
      <c r="G42" s="83"/>
      <c r="H42" s="84">
        <v>4.2037522812851114E-2</v>
      </c>
      <c r="I42" s="82">
        <v>6.3378482900194877E-4</v>
      </c>
      <c r="J42" s="74">
        <v>117330.5126023565</v>
      </c>
      <c r="K42" s="74">
        <v>192.94874303567073</v>
      </c>
      <c r="L42" s="82">
        <v>4.2697950386060723E-2</v>
      </c>
      <c r="M42" s="74">
        <v>460.58483360484416</v>
      </c>
      <c r="N42" s="74">
        <v>52.506250980944387</v>
      </c>
      <c r="O42" s="74">
        <v>117843.6036869423</v>
      </c>
    </row>
    <row r="43" spans="1:15" x14ac:dyDescent="0.2">
      <c r="A43" s="14" t="s">
        <v>96</v>
      </c>
      <c r="B43" s="15" t="s">
        <v>97</v>
      </c>
      <c r="C43" s="71" t="s">
        <v>104</v>
      </c>
      <c r="D43" s="71" t="s">
        <v>105</v>
      </c>
      <c r="E43" s="74">
        <v>225883.69409569469</v>
      </c>
      <c r="F43" s="82">
        <v>-1.2435423860999051E-2</v>
      </c>
      <c r="G43" s="83"/>
      <c r="H43" s="84">
        <v>4.0001212860983237E-2</v>
      </c>
      <c r="I43" s="82">
        <v>3.1088559652497627E-3</v>
      </c>
      <c r="J43" s="74">
        <v>235649.64614139684</v>
      </c>
      <c r="K43" s="74">
        <v>183.01894504421236</v>
      </c>
      <c r="L43" s="82">
        <v>4.3234426835452977E-2</v>
      </c>
      <c r="M43" s="74">
        <v>925.0505316116363</v>
      </c>
      <c r="N43" s="74">
        <v>105.45491696439082</v>
      </c>
      <c r="O43" s="74">
        <v>236680.15158997287</v>
      </c>
    </row>
    <row r="44" spans="1:15" x14ac:dyDescent="0.2">
      <c r="A44" s="14" t="s">
        <v>96</v>
      </c>
      <c r="B44" s="15" t="s">
        <v>97</v>
      </c>
      <c r="C44" s="71" t="s">
        <v>106</v>
      </c>
      <c r="D44" s="71" t="s">
        <v>107</v>
      </c>
      <c r="E44" s="74">
        <v>145890.42436848674</v>
      </c>
      <c r="F44" s="82">
        <v>-2.4985461861692926E-6</v>
      </c>
      <c r="G44" s="83"/>
      <c r="H44" s="84">
        <v>3.7218391340361645E-2</v>
      </c>
      <c r="I44" s="82">
        <v>6.2463654648681199E-7</v>
      </c>
      <c r="J44" s="74">
        <v>151320.32579559117</v>
      </c>
      <c r="K44" s="74">
        <v>183.62346260439656</v>
      </c>
      <c r="L44" s="82">
        <v>3.7219039224875461E-2</v>
      </c>
      <c r="M44" s="74">
        <v>594.01297694657285</v>
      </c>
      <c r="N44" s="74">
        <v>67.716937636408218</v>
      </c>
      <c r="O44" s="74">
        <v>151982.05571017414</v>
      </c>
    </row>
    <row r="45" spans="1:15" x14ac:dyDescent="0.2">
      <c r="A45" s="14" t="s">
        <v>96</v>
      </c>
      <c r="B45" s="15" t="s">
        <v>97</v>
      </c>
      <c r="C45" s="71" t="s">
        <v>108</v>
      </c>
      <c r="D45" s="71" t="s">
        <v>109</v>
      </c>
      <c r="E45" s="74">
        <v>115811.43294604393</v>
      </c>
      <c r="F45" s="82">
        <v>-1.5108690891799781E-2</v>
      </c>
      <c r="G45" s="83"/>
      <c r="H45" s="84">
        <v>4.1216807788426291E-2</v>
      </c>
      <c r="I45" s="82">
        <v>3.7771727229498897E-3</v>
      </c>
      <c r="J45" s="74">
        <v>121040.28017457196</v>
      </c>
      <c r="K45" s="74">
        <v>176.77555272592872</v>
      </c>
      <c r="L45" s="82">
        <v>4.5149663513481597E-2</v>
      </c>
      <c r="M45" s="74">
        <v>475.14764972201493</v>
      </c>
      <c r="N45" s="74">
        <v>54.166398737119806</v>
      </c>
      <c r="O45" s="74">
        <v>121569.59422303109</v>
      </c>
    </row>
    <row r="46" spans="1:15" x14ac:dyDescent="0.2">
      <c r="A46" s="14" t="s">
        <v>96</v>
      </c>
      <c r="B46" s="15" t="s">
        <v>97</v>
      </c>
      <c r="C46" s="71" t="s">
        <v>110</v>
      </c>
      <c r="D46" s="71" t="s">
        <v>111</v>
      </c>
      <c r="E46" s="74">
        <v>105537.39398236062</v>
      </c>
      <c r="F46" s="82">
        <v>-1.0187413940629386E-2</v>
      </c>
      <c r="G46" s="83"/>
      <c r="H46" s="86">
        <v>4.0782145857549912E-2</v>
      </c>
      <c r="I46" s="85">
        <v>2.5468534851574021E-3</v>
      </c>
      <c r="J46" s="77">
        <v>110121.18541968001</v>
      </c>
      <c r="K46" s="77">
        <v>182.80454746272517</v>
      </c>
      <c r="L46" s="85">
        <v>4.3432865493016726E-2</v>
      </c>
      <c r="M46" s="77">
        <v>432.28437972300168</v>
      </c>
      <c r="N46" s="77">
        <v>49.280025048221802</v>
      </c>
      <c r="O46" s="77">
        <v>110602.74982445124</v>
      </c>
    </row>
    <row r="47" spans="1:15" x14ac:dyDescent="0.2">
      <c r="D47" s="105"/>
      <c r="E47" s="105"/>
      <c r="F47" s="105"/>
      <c r="H47" s="105"/>
      <c r="I47" s="105"/>
      <c r="J47" s="105"/>
      <c r="K47" s="105"/>
      <c r="L47" s="105"/>
    </row>
    <row r="48" spans="1:15" x14ac:dyDescent="0.2">
      <c r="D48" s="76"/>
      <c r="E48" s="76"/>
      <c r="F48" s="76"/>
      <c r="H48" s="76"/>
      <c r="I48" s="76"/>
      <c r="J48" s="76"/>
      <c r="K48" s="76"/>
      <c r="L48" s="76"/>
    </row>
    <row r="49" spans="3:15" ht="63.75" x14ac:dyDescent="0.2">
      <c r="C49" s="88" t="s">
        <v>2</v>
      </c>
      <c r="D49" s="89" t="s">
        <v>3</v>
      </c>
      <c r="E49" s="90" t="s">
        <v>6</v>
      </c>
      <c r="F49" s="90" t="s">
        <v>7</v>
      </c>
      <c r="G49" s="106" t="s">
        <v>8</v>
      </c>
      <c r="H49" s="90" t="s">
        <v>9</v>
      </c>
      <c r="I49" s="90" t="s">
        <v>10</v>
      </c>
      <c r="J49" s="90" t="s">
        <v>11</v>
      </c>
      <c r="K49" s="90" t="s">
        <v>12</v>
      </c>
      <c r="L49" s="90" t="s">
        <v>113</v>
      </c>
      <c r="M49" s="29" t="s">
        <v>146</v>
      </c>
      <c r="N49" s="29" t="s">
        <v>147</v>
      </c>
      <c r="O49" s="29" t="s">
        <v>145</v>
      </c>
    </row>
    <row r="50" spans="3:15" x14ac:dyDescent="0.2">
      <c r="C50" s="96" t="s">
        <v>14</v>
      </c>
      <c r="D50" s="71" t="s">
        <v>15</v>
      </c>
      <c r="E50" s="74">
        <v>1644884.3673047246</v>
      </c>
      <c r="F50" s="82">
        <v>9.4473559684526975E-3</v>
      </c>
      <c r="G50" s="83"/>
      <c r="H50" s="84">
        <v>3.5970071772139962E-2</v>
      </c>
      <c r="I50" s="84">
        <v>-2.600033825435632E-3</v>
      </c>
      <c r="J50" s="74">
        <v>1699649.6021935816</v>
      </c>
      <c r="K50" s="74">
        <v>187.30820336467266</v>
      </c>
      <c r="L50" s="82">
        <v>3.3294276471600437E-2</v>
      </c>
      <c r="M50" s="74">
        <v>6672.0311012870134</v>
      </c>
      <c r="N50" s="74">
        <v>760.60546070303383</v>
      </c>
      <c r="O50" s="74">
        <v>1707082.2387555717</v>
      </c>
    </row>
    <row r="51" spans="3:15" x14ac:dyDescent="0.2">
      <c r="C51" s="96" t="s">
        <v>24</v>
      </c>
      <c r="D51" s="71" t="s">
        <v>25</v>
      </c>
      <c r="E51" s="74">
        <v>1400115.3081526887</v>
      </c>
      <c r="F51" s="82">
        <v>-9.115404764452717E-3</v>
      </c>
      <c r="G51" s="83"/>
      <c r="H51" s="84">
        <v>3.6459666455422347E-2</v>
      </c>
      <c r="I51" s="82">
        <v>2.2540950362536804E-3</v>
      </c>
      <c r="J51" s="74">
        <v>1454452.8216097462</v>
      </c>
      <c r="K51" s="74">
        <v>187.66290988022902</v>
      </c>
      <c r="L51" s="82">
        <v>3.8809313162035508E-2</v>
      </c>
      <c r="M51" s="74">
        <v>5709.5029755607375</v>
      </c>
      <c r="N51" s="74">
        <v>650.87813218886663</v>
      </c>
      <c r="O51" s="74">
        <v>1460813.2027174956</v>
      </c>
    </row>
    <row r="52" spans="3:15" x14ac:dyDescent="0.2">
      <c r="C52" s="96" t="s">
        <v>32</v>
      </c>
      <c r="D52" s="71" t="s">
        <v>33</v>
      </c>
      <c r="E52" s="74">
        <v>2057299.5757922363</v>
      </c>
      <c r="F52" s="82">
        <v>6.3116004662597813E-3</v>
      </c>
      <c r="G52" s="83"/>
      <c r="H52" s="84">
        <v>3.8575993261209141E-2</v>
      </c>
      <c r="I52" s="82">
        <v>-9.4939697319854641E-4</v>
      </c>
      <c r="J52" s="74">
        <v>2134614.8992315019</v>
      </c>
      <c r="K52" s="74">
        <v>182.22157989405142</v>
      </c>
      <c r="L52" s="82">
        <v>3.7580974763722796E-2</v>
      </c>
      <c r="M52" s="74">
        <v>8379.5018564780075</v>
      </c>
      <c r="N52" s="74">
        <v>955.255569593936</v>
      </c>
      <c r="O52" s="74">
        <v>2143949.6566575738</v>
      </c>
    </row>
    <row r="53" spans="3:15" x14ac:dyDescent="0.2">
      <c r="C53" s="96" t="s">
        <v>56</v>
      </c>
      <c r="D53" s="71" t="s">
        <v>57</v>
      </c>
      <c r="E53" s="74">
        <v>1222021.3414594461</v>
      </c>
      <c r="F53" s="82">
        <v>3.7382837626711574E-3</v>
      </c>
      <c r="G53" s="83"/>
      <c r="H53" s="84">
        <v>3.7828736085097507E-2</v>
      </c>
      <c r="I53" s="82">
        <v>-1.9958995587765109E-3</v>
      </c>
      <c r="J53" s="74">
        <v>1265722.9233286672</v>
      </c>
      <c r="K53" s="74">
        <v>177.07658286632656</v>
      </c>
      <c r="L53" s="82">
        <v>3.5761717399328541E-2</v>
      </c>
      <c r="M53" s="74">
        <v>4968.6374763137492</v>
      </c>
      <c r="N53" s="74">
        <v>566.42014093863986</v>
      </c>
      <c r="O53" s="74">
        <v>1271257.9809459194</v>
      </c>
    </row>
    <row r="54" spans="3:15" x14ac:dyDescent="0.2">
      <c r="C54" s="96" t="s">
        <v>70</v>
      </c>
      <c r="D54" s="71" t="s">
        <v>71</v>
      </c>
      <c r="E54" s="74">
        <v>1769038.480408953</v>
      </c>
      <c r="F54" s="82">
        <v>8.2122546278595721E-5</v>
      </c>
      <c r="G54" s="83"/>
      <c r="H54" s="84">
        <v>3.6927370182545521E-2</v>
      </c>
      <c r="I54" s="82">
        <v>2.2027692933696412E-4</v>
      </c>
      <c r="J54" s="74">
        <v>1835045.9076774633</v>
      </c>
      <c r="K54" s="74">
        <v>170.93327107182256</v>
      </c>
      <c r="L54" s="82">
        <v>3.7312601166963333E-2</v>
      </c>
      <c r="M54" s="74">
        <v>7203.5338063280533</v>
      </c>
      <c r="N54" s="74">
        <v>821.19628435112327</v>
      </c>
      <c r="O54" s="74">
        <v>1843070.6377681424</v>
      </c>
    </row>
    <row r="55" spans="3:15" x14ac:dyDescent="0.2">
      <c r="C55" s="96" t="s">
        <v>82</v>
      </c>
      <c r="D55" s="71" t="s">
        <v>83</v>
      </c>
      <c r="E55" s="74">
        <v>1629324.0442304732</v>
      </c>
      <c r="F55" s="82">
        <v>-6.3970645178482721E-3</v>
      </c>
      <c r="G55" s="83"/>
      <c r="H55" s="84">
        <v>3.7784636445383095E-2</v>
      </c>
      <c r="I55" s="82">
        <v>1.5715412509370152E-3</v>
      </c>
      <c r="J55" s="74">
        <v>1693565.5135317279</v>
      </c>
      <c r="K55" s="74">
        <v>175.340455615774</v>
      </c>
      <c r="L55" s="82">
        <v>3.9428295144073644E-2</v>
      </c>
      <c r="M55" s="74">
        <v>6648.1478086821808</v>
      </c>
      <c r="N55" s="74">
        <v>757.8827871274716</v>
      </c>
      <c r="O55" s="74">
        <v>1700971.5441275376</v>
      </c>
    </row>
    <row r="56" spans="3:15" x14ac:dyDescent="0.2">
      <c r="C56" s="96" t="s">
        <v>96</v>
      </c>
      <c r="D56" s="71" t="s">
        <v>97</v>
      </c>
      <c r="E56" s="74">
        <v>1045898.0826514789</v>
      </c>
      <c r="F56" s="82">
        <v>-9.4031502547686774E-3</v>
      </c>
      <c r="G56" s="83"/>
      <c r="H56" s="84">
        <v>3.9681472262247296E-2</v>
      </c>
      <c r="I56" s="82">
        <v>2.3598417577163715E-3</v>
      </c>
      <c r="J56" s="74">
        <v>1089952.537673102</v>
      </c>
      <c r="K56" s="74">
        <v>179.45302314235269</v>
      </c>
      <c r="L56" s="82">
        <v>4.2121173900558029E-2</v>
      </c>
      <c r="M56" s="74">
        <v>4278.6449753502629</v>
      </c>
      <c r="N56" s="74">
        <v>487.76162509692915</v>
      </c>
      <c r="O56" s="74">
        <v>1094718.9442735491</v>
      </c>
    </row>
    <row r="57" spans="3:15" x14ac:dyDescent="0.2">
      <c r="C57" s="97" t="s">
        <v>114</v>
      </c>
      <c r="D57" s="98" t="s">
        <v>115</v>
      </c>
      <c r="E57" s="99">
        <v>10768581.200000001</v>
      </c>
      <c r="F57" s="100">
        <v>0</v>
      </c>
      <c r="G57" s="79"/>
      <c r="H57" s="100">
        <v>3.7534717426548111E-2</v>
      </c>
      <c r="I57" s="100">
        <v>6.7249848155627624E-6</v>
      </c>
      <c r="J57" s="99">
        <v>11173004.205245789</v>
      </c>
      <c r="K57" s="99">
        <v>179.76141358807982</v>
      </c>
      <c r="L57" s="100">
        <v>3.7555830033188409E-2</v>
      </c>
      <c r="M57" s="99">
        <v>43860</v>
      </c>
      <c r="N57" s="99">
        <v>5000</v>
      </c>
      <c r="O57" s="99">
        <v>11221864.205245789</v>
      </c>
    </row>
    <row r="58" spans="3:15" x14ac:dyDescent="0.2">
      <c r="C58" s="25"/>
      <c r="D58" s="25"/>
    </row>
    <row r="59" spans="3:15" x14ac:dyDescent="0.2">
      <c r="J59" s="87"/>
    </row>
    <row r="60" spans="3:15" x14ac:dyDescent="0.2">
      <c r="J60" s="87"/>
    </row>
  </sheetData>
  <conditionalFormatting sqref="E4:F46">
    <cfRule type="cellIs" dxfId="5" priority="12" operator="lessThan">
      <formula>0</formula>
    </cfRule>
  </conditionalFormatting>
  <conditionalFormatting sqref="F50:F57">
    <cfRule type="cellIs" dxfId="4" priority="13" operator="lessThan">
      <formula>0</formula>
    </cfRule>
  </conditionalFormatting>
  <conditionalFormatting sqref="H4:L46 H50:I57 L50:L57">
    <cfRule type="cellIs" dxfId="3" priority="14" operator="lessThan">
      <formula>0</formula>
    </cfRule>
  </conditionalFormatting>
  <conditionalFormatting sqref="M5:O46">
    <cfRule type="cellIs" dxfId="2" priority="11" operator="lessThan">
      <formula>0</formula>
    </cfRule>
  </conditionalFormatting>
  <printOptions horizontalCentered="1"/>
  <pageMargins left="0.39370078740157483" right="0.39370078740157483" top="0.39370078740157483" bottom="0.39370078740157483" header="0.11811023622047245" footer="0.11811023622047245"/>
  <pageSetup paperSize="9" scale="6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2B4F-4BCE-4E92-BF77-D30AA7C63E0B}">
  <sheetPr>
    <tabColor theme="7" tint="0.39997558519241921"/>
  </sheetPr>
  <dimension ref="A1:M59"/>
  <sheetViews>
    <sheetView topLeftCell="B1" workbookViewId="0">
      <selection activeCell="L6" sqref="L6"/>
    </sheetView>
  </sheetViews>
  <sheetFormatPr defaultRowHeight="15" x14ac:dyDescent="0.25"/>
  <cols>
    <col min="1" max="1" width="4.85546875" style="5" customWidth="1"/>
    <col min="2" max="2" width="23" style="5" customWidth="1"/>
    <col min="3" max="3" width="6.85546875" style="5" customWidth="1"/>
    <col min="4" max="4" width="54.85546875" style="5" customWidth="1"/>
    <col min="5" max="5" width="14" style="5" customWidth="1"/>
    <col min="6" max="6" width="11" style="5" bestFit="1" customWidth="1"/>
    <col min="7" max="7" width="3.7109375" style="5" customWidth="1"/>
    <col min="8" max="9" width="9.7109375" style="5" customWidth="1"/>
    <col min="10" max="10" width="12.85546875" style="5" customWidth="1"/>
    <col min="11" max="12" width="11.7109375" style="5" customWidth="1"/>
    <col min="13" max="13" width="12.85546875" style="5" customWidth="1"/>
  </cols>
  <sheetData>
    <row r="1" spans="1:13" ht="25.5" x14ac:dyDescent="0.35">
      <c r="A1" s="1" t="s">
        <v>0</v>
      </c>
      <c r="B1" s="2"/>
      <c r="C1" s="2"/>
      <c r="D1" s="2"/>
      <c r="E1" s="2" t="s">
        <v>1</v>
      </c>
      <c r="F1" s="3"/>
      <c r="G1" s="3"/>
      <c r="H1" s="3"/>
      <c r="I1" s="3"/>
      <c r="J1" s="3"/>
      <c r="K1" s="3"/>
      <c r="L1" s="3"/>
      <c r="M1" s="3"/>
    </row>
    <row r="2" spans="1:13" x14ac:dyDescent="0.25">
      <c r="A2" s="4"/>
    </row>
    <row r="3" spans="1:13" ht="63.75" x14ac:dyDescent="0.25">
      <c r="A3" s="27" t="s">
        <v>2</v>
      </c>
      <c r="B3" s="28" t="s">
        <v>3</v>
      </c>
      <c r="C3" s="28" t="s">
        <v>4</v>
      </c>
      <c r="D3" s="28" t="s">
        <v>5</v>
      </c>
      <c r="E3" s="29" t="s">
        <v>6</v>
      </c>
      <c r="F3" s="29" t="s">
        <v>7</v>
      </c>
      <c r="G3" s="30" t="s">
        <v>8</v>
      </c>
      <c r="H3" s="29" t="s">
        <v>136</v>
      </c>
      <c r="I3" s="29" t="s">
        <v>135</v>
      </c>
      <c r="J3" s="29" t="s">
        <v>10</v>
      </c>
      <c r="K3" s="29" t="s">
        <v>11</v>
      </c>
      <c r="L3" s="29" t="s">
        <v>12</v>
      </c>
      <c r="M3" s="29" t="s">
        <v>13</v>
      </c>
    </row>
    <row r="4" spans="1:13" x14ac:dyDescent="0.25">
      <c r="A4" s="6"/>
      <c r="B4" s="6"/>
      <c r="C4" s="6"/>
      <c r="D4" s="6"/>
      <c r="E4" s="7"/>
      <c r="F4" s="7"/>
      <c r="G4" s="8"/>
      <c r="H4" s="7"/>
      <c r="I4" s="7"/>
      <c r="J4" s="7"/>
      <c r="K4" s="7"/>
      <c r="L4" s="7"/>
      <c r="M4" s="7"/>
    </row>
    <row r="5" spans="1:13" x14ac:dyDescent="0.25">
      <c r="A5" s="9" t="s">
        <v>14</v>
      </c>
      <c r="B5" s="5" t="s">
        <v>15</v>
      </c>
      <c r="C5" s="5" t="s">
        <v>16</v>
      </c>
      <c r="D5" s="5" t="s">
        <v>17</v>
      </c>
      <c r="E5" s="10">
        <f>SUMIFS('PMC Baseline 2024-25'!J:J,'PMC Baseline 2024-25'!C:C,C5)</f>
        <v>329910.05340693926</v>
      </c>
      <c r="F5" s="11" t="e">
        <f>SUMIFS(#REF!,#REF!,C5)</f>
        <v>#REF!</v>
      </c>
      <c r="G5" s="12"/>
      <c r="H5" s="13">
        <v>3.5918717067569217E-2</v>
      </c>
      <c r="I5" s="13">
        <f>H5+(Totals!$M$38-Totals!$M$14)</f>
        <v>-1.4348738735212585E-3</v>
      </c>
      <c r="J5" s="11">
        <v>-4.0000000000000001E-3</v>
      </c>
      <c r="K5" s="10">
        <f t="shared" ref="K5:K46" si="0">E5*(1+I5)*(1+J5)</f>
        <v>328118.92739433085</v>
      </c>
      <c r="L5" s="10" t="e">
        <f>(K5/SUMIFS(#REF!,#REF!,C5))*1000</f>
        <v>#REF!</v>
      </c>
      <c r="M5" s="11">
        <f t="shared" ref="M5:M46" si="1">K5/E5-1</f>
        <v>-5.4291343780271673E-3</v>
      </c>
    </row>
    <row r="6" spans="1:13" x14ac:dyDescent="0.25">
      <c r="A6" s="14" t="s">
        <v>14</v>
      </c>
      <c r="B6" s="15" t="s">
        <v>15</v>
      </c>
      <c r="C6" s="5" t="s">
        <v>18</v>
      </c>
      <c r="D6" s="5" t="s">
        <v>19</v>
      </c>
      <c r="E6" s="10">
        <f>SUMIFS('PMC Baseline 2024-25'!J:J,'PMC Baseline 2024-25'!C:C,C6)</f>
        <v>582725.25590277405</v>
      </c>
      <c r="F6" s="11" t="e">
        <f>SUMIFS(#REF!,#REF!,C6)</f>
        <v>#REF!</v>
      </c>
      <c r="G6" s="12"/>
      <c r="H6" s="13">
        <v>3.5342494626020349E-2</v>
      </c>
      <c r="I6" s="13">
        <f>H6+(Totals!$M$38-Totals!$M$14)</f>
        <v>-2.0110963150701266E-3</v>
      </c>
      <c r="J6" s="11">
        <v>1.8838547240496162E-6</v>
      </c>
      <c r="K6" s="10">
        <f t="shared" si="0"/>
        <v>581554.43484993512</v>
      </c>
      <c r="L6" s="10" t="e">
        <f>(K6/SUMIFS(#REF!,#REF!,C6))*1000</f>
        <v>#REF!</v>
      </c>
      <c r="M6" s="11">
        <f t="shared" si="1"/>
        <v>-2.0092162489594445E-3</v>
      </c>
    </row>
    <row r="7" spans="1:13" x14ac:dyDescent="0.25">
      <c r="A7" s="14" t="s">
        <v>14</v>
      </c>
      <c r="B7" s="15" t="s">
        <v>15</v>
      </c>
      <c r="C7" s="5" t="s">
        <v>20</v>
      </c>
      <c r="D7" s="5" t="s">
        <v>21</v>
      </c>
      <c r="E7" s="10">
        <f>SUMIFS('PMC Baseline 2024-25'!J:J,'PMC Baseline 2024-25'!C:C,C7)</f>
        <v>263161.52433796431</v>
      </c>
      <c r="F7" s="11" t="e">
        <f>SUMIFS(#REF!,#REF!,C7)</f>
        <v>#REF!</v>
      </c>
      <c r="G7" s="12"/>
      <c r="H7" s="13">
        <v>3.6595611619856472E-2</v>
      </c>
      <c r="I7" s="13">
        <f>H7+(Totals!$M$38-Totals!$M$14)</f>
        <v>-7.5797932123400358E-4</v>
      </c>
      <c r="J7" s="11">
        <v>-4.0000000000000001E-3</v>
      </c>
      <c r="K7" s="10">
        <f t="shared" si="0"/>
        <v>261910.20513099423</v>
      </c>
      <c r="L7" s="10" t="e">
        <f>(K7/SUMIFS(#REF!,#REF!,C7))*1000</f>
        <v>#REF!</v>
      </c>
      <c r="M7" s="11">
        <f t="shared" si="1"/>
        <v>-4.7549474039489947E-3</v>
      </c>
    </row>
    <row r="8" spans="1:13" x14ac:dyDescent="0.25">
      <c r="A8" s="16" t="s">
        <v>14</v>
      </c>
      <c r="B8" s="17" t="s">
        <v>15</v>
      </c>
      <c r="C8" s="18" t="s">
        <v>22</v>
      </c>
      <c r="D8" s="18" t="s">
        <v>23</v>
      </c>
      <c r="E8" s="19">
        <f>SUMIFS('PMC Baseline 2024-25'!J:J,'PMC Baseline 2024-25'!C:C,C8)</f>
        <v>469087.53365704708</v>
      </c>
      <c r="F8" s="20" t="e">
        <f>SUMIFS(#REF!,#REF!,C8)</f>
        <v>#REF!</v>
      </c>
      <c r="G8" s="21"/>
      <c r="H8" s="22">
        <v>3.5814457358284812E-2</v>
      </c>
      <c r="I8" s="22">
        <f>H8+(Totals!$M$38-Totals!$M$14)</f>
        <v>-1.5391335828056629E-3</v>
      </c>
      <c r="J8" s="20">
        <v>-4.0000000000000001E-3</v>
      </c>
      <c r="K8" s="19">
        <f t="shared" si="0"/>
        <v>466492.08309959719</v>
      </c>
      <c r="L8" s="19" t="e">
        <f>(K8/SUMIFS(#REF!,#REF!,C8))*1000</f>
        <v>#REF!</v>
      </c>
      <c r="M8" s="20">
        <f t="shared" si="1"/>
        <v>-5.5329770484743301E-3</v>
      </c>
    </row>
    <row r="9" spans="1:13" x14ac:dyDescent="0.25">
      <c r="A9" s="9" t="s">
        <v>24</v>
      </c>
      <c r="B9" s="5" t="s">
        <v>25</v>
      </c>
      <c r="C9" s="5" t="s">
        <v>26</v>
      </c>
      <c r="D9" s="5" t="s">
        <v>27</v>
      </c>
      <c r="E9" s="10">
        <f>SUMIFS('PMC Baseline 2024-25'!J:J,'PMC Baseline 2024-25'!C:C,C9)</f>
        <v>501515.516766941</v>
      </c>
      <c r="F9" s="11" t="e">
        <f>SUMIFS(#REF!,#REF!,C9)</f>
        <v>#REF!</v>
      </c>
      <c r="G9" s="12"/>
      <c r="H9" s="13">
        <v>3.6762864030410292E-2</v>
      </c>
      <c r="I9" s="13">
        <f>H9+(Totals!$M$38-Totals!$M$14)</f>
        <v>-5.9072691068018379E-4</v>
      </c>
      <c r="J9" s="11">
        <v>2.663999118574234E-4</v>
      </c>
      <c r="K9" s="10">
        <f t="shared" si="0"/>
        <v>501352.78282123024</v>
      </c>
      <c r="L9" s="10" t="e">
        <f>(K9/SUMIFS(#REF!,#REF!,C9))*1000</f>
        <v>#REF!</v>
      </c>
      <c r="M9" s="11">
        <f t="shared" si="1"/>
        <v>-3.2448436841958639E-4</v>
      </c>
    </row>
    <row r="10" spans="1:13" x14ac:dyDescent="0.25">
      <c r="A10" s="14" t="s">
        <v>24</v>
      </c>
      <c r="B10" s="15" t="s">
        <v>25</v>
      </c>
      <c r="C10" s="5" t="s">
        <v>28</v>
      </c>
      <c r="D10" s="5" t="s">
        <v>29</v>
      </c>
      <c r="E10" s="10">
        <f>SUMIFS('PMC Baseline 2024-25'!J:J,'PMC Baseline 2024-25'!C:C,C10)</f>
        <v>569948.10069863463</v>
      </c>
      <c r="F10" s="11" t="e">
        <f>SUMIFS(#REF!,#REF!,C10)</f>
        <v>#REF!</v>
      </c>
      <c r="G10" s="12"/>
      <c r="H10" s="13">
        <v>3.6075518434924403E-2</v>
      </c>
      <c r="I10" s="13">
        <f>H10+(Totals!$M$38-Totals!$M$14)</f>
        <v>-1.2780725061660725E-3</v>
      </c>
      <c r="J10" s="11">
        <v>4.1062633112347036E-3</v>
      </c>
      <c r="K10" s="10">
        <f t="shared" si="0"/>
        <v>571557.03153049224</v>
      </c>
      <c r="L10" s="10" t="e">
        <f>(K10/SUMIFS(#REF!,#REF!,C10))*1000</f>
        <v>#REF!</v>
      </c>
      <c r="M10" s="11">
        <f t="shared" si="1"/>
        <v>2.8229427028274579E-3</v>
      </c>
    </row>
    <row r="11" spans="1:13" x14ac:dyDescent="0.25">
      <c r="A11" s="16" t="s">
        <v>24</v>
      </c>
      <c r="B11" s="17" t="s">
        <v>25</v>
      </c>
      <c r="C11" s="18" t="s">
        <v>30</v>
      </c>
      <c r="D11" s="18" t="s">
        <v>31</v>
      </c>
      <c r="E11" s="19">
        <f>SUMIFS('PMC Baseline 2024-25'!J:J,'PMC Baseline 2024-25'!C:C,C11)</f>
        <v>328651.69068711286</v>
      </c>
      <c r="F11" s="20" t="e">
        <f>SUMIFS(#REF!,#REF!,C11)</f>
        <v>#REF!</v>
      </c>
      <c r="G11" s="21"/>
      <c r="H11" s="22">
        <v>3.5909437793433918E-2</v>
      </c>
      <c r="I11" s="22">
        <f>H11+(Totals!$M$38-Totals!$M$14)</f>
        <v>-1.4441531476565572E-3</v>
      </c>
      <c r="J11" s="20">
        <v>2.1321941343419026E-3</v>
      </c>
      <c r="K11" s="19">
        <f t="shared" si="0"/>
        <v>328876.80453147588</v>
      </c>
      <c r="L11" s="19" t="e">
        <f>(K11/SUMIFS(#REF!,#REF!,C11))*1000</f>
        <v>#REF!</v>
      </c>
      <c r="M11" s="20">
        <f t="shared" si="1"/>
        <v>6.8496177181498474E-4</v>
      </c>
    </row>
    <row r="12" spans="1:13" x14ac:dyDescent="0.25">
      <c r="A12" s="9" t="s">
        <v>32</v>
      </c>
      <c r="B12" s="5" t="s">
        <v>33</v>
      </c>
      <c r="C12" s="5" t="s">
        <v>34</v>
      </c>
      <c r="D12" s="5" t="s">
        <v>35</v>
      </c>
      <c r="E12" s="10">
        <f>SUMIFS('PMC Baseline 2024-25'!J:J,'PMC Baseline 2024-25'!C:C,C12)</f>
        <v>281136.17658347159</v>
      </c>
      <c r="F12" s="11" t="e">
        <f>SUMIFS(#REF!,#REF!,C12)</f>
        <v>#REF!</v>
      </c>
      <c r="G12" s="12"/>
      <c r="H12" s="13">
        <v>3.5129487345225474E-2</v>
      </c>
      <c r="I12" s="13">
        <f>H12+(Totals!$M$38-Totals!$M$14)</f>
        <v>-2.2241035958650013E-3</v>
      </c>
      <c r="J12" s="11">
        <v>1.2243976067471962E-6</v>
      </c>
      <c r="K12" s="10">
        <f t="shared" si="0"/>
        <v>280511.24405907997</v>
      </c>
      <c r="L12" s="10" t="e">
        <f>(K12/SUMIFS(#REF!,#REF!,C12))*1000</f>
        <v>#REF!</v>
      </c>
      <c r="M12" s="11">
        <f t="shared" si="1"/>
        <v>-2.2228819214451523E-3</v>
      </c>
    </row>
    <row r="13" spans="1:13" x14ac:dyDescent="0.25">
      <c r="A13" s="14" t="s">
        <v>32</v>
      </c>
      <c r="B13" s="15" t="s">
        <v>33</v>
      </c>
      <c r="C13" s="5" t="s">
        <v>36</v>
      </c>
      <c r="D13" s="5" t="s">
        <v>37</v>
      </c>
      <c r="E13" s="10">
        <f>SUMIFS('PMC Baseline 2024-25'!J:J,'PMC Baseline 2024-25'!C:C,C13)</f>
        <v>231883.13706794931</v>
      </c>
      <c r="F13" s="11" t="e">
        <f>SUMIFS(#REF!,#REF!,C13)</f>
        <v>#REF!</v>
      </c>
      <c r="G13" s="12"/>
      <c r="H13" s="13">
        <v>3.632765713765318E-2</v>
      </c>
      <c r="I13" s="13">
        <f>H13+(Totals!$M$38-Totals!$M$14)</f>
        <v>-1.0259338034372956E-3</v>
      </c>
      <c r="J13" s="11">
        <v>2.4534789116275038E-3</v>
      </c>
      <c r="K13" s="10">
        <f t="shared" si="0"/>
        <v>232213.57703128623</v>
      </c>
      <c r="L13" s="10" t="e">
        <f>(K13/SUMIFS(#REF!,#REF!,C13))*1000</f>
        <v>#REF!</v>
      </c>
      <c r="M13" s="11">
        <f t="shared" si="1"/>
        <v>1.4250280012386707E-3</v>
      </c>
    </row>
    <row r="14" spans="1:13" x14ac:dyDescent="0.25">
      <c r="A14" s="14" t="s">
        <v>32</v>
      </c>
      <c r="B14" s="15" t="s">
        <v>33</v>
      </c>
      <c r="C14" s="5" t="s">
        <v>38</v>
      </c>
      <c r="D14" s="5" t="s">
        <v>39</v>
      </c>
      <c r="E14" s="10">
        <f>SUMIFS('PMC Baseline 2024-25'!J:J,'PMC Baseline 2024-25'!C:C,C14)</f>
        <v>183578.43785157584</v>
      </c>
      <c r="F14" s="11" t="e">
        <f>SUMIFS(#REF!,#REF!,C14)</f>
        <v>#REF!</v>
      </c>
      <c r="G14" s="12"/>
      <c r="H14" s="13">
        <v>4.05725022154515E-2</v>
      </c>
      <c r="I14" s="13">
        <f>H14+(Totals!$M$38-Totals!$M$14)</f>
        <v>3.2189112743610249E-3</v>
      </c>
      <c r="J14" s="11">
        <v>1.2572018329312096E-3</v>
      </c>
      <c r="K14" s="10">
        <f t="shared" si="0"/>
        <v>184400.89861256524</v>
      </c>
      <c r="L14" s="10" t="e">
        <f>(K14/SUMIFS(#REF!,#REF!,C14))*1000</f>
        <v>#REF!</v>
      </c>
      <c r="M14" s="11">
        <f t="shared" si="1"/>
        <v>4.4801599284463034E-3</v>
      </c>
    </row>
    <row r="15" spans="1:13" x14ac:dyDescent="0.25">
      <c r="A15" s="14" t="s">
        <v>32</v>
      </c>
      <c r="B15" s="15" t="s">
        <v>33</v>
      </c>
      <c r="C15" s="5" t="s">
        <v>40</v>
      </c>
      <c r="D15" s="5" t="s">
        <v>41</v>
      </c>
      <c r="E15" s="10">
        <f>SUMIFS('PMC Baseline 2024-25'!J:J,'PMC Baseline 2024-25'!C:C,C15)</f>
        <v>192176.85671502628</v>
      </c>
      <c r="F15" s="11" t="e">
        <f>SUMIFS(#REF!,#REF!,C15)</f>
        <v>#REF!</v>
      </c>
      <c r="G15" s="12"/>
      <c r="H15" s="13">
        <v>3.7785395384573928E-2</v>
      </c>
      <c r="I15" s="13">
        <f>H15+(Totals!$M$38-Totals!$M$14)</f>
        <v>4.3180444348345226E-4</v>
      </c>
      <c r="J15" s="11">
        <v>-2.7358576809733918E-3</v>
      </c>
      <c r="K15" s="10">
        <f t="shared" si="0"/>
        <v>191733.84397695409</v>
      </c>
      <c r="L15" s="10" t="e">
        <f>(K15/SUMIFS(#REF!,#REF!,C15))*1000</f>
        <v>#REF!</v>
      </c>
      <c r="M15" s="11">
        <f t="shared" si="1"/>
        <v>-2.3052345929932549E-3</v>
      </c>
    </row>
    <row r="16" spans="1:13" x14ac:dyDescent="0.25">
      <c r="A16" s="14" t="s">
        <v>32</v>
      </c>
      <c r="B16" s="15" t="s">
        <v>33</v>
      </c>
      <c r="C16" s="5" t="s">
        <v>42</v>
      </c>
      <c r="D16" s="5" t="s">
        <v>43</v>
      </c>
      <c r="E16" s="10">
        <f>SUMIFS('PMC Baseline 2024-25'!J:J,'PMC Baseline 2024-25'!C:C,C16)</f>
        <v>154864.8763752612</v>
      </c>
      <c r="F16" s="11" t="e">
        <f>SUMIFS(#REF!,#REF!,C16)</f>
        <v>#REF!</v>
      </c>
      <c r="G16" s="12"/>
      <c r="H16" s="13">
        <v>3.9858675014558864E-2</v>
      </c>
      <c r="I16" s="13">
        <f>H16+(Totals!$M$38-Totals!$M$14)</f>
        <v>2.5050840734683888E-3</v>
      </c>
      <c r="J16" s="11">
        <v>-4.0000000000000001E-3</v>
      </c>
      <c r="K16" s="10">
        <f t="shared" si="0"/>
        <v>154631.81460696607</v>
      </c>
      <c r="L16" s="10" t="e">
        <f>(K16/SUMIFS(#REF!,#REF!,C16))*1000</f>
        <v>#REF!</v>
      </c>
      <c r="M16" s="11">
        <f t="shared" si="1"/>
        <v>-1.5049362628255514E-3</v>
      </c>
    </row>
    <row r="17" spans="1:13" x14ac:dyDescent="0.25">
      <c r="A17" s="14" t="s">
        <v>32</v>
      </c>
      <c r="B17" s="15" t="s">
        <v>33</v>
      </c>
      <c r="C17" s="5" t="s">
        <v>44</v>
      </c>
      <c r="D17" s="5" t="s">
        <v>45</v>
      </c>
      <c r="E17" s="10">
        <f>SUMIFS('PMC Baseline 2024-25'!J:J,'PMC Baseline 2024-25'!C:C,C17)</f>
        <v>197978.92075798498</v>
      </c>
      <c r="F17" s="11" t="e">
        <f>SUMIFS(#REF!,#REF!,C17)</f>
        <v>#REF!</v>
      </c>
      <c r="G17" s="12"/>
      <c r="H17" s="13">
        <v>4.0402005394317486E-2</v>
      </c>
      <c r="I17" s="13">
        <f>H17+(Totals!$M$38-Totals!$M$14)</f>
        <v>3.0484144532270108E-3</v>
      </c>
      <c r="J17" s="11">
        <v>5.8931954857452395E-4</v>
      </c>
      <c r="K17" s="10">
        <f t="shared" si="0"/>
        <v>198699.47107686303</v>
      </c>
      <c r="L17" s="10" t="e">
        <f>(K17/SUMIFS(#REF!,#REF!,C17))*1000</f>
        <v>#REF!</v>
      </c>
      <c r="M17" s="11">
        <f t="shared" si="1"/>
        <v>3.6395304920309179E-3</v>
      </c>
    </row>
    <row r="18" spans="1:13" x14ac:dyDescent="0.25">
      <c r="A18" s="14" t="s">
        <v>32</v>
      </c>
      <c r="B18" s="15" t="s">
        <v>33</v>
      </c>
      <c r="C18" s="5" t="s">
        <v>46</v>
      </c>
      <c r="D18" s="5" t="s">
        <v>47</v>
      </c>
      <c r="E18" s="10">
        <f>SUMIFS('PMC Baseline 2024-25'!J:J,'PMC Baseline 2024-25'!C:C,C18)</f>
        <v>155525.44443800973</v>
      </c>
      <c r="F18" s="11" t="e">
        <f>SUMIFS(#REF!,#REF!,C18)</f>
        <v>#REF!</v>
      </c>
      <c r="G18" s="12"/>
      <c r="H18" s="13">
        <v>3.8953637002968833E-2</v>
      </c>
      <c r="I18" s="13">
        <f>H18+(Totals!$M$38-Totals!$M$14)</f>
        <v>1.6000460618783574E-3</v>
      </c>
      <c r="J18" s="11">
        <v>-1.2746288967923124E-3</v>
      </c>
      <c r="K18" s="10">
        <f t="shared" si="0"/>
        <v>155575.73789854525</v>
      </c>
      <c r="L18" s="10" t="e">
        <f>(K18/SUMIFS(#REF!,#REF!,C18))*1000</f>
        <v>#REF!</v>
      </c>
      <c r="M18" s="11">
        <f t="shared" si="1"/>
        <v>3.2337770013945999E-4</v>
      </c>
    </row>
    <row r="19" spans="1:13" x14ac:dyDescent="0.25">
      <c r="A19" s="14" t="s">
        <v>32</v>
      </c>
      <c r="B19" s="15" t="s">
        <v>33</v>
      </c>
      <c r="C19" s="5" t="s">
        <v>48</v>
      </c>
      <c r="D19" s="5" t="s">
        <v>49</v>
      </c>
      <c r="E19" s="10">
        <f>SUMIFS('PMC Baseline 2024-25'!J:J,'PMC Baseline 2024-25'!C:C,C19)</f>
        <v>138558.21771145478</v>
      </c>
      <c r="F19" s="11" t="e">
        <f>SUMIFS(#REF!,#REF!,C19)</f>
        <v>#REF!</v>
      </c>
      <c r="G19" s="12"/>
      <c r="H19" s="13">
        <v>4.0859120924017667E-2</v>
      </c>
      <c r="I19" s="13">
        <f>H19+(Totals!$M$38-Totals!$M$14)</f>
        <v>3.5055299829271913E-3</v>
      </c>
      <c r="J19" s="11">
        <v>1.2369010574053985E-3</v>
      </c>
      <c r="K19" s="10">
        <f t="shared" si="0"/>
        <v>139215.92129158773</v>
      </c>
      <c r="L19" s="10" t="e">
        <f>(K19/SUMIFS(#REF!,#REF!,C19))*1000</f>
        <v>#REF!</v>
      </c>
      <c r="M19" s="11">
        <f t="shared" si="1"/>
        <v>4.7467670340752832E-3</v>
      </c>
    </row>
    <row r="20" spans="1:13" x14ac:dyDescent="0.25">
      <c r="A20" s="14" t="s">
        <v>32</v>
      </c>
      <c r="B20" s="15" t="s">
        <v>33</v>
      </c>
      <c r="C20" s="5" t="s">
        <v>50</v>
      </c>
      <c r="D20" s="5" t="s">
        <v>51</v>
      </c>
      <c r="E20" s="10">
        <f>SUMIFS('PMC Baseline 2024-25'!J:J,'PMC Baseline 2024-25'!C:C,C20)</f>
        <v>217164.26712554894</v>
      </c>
      <c r="F20" s="11" t="e">
        <f>SUMIFS(#REF!,#REF!,C20)</f>
        <v>#REF!</v>
      </c>
      <c r="G20" s="12"/>
      <c r="H20" s="13">
        <v>3.8288234186201198E-2</v>
      </c>
      <c r="I20" s="13">
        <f>H20+(Totals!$M$38-Totals!$M$14)</f>
        <v>9.3464324511072228E-4</v>
      </c>
      <c r="J20" s="11">
        <v>-4.0000000000000001E-3</v>
      </c>
      <c r="K20" s="10">
        <f t="shared" si="0"/>
        <v>216497.76928793365</v>
      </c>
      <c r="L20" s="10" t="e">
        <f>(K20/SUMIFS(#REF!,#REF!,C20))*1000</f>
        <v>#REF!</v>
      </c>
      <c r="M20" s="11">
        <f t="shared" si="1"/>
        <v>-3.0690953278698085E-3</v>
      </c>
    </row>
    <row r="21" spans="1:13" x14ac:dyDescent="0.25">
      <c r="A21" s="14" t="s">
        <v>32</v>
      </c>
      <c r="B21" s="15" t="s">
        <v>33</v>
      </c>
      <c r="C21" s="5" t="s">
        <v>52</v>
      </c>
      <c r="D21" s="5" t="s">
        <v>53</v>
      </c>
      <c r="E21" s="10">
        <f>SUMIFS('PMC Baseline 2024-25'!J:J,'PMC Baseline 2024-25'!C:C,C21)</f>
        <v>92856.098476655563</v>
      </c>
      <c r="F21" s="11" t="e">
        <f>SUMIFS(#REF!,#REF!,C21)</f>
        <v>#REF!</v>
      </c>
      <c r="G21" s="12"/>
      <c r="H21" s="13">
        <v>4.2865247373336413E-2</v>
      </c>
      <c r="I21" s="13">
        <f>H21+(Totals!$M$38-Totals!$M$14)</f>
        <v>5.5116564322459372E-3</v>
      </c>
      <c r="J21" s="11">
        <v>2.8827710732426404E-7</v>
      </c>
      <c r="K21" s="10">
        <f t="shared" si="0"/>
        <v>93367.916304922765</v>
      </c>
      <c r="L21" s="10" t="e">
        <f>(K21/SUMIFS(#REF!,#REF!,C21))*1000</f>
        <v>#REF!</v>
      </c>
      <c r="M21" s="11">
        <f t="shared" si="1"/>
        <v>5.5119462982378131E-3</v>
      </c>
    </row>
    <row r="22" spans="1:13" x14ac:dyDescent="0.25">
      <c r="A22" s="16" t="s">
        <v>32</v>
      </c>
      <c r="B22" s="17" t="s">
        <v>33</v>
      </c>
      <c r="C22" s="18" t="s">
        <v>54</v>
      </c>
      <c r="D22" s="18" t="s">
        <v>55</v>
      </c>
      <c r="E22" s="19">
        <f>SUMIFS('PMC Baseline 2024-25'!J:J,'PMC Baseline 2024-25'!C:C,C22)</f>
        <v>211577.14268929791</v>
      </c>
      <c r="F22" s="20" t="e">
        <f>SUMIFS(#REF!,#REF!,C22)</f>
        <v>#REF!</v>
      </c>
      <c r="G22" s="21"/>
      <c r="H22" s="22">
        <v>3.687096600274109E-2</v>
      </c>
      <c r="I22" s="22">
        <f>H22+(Totals!$M$38-Totals!$M$14)</f>
        <v>-4.8262493834938525E-4</v>
      </c>
      <c r="J22" s="20">
        <v>-4.0000000000000001E-3</v>
      </c>
      <c r="K22" s="19">
        <f t="shared" si="0"/>
        <v>210629.13016271594</v>
      </c>
      <c r="L22" s="19" t="e">
        <f>(K22/SUMIFS(#REF!,#REF!,C22))*1000</f>
        <v>#REF!</v>
      </c>
      <c r="M22" s="20">
        <f t="shared" si="1"/>
        <v>-4.4806944385960001E-3</v>
      </c>
    </row>
    <row r="23" spans="1:13" x14ac:dyDescent="0.25">
      <c r="A23" s="9" t="s">
        <v>56</v>
      </c>
      <c r="B23" s="5" t="s">
        <v>57</v>
      </c>
      <c r="C23" s="5" t="s">
        <v>58</v>
      </c>
      <c r="D23" s="5" t="s">
        <v>59</v>
      </c>
      <c r="E23" s="10">
        <f>SUMIFS('PMC Baseline 2024-25'!J:J,'PMC Baseline 2024-25'!C:C,C23)</f>
        <v>175977.14937891593</v>
      </c>
      <c r="F23" s="11" t="e">
        <f>SUMIFS(#REF!,#REF!,C23)</f>
        <v>#REF!</v>
      </c>
      <c r="G23" s="12"/>
      <c r="H23" s="13">
        <v>3.732776946482308E-2</v>
      </c>
      <c r="I23" s="13">
        <f>H23+(Totals!$M$38-Totals!$M$14)</f>
        <v>-2.5821476267395838E-5</v>
      </c>
      <c r="J23" s="11">
        <v>2.3704231924283337E-3</v>
      </c>
      <c r="K23" s="10">
        <f t="shared" si="0"/>
        <v>176389.73493417609</v>
      </c>
      <c r="L23" s="10" t="e">
        <f>(K23/SUMIFS(#REF!,#REF!,C23))*1000</f>
        <v>#REF!</v>
      </c>
      <c r="M23" s="11">
        <f t="shared" si="1"/>
        <v>2.3445405083348803E-3</v>
      </c>
    </row>
    <row r="24" spans="1:13" x14ac:dyDescent="0.25">
      <c r="A24" s="14" t="s">
        <v>56</v>
      </c>
      <c r="B24" s="15" t="s">
        <v>57</v>
      </c>
      <c r="C24" s="5" t="s">
        <v>60</v>
      </c>
      <c r="D24" s="5" t="s">
        <v>61</v>
      </c>
      <c r="E24" s="10">
        <f>SUMIFS('PMC Baseline 2024-25'!J:J,'PMC Baseline 2024-25'!C:C,C24)</f>
        <v>170483.43096649952</v>
      </c>
      <c r="F24" s="11" t="e">
        <f>SUMIFS(#REF!,#REF!,C24)</f>
        <v>#REF!</v>
      </c>
      <c r="G24" s="12"/>
      <c r="H24" s="13">
        <v>3.7420236384929195E-2</v>
      </c>
      <c r="I24" s="13">
        <f>H24+(Totals!$M$38-Totals!$M$14)</f>
        <v>6.6645443838719842E-5</v>
      </c>
      <c r="J24" s="11">
        <v>8.4558270837439831E-4</v>
      </c>
      <c r="K24" s="10">
        <f t="shared" si="0"/>
        <v>170638.96035917636</v>
      </c>
      <c r="L24" s="10" t="e">
        <f>(K24/SUMIFS(#REF!,#REF!,C24))*1000</f>
        <v>#REF!</v>
      </c>
      <c r="M24" s="11">
        <f t="shared" si="1"/>
        <v>9.1228450644798009E-4</v>
      </c>
    </row>
    <row r="25" spans="1:13" x14ac:dyDescent="0.25">
      <c r="A25" s="14" t="s">
        <v>56</v>
      </c>
      <c r="B25" s="15" t="s">
        <v>57</v>
      </c>
      <c r="C25" s="5" t="s">
        <v>62</v>
      </c>
      <c r="D25" s="5" t="s">
        <v>63</v>
      </c>
      <c r="E25" s="10">
        <f>SUMIFS('PMC Baseline 2024-25'!J:J,'PMC Baseline 2024-25'!C:C,C25)</f>
        <v>262957.42311781878</v>
      </c>
      <c r="F25" s="11" t="e">
        <f>SUMIFS(#REF!,#REF!,C25)</f>
        <v>#REF!</v>
      </c>
      <c r="G25" s="12"/>
      <c r="H25" s="13">
        <v>3.6229643085299523E-2</v>
      </c>
      <c r="I25" s="13">
        <f>H25+(Totals!$M$38-Totals!$M$14)</f>
        <v>-1.1239478557909521E-3</v>
      </c>
      <c r="J25" s="11">
        <v>-4.0000000000000001E-3</v>
      </c>
      <c r="K25" s="10">
        <f t="shared" si="0"/>
        <v>261611.22519519742</v>
      </c>
      <c r="L25" s="10" t="e">
        <f>(K25/SUMIFS(#REF!,#REF!,C25))*1000</f>
        <v>#REF!</v>
      </c>
      <c r="M25" s="11">
        <f t="shared" si="1"/>
        <v>-5.1194520643678132E-3</v>
      </c>
    </row>
    <row r="26" spans="1:13" x14ac:dyDescent="0.25">
      <c r="A26" s="14" t="s">
        <v>56</v>
      </c>
      <c r="B26" s="15" t="s">
        <v>57</v>
      </c>
      <c r="C26" s="5" t="s">
        <v>64</v>
      </c>
      <c r="D26" s="5" t="s">
        <v>65</v>
      </c>
      <c r="E26" s="10">
        <f>SUMIFS('PMC Baseline 2024-25'!J:J,'PMC Baseline 2024-25'!C:C,C26)</f>
        <v>211927.60862636595</v>
      </c>
      <c r="F26" s="11" t="e">
        <f>SUMIFS(#REF!,#REF!,C26)</f>
        <v>#REF!</v>
      </c>
      <c r="G26" s="12"/>
      <c r="H26" s="13">
        <v>3.77869263456585E-2</v>
      </c>
      <c r="I26" s="13">
        <f>H26+(Totals!$M$38-Totals!$M$14)</f>
        <v>4.3333540456802488E-4</v>
      </c>
      <c r="J26" s="11">
        <v>-3.2959129899642497E-3</v>
      </c>
      <c r="K26" s="10">
        <f t="shared" si="0"/>
        <v>211320.64672159019</v>
      </c>
      <c r="L26" s="10" t="e">
        <f>(K26/SUMIFS(#REF!,#REF!,C26))*1000</f>
        <v>#REF!</v>
      </c>
      <c r="M26" s="11">
        <f t="shared" si="1"/>
        <v>-2.8640058211851782E-3</v>
      </c>
    </row>
    <row r="27" spans="1:13" x14ac:dyDescent="0.25">
      <c r="A27" s="14" t="s">
        <v>56</v>
      </c>
      <c r="B27" s="15" t="s">
        <v>57</v>
      </c>
      <c r="C27" s="5" t="s">
        <v>66</v>
      </c>
      <c r="D27" s="5" t="s">
        <v>67</v>
      </c>
      <c r="E27" s="10">
        <f>SUMIFS('PMC Baseline 2024-25'!J:J,'PMC Baseline 2024-25'!C:C,C27)</f>
        <v>210448.46878050058</v>
      </c>
      <c r="F27" s="11" t="e">
        <f>SUMIFS(#REF!,#REF!,C27)</f>
        <v>#REF!</v>
      </c>
      <c r="G27" s="12"/>
      <c r="H27" s="13">
        <v>3.8913733981555954E-2</v>
      </c>
      <c r="I27" s="13">
        <f>H27+(Totals!$M$38-Totals!$M$14)</f>
        <v>1.5601430404654781E-3</v>
      </c>
      <c r="J27" s="11">
        <v>-4.0000000000000001E-3</v>
      </c>
      <c r="K27" s="10">
        <f t="shared" si="0"/>
        <v>209933.69130046733</v>
      </c>
      <c r="L27" s="10" t="e">
        <f>(K27/SUMIFS(#REF!,#REF!,C27))*1000</f>
        <v>#REF!</v>
      </c>
      <c r="M27" s="11">
        <f t="shared" si="1"/>
        <v>-2.446097531696334E-3</v>
      </c>
    </row>
    <row r="28" spans="1:13" x14ac:dyDescent="0.25">
      <c r="A28" s="16" t="s">
        <v>56</v>
      </c>
      <c r="B28" s="17" t="s">
        <v>57</v>
      </c>
      <c r="C28" s="18" t="s">
        <v>68</v>
      </c>
      <c r="D28" s="18" t="s">
        <v>69</v>
      </c>
      <c r="E28" s="19">
        <f>SUMIFS('PMC Baseline 2024-25'!J:J,'PMC Baseline 2024-25'!C:C,C28)</f>
        <v>190227.26058934524</v>
      </c>
      <c r="F28" s="20" t="e">
        <f>SUMIFS(#REF!,#REF!,C28)</f>
        <v>#REF!</v>
      </c>
      <c r="G28" s="21"/>
      <c r="H28" s="22">
        <v>3.8578413463143946E-2</v>
      </c>
      <c r="I28" s="22">
        <f>H28+(Totals!$M$38-Totals!$M$14)</f>
        <v>1.2248225220534703E-3</v>
      </c>
      <c r="J28" s="20">
        <v>-2.1177568624088294E-3</v>
      </c>
      <c r="K28" s="19">
        <f t="shared" si="0"/>
        <v>190056.9067099102</v>
      </c>
      <c r="L28" s="19" t="e">
        <f>(K28/SUMIFS(#REF!,#REF!,C28))*1000</f>
        <v>#REF!</v>
      </c>
      <c r="M28" s="20">
        <f t="shared" si="1"/>
        <v>-8.9552821665661586E-4</v>
      </c>
    </row>
    <row r="29" spans="1:13" x14ac:dyDescent="0.25">
      <c r="A29" s="9" t="s">
        <v>70</v>
      </c>
      <c r="B29" s="5" t="s">
        <v>71</v>
      </c>
      <c r="C29" s="5" t="s">
        <v>72</v>
      </c>
      <c r="D29" s="5" t="s">
        <v>73</v>
      </c>
      <c r="E29" s="10">
        <f>SUMIFS('PMC Baseline 2024-25'!J:J,'PMC Baseline 2024-25'!C:C,C29)</f>
        <v>294024.92613198812</v>
      </c>
      <c r="F29" s="11" t="e">
        <f>SUMIFS(#REF!,#REF!,C29)</f>
        <v>#REF!</v>
      </c>
      <c r="G29" s="12"/>
      <c r="H29" s="13">
        <v>3.7286939343682102E-2</v>
      </c>
      <c r="I29" s="13">
        <f>H29+(Totals!$M$38-Totals!$M$14)</f>
        <v>-6.6651597408373675E-5</v>
      </c>
      <c r="J29" s="11">
        <v>1.3594856729369775E-3</v>
      </c>
      <c r="K29" s="10">
        <f t="shared" si="0"/>
        <v>294405.02493339154</v>
      </c>
      <c r="L29" s="10" t="e">
        <f>(K29/SUMIFS(#REF!,#REF!,C29))*1000</f>
        <v>#REF!</v>
      </c>
      <c r="M29" s="11">
        <f t="shared" si="1"/>
        <v>1.2927434636367252E-3</v>
      </c>
    </row>
    <row r="30" spans="1:13" x14ac:dyDescent="0.25">
      <c r="A30" s="14" t="s">
        <v>70</v>
      </c>
      <c r="B30" s="15" t="s">
        <v>71</v>
      </c>
      <c r="C30" s="5" t="s">
        <v>74</v>
      </c>
      <c r="D30" s="5" t="s">
        <v>75</v>
      </c>
      <c r="E30" s="10">
        <f>SUMIFS('PMC Baseline 2024-25'!J:J,'PMC Baseline 2024-25'!C:C,C30)</f>
        <v>398684.18136725522</v>
      </c>
      <c r="F30" s="11" t="e">
        <f>SUMIFS(#REF!,#REF!,C30)</f>
        <v>#REF!</v>
      </c>
      <c r="G30" s="12"/>
      <c r="H30" s="13">
        <v>3.7733910569949902E-2</v>
      </c>
      <c r="I30" s="13">
        <f>H30+(Totals!$M$38-Totals!$M$14)</f>
        <v>3.8031962885942683E-4</v>
      </c>
      <c r="J30" s="11">
        <v>-4.0000000000000001E-3</v>
      </c>
      <c r="K30" s="10">
        <f t="shared" si="0"/>
        <v>397240.46555199637</v>
      </c>
      <c r="L30" s="10" t="e">
        <f>(K30/SUMIFS(#REF!,#REF!,C30))*1000</f>
        <v>#REF!</v>
      </c>
      <c r="M30" s="11">
        <f t="shared" si="1"/>
        <v>-3.6212016496559585E-3</v>
      </c>
    </row>
    <row r="31" spans="1:13" x14ac:dyDescent="0.25">
      <c r="A31" s="14" t="s">
        <v>70</v>
      </c>
      <c r="B31" s="15" t="s">
        <v>71</v>
      </c>
      <c r="C31" s="5" t="s">
        <v>76</v>
      </c>
      <c r="D31" s="5" t="s">
        <v>77</v>
      </c>
      <c r="E31" s="10">
        <f>SUMIFS('PMC Baseline 2024-25'!J:J,'PMC Baseline 2024-25'!C:C,C31)</f>
        <v>441527.33027538325</v>
      </c>
      <c r="F31" s="11" t="e">
        <f>SUMIFS(#REF!,#REF!,C31)</f>
        <v>#REF!</v>
      </c>
      <c r="G31" s="12"/>
      <c r="H31" s="13">
        <v>3.4914042294425407E-2</v>
      </c>
      <c r="I31" s="13">
        <f>H31+(Totals!$M$38-Totals!$M$14)</f>
        <v>-2.4395486466650684E-3</v>
      </c>
      <c r="J31" s="11">
        <v>9.9653876550144793E-3</v>
      </c>
      <c r="K31" s="10">
        <f t="shared" si="0"/>
        <v>444839.45988871693</v>
      </c>
      <c r="L31" s="10" t="e">
        <f>(K31/SUMIFS(#REF!,#REF!,C31))*1000</f>
        <v>#REF!</v>
      </c>
      <c r="M31" s="11">
        <f t="shared" si="1"/>
        <v>7.5015279603820595E-3</v>
      </c>
    </row>
    <row r="32" spans="1:13" x14ac:dyDescent="0.25">
      <c r="A32" s="14" t="s">
        <v>70</v>
      </c>
      <c r="B32" s="15" t="s">
        <v>71</v>
      </c>
      <c r="C32" s="5" t="s">
        <v>78</v>
      </c>
      <c r="D32" s="5" t="s">
        <v>79</v>
      </c>
      <c r="E32" s="10">
        <f>SUMIFS('PMC Baseline 2024-25'!J:J,'PMC Baseline 2024-25'!C:C,C32)</f>
        <v>352356.41290562367</v>
      </c>
      <c r="F32" s="11" t="e">
        <f>SUMIFS(#REF!,#REF!,C32)</f>
        <v>#REF!</v>
      </c>
      <c r="G32" s="12"/>
      <c r="H32" s="13">
        <v>3.7434587709861189E-2</v>
      </c>
      <c r="I32" s="13">
        <f>H32+(Totals!$M$38-Totals!$M$14)</f>
        <v>8.0996768770713601E-5</v>
      </c>
      <c r="J32" s="11">
        <v>-4.0000000000000001E-3</v>
      </c>
      <c r="K32" s="10">
        <f t="shared" si="0"/>
        <v>350975.41282597859</v>
      </c>
      <c r="L32" s="10" t="e">
        <f>(K32/SUMIFS(#REF!,#REF!,C32))*1000</f>
        <v>#REF!</v>
      </c>
      <c r="M32" s="11">
        <f t="shared" si="1"/>
        <v>-3.919327218304347E-3</v>
      </c>
    </row>
    <row r="33" spans="1:13" x14ac:dyDescent="0.25">
      <c r="A33" s="16" t="s">
        <v>70</v>
      </c>
      <c r="B33" s="17" t="s">
        <v>71</v>
      </c>
      <c r="C33" s="18" t="s">
        <v>80</v>
      </c>
      <c r="D33" s="18" t="s">
        <v>81</v>
      </c>
      <c r="E33" s="19">
        <f>SUMIFS('PMC Baseline 2024-25'!J:J,'PMC Baseline 2024-25'!C:C,C33)</f>
        <v>282445.62972870283</v>
      </c>
      <c r="F33" s="20" t="e">
        <f>SUMIFS(#REF!,#REF!,C33)</f>
        <v>#REF!</v>
      </c>
      <c r="G33" s="21"/>
      <c r="H33" s="22">
        <v>3.682670368493679E-2</v>
      </c>
      <c r="I33" s="22">
        <f>H33+(Totals!$M$38-Totals!$M$14)</f>
        <v>-5.2688725615368526E-4</v>
      </c>
      <c r="J33" s="20">
        <v>-4.0000000000000001E-3</v>
      </c>
      <c r="K33" s="19">
        <f t="shared" si="0"/>
        <v>281167.62547493912</v>
      </c>
      <c r="L33" s="19" t="e">
        <f>(K33/SUMIFS(#REF!,#REF!,C33))*1000</f>
        <v>#REF!</v>
      </c>
      <c r="M33" s="20">
        <f t="shared" si="1"/>
        <v>-4.5247797071289453E-3</v>
      </c>
    </row>
    <row r="34" spans="1:13" x14ac:dyDescent="0.25">
      <c r="A34" s="9" t="s">
        <v>82</v>
      </c>
      <c r="B34" s="5" t="s">
        <v>83</v>
      </c>
      <c r="C34" s="5" t="s">
        <v>84</v>
      </c>
      <c r="D34" s="5" t="s">
        <v>85</v>
      </c>
      <c r="E34" s="10">
        <f>SUMIFS('PMC Baseline 2024-25'!J:J,'PMC Baseline 2024-25'!C:C,C34)</f>
        <v>318238.60884334077</v>
      </c>
      <c r="F34" s="11" t="e">
        <f>SUMIFS(#REF!,#REF!,C34)</f>
        <v>#REF!</v>
      </c>
      <c r="G34" s="12"/>
      <c r="H34" s="13">
        <v>3.6978272848337213E-2</v>
      </c>
      <c r="I34" s="13">
        <f>H34+(Totals!$M$38-Totals!$M$14)</f>
        <v>-3.7531809275326289E-4</v>
      </c>
      <c r="J34" s="11">
        <v>1.4945113382310304E-3</v>
      </c>
      <c r="K34" s="10">
        <f t="shared" si="0"/>
        <v>318594.6008393165</v>
      </c>
      <c r="L34" s="10" t="e">
        <f>(K34/SUMIFS(#REF!,#REF!,C34))*1000</f>
        <v>#REF!</v>
      </c>
      <c r="M34" s="11">
        <f t="shared" si="1"/>
        <v>1.1186323283325361E-3</v>
      </c>
    </row>
    <row r="35" spans="1:13" x14ac:dyDescent="0.25">
      <c r="A35" s="14" t="s">
        <v>82</v>
      </c>
      <c r="B35" s="15" t="s">
        <v>83</v>
      </c>
      <c r="C35" s="5" t="s">
        <v>86</v>
      </c>
      <c r="D35" s="5" t="s">
        <v>87</v>
      </c>
      <c r="E35" s="10">
        <f>SUMIFS('PMC Baseline 2024-25'!J:J,'PMC Baseline 2024-25'!C:C,C35)</f>
        <v>130395.30847072443</v>
      </c>
      <c r="F35" s="11" t="e">
        <f>SUMIFS(#REF!,#REF!,C35)</f>
        <v>#REF!</v>
      </c>
      <c r="G35" s="12"/>
      <c r="H35" s="13">
        <v>3.5648662331764669E-2</v>
      </c>
      <c r="I35" s="13">
        <f>H35+(Totals!$M$38-Totals!$M$14)</f>
        <v>-1.7049286093258065E-3</v>
      </c>
      <c r="J35" s="11">
        <v>3.3059853255263108E-3</v>
      </c>
      <c r="K35" s="10">
        <f t="shared" si="0"/>
        <v>130603.34378600334</v>
      </c>
      <c r="L35" s="10" t="e">
        <f>(K35/SUMIFS(#REF!,#REF!,C35))*1000</f>
        <v>#REF!</v>
      </c>
      <c r="M35" s="11">
        <f t="shared" si="1"/>
        <v>1.5954202472370227E-3</v>
      </c>
    </row>
    <row r="36" spans="1:13" x14ac:dyDescent="0.25">
      <c r="A36" s="14" t="s">
        <v>82</v>
      </c>
      <c r="B36" s="15" t="s">
        <v>83</v>
      </c>
      <c r="C36" s="5" t="s">
        <v>88</v>
      </c>
      <c r="D36" s="5" t="s">
        <v>89</v>
      </c>
      <c r="E36" s="10">
        <f>SUMIFS('PMC Baseline 2024-25'!J:J,'PMC Baseline 2024-25'!C:C,C36)</f>
        <v>330538.20433637366</v>
      </c>
      <c r="F36" s="11" t="e">
        <f>SUMIFS(#REF!,#REF!,C36)</f>
        <v>#REF!</v>
      </c>
      <c r="G36" s="12"/>
      <c r="H36" s="13">
        <v>3.747930097266905E-2</v>
      </c>
      <c r="I36" s="13">
        <f>H36+(Totals!$M$38-Totals!$M$14)</f>
        <v>1.2571003157857419E-4</v>
      </c>
      <c r="J36" s="11">
        <v>1.6697846316558185E-3</v>
      </c>
      <c r="K36" s="10">
        <f t="shared" si="0"/>
        <v>331131.75330109248</v>
      </c>
      <c r="L36" s="10" t="e">
        <f>(K36/SUMIFS(#REF!,#REF!,C36))*1000</f>
        <v>#REF!</v>
      </c>
      <c r="M36" s="11">
        <f t="shared" si="1"/>
        <v>1.7957045719132481E-3</v>
      </c>
    </row>
    <row r="37" spans="1:13" x14ac:dyDescent="0.25">
      <c r="A37" s="14" t="s">
        <v>82</v>
      </c>
      <c r="B37" s="15" t="s">
        <v>83</v>
      </c>
      <c r="C37" s="5" t="s">
        <v>90</v>
      </c>
      <c r="D37" s="5" t="s">
        <v>91</v>
      </c>
      <c r="E37" s="10">
        <f>SUMIFS('PMC Baseline 2024-25'!J:J,'PMC Baseline 2024-25'!C:C,C37)</f>
        <v>344548.83879715926</v>
      </c>
      <c r="F37" s="11" t="e">
        <f>SUMIFS(#REF!,#REF!,C37)</f>
        <v>#REF!</v>
      </c>
      <c r="G37" s="12"/>
      <c r="H37" s="13">
        <v>3.9241045962858712E-2</v>
      </c>
      <c r="I37" s="13">
        <f>H37+(Totals!$M$38-Totals!$M$14)</f>
        <v>1.8874550217682362E-3</v>
      </c>
      <c r="J37" s="11">
        <v>2.2499201870087582E-3</v>
      </c>
      <c r="K37" s="10">
        <f t="shared" si="0"/>
        <v>345975.82979008858</v>
      </c>
      <c r="L37" s="10" t="e">
        <f>(K37/SUMIFS(#REF!,#REF!,C37))*1000</f>
        <v>#REF!</v>
      </c>
      <c r="M37" s="11">
        <f t="shared" si="1"/>
        <v>4.1416218319325626E-3</v>
      </c>
    </row>
    <row r="38" spans="1:13" x14ac:dyDescent="0.25">
      <c r="A38" s="14" t="s">
        <v>82</v>
      </c>
      <c r="B38" s="15" t="s">
        <v>83</v>
      </c>
      <c r="C38" s="5" t="s">
        <v>92</v>
      </c>
      <c r="D38" s="5" t="s">
        <v>93</v>
      </c>
      <c r="E38" s="10">
        <f>SUMIFS('PMC Baseline 2024-25'!J:J,'PMC Baseline 2024-25'!C:C,C38)</f>
        <v>184256.54123013574</v>
      </c>
      <c r="F38" s="11" t="e">
        <f>SUMIFS(#REF!,#REF!,C38)</f>
        <v>#REF!</v>
      </c>
      <c r="G38" s="12"/>
      <c r="H38" s="13">
        <v>3.5437884471511527E-2</v>
      </c>
      <c r="I38" s="13">
        <f>H38+(Totals!$M$38-Totals!$M$14)</f>
        <v>-1.9157064695789483E-3</v>
      </c>
      <c r="J38" s="11">
        <v>2.0236746220097523E-3</v>
      </c>
      <c r="K38" s="10">
        <f t="shared" si="0"/>
        <v>184275.72074886708</v>
      </c>
      <c r="L38" s="10" t="e">
        <f>(K38/SUMIFS(#REF!,#REF!,C38))*1000</f>
        <v>#REF!</v>
      </c>
      <c r="M38" s="11">
        <f t="shared" si="1"/>
        <v>1.0409138586497946E-4</v>
      </c>
    </row>
    <row r="39" spans="1:13" x14ac:dyDescent="0.25">
      <c r="A39" s="16" t="s">
        <v>82</v>
      </c>
      <c r="B39" s="17" t="s">
        <v>83</v>
      </c>
      <c r="C39" s="18" t="s">
        <v>94</v>
      </c>
      <c r="D39" s="18" t="s">
        <v>95</v>
      </c>
      <c r="E39" s="19">
        <f>SUMIFS('PMC Baseline 2024-25'!J:J,'PMC Baseline 2024-25'!C:C,C39)</f>
        <v>321346.54255273915</v>
      </c>
      <c r="F39" s="20" t="e">
        <f>SUMIFS(#REF!,#REF!,C39)</f>
        <v>#REF!</v>
      </c>
      <c r="G39" s="21"/>
      <c r="H39" s="22">
        <v>3.865095687721487E-2</v>
      </c>
      <c r="I39" s="22">
        <f>H39+(Totals!$M$38-Totals!$M$14)</f>
        <v>1.297365936124395E-3</v>
      </c>
      <c r="J39" s="20">
        <v>-7.9052613640136156E-5</v>
      </c>
      <c r="K39" s="19">
        <f t="shared" si="0"/>
        <v>321738.01036930998</v>
      </c>
      <c r="L39" s="19" t="e">
        <f>(K39/SUMIFS(#REF!,#REF!,C39))*1000</f>
        <v>#REF!</v>
      </c>
      <c r="M39" s="20">
        <f t="shared" si="1"/>
        <v>1.2182107623162075E-3</v>
      </c>
    </row>
    <row r="40" spans="1:13" x14ac:dyDescent="0.25">
      <c r="A40" s="9" t="s">
        <v>96</v>
      </c>
      <c r="B40" s="5" t="s">
        <v>97</v>
      </c>
      <c r="C40" s="5" t="s">
        <v>98</v>
      </c>
      <c r="D40" s="5" t="s">
        <v>99</v>
      </c>
      <c r="E40" s="10">
        <f>SUMIFS('PMC Baseline 2024-25'!J:J,'PMC Baseline 2024-25'!C:C,C40)</f>
        <v>165574.42254216265</v>
      </c>
      <c r="F40" s="11" t="e">
        <f>SUMIFS(#REF!,#REF!,C40)</f>
        <v>#REF!</v>
      </c>
      <c r="G40" s="12"/>
      <c r="H40" s="13">
        <v>3.9302850685982715E-2</v>
      </c>
      <c r="I40" s="13">
        <f>H40+(Totals!$M$38-Totals!$M$14)</f>
        <v>1.94925974489224E-3</v>
      </c>
      <c r="J40" s="11">
        <v>2.813619822200436E-3</v>
      </c>
      <c r="K40" s="10">
        <f t="shared" si="0"/>
        <v>166363.94166504481</v>
      </c>
      <c r="L40" s="10" t="e">
        <f>(K40/SUMIFS(#REF!,#REF!,C40))*1000</f>
        <v>#REF!</v>
      </c>
      <c r="M40" s="11">
        <f t="shared" si="1"/>
        <v>4.7683640429494467E-3</v>
      </c>
    </row>
    <row r="41" spans="1:13" x14ac:dyDescent="0.25">
      <c r="A41" s="14" t="s">
        <v>96</v>
      </c>
      <c r="B41" s="15" t="s">
        <v>97</v>
      </c>
      <c r="C41" s="5" t="s">
        <v>100</v>
      </c>
      <c r="D41" s="5" t="s">
        <v>101</v>
      </c>
      <c r="E41" s="10">
        <f>SUMIFS('PMC Baseline 2024-25'!J:J,'PMC Baseline 2024-25'!C:C,C41)</f>
        <v>174674.82688994918</v>
      </c>
      <c r="F41" s="11" t="e">
        <f>SUMIFS(#REF!,#REF!,C41)</f>
        <v>#REF!</v>
      </c>
      <c r="G41" s="12"/>
      <c r="H41" s="13">
        <v>3.8138707444059783E-2</v>
      </c>
      <c r="I41" s="13">
        <f>H41+(Totals!$M$38-Totals!$M$14)</f>
        <v>7.8511650296930746E-4</v>
      </c>
      <c r="J41" s="11">
        <v>2.9082584484338139E-3</v>
      </c>
      <c r="K41" s="10">
        <f t="shared" si="0"/>
        <v>175320.36535904839</v>
      </c>
      <c r="L41" s="10" t="e">
        <f>(K41/SUMIFS(#REF!,#REF!,C41))*1000</f>
        <v>#REF!</v>
      </c>
      <c r="M41" s="11">
        <f t="shared" si="1"/>
        <v>3.6956582731060283E-3</v>
      </c>
    </row>
    <row r="42" spans="1:13" x14ac:dyDescent="0.25">
      <c r="A42" s="14" t="s">
        <v>96</v>
      </c>
      <c r="B42" s="15" t="s">
        <v>97</v>
      </c>
      <c r="C42" s="5" t="s">
        <v>102</v>
      </c>
      <c r="D42" s="5" t="s">
        <v>103</v>
      </c>
      <c r="E42" s="10">
        <f>SUMIFS('PMC Baseline 2024-25'!J:J,'PMC Baseline 2024-25'!C:C,C42)</f>
        <v>112525.88782678117</v>
      </c>
      <c r="F42" s="11" t="e">
        <f>SUMIFS(#REF!,#REF!,C42)</f>
        <v>#REF!</v>
      </c>
      <c r="G42" s="12"/>
      <c r="H42" s="13">
        <v>4.1860594723605926E-2</v>
      </c>
      <c r="I42" s="13">
        <f>H42+(Totals!$M$38-Totals!$M$14)</f>
        <v>4.5070037825154508E-3</v>
      </c>
      <c r="J42" s="11">
        <v>6.3378482900194877E-4</v>
      </c>
      <c r="K42" s="10">
        <f t="shared" si="0"/>
        <v>113104.6810563147</v>
      </c>
      <c r="L42" s="10" t="e">
        <f>(K42/SUMIFS(#REF!,#REF!,C42))*1000</f>
        <v>#REF!</v>
      </c>
      <c r="M42" s="11">
        <f t="shared" si="1"/>
        <v>5.1436450821389368E-3</v>
      </c>
    </row>
    <row r="43" spans="1:13" x14ac:dyDescent="0.25">
      <c r="A43" s="14" t="s">
        <v>96</v>
      </c>
      <c r="B43" s="15" t="s">
        <v>97</v>
      </c>
      <c r="C43" s="5" t="s">
        <v>104</v>
      </c>
      <c r="D43" s="5" t="s">
        <v>105</v>
      </c>
      <c r="E43" s="10">
        <f>SUMIFS('PMC Baseline 2024-25'!J:J,'PMC Baseline 2024-25'!C:C,C43)</f>
        <v>225883.69409569469</v>
      </c>
      <c r="F43" s="11" t="e">
        <f>SUMIFS(#REF!,#REF!,C43)</f>
        <v>#REF!</v>
      </c>
      <c r="G43" s="12"/>
      <c r="H43" s="13">
        <v>3.982428477173805E-2</v>
      </c>
      <c r="I43" s="13">
        <f>H43+(Totals!$M$38-Totals!$M$14)</f>
        <v>2.4706938306475745E-3</v>
      </c>
      <c r="J43" s="11">
        <v>3.1088559652497627E-3</v>
      </c>
      <c r="K43" s="10">
        <f t="shared" si="0"/>
        <v>227145.75843469691</v>
      </c>
      <c r="L43" s="10" t="e">
        <f>(K43/SUMIFS(#REF!,#REF!,C43))*1000</f>
        <v>#REF!</v>
      </c>
      <c r="M43" s="11">
        <f t="shared" si="1"/>
        <v>5.5872308271509574E-3</v>
      </c>
    </row>
    <row r="44" spans="1:13" x14ac:dyDescent="0.25">
      <c r="A44" s="14" t="s">
        <v>96</v>
      </c>
      <c r="B44" s="15" t="s">
        <v>97</v>
      </c>
      <c r="C44" s="5" t="s">
        <v>106</v>
      </c>
      <c r="D44" s="5" t="s">
        <v>107</v>
      </c>
      <c r="E44" s="10">
        <f>SUMIFS('PMC Baseline 2024-25'!J:J,'PMC Baseline 2024-25'!C:C,C44)</f>
        <v>145890.42436848674</v>
      </c>
      <c r="F44" s="11" t="e">
        <f>SUMIFS(#REF!,#REF!,C44)</f>
        <v>#REF!</v>
      </c>
      <c r="G44" s="12"/>
      <c r="H44" s="13">
        <v>3.7041463251116458E-2</v>
      </c>
      <c r="I44" s="13">
        <f>H44+(Totals!$M$38-Totals!$M$14)</f>
        <v>-3.1212768997401774E-4</v>
      </c>
      <c r="J44" s="11">
        <v>6.2463654648681199E-7</v>
      </c>
      <c r="K44" s="10">
        <f t="shared" si="0"/>
        <v>145844.97902738638</v>
      </c>
      <c r="L44" s="10" t="e">
        <f>(K44/SUMIFS(#REF!,#REF!,C44))*1000</f>
        <v>#REF!</v>
      </c>
      <c r="M44" s="11">
        <f t="shared" si="1"/>
        <v>-3.1150324839401833E-4</v>
      </c>
    </row>
    <row r="45" spans="1:13" x14ac:dyDescent="0.25">
      <c r="A45" s="14" t="s">
        <v>96</v>
      </c>
      <c r="B45" s="15" t="s">
        <v>97</v>
      </c>
      <c r="C45" s="5" t="s">
        <v>108</v>
      </c>
      <c r="D45" s="5" t="s">
        <v>109</v>
      </c>
      <c r="E45" s="10">
        <f>SUMIFS('PMC Baseline 2024-25'!J:J,'PMC Baseline 2024-25'!C:C,C45)</f>
        <v>115811.43294604393</v>
      </c>
      <c r="F45" s="11" t="e">
        <f>SUMIFS(#REF!,#REF!,C45)</f>
        <v>#REF!</v>
      </c>
      <c r="G45" s="12"/>
      <c r="H45" s="13">
        <v>4.1039879699181103E-2</v>
      </c>
      <c r="I45" s="13">
        <f>H45+(Totals!$M$38-Totals!$M$14)</f>
        <v>3.6862887580906278E-3</v>
      </c>
      <c r="J45" s="11">
        <v>3.7771727229498897E-3</v>
      </c>
      <c r="K45" s="10">
        <f t="shared" si="0"/>
        <v>116677.39964426457</v>
      </c>
      <c r="L45" s="10" t="e">
        <f>(K45/SUMIFS(#REF!,#REF!,C45))*1000</f>
        <v>#REF!</v>
      </c>
      <c r="M45" s="11">
        <f t="shared" si="1"/>
        <v>7.4773852303864352E-3</v>
      </c>
    </row>
    <row r="46" spans="1:13" x14ac:dyDescent="0.25">
      <c r="A46" s="14" t="s">
        <v>96</v>
      </c>
      <c r="B46" s="15" t="s">
        <v>97</v>
      </c>
      <c r="C46" s="5" t="s">
        <v>110</v>
      </c>
      <c r="D46" s="5" t="s">
        <v>111</v>
      </c>
      <c r="E46" s="10">
        <f>SUMIFS('PMC Baseline 2024-25'!J:J,'PMC Baseline 2024-25'!C:C,C46)</f>
        <v>105537.39398236062</v>
      </c>
      <c r="F46" s="11" t="e">
        <f>SUMIFS(#REF!,#REF!,C46)</f>
        <v>#REF!</v>
      </c>
      <c r="G46" s="12"/>
      <c r="H46" s="13">
        <v>4.0605217768304724E-2</v>
      </c>
      <c r="I46" s="13">
        <f>H46+(Totals!$M$38-Totals!$M$14)</f>
        <v>3.251626827214249E-3</v>
      </c>
      <c r="J46" s="11">
        <v>2.5468534851574021E-3</v>
      </c>
      <c r="K46" s="10">
        <f t="shared" si="0"/>
        <v>106150.22448276739</v>
      </c>
      <c r="L46" s="10" t="e">
        <f>(K46/SUMIFS(#REF!,#REF!,C46))*1000</f>
        <v>#REF!</v>
      </c>
      <c r="M46" s="11">
        <f t="shared" si="1"/>
        <v>5.8067617294890184E-3</v>
      </c>
    </row>
    <row r="47" spans="1:13" x14ac:dyDescent="0.25"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5">
      <c r="E48" s="23"/>
      <c r="F48" s="23"/>
      <c r="G48" s="23"/>
      <c r="H48" s="23"/>
      <c r="I48" s="23"/>
      <c r="J48" s="23"/>
      <c r="K48" s="23"/>
      <c r="L48" s="23"/>
      <c r="M48" s="23"/>
    </row>
    <row r="49" spans="2:13" ht="51" x14ac:dyDescent="0.25">
      <c r="B49" s="28" t="s">
        <v>112</v>
      </c>
      <c r="C49" s="28" t="s">
        <v>2</v>
      </c>
      <c r="D49" s="28" t="s">
        <v>3</v>
      </c>
      <c r="E49" s="29" t="s">
        <v>6</v>
      </c>
      <c r="F49" s="29" t="s">
        <v>7</v>
      </c>
      <c r="G49" s="30" t="s">
        <v>8</v>
      </c>
      <c r="H49" s="29" t="s">
        <v>9</v>
      </c>
      <c r="I49" s="29"/>
      <c r="J49" s="29" t="s">
        <v>10</v>
      </c>
      <c r="K49" s="29" t="s">
        <v>11</v>
      </c>
      <c r="L49" s="29" t="s">
        <v>12</v>
      </c>
      <c r="M49" s="29" t="s">
        <v>113</v>
      </c>
    </row>
    <row r="50" spans="2:13" x14ac:dyDescent="0.25">
      <c r="B50" s="24">
        <v>1</v>
      </c>
      <c r="C50" s="5" t="s">
        <v>14</v>
      </c>
      <c r="D50" s="5" t="s">
        <v>15</v>
      </c>
      <c r="E50" s="10">
        <f>SUMIFS(E$5:E$46,$A$5:$A$46,$C50)</f>
        <v>1644884.3673047246</v>
      </c>
      <c r="F50" s="11" t="e">
        <f>SUMIFS(#REF!,#REF!,C50)</f>
        <v>#REF!</v>
      </c>
      <c r="G50" s="12"/>
      <c r="H50" s="13" cm="1">
        <f t="array" ref="H50">SUMPRODUCT((H$5:H$46)*($E$5:$E$46)*($A$5:$A$46=$C50))/$E50</f>
        <v>3.5793143682894775E-2</v>
      </c>
      <c r="I50" s="13"/>
      <c r="J50" s="13" cm="1">
        <f t="array" ref="J50">SUMPRODUCT((J$5:J$46)*($E$5:$E$46)*(H$5:H$46)*($A$5:$A$46=$C50))/SUMPRODUCT(($E$5:$E$46)*(H$5:H$46)*($A$5:$A$46=$C50))</f>
        <v>-2.6001216239270645E-3</v>
      </c>
      <c r="K50" s="10">
        <f>SUMIFS(K$5:K$46,$A$5:$A$46,$C50)</f>
        <v>1638075.6504748573</v>
      </c>
      <c r="L50" s="10" t="e">
        <f>(K50/SUMIFS(#REF!,#REF!,C50))*1000</f>
        <v>#REF!</v>
      </c>
      <c r="M50" s="11">
        <f t="shared" ref="M50:M57" si="2">K50/E50-1</f>
        <v>-4.1393285541547753E-3</v>
      </c>
    </row>
    <row r="51" spans="2:13" x14ac:dyDescent="0.25">
      <c r="B51" s="24">
        <v>2</v>
      </c>
      <c r="C51" s="5" t="s">
        <v>24</v>
      </c>
      <c r="D51" s="5" t="s">
        <v>25</v>
      </c>
      <c r="E51" s="10">
        <f t="shared" ref="E51:E56" si="3">SUMIFS(E$5:E$46,$A$5:$A$46,$C51)</f>
        <v>1400115.3081526887</v>
      </c>
      <c r="F51" s="11" t="e">
        <f>SUMIFS(#REF!,#REF!,C51)</f>
        <v>#REF!</v>
      </c>
      <c r="G51" s="12"/>
      <c r="H51" s="13" cm="1">
        <f t="array" ref="H51">SUMPRODUCT((H$5:H$46)*($E$5:$E$46)*($A$5:$A$46=$C51))/$E51</f>
        <v>3.628273836617716E-2</v>
      </c>
      <c r="I51" s="13"/>
      <c r="J51" s="11" cm="1">
        <f t="array" ref="J51">SUMPRODUCT((J$5:J$46)*($E$5:$E$46)*(H$5:H$46)*($A$5:$A$46=$C51))/SUMPRODUCT(($E$5:$E$46)*(H$5:H$46)*($A$5:$A$46=$C51))</f>
        <v>2.2540298483561903E-3</v>
      </c>
      <c r="K51" s="10">
        <f t="shared" ref="K51:K56" si="4">SUMIFS(K$5:K$46,$A$5:$A$46,$C51)</f>
        <v>1401786.6188831986</v>
      </c>
      <c r="L51" s="10" t="e">
        <f>(K51/SUMIFS(#REF!,#REF!,C51))*1000</f>
        <v>#REF!</v>
      </c>
      <c r="M51" s="11">
        <f t="shared" si="2"/>
        <v>1.1936950626696419E-3</v>
      </c>
    </row>
    <row r="52" spans="2:13" x14ac:dyDescent="0.25">
      <c r="B52" s="24">
        <v>3</v>
      </c>
      <c r="C52" s="5" t="s">
        <v>32</v>
      </c>
      <c r="D52" s="5" t="s">
        <v>33</v>
      </c>
      <c r="E52" s="10">
        <f t="shared" si="3"/>
        <v>2057299.5757922363</v>
      </c>
      <c r="F52" s="11" t="e">
        <f>SUMIFS(#REF!,#REF!,C52)</f>
        <v>#REF!</v>
      </c>
      <c r="G52" s="12"/>
      <c r="H52" s="13" cm="1">
        <f t="array" ref="H52">SUMPRODUCT((H$5:H$46)*($E$5:$E$46)*($A$5:$A$46=$C52))/$E52</f>
        <v>3.8398369077382026E-2</v>
      </c>
      <c r="I52" s="13"/>
      <c r="J52" s="11" cm="1">
        <f t="array" ref="J52">SUMPRODUCT((J$5:J$46)*($E$5:$E$46)*(H$5:H$46)*($A$5:$A$46=$C52))/SUMPRODUCT(($E$5:$E$46)*(H$5:H$46)*($A$5:$A$46=$C52))</f>
        <v>-9.4917259559091467E-4</v>
      </c>
      <c r="K52" s="10">
        <f t="shared" si="4"/>
        <v>2057477.3243094198</v>
      </c>
      <c r="L52" s="10" t="e">
        <f>(K52/SUMIFS(#REF!,#REF!,C52))*1000</f>
        <v>#REF!</v>
      </c>
      <c r="M52" s="11">
        <f t="shared" si="2"/>
        <v>8.6398947083399236E-5</v>
      </c>
    </row>
    <row r="53" spans="2:13" x14ac:dyDescent="0.25">
      <c r="B53" s="24">
        <v>4</v>
      </c>
      <c r="C53" s="5" t="s">
        <v>56</v>
      </c>
      <c r="D53" s="5" t="s">
        <v>57</v>
      </c>
      <c r="E53" s="10">
        <f t="shared" si="3"/>
        <v>1222021.3414594461</v>
      </c>
      <c r="F53" s="11" t="e">
        <f>SUMIFS(#REF!,#REF!,C53)</f>
        <v>#REF!</v>
      </c>
      <c r="G53" s="12"/>
      <c r="H53" s="13" cm="1">
        <f t="array" ref="H53">SUMPRODUCT((H$5:H$46)*($E$5:$E$46)*($A$5:$A$46=$C53))/$E53</f>
        <v>3.7651807995852313E-2</v>
      </c>
      <c r="I53" s="13"/>
      <c r="J53" s="11" cm="1">
        <f t="array" ref="J53">SUMPRODUCT((J$5:J$46)*($E$5:$E$46)*(H$5:H$46)*($A$5:$A$46=$C53))/SUMPRODUCT(($E$5:$E$46)*(H$5:H$46)*($A$5:$A$46=$C53))</f>
        <v>-1.9959201558385981E-3</v>
      </c>
      <c r="K53" s="10">
        <f t="shared" si="4"/>
        <v>1219951.1652205177</v>
      </c>
      <c r="L53" s="10" t="e">
        <f>(K53/SUMIFS(#REF!,#REF!,C53))*1000</f>
        <v>#REF!</v>
      </c>
      <c r="M53" s="11">
        <f t="shared" si="2"/>
        <v>-1.69405898955588E-3</v>
      </c>
    </row>
    <row r="54" spans="2:13" x14ac:dyDescent="0.25">
      <c r="B54" s="24">
        <v>5</v>
      </c>
      <c r="C54" s="5" t="s">
        <v>70</v>
      </c>
      <c r="D54" s="5" t="s">
        <v>71</v>
      </c>
      <c r="E54" s="10">
        <f t="shared" si="3"/>
        <v>1769038.480408953</v>
      </c>
      <c r="F54" s="11" t="e">
        <f>SUMIFS(#REF!,#REF!,C54)</f>
        <v>#REF!</v>
      </c>
      <c r="G54" s="12"/>
      <c r="H54" s="13" cm="1">
        <f t="array" ref="H54">SUMPRODUCT((H$5:H$46)*($E$5:$E$46)*($A$5:$A$46=$C54))/$E54</f>
        <v>3.6751357300662896E-2</v>
      </c>
      <c r="I54" s="13"/>
      <c r="J54" s="11" cm="1">
        <f t="array" ref="J54">SUMPRODUCT((J$5:J$46)*($E$5:$E$46)*(H$5:H$46)*($A$5:$A$46=$C54))/SUMPRODUCT(($E$5:$E$46)*(H$5:H$46)*($A$5:$A$46=$C54))</f>
        <v>2.1507211418389497E-4</v>
      </c>
      <c r="K54" s="10">
        <f t="shared" si="4"/>
        <v>1768627.9886750225</v>
      </c>
      <c r="L54" s="10" t="e">
        <f>(K54/SUMIFS(#REF!,#REF!,C54))*1000</f>
        <v>#REF!</v>
      </c>
      <c r="M54" s="11">
        <f t="shared" si="2"/>
        <v>-2.3204228651696468E-4</v>
      </c>
    </row>
    <row r="55" spans="2:13" x14ac:dyDescent="0.25">
      <c r="B55" s="24">
        <v>6</v>
      </c>
      <c r="C55" s="5" t="s">
        <v>82</v>
      </c>
      <c r="D55" s="5" t="s">
        <v>83</v>
      </c>
      <c r="E55" s="10">
        <f t="shared" si="3"/>
        <v>1629324.0442304732</v>
      </c>
      <c r="F55" s="11" t="e">
        <f>SUMIFS(#REF!,#REF!,C55)</f>
        <v>#REF!</v>
      </c>
      <c r="G55" s="12"/>
      <c r="H55" s="13" cm="1">
        <f t="array" ref="H55">SUMPRODUCT((H$5:H$46)*($E$5:$E$46)*($A$5:$A$46=$C55))/$E55</f>
        <v>3.7607708356137914E-2</v>
      </c>
      <c r="I55" s="13"/>
      <c r="J55" s="11" cm="1">
        <f t="array" ref="J55">SUMPRODUCT((J$5:J$46)*($E$5:$E$46)*(H$5:H$46)*($A$5:$A$46=$C55))/SUMPRODUCT(($E$5:$E$46)*(H$5:H$46)*($A$5:$A$46=$C55))</f>
        <v>1.5714813272650989E-3</v>
      </c>
      <c r="K55" s="10">
        <f t="shared" si="4"/>
        <v>1632319.258834678</v>
      </c>
      <c r="L55" s="10" t="e">
        <f>(K55/SUMIFS(#REF!,#REF!,C55))*1000</f>
        <v>#REF!</v>
      </c>
      <c r="M55" s="11">
        <f t="shared" si="2"/>
        <v>1.8383173161968802E-3</v>
      </c>
    </row>
    <row r="56" spans="2:13" x14ac:dyDescent="0.25">
      <c r="B56" s="24">
        <v>7</v>
      </c>
      <c r="C56" s="5" t="s">
        <v>96</v>
      </c>
      <c r="D56" s="5" t="s">
        <v>97</v>
      </c>
      <c r="E56" s="10">
        <f t="shared" si="3"/>
        <v>1045898.0826514789</v>
      </c>
      <c r="F56" s="11" t="e">
        <f>SUMIFS(#REF!,#REF!,C56)</f>
        <v>#REF!</v>
      </c>
      <c r="G56" s="12"/>
      <c r="H56" s="13" cm="1">
        <f t="array" ref="H56">SUMPRODUCT((H$5:H$46)*($E$5:$E$46)*($A$5:$A$46=$C56))/$E56</f>
        <v>3.9504544173002108E-2</v>
      </c>
      <c r="I56" s="13"/>
      <c r="J56" s="11" cm="1">
        <f t="array" ref="J56">SUMPRODUCT((J$5:J$46)*($E$5:$E$46)*(H$5:H$46)*($A$5:$A$46=$C56))/SUMPRODUCT(($E$5:$E$46)*(H$5:H$46)*($A$5:$A$46=$C56))</f>
        <v>2.3599034833548579E-3</v>
      </c>
      <c r="K56" s="10">
        <f t="shared" si="4"/>
        <v>1050607.3496695233</v>
      </c>
      <c r="L56" s="10" t="e">
        <f>(K56/SUMIFS(#REF!,#REF!,C56))*1000</f>
        <v>#REF!</v>
      </c>
      <c r="M56" s="11">
        <f t="shared" si="2"/>
        <v>4.5026060341422092E-3</v>
      </c>
    </row>
    <row r="57" spans="2:13" x14ac:dyDescent="0.25">
      <c r="B57" s="31"/>
      <c r="C57" s="32" t="s">
        <v>114</v>
      </c>
      <c r="D57" s="32" t="s">
        <v>115</v>
      </c>
      <c r="E57" s="33">
        <f>SUM(E50:E56)</f>
        <v>10768581.200000001</v>
      </c>
      <c r="F57" s="34" t="e">
        <f>SUMIFS(#REF!,#REF!,C57)</f>
        <v>#REF!</v>
      </c>
      <c r="H57" s="34" cm="1">
        <f t="array" ref="H57">SUMPRODUCT((H$5:H$46)*($E$5:$E$46))/$E57</f>
        <v>3.7357873755003414E-2</v>
      </c>
      <c r="I57" s="34"/>
      <c r="J57" s="34" cm="1">
        <f t="array" ref="J57">SUMPRODUCT((J$5:J$46)*($E$5:$E$46)*(H$5:H$46))/SUMPRODUCT(($E$5:$E$46)*(H$5:H$46))</f>
        <v>5.930644394845861E-6</v>
      </c>
      <c r="K57" s="33">
        <f>SUM(K50:K56)</f>
        <v>10768845.356067218</v>
      </c>
      <c r="L57" s="33" t="e">
        <f>(K57/SUMIFS(#REF!,#REF!,C57))*1000</f>
        <v>#REF!</v>
      </c>
      <c r="M57" s="34">
        <f t="shared" si="2"/>
        <v>2.4530257265231725E-5</v>
      </c>
    </row>
    <row r="58" spans="2:13" x14ac:dyDescent="0.25">
      <c r="C58" s="25"/>
      <c r="D58" s="25"/>
    </row>
    <row r="59" spans="2:13" x14ac:dyDescent="0.25">
      <c r="K59" s="67">
        <f>K57-(Totals!J38*1000)</f>
        <v>10768845.356067218</v>
      </c>
    </row>
  </sheetData>
  <conditionalFormatting sqref="E4:F46 H4:M46 H50:J57 M50:M57">
    <cfRule type="cellIs" dxfId="1" priority="7" operator="lessThan">
      <formula>0</formula>
    </cfRule>
  </conditionalFormatting>
  <conditionalFormatting sqref="F50:F57"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D87-A782-4C95-ABFD-8479E9DC050E}">
  <dimension ref="B1:M51"/>
  <sheetViews>
    <sheetView topLeftCell="A2" workbookViewId="0">
      <selection activeCell="M34" sqref="M34"/>
    </sheetView>
  </sheetViews>
  <sheetFormatPr defaultRowHeight="15" x14ac:dyDescent="0.25"/>
  <cols>
    <col min="3" max="3" width="55.5703125" bestFit="1" customWidth="1"/>
    <col min="4" max="4" width="13.28515625" bestFit="1" customWidth="1"/>
    <col min="7" max="7" width="31.28515625" bestFit="1" customWidth="1"/>
    <col min="8" max="10" width="10.85546875" customWidth="1"/>
    <col min="11" max="11" width="3" customWidth="1"/>
  </cols>
  <sheetData>
    <row r="1" spans="2:13" ht="15.75" thickBot="1" x14ac:dyDescent="0.3">
      <c r="D1" s="42"/>
    </row>
    <row r="2" spans="2:13" ht="15.75" thickBot="1" x14ac:dyDescent="0.3">
      <c r="B2" s="43" t="s">
        <v>132</v>
      </c>
      <c r="C2" s="44"/>
      <c r="D2" s="45"/>
    </row>
    <row r="3" spans="2:13" ht="18.600000000000001" customHeight="1" thickBot="1" x14ac:dyDescent="0.3">
      <c r="B3" s="46" t="s">
        <v>4</v>
      </c>
      <c r="C3" s="47" t="s">
        <v>5</v>
      </c>
      <c r="D3" s="48" t="s">
        <v>133</v>
      </c>
      <c r="G3" s="36"/>
      <c r="H3" s="37" t="s">
        <v>119</v>
      </c>
      <c r="I3" s="37" t="s">
        <v>120</v>
      </c>
      <c r="J3" s="37" t="s">
        <v>121</v>
      </c>
      <c r="L3" s="37" t="s">
        <v>120</v>
      </c>
      <c r="M3" s="37" t="s">
        <v>121</v>
      </c>
    </row>
    <row r="4" spans="2:13" x14ac:dyDescent="0.25">
      <c r="B4" s="49"/>
      <c r="C4" s="50"/>
      <c r="D4" s="51"/>
      <c r="G4" s="38" t="s">
        <v>122</v>
      </c>
      <c r="H4" s="39">
        <v>9194.01</v>
      </c>
      <c r="I4" s="39">
        <v>9675.3880000000008</v>
      </c>
      <c r="J4" s="39">
        <v>10068.11560538999</v>
      </c>
      <c r="L4" s="65">
        <f>I4/H4-1</f>
        <v>5.2357785123140044E-2</v>
      </c>
      <c r="M4" s="68">
        <f t="shared" ref="M4:M14" si="0">J4/I4-1</f>
        <v>4.0590372746807546E-2</v>
      </c>
    </row>
    <row r="5" spans="2:13" x14ac:dyDescent="0.25">
      <c r="B5" s="52" t="s">
        <v>16</v>
      </c>
      <c r="C5" s="53" t="s">
        <v>17</v>
      </c>
      <c r="D5" s="54">
        <v>4822.0534069392625</v>
      </c>
      <c r="G5" s="38" t="s">
        <v>123</v>
      </c>
      <c r="H5" s="39">
        <v>-1.4130170002919862</v>
      </c>
      <c r="I5" s="39">
        <v>-1.486999440768618</v>
      </c>
      <c r="J5" s="39">
        <v>-1.5473573023437106</v>
      </c>
      <c r="L5" s="65">
        <f t="shared" ref="L5:L14" si="1">I5/H5-1</f>
        <v>5.2357785123140044E-2</v>
      </c>
      <c r="M5" s="68">
        <f t="shared" si="0"/>
        <v>4.0590372746807546E-2</v>
      </c>
    </row>
    <row r="6" spans="2:13" x14ac:dyDescent="0.25">
      <c r="B6" s="52" t="s">
        <v>18</v>
      </c>
      <c r="C6" s="53" t="s">
        <v>19</v>
      </c>
      <c r="D6" s="54">
        <v>8339.255902774039</v>
      </c>
      <c r="G6" s="38" t="s">
        <v>124</v>
      </c>
      <c r="H6" s="39">
        <v>5.0640000000000001</v>
      </c>
      <c r="I6" s="39">
        <v>5.3291398238635814</v>
      </c>
      <c r="J6" s="39">
        <v>5.5454515957340602</v>
      </c>
      <c r="L6" s="65">
        <f t="shared" si="1"/>
        <v>5.2357785123140044E-2</v>
      </c>
      <c r="M6" s="68">
        <f t="shared" si="0"/>
        <v>4.0590372746807546E-2</v>
      </c>
    </row>
    <row r="7" spans="2:13" x14ac:dyDescent="0.25">
      <c r="B7" s="52" t="s">
        <v>20</v>
      </c>
      <c r="C7" s="53" t="s">
        <v>21</v>
      </c>
      <c r="D7" s="54">
        <v>3750.5243379643316</v>
      </c>
      <c r="G7" s="38" t="s">
        <v>125</v>
      </c>
      <c r="H7" s="39">
        <v>225</v>
      </c>
      <c r="I7" s="39">
        <v>300</v>
      </c>
      <c r="J7" s="39">
        <v>301.2</v>
      </c>
      <c r="L7" s="65">
        <f t="shared" si="1"/>
        <v>0.33333333333333326</v>
      </c>
      <c r="M7" s="68">
        <f t="shared" si="0"/>
        <v>4.0000000000000036E-3</v>
      </c>
    </row>
    <row r="8" spans="2:13" x14ac:dyDescent="0.25">
      <c r="B8" s="55" t="s">
        <v>22</v>
      </c>
      <c r="C8" s="56" t="s">
        <v>23</v>
      </c>
      <c r="D8" s="57">
        <v>6679.5336570470754</v>
      </c>
      <c r="G8" s="38" t="s">
        <v>126</v>
      </c>
      <c r="H8" s="39">
        <v>54.865919999999988</v>
      </c>
      <c r="I8" s="39">
        <v>54.865919999999988</v>
      </c>
      <c r="J8" s="39">
        <v>54.865919999999988</v>
      </c>
      <c r="L8" s="65">
        <f t="shared" si="1"/>
        <v>0</v>
      </c>
      <c r="M8" s="68">
        <f t="shared" si="0"/>
        <v>0</v>
      </c>
    </row>
    <row r="9" spans="2:13" x14ac:dyDescent="0.25">
      <c r="B9" s="52" t="s">
        <v>26</v>
      </c>
      <c r="C9" s="53" t="s">
        <v>27</v>
      </c>
      <c r="D9" s="54">
        <v>7143.5167669409857</v>
      </c>
      <c r="G9" s="38" t="s">
        <v>127</v>
      </c>
      <c r="H9" s="39">
        <v>20</v>
      </c>
      <c r="I9" s="39">
        <v>20</v>
      </c>
      <c r="J9" s="39">
        <v>20.079999999999998</v>
      </c>
      <c r="L9" s="65">
        <f t="shared" si="1"/>
        <v>0</v>
      </c>
      <c r="M9" s="68">
        <f t="shared" si="0"/>
        <v>4.0000000000000036E-3</v>
      </c>
    </row>
    <row r="10" spans="2:13" x14ac:dyDescent="0.25">
      <c r="B10" s="52" t="s">
        <v>28</v>
      </c>
      <c r="C10" s="53" t="s">
        <v>29</v>
      </c>
      <c r="D10" s="54">
        <v>8097.1006986346438</v>
      </c>
      <c r="G10" s="38" t="s">
        <v>128</v>
      </c>
      <c r="H10" s="39">
        <v>81.900000000000006</v>
      </c>
      <c r="I10" s="39">
        <v>81.900000000000006</v>
      </c>
      <c r="J10" s="39">
        <v>82.22760000000001</v>
      </c>
      <c r="L10" s="65">
        <f t="shared" si="1"/>
        <v>0</v>
      </c>
      <c r="M10" s="68">
        <f t="shared" si="0"/>
        <v>4.0000000000000036E-3</v>
      </c>
    </row>
    <row r="11" spans="2:13" x14ac:dyDescent="0.25">
      <c r="B11" s="55" t="s">
        <v>30</v>
      </c>
      <c r="C11" s="56" t="s">
        <v>31</v>
      </c>
      <c r="D11" s="57">
        <v>4701.6906871128431</v>
      </c>
      <c r="G11" s="38" t="s">
        <v>129</v>
      </c>
      <c r="H11" s="39">
        <v>91.49</v>
      </c>
      <c r="I11" s="39">
        <v>91.97</v>
      </c>
      <c r="J11" s="39">
        <v>92.337879999999998</v>
      </c>
      <c r="L11" s="65">
        <f t="shared" si="1"/>
        <v>5.246475024592856E-3</v>
      </c>
      <c r="M11" s="68">
        <f t="shared" si="0"/>
        <v>4.0000000000000036E-3</v>
      </c>
    </row>
    <row r="12" spans="2:13" x14ac:dyDescent="0.25">
      <c r="B12" s="52" t="s">
        <v>34</v>
      </c>
      <c r="C12" s="53" t="s">
        <v>35</v>
      </c>
      <c r="D12" s="54">
        <v>4008.1765834715879</v>
      </c>
      <c r="G12" s="38" t="s">
        <v>130</v>
      </c>
      <c r="H12" s="39">
        <v>164.9</v>
      </c>
      <c r="I12" s="39">
        <v>171.604451380705</v>
      </c>
      <c r="J12" s="39">
        <v>178.56994002726</v>
      </c>
      <c r="L12" s="65">
        <f t="shared" si="1"/>
        <v>4.0657679688932635E-2</v>
      </c>
      <c r="M12" s="68">
        <f t="shared" si="0"/>
        <v>4.0590372746811987E-2</v>
      </c>
    </row>
    <row r="13" spans="2:13" x14ac:dyDescent="0.25">
      <c r="B13" s="52" t="s">
        <v>36</v>
      </c>
      <c r="C13" s="53" t="s">
        <v>37</v>
      </c>
      <c r="D13" s="54">
        <v>3274.1370679493075</v>
      </c>
      <c r="G13" s="38" t="s">
        <v>131</v>
      </c>
      <c r="H13" s="39">
        <v>210.8</v>
      </c>
      <c r="I13" s="39">
        <v>212.395548619295</v>
      </c>
      <c r="J13" s="39">
        <v>206.96605997274</v>
      </c>
      <c r="L13" s="65">
        <f t="shared" si="1"/>
        <v>7.5690162205643841E-3</v>
      </c>
      <c r="M13" s="68">
        <f t="shared" si="0"/>
        <v>-2.5563099988912708E-2</v>
      </c>
    </row>
    <row r="14" spans="2:13" x14ac:dyDescent="0.25">
      <c r="B14" s="52" t="s">
        <v>38</v>
      </c>
      <c r="C14" s="53" t="s">
        <v>39</v>
      </c>
      <c r="D14" s="54">
        <v>2645.4378515758335</v>
      </c>
      <c r="G14" s="40" t="s">
        <v>114</v>
      </c>
      <c r="H14" s="41">
        <v>10046.616902999707</v>
      </c>
      <c r="I14" s="41">
        <v>10611.966060383094</v>
      </c>
      <c r="J14" s="41">
        <v>11008.36109968338</v>
      </c>
      <c r="L14" s="66">
        <f t="shared" si="1"/>
        <v>5.6272590349750962E-2</v>
      </c>
      <c r="M14" s="69">
        <f t="shared" si="0"/>
        <v>3.7353590941090475E-2</v>
      </c>
    </row>
    <row r="15" spans="2:13" x14ac:dyDescent="0.25">
      <c r="B15" s="52" t="s">
        <v>40</v>
      </c>
      <c r="C15" s="53" t="s">
        <v>41</v>
      </c>
      <c r="D15" s="54">
        <v>2754.8567150262961</v>
      </c>
      <c r="M15" s="70"/>
    </row>
    <row r="16" spans="2:13" x14ac:dyDescent="0.25">
      <c r="B16" s="52" t="s">
        <v>42</v>
      </c>
      <c r="C16" s="53" t="s">
        <v>43</v>
      </c>
      <c r="D16" s="54">
        <v>2273.876375261209</v>
      </c>
      <c r="G16" s="38" t="s">
        <v>138</v>
      </c>
      <c r="H16" s="39"/>
      <c r="I16" s="39">
        <f>D48/1000</f>
        <v>154.62520000000043</v>
      </c>
      <c r="J16" s="39">
        <f>I16*(1+$M$14)</f>
        <v>160.40100646998476</v>
      </c>
      <c r="L16" s="65"/>
      <c r="M16" s="68">
        <f>J16/I16-1</f>
        <v>3.7353590941090475E-2</v>
      </c>
    </row>
    <row r="17" spans="2:13" hidden="1" x14ac:dyDescent="0.25">
      <c r="B17" s="52" t="s">
        <v>44</v>
      </c>
      <c r="C17" s="53" t="s">
        <v>45</v>
      </c>
      <c r="D17" s="54">
        <v>2844.9207579849731</v>
      </c>
      <c r="G17" s="38" t="s">
        <v>123</v>
      </c>
      <c r="H17" s="39"/>
      <c r="I17" s="39"/>
      <c r="J17" s="39">
        <f t="shared" ref="J17:J26" si="2">I17*(1+$M$14)</f>
        <v>0</v>
      </c>
      <c r="L17" s="65"/>
      <c r="M17" s="68" t="e">
        <f t="shared" ref="M17:M26" si="3">J17/I17-1</f>
        <v>#DIV/0!</v>
      </c>
    </row>
    <row r="18" spans="2:13" hidden="1" x14ac:dyDescent="0.25">
      <c r="B18" s="52" t="s">
        <v>46</v>
      </c>
      <c r="C18" s="53" t="s">
        <v>47</v>
      </c>
      <c r="D18" s="54">
        <v>2350.444438009717</v>
      </c>
      <c r="G18" s="38" t="s">
        <v>124</v>
      </c>
      <c r="H18" s="39"/>
      <c r="I18" s="39"/>
      <c r="J18" s="39">
        <f t="shared" si="2"/>
        <v>0</v>
      </c>
      <c r="L18" s="65"/>
      <c r="M18" s="68" t="e">
        <f t="shared" si="3"/>
        <v>#DIV/0!</v>
      </c>
    </row>
    <row r="19" spans="2:13" hidden="1" x14ac:dyDescent="0.25">
      <c r="B19" s="52" t="s">
        <v>48</v>
      </c>
      <c r="C19" s="53" t="s">
        <v>49</v>
      </c>
      <c r="D19" s="54">
        <v>2000.2177114547849</v>
      </c>
      <c r="G19" s="38" t="s">
        <v>125</v>
      </c>
      <c r="H19" s="39"/>
      <c r="I19" s="39"/>
      <c r="J19" s="39">
        <f t="shared" si="2"/>
        <v>0</v>
      </c>
      <c r="L19" s="65"/>
      <c r="M19" s="68" t="e">
        <f t="shared" si="3"/>
        <v>#DIV/0!</v>
      </c>
    </row>
    <row r="20" spans="2:13" hidden="1" x14ac:dyDescent="0.25">
      <c r="B20" s="52" t="s">
        <v>50</v>
      </c>
      <c r="C20" s="53" t="s">
        <v>51</v>
      </c>
      <c r="D20" s="54">
        <v>3109.2671255489422</v>
      </c>
      <c r="G20" s="38" t="s">
        <v>126</v>
      </c>
      <c r="H20" s="39"/>
      <c r="I20" s="39"/>
      <c r="J20" s="39">
        <f t="shared" si="2"/>
        <v>0</v>
      </c>
      <c r="L20" s="65"/>
      <c r="M20" s="68" t="e">
        <f t="shared" si="3"/>
        <v>#DIV/0!</v>
      </c>
    </row>
    <row r="21" spans="2:13" hidden="1" x14ac:dyDescent="0.25">
      <c r="B21" s="52" t="s">
        <v>52</v>
      </c>
      <c r="C21" s="53" t="s">
        <v>53</v>
      </c>
      <c r="D21" s="54">
        <v>1352.0984766555671</v>
      </c>
      <c r="G21" s="38" t="s">
        <v>127</v>
      </c>
      <c r="H21" s="39"/>
      <c r="I21" s="39"/>
      <c r="J21" s="39">
        <f t="shared" si="2"/>
        <v>0</v>
      </c>
      <c r="L21" s="65"/>
      <c r="M21" s="68" t="e">
        <f t="shared" si="3"/>
        <v>#DIV/0!</v>
      </c>
    </row>
    <row r="22" spans="2:13" hidden="1" x14ac:dyDescent="0.25">
      <c r="B22" s="55" t="s">
        <v>54</v>
      </c>
      <c r="C22" s="56" t="s">
        <v>55</v>
      </c>
      <c r="D22" s="57">
        <v>3036.1426892979202</v>
      </c>
      <c r="G22" s="38" t="s">
        <v>128</v>
      </c>
      <c r="H22" s="39"/>
      <c r="I22" s="39"/>
      <c r="J22" s="39">
        <f t="shared" si="2"/>
        <v>0</v>
      </c>
      <c r="L22" s="65"/>
      <c r="M22" s="68" t="e">
        <f t="shared" si="3"/>
        <v>#DIV/0!</v>
      </c>
    </row>
    <row r="23" spans="2:13" hidden="1" x14ac:dyDescent="0.25">
      <c r="B23" s="52" t="s">
        <v>58</v>
      </c>
      <c r="C23" s="53" t="s">
        <v>59</v>
      </c>
      <c r="D23" s="54">
        <v>2520.1493789159399</v>
      </c>
      <c r="G23" s="38" t="s">
        <v>129</v>
      </c>
      <c r="H23" s="39"/>
      <c r="I23" s="39"/>
      <c r="J23" s="39">
        <f t="shared" si="2"/>
        <v>0</v>
      </c>
      <c r="L23" s="65"/>
      <c r="M23" s="68" t="e">
        <f t="shared" si="3"/>
        <v>#DIV/0!</v>
      </c>
    </row>
    <row r="24" spans="2:13" hidden="1" x14ac:dyDescent="0.25">
      <c r="B24" s="52" t="s">
        <v>60</v>
      </c>
      <c r="C24" s="53" t="s">
        <v>61</v>
      </c>
      <c r="D24" s="54">
        <v>2495.4309664995262</v>
      </c>
      <c r="G24" s="38" t="s">
        <v>130</v>
      </c>
      <c r="H24" s="39"/>
      <c r="I24" s="39"/>
      <c r="J24" s="39">
        <f t="shared" si="2"/>
        <v>0</v>
      </c>
      <c r="L24" s="65"/>
      <c r="M24" s="68" t="e">
        <f t="shared" si="3"/>
        <v>#DIV/0!</v>
      </c>
    </row>
    <row r="25" spans="2:13" hidden="1" x14ac:dyDescent="0.25">
      <c r="B25" s="52" t="s">
        <v>62</v>
      </c>
      <c r="C25" s="53" t="s">
        <v>63</v>
      </c>
      <c r="D25" s="54">
        <v>3768.4231178187915</v>
      </c>
      <c r="G25" s="38" t="s">
        <v>131</v>
      </c>
      <c r="H25" s="39"/>
      <c r="I25" s="39"/>
      <c r="J25" s="39">
        <f t="shared" si="2"/>
        <v>0</v>
      </c>
      <c r="L25" s="65"/>
      <c r="M25" s="68" t="e">
        <f t="shared" si="3"/>
        <v>#DIV/0!</v>
      </c>
    </row>
    <row r="26" spans="2:13" x14ac:dyDescent="0.25">
      <c r="B26" s="52" t="s">
        <v>64</v>
      </c>
      <c r="C26" s="53" t="s">
        <v>65</v>
      </c>
      <c r="D26" s="54">
        <v>3046.6086263659654</v>
      </c>
      <c r="G26" s="38" t="s">
        <v>137</v>
      </c>
      <c r="H26" s="39"/>
      <c r="I26" s="39">
        <f>'PMC Baseline 2024-25'!H57/1000</f>
        <v>2.2719999999999998</v>
      </c>
      <c r="J26" s="39">
        <f t="shared" si="2"/>
        <v>2.3568673586181572</v>
      </c>
      <c r="L26" s="65"/>
      <c r="M26" s="68">
        <f t="shared" si="3"/>
        <v>3.7353590941090475E-2</v>
      </c>
    </row>
    <row r="27" spans="2:13" x14ac:dyDescent="0.25">
      <c r="B27" s="52" t="s">
        <v>66</v>
      </c>
      <c r="C27" s="53" t="s">
        <v>67</v>
      </c>
      <c r="D27" s="54">
        <v>3130.4687805005697</v>
      </c>
      <c r="M27" s="70"/>
    </row>
    <row r="28" spans="2:13" x14ac:dyDescent="0.25">
      <c r="B28" s="55" t="s">
        <v>68</v>
      </c>
      <c r="C28" s="56" t="s">
        <v>69</v>
      </c>
      <c r="D28" s="57">
        <v>2795.2605893452524</v>
      </c>
      <c r="G28" s="40" t="s">
        <v>114</v>
      </c>
      <c r="H28" s="41">
        <f>H14+H16+H26</f>
        <v>10046.616902999707</v>
      </c>
      <c r="I28" s="41">
        <f t="shared" ref="I28:J28" si="4">I14+I16+I26</f>
        <v>10768.863260383096</v>
      </c>
      <c r="J28" s="41">
        <f t="shared" si="4"/>
        <v>11171.118973511982</v>
      </c>
      <c r="L28" s="66"/>
      <c r="M28" s="69">
        <f>J28/I28-1</f>
        <v>3.7353590941090253E-2</v>
      </c>
    </row>
    <row r="29" spans="2:13" x14ac:dyDescent="0.25">
      <c r="B29" s="52" t="s">
        <v>72</v>
      </c>
      <c r="C29" s="53" t="s">
        <v>73</v>
      </c>
      <c r="D29" s="54">
        <v>4175.9261319881107</v>
      </c>
    </row>
    <row r="30" spans="2:13" x14ac:dyDescent="0.25">
      <c r="B30" s="52" t="s">
        <v>74</v>
      </c>
      <c r="C30" s="53" t="s">
        <v>75</v>
      </c>
      <c r="D30" s="54">
        <v>5662.1813672552025</v>
      </c>
      <c r="G30" s="38" t="s">
        <v>139</v>
      </c>
      <c r="H30" s="39"/>
      <c r="I30" s="39"/>
      <c r="J30" s="39">
        <f>8748*19.8%*(1.68%-1.57%)</f>
        <v>1.9053143999999946</v>
      </c>
      <c r="L30" s="65"/>
      <c r="M30" s="68"/>
    </row>
    <row r="31" spans="2:13" x14ac:dyDescent="0.25">
      <c r="B31" s="52" t="s">
        <v>76</v>
      </c>
      <c r="C31" s="53" t="s">
        <v>77</v>
      </c>
      <c r="D31" s="54">
        <v>6283.3302753832641</v>
      </c>
      <c r="G31" s="40" t="s">
        <v>114</v>
      </c>
      <c r="H31" s="41">
        <f>SUM(H28:H30)</f>
        <v>10046.616902999707</v>
      </c>
      <c r="I31" s="41">
        <f t="shared" ref="I31:J31" si="5">SUM(I28:I30)</f>
        <v>10768.863260383096</v>
      </c>
      <c r="J31" s="41">
        <f t="shared" si="5"/>
        <v>11173.024287911983</v>
      </c>
      <c r="L31" s="66"/>
      <c r="M31" s="69">
        <f>J31/I31-1</f>
        <v>3.7530519030335441E-2</v>
      </c>
    </row>
    <row r="32" spans="2:13" x14ac:dyDescent="0.25">
      <c r="B32" s="52" t="s">
        <v>78</v>
      </c>
      <c r="C32" s="53" t="s">
        <v>79</v>
      </c>
      <c r="D32" s="54">
        <v>5004.4129056236634</v>
      </c>
    </row>
    <row r="33" spans="2:13" x14ac:dyDescent="0.25">
      <c r="B33" s="55" t="s">
        <v>80</v>
      </c>
      <c r="C33" s="56" t="s">
        <v>81</v>
      </c>
      <c r="D33" s="57">
        <v>4012.6297287028251</v>
      </c>
    </row>
    <row r="34" spans="2:13" x14ac:dyDescent="0.25">
      <c r="B34" s="52" t="s">
        <v>84</v>
      </c>
      <c r="C34" s="53" t="s">
        <v>85</v>
      </c>
      <c r="D34" s="54">
        <v>4607.6088433407776</v>
      </c>
      <c r="H34" t="s">
        <v>8</v>
      </c>
      <c r="M34" t="s">
        <v>8</v>
      </c>
    </row>
    <row r="35" spans="2:13" x14ac:dyDescent="0.25">
      <c r="B35" s="52" t="s">
        <v>86</v>
      </c>
      <c r="C35" s="53" t="s">
        <v>87</v>
      </c>
      <c r="D35" s="54">
        <v>1855.3084707244295</v>
      </c>
    </row>
    <row r="36" spans="2:13" x14ac:dyDescent="0.25">
      <c r="B36" s="52" t="s">
        <v>88</v>
      </c>
      <c r="C36" s="53" t="s">
        <v>89</v>
      </c>
      <c r="D36" s="54">
        <v>4736.2043363736429</v>
      </c>
    </row>
    <row r="37" spans="2:13" x14ac:dyDescent="0.25">
      <c r="B37" s="52" t="s">
        <v>90</v>
      </c>
      <c r="C37" s="53" t="s">
        <v>91</v>
      </c>
      <c r="D37" s="54">
        <v>4968.8387971592356</v>
      </c>
    </row>
    <row r="38" spans="2:13" x14ac:dyDescent="0.25">
      <c r="B38" s="52" t="s">
        <v>92</v>
      </c>
      <c r="C38" s="53" t="s">
        <v>93</v>
      </c>
      <c r="D38" s="54">
        <v>2631.541230135746</v>
      </c>
    </row>
    <row r="39" spans="2:13" x14ac:dyDescent="0.25">
      <c r="B39" s="55" t="s">
        <v>94</v>
      </c>
      <c r="C39" s="56" t="s">
        <v>95</v>
      </c>
      <c r="D39" s="57">
        <v>4615.5425527391444</v>
      </c>
    </row>
    <row r="40" spans="2:13" x14ac:dyDescent="0.25">
      <c r="B40" s="52" t="s">
        <v>98</v>
      </c>
      <c r="C40" s="53" t="s">
        <v>99</v>
      </c>
      <c r="D40" s="54">
        <v>2401.4225421626556</v>
      </c>
    </row>
    <row r="41" spans="2:13" x14ac:dyDescent="0.25">
      <c r="B41" s="52" t="s">
        <v>100</v>
      </c>
      <c r="C41" s="53" t="s">
        <v>101</v>
      </c>
      <c r="D41" s="54">
        <v>2488.8268899491691</v>
      </c>
    </row>
    <row r="42" spans="2:13" x14ac:dyDescent="0.25">
      <c r="B42" s="52" t="s">
        <v>102</v>
      </c>
      <c r="C42" s="53" t="s">
        <v>103</v>
      </c>
      <c r="D42" s="54">
        <v>1678.8878267811742</v>
      </c>
    </row>
    <row r="43" spans="2:13" x14ac:dyDescent="0.25">
      <c r="B43" s="52" t="s">
        <v>104</v>
      </c>
      <c r="C43" s="53" t="s">
        <v>105</v>
      </c>
      <c r="D43" s="54">
        <v>3240.6940956947074</v>
      </c>
    </row>
    <row r="44" spans="2:13" x14ac:dyDescent="0.25">
      <c r="B44" s="52" t="s">
        <v>106</v>
      </c>
      <c r="C44" s="53" t="s">
        <v>107</v>
      </c>
      <c r="D44" s="54">
        <v>2105.4243684867338</v>
      </c>
    </row>
    <row r="45" spans="2:13" x14ac:dyDescent="0.25">
      <c r="B45" s="52" t="s">
        <v>108</v>
      </c>
      <c r="C45" s="53" t="s">
        <v>109</v>
      </c>
      <c r="D45" s="54">
        <v>1682.4329460439335</v>
      </c>
    </row>
    <row r="46" spans="2:13" x14ac:dyDescent="0.25">
      <c r="B46" s="58" t="s">
        <v>110</v>
      </c>
      <c r="C46" s="59" t="s">
        <v>111</v>
      </c>
      <c r="D46" s="57">
        <v>1534.3939823606263</v>
      </c>
    </row>
    <row r="47" spans="2:13" x14ac:dyDescent="0.25">
      <c r="B47" s="60"/>
      <c r="D47" s="61"/>
    </row>
    <row r="48" spans="2:13" ht="15.75" thickBot="1" x14ac:dyDescent="0.3">
      <c r="B48" s="62"/>
      <c r="C48" s="63"/>
      <c r="D48" s="64">
        <v>154625.20000000042</v>
      </c>
    </row>
    <row r="51" spans="4:4" x14ac:dyDescent="0.25">
      <c r="D51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abeeb08-e8eb-4d63-a700-a2e9349de4c1">
      <Terms xmlns="http://schemas.microsoft.com/office/infopath/2007/PartnerControls"/>
    </lcf76f155ced4ddcb4097134ff3c332f>
    <AnalysisandInsightforFinance xmlns="1abeeb08-e8eb-4d63-a700-a2e9349de4c1">
      <UserInfo>
        <DisplayName/>
        <AccountId xsi:nil="true"/>
        <AccountType/>
      </UserInfo>
    </AnalysisandInsightforFinance>
    <WorkingLead xmlns="1abeeb08-e8eb-4d63-a700-a2e9349de4c1">
      <UserInfo>
        <DisplayName/>
        <AccountId xsi:nil="true"/>
        <AccountType/>
      </UserInfo>
    </WorkingLead>
    <_ip_UnifiedCompliancePolicyProperties xmlns="http://schemas.microsoft.com/sharepoint/v3" xsi:nil="true"/>
    <Review_x0020_Date xmlns="1abeeb08-e8eb-4d63-a700-a2e9349de4c1" xsi:nil="true"/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A2BD990F7D44D92278D198B0986A3" ma:contentTypeVersion="54" ma:contentTypeDescription="Create a new document." ma:contentTypeScope="" ma:versionID="b53e22d3040f4b818f7ca451ba7c8040">
  <xsd:schema xmlns:xsd="http://www.w3.org/2001/XMLSchema" xmlns:xs="http://www.w3.org/2001/XMLSchema" xmlns:p="http://schemas.microsoft.com/office/2006/metadata/properties" xmlns:ns1="http://schemas.microsoft.com/sharepoint/v3" xmlns:ns2="94e69a48-4826-401e-a27e-0bb7a21418fa" xmlns:ns3="1abeeb08-e8eb-4d63-a700-a2e9349de4c1" xmlns:ns4="51bfcd92-eb3e-40f4-8778-2bbfb88a890b" xmlns:ns5="cccaf3ac-2de9-44d4-aa31-54302fceb5f7" targetNamespace="http://schemas.microsoft.com/office/2006/metadata/properties" ma:root="true" ma:fieldsID="4e6ac93612368fdc9d4dc7461aa76624" ns1:_="" ns2:_="" ns3:_="" ns4:_="" ns5:_="">
    <xsd:import namespace="http://schemas.microsoft.com/sharepoint/v3"/>
    <xsd:import namespace="94e69a48-4826-401e-a27e-0bb7a21418fa"/>
    <xsd:import namespace="1abeeb08-e8eb-4d63-a700-a2e9349de4c1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WorkingLead" minOccurs="0"/>
                <xsd:element ref="ns3:AnalysisandInsightforFinance" minOccurs="0"/>
                <xsd:element ref="ns4:SharedWithUsers" minOccurs="0"/>
                <xsd:element ref="ns4:SharedWithDetails" minOccurs="0"/>
                <xsd:element ref="ns3:Review_x0020_Date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69a48-4826-401e-a27e-0bb7a21418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eeb08-e8eb-4d63-a700-a2e9349de4c1" elementFormDefault="qualified">
    <xsd:import namespace="http://schemas.microsoft.com/office/2006/documentManagement/types"/>
    <xsd:import namespace="http://schemas.microsoft.com/office/infopath/2007/PartnerControls"/>
    <xsd:element name="WorkingLead" ma:index="12" nillable="true" ma:displayName="Working Lead" ma:description="&#10;" ma:format="Dropdown" ma:list="UserInfo" ma:SharePointGroup="0" ma:internalName="Workin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13" nillable="true" ma:displayName="AnalysisandInsightforFinance" ma:format="Dropdown" ma:list="UserInfo" ma:SharePointGroup="0" ma:internalName="AnalysisandInsightforFinanc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6E2C9-1C8B-402C-8A96-A906AB8430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FB91-E3F3-4960-B475-B73BFB26C7B4}">
  <ds:schemaRefs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1abeeb08-e8eb-4d63-a700-a2e9349de4c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51bfcd92-eb3e-40f4-8778-2bbfb88a890b"/>
    <ds:schemaRef ds:uri="94e69a48-4826-401e-a27e-0bb7a21418fa"/>
  </ds:schemaRefs>
</ds:datastoreItem>
</file>

<file path=customXml/itemProps3.xml><?xml version="1.0" encoding="utf-8"?>
<ds:datastoreItem xmlns:ds="http://schemas.openxmlformats.org/officeDocument/2006/customXml" ds:itemID="{F933F418-1B16-4388-A274-DD3DB3925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e69a48-4826-401e-a27e-0bb7a21418fa"/>
    <ds:schemaRef ds:uri="1abeeb08-e8eb-4d63-a700-a2e9349de4c1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PMC Baseline 2024-25</vt:lpstr>
      <vt:lpstr>PMC Allocations 2024-25</vt:lpstr>
      <vt:lpstr>PMC Allocation 2024-25 - Alt</vt:lpstr>
      <vt:lpstr>Totals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Clarke</dc:creator>
  <cp:lastModifiedBy>Heather Ross</cp:lastModifiedBy>
  <cp:lastPrinted>2023-12-20T12:07:44Z</cp:lastPrinted>
  <dcterms:created xsi:type="dcterms:W3CDTF">2023-09-04T12:45:21Z</dcterms:created>
  <dcterms:modified xsi:type="dcterms:W3CDTF">2024-04-03T08:15:10Z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0x010100ACAA2BD990F7D44D92278D198B0986A3</vt:lpwstr>
  </property>
  <property fmtid="{D5CDD505-2E9C-101B-9397-08002B2CF9AE}" pid="3" name="MediaServiceImageTags">
    <vt:lpwstr/>
  </property>
</Properties>
</file>