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nhsengland.sharepoint.com/sites/CFO/sf/sfp/ResLib/AIF/Allocations/Allocation years/2024-25/Publications/Final for sign off/"/>
    </mc:Choice>
  </mc:AlternateContent>
  <xr:revisionPtr revIDLastSave="9" documentId="8_{66EFB86D-4693-42A9-8B00-58E2FC03DD38}" xr6:coauthVersionLast="47" xr6:coauthVersionMax="47" xr10:uidLastSave="{A3989F62-6311-4A59-B92B-C72613C151FF}"/>
  <bookViews>
    <workbookView xWindow="3270" yWindow="0" windowWidth="24390" windowHeight="17400" firstSheet="2" activeTab="2" xr2:uid="{B7176686-1CC4-4B8E-997F-6728F73D02CC}"/>
  </bookViews>
  <sheets>
    <sheet name="28-09 Meeting" sheetId="28" state="hidden" r:id="rId1"/>
    <sheet name="Share of £500m" sheetId="25" state="hidden" r:id="rId2"/>
    <sheet name="ICB Core Baseline 2024-25" sheetId="1" r:id="rId3"/>
    <sheet name="ICB Core Allocations 2024-25" sheetId="23" r:id="rId4"/>
    <sheet name="Share of £1bn" sheetId="29" state="hidden" r:id="rId5"/>
    <sheet name="Sheet6" sheetId="50" state="hidden" r:id="rId6"/>
    <sheet name="Comparison" sheetId="44" state="hidden" r:id="rId7"/>
    <sheet name="New Comparison" sheetId="45" state="hidden" r:id="rId8"/>
    <sheet name="Op 1 - Convergence" sheetId="37" state="hidden" r:id="rId9"/>
    <sheet name="SC1" sheetId="48" state="hidden" r:id="rId10"/>
    <sheet name="SC2" sheetId="47" state="hidden" r:id="rId11"/>
    <sheet name="SC3" sheetId="49" state="hidden" r:id="rId12"/>
    <sheet name="Op 2 - Acute" sheetId="41" state="hidden" r:id="rId13"/>
    <sheet name="New Spec Comm" sheetId="53" state="hidden" r:id="rId14"/>
    <sheet name="Op 2" sheetId="42" state="hidden" r:id="rId15"/>
    <sheet name="SC - Op 1" sheetId="39" state="hidden" r:id="rId16"/>
    <sheet name="Calcs - ICB Core Alloc (£0.5bn)" sheetId="38" state="hidden" r:id="rId17"/>
    <sheet name="Calcs - ICB Core Alloc (£1bn)" sheetId="34" state="hidden" r:id="rId18"/>
    <sheet name="Calcs - ICB Core Alloc (£1.5bn)" sheetId="36" state="hidden" r:id="rId19"/>
    <sheet name="SC - Op 2" sheetId="43" state="hidden" r:id="rId20"/>
    <sheet name="Provider contracts" sheetId="31" state="hidden" r:id="rId21"/>
    <sheet name="M7 Deficits" sheetId="46" state="hidden" r:id="rId22"/>
    <sheet name="Deficits" sheetId="30" state="hidden" r:id="rId23"/>
    <sheet name="20-11 M6 deficits" sheetId="40" state="hidden" r:id="rId24"/>
    <sheet name="ICB Core Allocation 2024-25 (2)" sheetId="20" state="hidden" r:id="rId25"/>
    <sheet name="Target options summary" sheetId="18" state="hidden" r:id="rId26"/>
    <sheet name="Target options calcs" sheetId="19" state="hidden" r:id="rId27"/>
  </sheets>
  <definedNames>
    <definedName name="________net1" hidden="1">{"NET",#N/A,FALSE,"401C11"}</definedName>
    <definedName name="_______net1" hidden="1">{"NET",#N/A,FALSE,"401C11"}</definedName>
    <definedName name="______net1" hidden="1">{"NET",#N/A,FALSE,"401C11"}</definedName>
    <definedName name="_____net1" hidden="1">{"NET",#N/A,FALSE,"401C11"}</definedName>
    <definedName name="____net1" hidden="1">{"NET",#N/A,FALSE,"401C11"}</definedName>
    <definedName name="___net1" hidden="1">{"NET",#N/A,FALSE,"401C11"}</definedName>
    <definedName name="___range1" hidden="1">{"NET",#N/A,FALSE,"401C11"}</definedName>
    <definedName name="___Range2" hidden="1">{"NET",#N/A,FALSE,"401C11"}</definedName>
    <definedName name="__123Graph_A" localSheetId="22" hidden="1">#REF!</definedName>
    <definedName name="__123Graph_A" hidden="1">#REF!</definedName>
    <definedName name="__123Graph_ACFSINDIV" localSheetId="22" hidden="1">#REF!</definedName>
    <definedName name="__123Graph_ACFSINDIV" hidden="1">#REF!</definedName>
    <definedName name="__123Graph_ACHGSPD1" hidden="1">#REF!</definedName>
    <definedName name="__123Graph_ACHGSPD2" hidden="1">#REF!</definedName>
    <definedName name="__123Graph_AEFF" hidden="1">#REF!</definedName>
    <definedName name="__123Graph_AGR14PBF1" hidden="1">#REF!</definedName>
    <definedName name="__123Graph_ALBFFIN" hidden="1">#REF!</definedName>
    <definedName name="__123Graph_ALBFFIN2" hidden="1">#REF!</definedName>
    <definedName name="__123Graph_ALBFHIC2" hidden="1">#REF!</definedName>
    <definedName name="__123Graph_ALCB"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APIC" hidden="1">#REF!</definedName>
    <definedName name="__123Graph_B" localSheetId="22" hidden="1">#REF!</definedName>
    <definedName name="__123Graph_B" hidden="1">#REF!</definedName>
    <definedName name="__123Graph_BCFSINDIV" localSheetId="22" hidden="1">#REF!</definedName>
    <definedName name="__123Graph_BCFSINDIV" hidden="1">#REF!</definedName>
    <definedName name="__123Graph_BCFSUK" hidden="1">#REF!</definedName>
    <definedName name="__123Graph_BCHGSPD1" hidden="1">#REF!</definedName>
    <definedName name="__123Graph_BCHGSPD2" hidden="1">#REF!</definedName>
    <definedName name="__123Graph_BEFF" hidden="1">#REF!</definedName>
    <definedName name="__123Graph_BLBF" hidden="1">#REF!</definedName>
    <definedName name="__123Graph_BLBFFIN" hidden="1">#REF!</definedName>
    <definedName name="__123Graph_BLCB" hidden="1">#REF!</definedName>
    <definedName name="__123Graph_BPDTRENDS" hidden="1">#REF!</definedName>
    <definedName name="__123Graph_BPIC" hidden="1">#REF!</definedName>
    <definedName name="__123Graph_C" localSheetId="22" hidden="1">#REF!</definedName>
    <definedName name="__123Graph_C" hidden="1">#REF!</definedName>
    <definedName name="__123Graph_CACT13BUD" localSheetId="22" hidden="1">#REF!</definedName>
    <definedName name="__123Graph_CACT13BUD" hidden="1">#REF!</definedName>
    <definedName name="__123Graph_CCFSINDIV" hidden="1">#REF!</definedName>
    <definedName name="__123Graph_CCFSUK" hidden="1">#REF!</definedName>
    <definedName name="__123Graph_CEFF" hidden="1">#REF!</definedName>
    <definedName name="__123Graph_CGR14PBF1" hidden="1">#REF!</definedName>
    <definedName name="__123Graph_CLBF" hidden="1">#REF!</definedName>
    <definedName name="__123Graph_CPIC" hidden="1">#REF!</definedName>
    <definedName name="__123Graph_D" hidden="1">#REF!</definedName>
    <definedName name="__123Graph_DACT13BUD" hidden="1">#REF!</definedName>
    <definedName name="__123Graph_DCFSINDIV" hidden="1">#REF!</definedName>
    <definedName name="__123Graph_DCFSUK" hidden="1">#REF!</definedName>
    <definedName name="__123Graph_DEFF" hidden="1">#REF!</definedName>
    <definedName name="__123Graph_DGR14PBF1" hidden="1">#REF!</definedName>
    <definedName name="__123Graph_DLBF" hidden="1">#REF!</definedName>
    <definedName name="__123Graph_DPIC" hidden="1">#REF!</definedName>
    <definedName name="__123Graph_EACT13BUD" hidden="1">#REF!</definedName>
    <definedName name="__123Graph_ECFSINDIV" hidden="1">#REF!</definedName>
    <definedName name="__123Graph_ECFSUK" hidden="1">#REF!</definedName>
    <definedName name="__123Graph_EEFF" hidden="1">#REF!</definedName>
    <definedName name="__123Graph_EEFFHIC" hidden="1">#REF!</definedName>
    <definedName name="__123Graph_EGR14PBF1" hidden="1">#REF!</definedName>
    <definedName name="__123Graph_ELBF" hidden="1">#REF!</definedName>
    <definedName name="__123Graph_EPIC" hidden="1">#REF!</definedName>
    <definedName name="__123Graph_FACT13BUD" hidden="1">#REF!</definedName>
    <definedName name="__123Graph_FCFSUK" hidden="1">#REF!</definedName>
    <definedName name="__123Graph_FEFF" hidden="1">#REF!</definedName>
    <definedName name="__123Graph_FEFFHIC" hidden="1">#REF!</definedName>
    <definedName name="__123Graph_FGR14PBF1" hidden="1">#REF!</definedName>
    <definedName name="__123Graph_FLBF" hidden="1">#REF!</definedName>
    <definedName name="__123Graph_FPIC" hidden="1">#REF!</definedName>
    <definedName name="__123Graph_LBL_A" hidden="1">#REF!</definedName>
    <definedName name="__123Graph_LBL_ARESID" hidden="1">#REF!</definedName>
    <definedName name="__123Graph_LBL_B" hidden="1">#REF!</definedName>
    <definedName name="__123Graph_LBL_BRESID" hidden="1">#REF!</definedName>
    <definedName name="__123Graph_X" localSheetId="22" hidden="1">#REF!</definedName>
    <definedName name="__123Graph_X" hidden="1">#REF!</definedName>
    <definedName name="__123Graph_XACTHIC" localSheetId="22" hidden="1">#REF!</definedName>
    <definedName name="__123Graph_XACTHIC" hidden="1">#REF!</definedName>
    <definedName name="__123Graph_XCHGSPD1" localSheetId="22" hidden="1">#REF!</definedName>
    <definedName name="__123Graph_XCHGSPD1" hidden="1">#REF!</definedName>
    <definedName name="__123Graph_XCHGSPD2" hidden="1">#REF!</definedName>
    <definedName name="__123Graph_XEFF" hidden="1">#REF!</definedName>
    <definedName name="__123Graph_XGR14PBF1"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PIC" hidden="1">#REF!</definedName>
    <definedName name="__FDS_HYPERLINK_TOGGLE_STATE__" hidden="1">"ON"</definedName>
    <definedName name="__net1" hidden="1">{"NET",#N/A,FALSE,"401C11"}</definedName>
    <definedName name="_1" localSheetId="22" hidden="1">#REF!</definedName>
    <definedName name="_1" hidden="1">#REF!</definedName>
    <definedName name="_1_0__123Grap" localSheetId="22" hidden="1">#REF!</definedName>
    <definedName name="_1_0__123Grap" hidden="1">#REF!</definedName>
    <definedName name="_1_123Grap" localSheetId="22" hidden="1">#REF!</definedName>
    <definedName name="_1_123Grap" hidden="1">#REF!</definedName>
    <definedName name="_10_0__123Grap" localSheetId="22" hidden="1">#REF!</definedName>
    <definedName name="_10_0__123Grap" hidden="1">#REF!</definedName>
    <definedName name="_10_0_S" hidden="1">#REF!</definedName>
    <definedName name="_12_0__123Grap" hidden="1">#REF!</definedName>
    <definedName name="_12_0_S" hidden="1">#REF!</definedName>
    <definedName name="_123Graph_A_1" hidden="1">#REF!</definedName>
    <definedName name="_123Graph_A_v1" hidden="1">#REF!</definedName>
    <definedName name="_123Graph_A_v2" hidden="1">#REF!</definedName>
    <definedName name="_123Graph_A_v3" hidden="1">#REF!</definedName>
    <definedName name="_123Graph_B_1" hidden="1">#REF!</definedName>
    <definedName name="_123Graph_B_v1" hidden="1">#REF!</definedName>
    <definedName name="_123Graph_B_v2" hidden="1">#REF!</definedName>
    <definedName name="_123Graph_B_v3" hidden="1">#REF!</definedName>
    <definedName name="_123Graph_B2" hidden="1">#REF!</definedName>
    <definedName name="_123Graph_LBL_A_v1" hidden="1">#REF!</definedName>
    <definedName name="_123Graph_LBL_A_v2" hidden="1">#REF!</definedName>
    <definedName name="_123Graph_LBL_A_v3" hidden="1">#REF!</definedName>
    <definedName name="_123Graph_X_V1" hidden="1">#REF!</definedName>
    <definedName name="_123Graph_X_v2" hidden="1">#REF!</definedName>
    <definedName name="_123Graph_X_v3" hidden="1">#REF!</definedName>
    <definedName name="_124Graph_B" hidden="1">#REF!</definedName>
    <definedName name="_15_0_S" hidden="1">#REF!</definedName>
    <definedName name="_17_0__123Grap" hidden="1">#REF!</definedName>
    <definedName name="_18_0__123Grap" hidden="1">#REF!</definedName>
    <definedName name="_2_0__123Grap" localSheetId="22" hidden="1">#REF!</definedName>
    <definedName name="_2_0__123Grap" hidden="1">#REF!</definedName>
    <definedName name="_2_123Grap" localSheetId="22" hidden="1">#REF!</definedName>
    <definedName name="_2_123Grap" hidden="1">#REF!</definedName>
    <definedName name="_26_0_S" hidden="1">#REF!</definedName>
    <definedName name="_27_0_S" hidden="1">#REF!</definedName>
    <definedName name="_3" hidden="1">#REF!</definedName>
    <definedName name="_3_0__123Grap" hidden="1">#REF!</definedName>
    <definedName name="_3_0_S" localSheetId="22" hidden="1">#REF!</definedName>
    <definedName name="_3_0_S" hidden="1">#REF!</definedName>
    <definedName name="_3_123Grap" localSheetId="22" hidden="1">#REF!</definedName>
    <definedName name="_3_123Grap" hidden="1">#REF!</definedName>
    <definedName name="_30_0_S" localSheetId="22" hidden="1">#REF!</definedName>
    <definedName name="_30_0_S" hidden="1">#REF!</definedName>
    <definedName name="_34_123Grap" hidden="1">#REF!</definedName>
    <definedName name="_4_0__123Grap" hidden="1">#REF!</definedName>
    <definedName name="_42S" hidden="1">#REF!</definedName>
    <definedName name="_4S" localSheetId="22" hidden="1">#REF!</definedName>
    <definedName name="_4S" hidden="1">#REF!</definedName>
    <definedName name="_5" localSheetId="22" hidden="1">#REF!</definedName>
    <definedName name="_5" hidden="1">#REF!</definedName>
    <definedName name="_5_0__123Grap" localSheetId="22" hidden="1">#REF!</definedName>
    <definedName name="_5_0__123Grap" hidden="1">#REF!</definedName>
    <definedName name="_6_0__123Grap" localSheetId="22" hidden="1">#REF!</definedName>
    <definedName name="_6_0__123Grap" hidden="1">#REF!</definedName>
    <definedName name="_6_0_S" localSheetId="22" hidden="1">#REF!</definedName>
    <definedName name="_6_0_S" hidden="1">#REF!</definedName>
    <definedName name="_6_123Grap" localSheetId="22" hidden="1">#REF!</definedName>
    <definedName name="_6_123Grap" hidden="1">#REF!</definedName>
    <definedName name="_8_0__123Grap" hidden="1">#REF!</definedName>
    <definedName name="_8_123Grap" hidden="1">#REF!</definedName>
    <definedName name="_8S" hidden="1">#REF!</definedName>
    <definedName name="_9_0__123Grap" hidden="1">#REF!</definedName>
    <definedName name="_9_0_S" hidden="1">#REF!</definedName>
    <definedName name="_987423" hidden="1">#REF!</definedName>
    <definedName name="_AMO_UniqueIdentifier" hidden="1">"'95855f14-3708-42be-827a-67de891e7598'"</definedName>
    <definedName name="_AMO_UniqueIdentifier2" hidden="1">"'f6a48cb9-158b-447f-a1b7-2ab5a8bc2aae'"</definedName>
    <definedName name="_Fill" localSheetId="22" hidden="1">#REF!</definedName>
    <definedName name="_Fill" hidden="1">#REF!</definedName>
    <definedName name="_xlnm._FilterDatabase" localSheetId="0" hidden="1">'28-09 Meeting'!$D$4:$S$46</definedName>
    <definedName name="_xlnm._FilterDatabase" localSheetId="6" hidden="1">Comparison!$C$5:$AG$5</definedName>
    <definedName name="_xlnm._FilterDatabase" localSheetId="22" hidden="1">Deficits!$B$5:$L$48</definedName>
    <definedName name="_xlnm._FilterDatabase" localSheetId="7" hidden="1">'New Comparison'!$B$6:$BK$6</definedName>
    <definedName name="_xlnm._FilterDatabase" localSheetId="20" hidden="1">'Provider contracts'!$B$2:$AC$213</definedName>
    <definedName name="_xlnm._FilterDatabase" localSheetId="26" hidden="1">'Target options calcs'!$B$4:$BY$4</definedName>
    <definedName name="_Key1" localSheetId="22" hidden="1">#REF!</definedName>
    <definedName name="_Key1" hidden="1">#REF!</definedName>
    <definedName name="_Key2" localSheetId="22" hidden="1">#REF!</definedName>
    <definedName name="_Key2" hidden="1">#REF!</definedName>
    <definedName name="_net1" hidden="1">{"NET",#N/A,FALSE,"401C11"}</definedName>
    <definedName name="_Order1" hidden="1">0</definedName>
    <definedName name="_Order2" hidden="1">255</definedName>
    <definedName name="_Regression_Out" localSheetId="22" hidden="1">#REF!</definedName>
    <definedName name="_Regression_Out" hidden="1">#REF!</definedName>
    <definedName name="_Regression_X" localSheetId="22" hidden="1">#REF!</definedName>
    <definedName name="_Regression_X" hidden="1">#REF!</definedName>
    <definedName name="_Regression_Y" hidden="1">#REF!</definedName>
    <definedName name="_Sort" localSheetId="22" hidden="1">#REF!</definedName>
    <definedName name="_Sort" hidden="1">#REF!</definedName>
    <definedName name="_Table1_In1" localSheetId="22" hidden="1">#REF!</definedName>
    <definedName name="_Table1_In1" hidden="1">#REF!</definedName>
    <definedName name="_Table1_Out" localSheetId="22" hidden="1">#REF!</definedName>
    <definedName name="_Table1_Out" hidden="1">#REF!</definedName>
    <definedName name="_Table2_In1" hidden="1">#REF!</definedName>
    <definedName name="_Table2_In2" hidden="1">#REF!</definedName>
    <definedName name="_Table2_Out" hidden="1">#REF!</definedName>
    <definedName name="_xlcn.WorksheetConnection_findCCGslikeminesimilar10andclustersApril2018testv5combinedAsian.xlsxTable191" localSheetId="16" hidden="1">Table19</definedName>
    <definedName name="_xlcn.WorksheetConnection_findCCGslikeminesimilar10andclustersApril2018testv5combinedAsian.xlsxTable191" localSheetId="18" hidden="1">Table19</definedName>
    <definedName name="_xlcn.WorksheetConnection_findCCGslikeminesimilar10andclustersApril2018testv5combinedAsian.xlsxTable191" localSheetId="17" hidden="1">Table19</definedName>
    <definedName name="_xlcn.WorksheetConnection_findCCGslikeminesimilar10andclustersApril2018testv5combinedAsian.xlsxTable191" localSheetId="22" hidden="1">Table19</definedName>
    <definedName name="_xlcn.WorksheetConnection_findCCGslikeminesimilar10andclustersApril2018testv5combinedAsian.xlsxTable191" localSheetId="24" hidden="1">Table19</definedName>
    <definedName name="_xlcn.WorksheetConnection_findCCGslikeminesimilar10andclustersApril2018testv5combinedAsian.xlsxTable191" localSheetId="3" hidden="1">Table19</definedName>
    <definedName name="_xlcn.WorksheetConnection_findCCGslikeminesimilar10andclustersApril2018testv5combinedAsian.xlsxTable191" localSheetId="19"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16" hidden="1">Table20</definedName>
    <definedName name="_xlcn.WorksheetConnection_findCCGslikeminesimilar10andclustersApril2018testv5combinedAsian.xlsxTable201" localSheetId="18" hidden="1">Table20</definedName>
    <definedName name="_xlcn.WorksheetConnection_findCCGslikeminesimilar10andclustersApril2018testv5combinedAsian.xlsxTable201" localSheetId="17" hidden="1">Table20</definedName>
    <definedName name="_xlcn.WorksheetConnection_findCCGslikeminesimilar10andclustersApril2018testv5combinedAsian.xlsxTable201" localSheetId="22" hidden="1">Table20</definedName>
    <definedName name="_xlcn.WorksheetConnection_findCCGslikeminesimilar10andclustersApril2018testv5combinedAsian.xlsxTable201" localSheetId="24" hidden="1">Table20</definedName>
    <definedName name="_xlcn.WorksheetConnection_findCCGslikeminesimilar10andclustersApril2018testv5combinedAsian.xlsxTable201" localSheetId="3" hidden="1">Table20</definedName>
    <definedName name="_xlcn.WorksheetConnection_findCCGslikeminesimilar10andclustersApril2018testv5combinedAsian.xlsxTable201" localSheetId="19" hidden="1">Table20</definedName>
    <definedName name="_xlcn.WorksheetConnection_findCCGslikeminesimilar10andclustersApril2018testv5combinedAsian.xlsxTable201" hidden="1">Table20</definedName>
    <definedName name="a" hidden="1">{"CHARGE",#N/A,FALSE,"401C11"}</definedName>
    <definedName name="aa" hidden="1">{"CHARGE",#N/A,FALSE,"401C11"}</definedName>
    <definedName name="aaa" hidden="1">{"CHARGE",#N/A,FALSE,"401C11"}</definedName>
    <definedName name="aaaa" localSheetId="22" hidden="1">#REF!</definedName>
    <definedName name="aaaa" hidden="1">{"CHARGE",#N/A,FALSE,"401C11"}</definedName>
    <definedName name="AAAAAAAAAAAAA" localSheetId="22" hidden="1">#REF!</definedName>
    <definedName name="AAAAAAAAAAAAA" hidden="1">#REF!</definedName>
    <definedName name="abc" localSheetId="22" hidden="1">{"NET",#N/A,FALSE,"401C11"}</definedName>
    <definedName name="abc" hidden="1">{"NET",#N/A,FALSE,"401C11"}</definedName>
    <definedName name="Act" localSheetId="2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dbr" hidden="1">{"CHARGE",#N/A,FALSE,"401C11"}</definedName>
    <definedName name="anscount" hidden="1">1</definedName>
    <definedName name="Area" localSheetId="22" hidden="1">#REF!</definedName>
    <definedName name="Area" hidden="1">#REF!</definedName>
    <definedName name="AS2DocOpenMode" hidden="1">"AS2DocumentEdit"</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Ts" localSheetId="22" hidden="1">#REF!</definedName>
    <definedName name="ATs" hidden="1">#REF!</definedName>
    <definedName name="Author" hidden="1">"Kirill Lapin"</definedName>
    <definedName name="b" hidden="1">{"CHARGE",#N/A,FALSE,"401C11"}</definedName>
    <definedName name="bb" localSheetId="22" hidden="1">#REF!</definedName>
    <definedName name="bb" hidden="1">#REF!</definedName>
    <definedName name="BGroup" hidden="1">{#N/A,#N/A,FALSE,"Summary";#N/A,#N/A,FALSE,"Edit";#N/A,#N/A,FALSE,"MedProf";#N/A,#N/A,FALSE,"Proj Mgt";#N/A,#N/A,FALSE,"Creat Svc";#N/A,#N/A,FALSE,"Meet Svc";#N/A,#N/A,FALSE,"Non-OCC";#N/A,#N/A,FALSE,"Client Svc";#N/A,#N/A,FALSE,"Bus Dev";#N/A,#N/A,FALSE,"Indirect"}</definedName>
    <definedName name="BLPH1" localSheetId="22" hidden="1">#REF!</definedName>
    <definedName name="BLPH1" hidden="1">#REF!</definedName>
    <definedName name="BLPH2" hidden="1">#REF!</definedName>
    <definedName name="BLPH3" hidden="1">#REF!</definedName>
    <definedName name="BLPH4" hidden="1">#REF!</definedName>
    <definedName name="BLPH5" hidden="1">#REF!</definedName>
    <definedName name="BMGHIndex" hidden="1">"O"</definedName>
    <definedName name="bn" localSheetId="22" hidden="1">#REF!</definedName>
    <definedName name="bn" hidden="1">#REF!</definedName>
    <definedName name="bnn" hidden="1">{#N/A,#N/A,FALSE,"INPUTS";#N/A,#N/A,FALSE,"PROFORMA BSHEET";#N/A,#N/A,FALSE,"COMBINED";#N/A,#N/A,FALSE,"ACQUIROR";#N/A,#N/A,FALSE,"TARGET 1";#N/A,#N/A,FALSE,"TARGET 2";#N/A,#N/A,FALSE,"HIGH YIELD";#N/A,#N/A,FALSE,"OVERFUND"}</definedName>
    <definedName name="CCG" hidden="1">#REF!</definedName>
    <definedName name="cfef" hidden="1">{#N/A,#N/A,FALSE,"Admin";#N/A,#N/A,FALSE,"Other"}</definedName>
    <definedName name="change1" hidden="1">{"CHARGE",#N/A,FALSE,"401C11"}</definedName>
    <definedName name="charge" hidden="1">{"CHARGE",#N/A,FALSE,"401C11"}</definedName>
    <definedName name="CurrentMonth" localSheetId="22" hidden="1">#REF!</definedName>
    <definedName name="CurrentMonth" hidden="1">#REF!</definedName>
    <definedName name="cv" localSheetId="22" hidden="1">#REF!</definedName>
    <definedName name="cv" hidden="1">#REF!</definedName>
    <definedName name="d" hidden="1">#REF!</definedName>
    <definedName name="dd" hidden="1">#REF!</definedName>
    <definedName name="ddas" hidden="1">#REF!</definedName>
    <definedName name="ddd" localSheetId="22" hidden="1">#REF!</definedName>
    <definedName name="ddd" hidden="1">{#N/A,#N/A,FALSE,"Summary";#N/A,#N/A,FALSE,"Retail";#N/A,#N/A,FALSE,"Ret Sensitivity";#N/A,#N/A,FALSE,"Manufacturing";#N/A,#N/A,FALSE,"Man Sensitivity";#N/A,#N/A,FALSE,"Ops UK &amp; I HO";#N/A,#N/A,FALSE,"UK &amp; I HO sensitivity "}</definedName>
    <definedName name="delete" hidden="1">{"IGRONIC2",#N/A,FALSE,"IG fixed RONIC";"IGRONIC1",#N/A,FALSE,"IG fixed RONIC"}</definedName>
    <definedName name="delete2" hidden="1">{"IGRONIC2",#N/A,FALSE,"IG fixed RONIC";"IGRONIC1",#N/A,FALSE,"IG fixed RONIC"}</definedName>
    <definedName name="df" hidden="1">{"'Trust by name'!$A$6:$E$350","'Trust by name'!$A$1:$D$348"}</definedName>
    <definedName name="dgsgf" hidden="1">{#N/A,#N/A,FALSE,"TMCOMP96";#N/A,#N/A,FALSE,"MAT96";#N/A,#N/A,FALSE,"FANDA96";#N/A,#N/A,FALSE,"INTRAN96";#N/A,#N/A,FALSE,"NAA9697";#N/A,#N/A,FALSE,"ECWEBB";#N/A,#N/A,FALSE,"MFT96";#N/A,#N/A,FALSE,"CTrecon"}</definedName>
    <definedName name="dhdhd" localSheetId="22" hidden="1">#REF!</definedName>
    <definedName name="dhdhd" hidden="1">#REF!</definedName>
    <definedName name="Distribution" localSheetId="22" hidden="1">#REF!</definedName>
    <definedName name="Distribution" hidden="1">#REF!</definedName>
    <definedName name="dog" hidden="1">{"NET",#N/A,FALSE,"401C11"}</definedName>
    <definedName name="edff" localSheetId="22" hidden="1">#REF!</definedName>
    <definedName name="edff" hidden="1">#REF!</definedName>
    <definedName name="EmpOtherAdmin" localSheetId="22" hidden="1">SUMIF(#REF!,CONCATENATE(#REF!,"_",#REF!,"_",#REF!),#REF!)</definedName>
    <definedName name="EmpOtherAdmin" hidden="1">SUMIF(#REF!,CONCATENATE(#REF!,"_",#REF!,"_",#REF!),#REF!)</definedName>
    <definedName name="EmpOtherProg" localSheetId="22" hidden="1">SUMIF(#REF!,CONCATENATE(#REF!,"_",#REF!,"_",#REF!),#REF!)</definedName>
    <definedName name="EmpOtherProg" hidden="1">SUMIF(#REF!,CONCATENATE(#REF!,"_",#REF!,"_",#REF!),#REF!)</definedName>
    <definedName name="EmpPermAdmin" comment="Feeds to HMT " localSheetId="22" hidden="1">SUMIF(#REF!,CONCATENATE(#REF!,"_Perm_",#REF!),#REF!)</definedName>
    <definedName name="EmpPermAdmin" comment="Feeds to HMT " hidden="1">SUMIF(#REF!,CONCATENATE(#REF!,"_Perm_",#REF!),#REF!)</definedName>
    <definedName name="EmpPermProg" localSheetId="22" hidden="1">SUMIF(#REF!,CONCATENATE(#REF!,"_",#REF!,"_",#REF!),#REF!)</definedName>
    <definedName name="EmpPermProg" hidden="1">SUMIF(#REF!,CONCATENATE(#REF!,"_",#REF!,"_",#REF!),#REF!)</definedName>
    <definedName name="EV__LASTREFTIME__" hidden="1">40339.4799074074</definedName>
    <definedName name="ewgw" hidden="1">{#N/A,#N/A,FALSE,"Admin";#N/A,#N/A,FALSE,"Other"}</definedName>
    <definedName name="Expired" hidden="1">FALSE</definedName>
    <definedName name="ExtraProfiles" localSheetId="22" hidden="1">#REF!</definedName>
    <definedName name="ExtraProfiles" hidden="1">#REF!</definedName>
    <definedName name="FDDD"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ifif" localSheetId="22" hidden="1">#REF!</definedName>
    <definedName name="fifif" hidden="1">#REF!</definedName>
    <definedName name="FJDA" hidden="1">{"IGRONIC2",#N/A,FALSE,"IG fixed RONIC";"IGRONIC1",#N/A,FALSE,"IG fixed RONIC"}</definedName>
    <definedName name="fofo" localSheetId="22" hidden="1">#REF!</definedName>
    <definedName name="fofo" hidden="1">#REF!</definedName>
    <definedName name="ftkf" hidden="1">{"GROSS",#N/A,FALSE,"401C11"}</definedName>
    <definedName name="fuckoff" localSheetId="22" hidden="1">#REF!</definedName>
    <definedName name="fuckoff" hidden="1">#REF!</definedName>
    <definedName name="FWEg" hidden="1">{#N/A,#N/A,FALSE,"Summary";#N/A,#N/A,FALSE,"Edit";#N/A,#N/A,FALSE,"MedProf";#N/A,#N/A,FALSE,"Proj Mgt";#N/A,#N/A,FALSE,"Creat Svc";#N/A,#N/A,FALSE,"Meet Svc";#N/A,#N/A,FALSE,"Non-OCC";#N/A,#N/A,FALSE,"Client Svc";#N/A,#N/A,FALSE,"Bus Dev";#N/A,#N/A,FALSE,"Indirect"}</definedName>
    <definedName name="geww" hidden="1">{#N/A,#N/A,FALSE,"Summary";#N/A,#N/A,FALSE,"Edit";#N/A,#N/A,FALSE,"MedProf";#N/A,#N/A,FALSE,"Proj Mgt";#N/A,#N/A,FALSE,"Creat Svc";#N/A,#N/A,FALSE,"Meet Svc";#N/A,#N/A,FALSE,"Non-OCC";#N/A,#N/A,FALSE,"Client Svc";#N/A,#N/A,FALSE,"Bus Dev";#N/A,#N/A,FALSE,"Indirect"}</definedName>
    <definedName name="gfff" hidden="1">{"CHARGE",#N/A,FALSE,"401C11"}</definedName>
    <definedName name="GG" localSheetId="22" hidden="1">#REF!</definedName>
    <definedName name="GG" hidden="1">#REF!</definedName>
    <definedName name="gh" hidden="1">{"'Trust by name'!$A$6:$E$350","'Trust by name'!$A$1:$D$348"}</definedName>
    <definedName name="ghj" hidden="1">{#N/A,#N/A,FALSE,"TMCOMP96";#N/A,#N/A,FALSE,"MAT96";#N/A,#N/A,FALSE,"FANDA96";#N/A,#N/A,FALSE,"INTRAN96";#N/A,#N/A,FALSE,"NAA9697";#N/A,#N/A,FALSE,"ECWEBB";#N/A,#N/A,FALSE,"MFT96";#N/A,#N/A,FALSE,"CTrecon"}</definedName>
    <definedName name="gross" hidden="1">{"GROSS",#N/A,FALSE,"401C11"}</definedName>
    <definedName name="gross1" hidden="1">{"GROSS",#N/A,FALSE,"401C11"}</definedName>
    <definedName name="gsg" localSheetId="22" hidden="1">#REF!</definedName>
    <definedName name="gsg" hidden="1">#REF!</definedName>
    <definedName name="ha" hidden="1">{"Reader",#N/A,FALSE,"Summary";"Reader",#N/A,FALSE,"Buildup";"Reader",#N/A,FALSE,"Financials";"Reader",#N/A,FALSE,"Debt &amp; Other"}</definedName>
    <definedName name="hasdfjklhklj" hidden="1">{"NET",#N/A,FALSE,"401C11"}</definedName>
    <definedName name="Header1" hidden="1">IF(COUNTA(#REF!)=0,0,INDEX(#REF!,MATCH(ROW(#REF!),#REF!,TRUE)))+1</definedName>
    <definedName name="help" hidden="1">{"CHARGE",#N/A,FALSE,"401C11"}</definedName>
    <definedName name="hghghhj" hidden="1">{"CHARGE",#N/A,FALSE,"401C11"}</definedName>
    <definedName name="HK" hidden="1">{"Reader",#N/A,FALSE,"Summary";"Reader",#N/A,FALSE,"Buildup";"Reader",#N/A,FALSE,"Financials";"Reader",#N/A,FALSE,"Debt &amp; Other"}</definedName>
    <definedName name="hka" hidden="1">{"Reader",#N/A,FALSE,"Summary";"Reader",#N/A,FALSE,"Buildup";"Reader",#N/A,FALSE,"Financials";"Reader",#N/A,FALSE,"Debt &amp; Other"}</definedName>
    <definedName name="hp" hidden="1">{"Reader",#N/A,FALSE,"Summary";"Reader",#N/A,FALSE,"Buildup";"Reader",#N/A,FALSE,"Financials";"Reader",#N/A,FALSE,"Debt &amp; Other"}</definedName>
    <definedName name="HTML_CodePage" hidden="1">1252</definedName>
    <definedName name="HTML_Control" hidden="1">{"'Trust by name'!$A$6:$E$350","'Trust by name'!$A$1:$D$348"}</definedName>
    <definedName name="HTML_Control2"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i" localSheetId="22" hidden="1">#REF!</definedName>
    <definedName name="ii"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40299.6389814815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FDA" hidden="1">{"IGRONIC2",#N/A,FALSE,"IG fixed RONIC";"IGRONIC1",#N/A,FALSE,"IG fixed RONIC"}</definedName>
    <definedName name="JFDKA" hidden="1">{"IGRONIC2",#N/A,FALSE,"IG fixed RONIC";"IGRONIC1",#N/A,FALSE,"IG fixed RONIC"}</definedName>
    <definedName name="JFELL" localSheetId="22" hidden="1">#REF!</definedName>
    <definedName name="JFELL" hidden="1">#REF!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K" hidden="1">{"IGRONIC2",#N/A,FALSE,"IG fixed RONIC";"IGRONIC1",#N/A,FALSE,"IG fixed RONIC"}</definedName>
    <definedName name="kj" hidden="1">{#N/A,#N/A,FALSE,"Admin";#N/A,#N/A,FALSE,"Other"}</definedName>
    <definedName name="kk" localSheetId="22" hidden="1">#REF!</definedName>
    <definedName name="kk" hidden="1">#REF!</definedName>
    <definedName name="l" localSheetId="22" hidden="1">#REF!</definedName>
    <definedName name="l" hidden="1">#REF!</definedName>
    <definedName name="ListOffset" hidden="1">1</definedName>
    <definedName name="Liz" localSheetId="22" hidden="1">#REF!</definedName>
    <definedName name="Liz" hidden="1">#REF!</definedName>
    <definedName name="matt" hidden="1">#REF!</definedName>
    <definedName name="matt1" hidden="1">#REF!</definedName>
    <definedName name="matt2" hidden="1">#REF!</definedName>
    <definedName name="mbn" hidden="1">#REF!</definedName>
    <definedName name="mmm" hidden="1">#REF!</definedName>
    <definedName name="nb" hidden="1">#REF!</definedName>
    <definedName name="new" hidden="1">#REF!</definedName>
    <definedName name="nnn" hidden="1">#REF!</definedName>
    <definedName name="no_idea_what_this_is" hidden="1">{"'Trust by name'!$A$6:$E$350","'Trust by name'!$A$1:$D$348"}</definedName>
    <definedName name="No_idea2" hidden="1">{"'Trust by name'!$A$6:$E$350","'Trust by name'!$A$1:$D$348"}</definedName>
    <definedName name="NOCONFLICT" hidden="1">{#N/A,#N/A,FALSE,"TMCOMP96";#N/A,#N/A,FALSE,"MAT96";#N/A,#N/A,FALSE,"FANDA96";#N/A,#N/A,FALSE,"INTRAN96";#N/A,#N/A,FALSE,"NAA9697";#N/A,#N/A,FALSE,"ECWEBB";#N/A,#N/A,FALSE,"MFT96";#N/A,#N/A,FALSE,"CTrecon"}</definedName>
    <definedName name="OISIII" localSheetId="22" hidden="1">#REF!</definedName>
    <definedName name="OISIII" hidden="1">#REF!</definedName>
    <definedName name="ooo" localSheetId="22" hidden="1">#REF!</definedName>
    <definedName name="ooo" hidden="1">#REF!</definedName>
    <definedName name="Option2" hidden="1">{#N/A,#N/A,FALSE,"TMCOMP96";#N/A,#N/A,FALSE,"MAT96";#N/A,#N/A,FALSE,"FANDA96";#N/A,#N/A,FALSE,"INTRAN96";#N/A,#N/A,FALSE,"NAA9697";#N/A,#N/A,FALSE,"ECWEBB";#N/A,#N/A,FALSE,"MFT96";#N/A,#N/A,FALSE,"CTrecon"}</definedName>
    <definedName name="Pop" localSheetId="22" hidden="1">#REF!</definedName>
    <definedName name="Pop" hidden="1">#REF!</definedName>
    <definedName name="PopCache_GL_INTERFACE_REFERENCE7" localSheetId="22" hidden="1">#REF!</definedName>
    <definedName name="PopCache_GL_INTERFACE_REFERENCE7" hidden="1">#REF!</definedName>
    <definedName name="Population" localSheetId="22" hidden="1">#REF!</definedName>
    <definedName name="Population" hidden="1">#REF!</definedName>
    <definedName name="Print" localSheetId="22" hidden="1">{#N/A,#N/A,FALSE,"Summary";#N/A,#N/A,FALSE,"Retail";#N/A,#N/A,FALSE,"Ret Sensitivity";#N/A,#N/A,FALSE,"Manufacturing";#N/A,#N/A,FALSE,"Man Sensitivity";#N/A,#N/A,FALSE,"Ops UK &amp; I HO";#N/A,#N/A,FALSE,"UK &amp; I HO sensitivity "}</definedName>
    <definedName name="Print" hidden="1">{#N/A,#N/A,FALSE,"Summary";#N/A,#N/A,FALSE,"Retail";#N/A,#N/A,FALSE,"Ret Sensitivity";#N/A,#N/A,FALSE,"Manufacturing";#N/A,#N/A,FALSE,"Man Sensitivity";#N/A,#N/A,FALSE,"Ops UK &amp; I HO";#N/A,#N/A,FALSE,"UK &amp; I HO sensitivity "}</definedName>
    <definedName name="print3" hidden="1">{#N/A,#N/A,FALSE,"Summary";#N/A,#N/A,FALSE,"Edit";#N/A,#N/A,FALSE,"MedProf";#N/A,#N/A,FALSE,"Proj Mgt";#N/A,#N/A,FALSE,"Creat Svc";#N/A,#N/A,FALSE,"Meet Svc";#N/A,#N/A,FALSE,"Non-OCC";#N/A,#N/A,FALSE,"Client Svc";#N/A,#N/A,FALSE,"Bus Dev";#N/A,#N/A,FALSE,"Indirect"}</definedName>
    <definedName name="Profiles" localSheetId="22" hidden="1">#REF!</definedName>
    <definedName name="Profiles" hidden="1">#REF!</definedName>
    <definedName name="Projections" localSheetId="22" hidden="1">#REF!</definedName>
    <definedName name="Projections" hidden="1">#REF!</definedName>
    <definedName name="Providers" hidden="1">#REF!</definedName>
    <definedName name="PWrd" hidden="1">"banner"</definedName>
    <definedName name="qe" localSheetId="22" hidden="1">#REF!</definedName>
    <definedName name="qe" hidden="1">#REF!</definedName>
    <definedName name="qfx" localSheetId="22" hidden="1">{"NET",#N/A,FALSE,"401C11"}</definedName>
    <definedName name="qfx" hidden="1">{"NET",#N/A,FALSE,"401C11"}</definedName>
    <definedName name="range3" hidden="1">{"CHARGE",#N/A,FALSE,"401C11"}</definedName>
    <definedName name="redo" hidden="1">{#N/A,#N/A,FALSE,"ACQ_GRAPHS";#N/A,#N/A,FALSE,"T_1 GRAPHS";#N/A,#N/A,FALSE,"T_2 GRAPHS";#N/A,#N/A,FALSE,"COMB_GRAPHS"}</definedName>
    <definedName name="Results" localSheetId="22" hidden="1">#REF!</definedName>
    <definedName name="Results" hidden="1">#REF!</definedName>
    <definedName name="rjd" hidden="1">{"CHARGE",#N/A,FALSE,"401C11"}</definedName>
    <definedName name="rjh" hidden="1">{"NET",#N/A,FALSE,"401C11"}</definedName>
    <definedName name="rrrr" localSheetId="22" hidden="1">{#N/A,#N/A,FALSE,"Summary";#N/A,#N/A,FALSE,"Retail";#N/A,#N/A,FALSE,"Ret Sensitivity";#N/A,#N/A,FALSE,"Manufacturing";#N/A,#N/A,FALSE,"Man Sensitivity";#N/A,#N/A,FALSE,"Ops UK &amp; I HO";#N/A,#N/A,FALSE,"UK &amp; I HO sensitivity "}</definedName>
    <definedName name="rrrr" hidden="1">{#N/A,#N/A,FALSE,"Summary";#N/A,#N/A,FALSE,"Retail";#N/A,#N/A,FALSE,"Ret Sensitivity";#N/A,#N/A,FALSE,"Manufacturing";#N/A,#N/A,FALSE,"Man Sensitivity";#N/A,#N/A,FALSE,"Ops UK &amp; I HO";#N/A,#N/A,FALSE,"UK &amp; I HO sensitivity "}</definedName>
    <definedName name="rytry" hidden="1">{"NET",#N/A,FALSE,"401C11"}</definedName>
    <definedName name="s" localSheetId="22" hidden="1">#REF!</definedName>
    <definedName name="s" hidden="1">#REF!</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rj" hidden="1">{"CHARGE",#N/A,FALSE,"401C11"}</definedName>
    <definedName name="sdsds" localSheetId="22" hidden="1">#REF!</definedName>
    <definedName name="sdsds" hidden="1">#REF!</definedName>
    <definedName name="sfad" hidden="1">{#N/A,#N/A,FALSE,"TMCOMP96";#N/A,#N/A,FALSE,"MAT96";#N/A,#N/A,FALSE,"FANDA96";#N/A,#N/A,FALSE,"INTRAN96";#N/A,#N/A,FALSE,"NAA9697";#N/A,#N/A,FALSE,"ECWEBB";#N/A,#N/A,FALSE,"MFT96";#N/A,#N/A,FALSE,"CTrecon"}</definedName>
    <definedName name="solver_adj" localSheetId="22" hidden="1">#REF!</definedName>
    <definedName name="solver_adj" hidden="1">#REF!</definedName>
    <definedName name="solver_lhs1" hidden="1">#REF!</definedName>
    <definedName name="solver_lin" hidden="1">0</definedName>
    <definedName name="solver_num" hidden="1">1</definedName>
    <definedName name="solver_opt" localSheetId="22" hidden="1">#REF!</definedName>
    <definedName name="solver_opt" hidden="1">#REF!</definedName>
    <definedName name="solver_rel1" hidden="1">1</definedName>
    <definedName name="solver_rhs1" hidden="1">0.15</definedName>
    <definedName name="solver_tmp" hidden="1">0.15</definedName>
    <definedName name="solver_typ" hidden="1">3</definedName>
    <definedName name="solver_val" hidden="1">0.25</definedName>
    <definedName name="srjdj" hidden="1">{"CHARGE",#N/A,FALSE,"401C11"}</definedName>
    <definedName name="submission" localSheetId="22" hidden="1">#REF!</definedName>
    <definedName name="submission" hidden="1">#REF!</definedName>
    <definedName name="Table3.4" hidden="1">{"CHARGE",#N/A,FALSE,"401C11"}</definedName>
    <definedName name="Test23" hidden="1">{"NET",#N/A,FALSE,"401C11"}</definedName>
    <definedName name="trggh" hidden="1">{#N/A,#N/A,FALSE,"TMCOMP96";#N/A,#N/A,FALSE,"MAT96";#N/A,#N/A,FALSE,"FANDA96";#N/A,#N/A,FALSE,"INTRAN96";#N/A,#N/A,FALSE,"NAA9697";#N/A,#N/A,FALSE,"ECWEBB";#N/A,#N/A,FALSE,"MFT96";#N/A,#N/A,FALSE,"CTrecon"}</definedName>
    <definedName name="ttt" hidden="1">{"Teacher",#N/A,FALSE,"Summary";"Teacher",#N/A,FALSE,"Assumptions";"Teacher",#N/A,FALSE,"Buildup";"Teacher",#N/A,FALSE,"Financials";"Teacher",#N/A,FALSE,"Debt &amp; Other"}</definedName>
    <definedName name="tttt" hidden="1">{"Reader",#N/A,FALSE,"Summary";"Reader",#N/A,FALSE,"Buildup";"Reader",#N/A,FALSE,"Financials";"Reader",#N/A,FALSE,"Debt &amp; Other"}</definedName>
    <definedName name="vvv" localSheetId="22" hidden="1">#REF!</definedName>
    <definedName name="vvv" hidden="1">#REF!</definedName>
    <definedName name="w" hidden="1">#REF!</definedName>
    <definedName name="wert" hidden="1">{"GROSS",#N/A,FALSE,"401C11"}</definedName>
    <definedName name="wombat" localSheetId="22" hidden="1">#REF!</definedName>
    <definedName name="wombat" hidden="1">#REF!</definedName>
    <definedName name="wrn.Aging._.and._.Trend._.Analysis." localSheetId="2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hidden="1">{#N/A,#N/A,FALSE,"INPUTS";#N/A,#N/A,FALSE,"PROFORMA BSHEET";#N/A,#N/A,FALSE,"COMBINED";#N/A,#N/A,FALSE,"ACQUIROR";#N/A,#N/A,FALSE,"TARGET 1";#N/A,#N/A,FALSE,"TARGET 2";#N/A,#N/A,FALSE,"HIGH YIELD";#N/A,#N/A,FALSE,"OVERFUND"}</definedName>
    <definedName name="wrn.all._.print." hidden="1">{#N/A,#N/A,FALSE,"Summary";#N/A,#N/A,FALSE,"Edit";#N/A,#N/A,FALSE,"MedProf";#N/A,#N/A,FALSE,"Proj Mgt";#N/A,#N/A,FALSE,"Creat Svc";#N/A,#N/A,FALSE,"Meet Svc";#N/A,#N/A,FALSE,"Non-OCC";#N/A,#N/A,FALSE,"Client Svc";#N/A,#N/A,FALSE,"Bus Dev";#N/A,#N/A,FALSE,"Indirect"}</definedName>
    <definedName name="wrn.CHARGE." hidden="1">{"CHARGE",#N/A,FALSE,"401C11"}</definedName>
    <definedName name="wrn.COMBINED." hidden="1">{#N/A,#N/A,FALSE,"INPUTS";#N/A,#N/A,FALSE,"PROFORMA BSHEET";#N/A,#N/A,FALSE,"COMBINED";#N/A,#N/A,FALSE,"HIGH YIELD";#N/A,#N/A,FALSE,"COMB_GRAPHS"}</definedName>
    <definedName name="wrn.GRAPHS." hidden="1">{#N/A,#N/A,FALSE,"ACQ_GRAPHS";#N/A,#N/A,FALSE,"T_1 GRAPHS";#N/A,#N/A,FALSE,"T_2 GRAPHS";#N/A,#N/A,FALSE,"COMB_GRAPHS"}</definedName>
    <definedName name="wrn.GROSS." hidden="1">{"GROSS",#N/A,FALSE,"401C11"}</definedName>
    <definedName name="wrn.IGRONICbasicdata." hidden="1">{"IGRONIC2",#N/A,FALSE,"IG fixed RONIC";"IGRONIC1",#N/A,FALSE,"IG fixed RONIC"}</definedName>
    <definedName name="wrn.IGRONICbasicdata2" hidden="1">{"IGRONIC2",#N/A,FALSE,"IG fixed RONIC";"IGRONIC1",#N/A,FALSE,"IG fixed RONIC"}</definedName>
    <definedName name="wrn.NET." hidden="1">{"NET",#N/A,FALSE,"401C11"}</definedName>
    <definedName name="wrn.Period._.3." localSheetId="2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rint." hidden="1">{#N/A,#N/A,FALSE,"Admin";#N/A,#N/A,FALSE,"Other"}</definedName>
    <definedName name="wrn.printall." localSheetId="22" hidden="1">{#N/A,#N/A,FALSE,"Summary";#N/A,#N/A,FALSE,"Retail";#N/A,#N/A,FALSE,"Ret Sensitivity";#N/A,#N/A,FALSE,"Manufacturing";#N/A,#N/A,FALSE,"Man Sensitivity";#N/A,#N/A,FALSE,"Ops UK &amp; I HO";#N/A,#N/A,FALSE,"UK &amp; I HO sensitivity "}</definedName>
    <definedName name="wrn.printall." hidden="1">{#N/A,#N/A,FALSE,"Summary";#N/A,#N/A,FALSE,"Retail";#N/A,#N/A,FALSE,"Ret Sensitivity";#N/A,#N/A,FALSE,"Manufacturing";#N/A,#N/A,FALSE,"Man Sensitivity";#N/A,#N/A,FALSE,"Ops UK &amp; I HO";#N/A,#N/A,FALSE,"UK &amp; I HO sensitivity "}</definedName>
    <definedName name="wrn.Reader." hidden="1">{"Reader",#N/A,FALSE,"Summary";"Reader",#N/A,FALSE,"Buildup";"Reader",#N/A,FALSE,"Financials";"Reader",#N/A,FALSE,"Debt &amp; Other"}</definedName>
    <definedName name="wrn.Teacher." hidden="1">{"Teacher",#N/A,FALSE,"Summary";"Teacher",#N/A,FALSE,"Assumptions";"Teacher",#N/A,FALSE,"Buildup";"Teacher",#N/A,FALSE,"Financials";"Teacher",#N/A,FALSE,"Debt &amp; Other"}</definedName>
    <definedName name="wrn.TMCOMP." hidden="1">{#N/A,#N/A,FALSE,"TMCOMP96";#N/A,#N/A,FALSE,"MAT96";#N/A,#N/A,FALSE,"FANDA96";#N/A,#N/A,FALSE,"INTRAN96";#N/A,#N/A,FALSE,"NAA9697";#N/A,#N/A,FALSE,"ECWEBB";#N/A,#N/A,FALSE,"MFT96";#N/A,#N/A,FALSE,"CTrecon"}</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VALUATION." hidden="1">{#N/A,#N/A,FALSE,"Valuation Assumptions";#N/A,#N/A,FALSE,"Summary";#N/A,#N/A,FALSE,"DCF";#N/A,#N/A,FALSE,"Valuation";#N/A,#N/A,FALSE,"WACC";#N/A,#N/A,FALSE,"UBVH";#N/A,#N/A,FALSE,"Free Cash Flow"}</definedName>
    <definedName name="ww" hidden="1">#REF!</definedName>
    <definedName name="xx" localSheetId="22" hidden="1">{#N/A,#N/A,FALSE,"Summary";#N/A,#N/A,FALSE,"Retail";#N/A,#N/A,FALSE,"Ret Sensitivity";#N/A,#N/A,FALSE,"Manufacturing";#N/A,#N/A,FALSE,"Man Sensitivity";#N/A,#N/A,FALSE,"Ops UK &amp; I HO";#N/A,#N/A,FALSE,"UK &amp; I HO sensitivity "}</definedName>
    <definedName name="xx" hidden="1">{#N/A,#N/A,FALSE,"Summary";#N/A,#N/A,FALSE,"Retail";#N/A,#N/A,FALSE,"Ret Sensitivity";#N/A,#N/A,FALSE,"Manufacturing";#N/A,#N/A,FALSE,"Man Sensitivity";#N/A,#N/A,FALSE,"Ops UK &amp; I HO";#N/A,#N/A,FALSE,"UK &amp; I HO sensitivity "}</definedName>
    <definedName name="xxx" hidden="1">{"CHARGE",#N/A,FALSE,"401C11"}</definedName>
    <definedName name="xxxxxxxxxxxx"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yyy" hidden="1">{"GROSS",#N/A,FALSE,"401C11"}</definedName>
    <definedName name="z" hidden="1">#REF!</definedName>
    <definedName name="zujd" hidden="1">{"CHARGE",#N/A,FALSE,"401C11"}</definedName>
    <definedName name="zxxxx" hidden="1">{#N/A,#N/A,FALSE,"INPUTS";#N/A,#N/A,FALSE,"PROFORMA BSHEET";#N/A,#N/A,FALSE,"COMBINED";#N/A,#N/A,FALSE,"HIGH YIELD";#N/A,#N/A,FALSE,"COMB_GRAPHS"}</definedName>
    <definedName name="zzz" hidden="1">{"NET",#N/A,FALSE,"401C11"}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7" l="1"/>
  <c r="Z64" i="29" l="1"/>
  <c r="Z63" i="29"/>
  <c r="Y64" i="29"/>
  <c r="Y63" i="29"/>
  <c r="X64" i="29"/>
  <c r="X63" i="29"/>
  <c r="X62" i="29"/>
  <c r="Y62" i="29" s="1"/>
  <c r="Z62" i="29" s="1"/>
  <c r="T7" i="29"/>
  <c r="J15" i="50" l="1"/>
  <c r="J14" i="50"/>
  <c r="J13" i="50"/>
  <c r="J12" i="50"/>
  <c r="J11" i="50"/>
  <c r="J10" i="50"/>
  <c r="J9" i="50"/>
  <c r="BD8" i="47" l="1"/>
  <c r="BD9" i="47"/>
  <c r="BD10" i="47"/>
  <c r="BD11" i="47"/>
  <c r="BD12" i="47"/>
  <c r="BD13" i="47"/>
  <c r="BD14" i="47"/>
  <c r="BD15" i="47"/>
  <c r="BD16" i="47"/>
  <c r="BD17" i="47"/>
  <c r="BD18" i="47"/>
  <c r="BD19" i="47"/>
  <c r="BD20" i="47"/>
  <c r="BD21" i="47"/>
  <c r="BD22" i="47"/>
  <c r="BD23" i="47"/>
  <c r="BD24" i="47"/>
  <c r="BD25" i="47"/>
  <c r="BD26" i="47"/>
  <c r="BD27" i="47"/>
  <c r="BD28" i="47"/>
  <c r="BD29" i="47"/>
  <c r="BD30" i="47"/>
  <c r="BD31" i="47"/>
  <c r="BD32" i="47"/>
  <c r="BD33" i="47"/>
  <c r="BD34" i="47"/>
  <c r="BD35" i="47"/>
  <c r="BD36" i="47"/>
  <c r="BD37" i="47"/>
  <c r="BD38" i="47"/>
  <c r="BD39" i="47"/>
  <c r="BD40" i="47"/>
  <c r="BD41" i="47"/>
  <c r="BD42" i="47"/>
  <c r="BD43" i="47"/>
  <c r="BD44" i="47"/>
  <c r="BD45" i="47"/>
  <c r="BD46" i="47"/>
  <c r="BD47" i="47"/>
  <c r="BD48" i="47"/>
  <c r="BD7" i="47"/>
  <c r="AW1" i="53"/>
  <c r="AV1" i="53"/>
  <c r="BE8" i="49" l="1"/>
  <c r="BE9" i="49"/>
  <c r="BE10" i="49"/>
  <c r="BE11" i="49"/>
  <c r="BE12" i="49"/>
  <c r="BE13" i="49"/>
  <c r="BE14" i="49"/>
  <c r="BE15" i="49"/>
  <c r="BE16" i="49"/>
  <c r="BE17" i="49"/>
  <c r="BE18" i="49"/>
  <c r="BE19" i="49"/>
  <c r="BE20" i="49"/>
  <c r="BE21" i="49"/>
  <c r="BE22" i="49"/>
  <c r="BE23" i="49"/>
  <c r="BE24" i="49"/>
  <c r="BE25" i="49"/>
  <c r="BE26" i="49"/>
  <c r="BE27" i="49"/>
  <c r="BE28" i="49"/>
  <c r="BE29" i="49"/>
  <c r="BE30" i="49"/>
  <c r="BE31" i="49"/>
  <c r="BE32" i="49"/>
  <c r="BE33" i="49"/>
  <c r="BE34" i="49"/>
  <c r="BE35" i="49"/>
  <c r="BE36" i="49"/>
  <c r="BE37" i="49"/>
  <c r="BE38" i="49"/>
  <c r="BE39" i="49"/>
  <c r="BE40" i="49"/>
  <c r="BE41" i="49"/>
  <c r="BE42" i="49"/>
  <c r="BE43" i="49"/>
  <c r="BE44" i="49"/>
  <c r="BE45" i="49"/>
  <c r="BE46" i="49"/>
  <c r="BE47" i="49"/>
  <c r="BE48" i="49"/>
  <c r="BE7" i="49"/>
  <c r="BD8" i="49"/>
  <c r="BD9" i="49"/>
  <c r="BD10" i="49"/>
  <c r="BD11" i="49"/>
  <c r="BD12" i="49"/>
  <c r="BD13" i="49"/>
  <c r="BD14" i="49"/>
  <c r="BD15" i="49"/>
  <c r="BD16" i="49"/>
  <c r="BD17" i="49"/>
  <c r="BD18" i="49"/>
  <c r="BD19" i="49"/>
  <c r="BD20" i="49"/>
  <c r="BD21" i="49"/>
  <c r="BD22" i="49"/>
  <c r="BD23" i="49"/>
  <c r="BD24" i="49"/>
  <c r="BD25" i="49"/>
  <c r="BD26" i="49"/>
  <c r="BD27" i="49"/>
  <c r="BD28" i="49"/>
  <c r="BD29" i="49"/>
  <c r="BD30" i="49"/>
  <c r="BD31" i="49"/>
  <c r="BD32" i="49"/>
  <c r="BD33" i="49"/>
  <c r="BD34" i="49"/>
  <c r="BD35" i="49"/>
  <c r="BD36" i="49"/>
  <c r="BD37" i="49"/>
  <c r="BD38" i="49"/>
  <c r="BD39" i="49"/>
  <c r="BD40" i="49"/>
  <c r="BD41" i="49"/>
  <c r="BD42" i="49"/>
  <c r="BD43" i="49"/>
  <c r="BD44" i="49"/>
  <c r="BD45" i="49"/>
  <c r="BD46" i="49"/>
  <c r="BD47" i="49"/>
  <c r="BD48" i="49"/>
  <c r="BD7" i="49"/>
  <c r="BA2" i="53"/>
  <c r="BA5" i="53" s="1"/>
  <c r="Z8" i="37" s="1"/>
  <c r="O48" i="37"/>
  <c r="O40" i="37"/>
  <c r="O32" i="37"/>
  <c r="O24" i="37"/>
  <c r="O16" i="37"/>
  <c r="O8" i="37"/>
  <c r="AY5" i="53"/>
  <c r="AY6" i="53"/>
  <c r="O9" i="37" s="1"/>
  <c r="AY7" i="53"/>
  <c r="O10" i="37" s="1"/>
  <c r="AY8" i="53"/>
  <c r="O11" i="37" s="1"/>
  <c r="AY9" i="53"/>
  <c r="O12" i="37" s="1"/>
  <c r="AY10" i="53"/>
  <c r="O13" i="37" s="1"/>
  <c r="AY11" i="53"/>
  <c r="O14" i="37" s="1"/>
  <c r="AY12" i="53"/>
  <c r="O15" i="37" s="1"/>
  <c r="AY13" i="53"/>
  <c r="AY14" i="53"/>
  <c r="O17" i="37" s="1"/>
  <c r="AY15" i="53"/>
  <c r="O18" i="37" s="1"/>
  <c r="AY16" i="53"/>
  <c r="O19" i="37" s="1"/>
  <c r="AY17" i="53"/>
  <c r="O20" i="37" s="1"/>
  <c r="AY18" i="53"/>
  <c r="O21" i="37" s="1"/>
  <c r="AY19" i="53"/>
  <c r="O22" i="37" s="1"/>
  <c r="AY20" i="53"/>
  <c r="O23" i="37" s="1"/>
  <c r="AY21" i="53"/>
  <c r="AY22" i="53"/>
  <c r="O25" i="37" s="1"/>
  <c r="AY23" i="53"/>
  <c r="O26" i="37" s="1"/>
  <c r="AY24" i="53"/>
  <c r="O27" i="37" s="1"/>
  <c r="AY25" i="53"/>
  <c r="O28" i="37" s="1"/>
  <c r="AY26" i="53"/>
  <c r="O29" i="37" s="1"/>
  <c r="AY27" i="53"/>
  <c r="O30" i="37" s="1"/>
  <c r="AY28" i="53"/>
  <c r="O31" i="37" s="1"/>
  <c r="AY29" i="53"/>
  <c r="AY30" i="53"/>
  <c r="O33" i="37" s="1"/>
  <c r="AY31" i="53"/>
  <c r="O34" i="37" s="1"/>
  <c r="AY32" i="53"/>
  <c r="O35" i="37" s="1"/>
  <c r="AY33" i="53"/>
  <c r="O36" i="37" s="1"/>
  <c r="AY34" i="53"/>
  <c r="O37" i="37" s="1"/>
  <c r="AY35" i="53"/>
  <c r="O38" i="37" s="1"/>
  <c r="AY36" i="53"/>
  <c r="O39" i="37" s="1"/>
  <c r="AY37" i="53"/>
  <c r="AY38" i="53"/>
  <c r="O41" i="37" s="1"/>
  <c r="AY39" i="53"/>
  <c r="O42" i="37" s="1"/>
  <c r="AY40" i="53"/>
  <c r="O43" i="37" s="1"/>
  <c r="AY41" i="53"/>
  <c r="O44" i="37" s="1"/>
  <c r="AY42" i="53"/>
  <c r="O45" i="37" s="1"/>
  <c r="AY43" i="53"/>
  <c r="O46" i="37" s="1"/>
  <c r="AY44" i="53"/>
  <c r="O47" i="37" s="1"/>
  <c r="AY45" i="53"/>
  <c r="AY4" i="53"/>
  <c r="O7" i="37" s="1"/>
  <c r="BA36" i="53" l="1"/>
  <c r="Z39" i="37" s="1"/>
  <c r="BA44" i="53"/>
  <c r="Z47" i="37" s="1"/>
  <c r="BA18" i="53"/>
  <c r="Z21" i="37" s="1"/>
  <c r="BA28" i="53"/>
  <c r="Z31" i="37" s="1"/>
  <c r="BA20" i="53"/>
  <c r="Z23" i="37" s="1"/>
  <c r="BA12" i="53"/>
  <c r="Z15" i="37" s="1"/>
  <c r="BA43" i="53"/>
  <c r="Z46" i="37" s="1"/>
  <c r="BA35" i="53"/>
  <c r="Z38" i="37" s="1"/>
  <c r="BA27" i="53"/>
  <c r="Z30" i="37" s="1"/>
  <c r="BA19" i="53"/>
  <c r="Z22" i="37" s="1"/>
  <c r="BA11" i="53"/>
  <c r="Z14" i="37" s="1"/>
  <c r="BA41" i="53"/>
  <c r="Z44" i="37" s="1"/>
  <c r="BA33" i="53"/>
  <c r="Z36" i="37" s="1"/>
  <c r="BA25" i="53"/>
  <c r="Z28" i="37" s="1"/>
  <c r="BA17" i="53"/>
  <c r="Z20" i="37" s="1"/>
  <c r="BA9" i="53"/>
  <c r="Z12" i="37" s="1"/>
  <c r="BA42" i="53"/>
  <c r="Z45" i="37" s="1"/>
  <c r="BA34" i="53"/>
  <c r="Z37" i="37" s="1"/>
  <c r="BA26" i="53"/>
  <c r="Z29" i="37" s="1"/>
  <c r="BA10" i="53"/>
  <c r="Z13" i="37" s="1"/>
  <c r="BA40" i="53"/>
  <c r="Z43" i="37" s="1"/>
  <c r="BA32" i="53"/>
  <c r="Z35" i="37" s="1"/>
  <c r="BA24" i="53"/>
  <c r="Z27" i="37" s="1"/>
  <c r="BA16" i="53"/>
  <c r="Z19" i="37" s="1"/>
  <c r="BA8" i="53"/>
  <c r="Z11" i="37" s="1"/>
  <c r="BA39" i="53"/>
  <c r="Z42" i="37" s="1"/>
  <c r="BA31" i="53"/>
  <c r="Z34" i="37" s="1"/>
  <c r="BA23" i="53"/>
  <c r="Z26" i="37" s="1"/>
  <c r="BA15" i="53"/>
  <c r="Z18" i="37" s="1"/>
  <c r="BA7" i="53"/>
  <c r="Z10" i="37" s="1"/>
  <c r="BA4" i="53"/>
  <c r="BA38" i="53"/>
  <c r="Z41" i="37" s="1"/>
  <c r="BA30" i="53"/>
  <c r="Z33" i="37" s="1"/>
  <c r="BA22" i="53"/>
  <c r="Z25" i="37" s="1"/>
  <c r="BA14" i="53"/>
  <c r="Z17" i="37" s="1"/>
  <c r="BA6" i="53"/>
  <c r="Z9" i="37" s="1"/>
  <c r="BA45" i="53"/>
  <c r="Z48" i="37" s="1"/>
  <c r="BA37" i="53"/>
  <c r="Z40" i="37" s="1"/>
  <c r="BA29" i="53"/>
  <c r="Z32" i="37" s="1"/>
  <c r="BA21" i="53"/>
  <c r="Z24" i="37" s="1"/>
  <c r="BA13" i="53"/>
  <c r="Z16" i="37" s="1"/>
  <c r="Z7" i="37" l="1"/>
  <c r="BA1" i="53"/>
  <c r="C13" i="50" l="1"/>
  <c r="C9" i="50"/>
  <c r="AD47" i="29" l="1"/>
  <c r="AB47" i="29"/>
  <c r="Z47" i="29"/>
  <c r="C12" i="50" l="1"/>
  <c r="C17" i="50" s="1"/>
  <c r="C19" i="50" s="1"/>
  <c r="BQ8" i="45" l="1"/>
  <c r="BQ9" i="45"/>
  <c r="BQ10" i="45"/>
  <c r="BQ11" i="45"/>
  <c r="BQ12" i="45"/>
  <c r="BQ13" i="45"/>
  <c r="BQ14" i="45"/>
  <c r="BQ15" i="45"/>
  <c r="BQ16" i="45"/>
  <c r="BQ17" i="45"/>
  <c r="BQ18" i="45"/>
  <c r="BQ19" i="45"/>
  <c r="BQ20" i="45"/>
  <c r="BQ22" i="45"/>
  <c r="BQ23" i="45"/>
  <c r="BQ24" i="45"/>
  <c r="BQ25" i="45"/>
  <c r="BQ26" i="45"/>
  <c r="BQ27" i="45"/>
  <c r="BQ28" i="45"/>
  <c r="BQ29" i="45"/>
  <c r="BQ30" i="45"/>
  <c r="BQ31" i="45"/>
  <c r="BQ32" i="45"/>
  <c r="BQ33" i="45"/>
  <c r="BQ34" i="45"/>
  <c r="BQ35" i="45"/>
  <c r="BQ36" i="45"/>
  <c r="BQ37" i="45"/>
  <c r="BQ38" i="45"/>
  <c r="BQ39" i="45"/>
  <c r="BQ40" i="45"/>
  <c r="BQ41" i="45"/>
  <c r="BQ42" i="45"/>
  <c r="BQ43" i="45"/>
  <c r="BQ44" i="45"/>
  <c r="BQ45" i="45"/>
  <c r="BQ46" i="45"/>
  <c r="BQ47" i="45"/>
  <c r="BQ48" i="45"/>
  <c r="AR1" i="45"/>
  <c r="AI1" i="45"/>
  <c r="AJ1" i="45"/>
  <c r="AK1" i="45"/>
  <c r="AL1" i="45"/>
  <c r="AM1" i="45"/>
  <c r="AN1" i="45"/>
  <c r="AO1" i="45"/>
  <c r="AP1" i="45"/>
  <c r="AQ1" i="45"/>
  <c r="AH1" i="45"/>
  <c r="U1" i="45"/>
  <c r="V1" i="45"/>
  <c r="W1" i="45"/>
  <c r="X1" i="45"/>
  <c r="Y1" i="45"/>
  <c r="Z1" i="45"/>
  <c r="AA1" i="45"/>
  <c r="AB1" i="45"/>
  <c r="AC1" i="45"/>
  <c r="AD1" i="45"/>
  <c r="T1" i="45"/>
  <c r="AH7" i="45"/>
  <c r="AI7" i="45"/>
  <c r="AJ7" i="45"/>
  <c r="AK7" i="45"/>
  <c r="AO7" i="45"/>
  <c r="AQ7" i="45"/>
  <c r="AR7" i="45"/>
  <c r="AH9" i="45"/>
  <c r="AI9" i="45"/>
  <c r="AJ9" i="45"/>
  <c r="AK9" i="45"/>
  <c r="AO9" i="45"/>
  <c r="AQ9" i="45"/>
  <c r="AR9" i="45"/>
  <c r="AH10" i="45"/>
  <c r="AI10" i="45"/>
  <c r="AJ10" i="45"/>
  <c r="AK10" i="45"/>
  <c r="AO10" i="45"/>
  <c r="AQ10" i="45"/>
  <c r="AR10" i="45"/>
  <c r="AH11" i="45"/>
  <c r="AI11" i="45"/>
  <c r="AJ11" i="45"/>
  <c r="AK11" i="45"/>
  <c r="AO11" i="45"/>
  <c r="AQ11" i="45"/>
  <c r="AR11" i="45"/>
  <c r="AH13" i="45"/>
  <c r="AI13" i="45"/>
  <c r="AJ13" i="45"/>
  <c r="AK13" i="45"/>
  <c r="AO13" i="45"/>
  <c r="AQ13" i="45"/>
  <c r="AR13" i="45"/>
  <c r="AH12" i="45"/>
  <c r="AI12" i="45"/>
  <c r="AJ12" i="45"/>
  <c r="AK12" i="45"/>
  <c r="AO12" i="45"/>
  <c r="AQ12" i="45"/>
  <c r="AR12" i="45"/>
  <c r="AH15" i="45"/>
  <c r="AI15" i="45"/>
  <c r="AJ15" i="45"/>
  <c r="AK15" i="45"/>
  <c r="AO15" i="45"/>
  <c r="AQ15" i="45"/>
  <c r="AR15" i="45"/>
  <c r="AH14" i="45"/>
  <c r="AI14" i="45"/>
  <c r="AJ14" i="45"/>
  <c r="AK14" i="45"/>
  <c r="AO14" i="45"/>
  <c r="AQ14" i="45"/>
  <c r="AR14" i="45"/>
  <c r="AH16" i="45"/>
  <c r="AI16" i="45"/>
  <c r="AJ16" i="45"/>
  <c r="AK16" i="45"/>
  <c r="AO16" i="45"/>
  <c r="AQ16" i="45"/>
  <c r="AR16" i="45"/>
  <c r="AH33" i="45"/>
  <c r="AI33" i="45"/>
  <c r="AJ33" i="45"/>
  <c r="AK33" i="45"/>
  <c r="AO33" i="45"/>
  <c r="AQ33" i="45"/>
  <c r="AR33" i="45"/>
  <c r="AH20" i="45"/>
  <c r="AI20" i="45"/>
  <c r="AJ20" i="45"/>
  <c r="AK20" i="45"/>
  <c r="AO20" i="45"/>
  <c r="AQ20" i="45"/>
  <c r="AR20" i="45"/>
  <c r="AH21" i="45"/>
  <c r="AI21" i="45"/>
  <c r="AJ21" i="45"/>
  <c r="AK21" i="45"/>
  <c r="AO21" i="45"/>
  <c r="AQ21" i="45"/>
  <c r="AR21" i="45"/>
  <c r="AH19" i="45"/>
  <c r="AI19" i="45"/>
  <c r="AJ19" i="45"/>
  <c r="AK19" i="45"/>
  <c r="AO19" i="45"/>
  <c r="AQ19" i="45"/>
  <c r="AR19" i="45"/>
  <c r="AH31" i="45"/>
  <c r="AI31" i="45"/>
  <c r="AJ31" i="45"/>
  <c r="AK31" i="45"/>
  <c r="AO31" i="45"/>
  <c r="AQ31" i="45"/>
  <c r="AR31" i="45"/>
  <c r="AH24" i="45"/>
  <c r="AI24" i="45"/>
  <c r="AJ24" i="45"/>
  <c r="AK24" i="45"/>
  <c r="AO24" i="45"/>
  <c r="AQ24" i="45"/>
  <c r="AR24" i="45"/>
  <c r="AH23" i="45"/>
  <c r="AI23" i="45"/>
  <c r="AJ23" i="45"/>
  <c r="AK23" i="45"/>
  <c r="AO23" i="45"/>
  <c r="AQ23" i="45"/>
  <c r="AR23" i="45"/>
  <c r="AH27" i="45"/>
  <c r="AI27" i="45"/>
  <c r="AJ27" i="45"/>
  <c r="AK27" i="45"/>
  <c r="AO27" i="45"/>
  <c r="AQ27" i="45"/>
  <c r="AR27" i="45"/>
  <c r="AH18" i="45"/>
  <c r="AI18" i="45"/>
  <c r="AJ18" i="45"/>
  <c r="AK18" i="45"/>
  <c r="AO18" i="45"/>
  <c r="AQ18" i="45"/>
  <c r="AR18" i="45"/>
  <c r="AH26" i="45"/>
  <c r="AI26" i="45"/>
  <c r="AJ26" i="45"/>
  <c r="AK26" i="45"/>
  <c r="AO26" i="45"/>
  <c r="AQ26" i="45"/>
  <c r="AR26" i="45"/>
  <c r="AH22" i="45"/>
  <c r="AI22" i="45"/>
  <c r="AJ22" i="45"/>
  <c r="AK22" i="45"/>
  <c r="AO22" i="45"/>
  <c r="AQ22" i="45"/>
  <c r="AR22" i="45"/>
  <c r="AH25" i="45"/>
  <c r="AI25" i="45"/>
  <c r="AJ25" i="45"/>
  <c r="AK25" i="45"/>
  <c r="AO25" i="45"/>
  <c r="AQ25" i="45"/>
  <c r="AR25" i="45"/>
  <c r="AH17" i="45"/>
  <c r="AI17" i="45"/>
  <c r="AJ17" i="45"/>
  <c r="AK17" i="45"/>
  <c r="AO17" i="45"/>
  <c r="AQ17" i="45"/>
  <c r="AR17" i="45"/>
  <c r="AH28" i="45"/>
  <c r="AI28" i="45"/>
  <c r="AJ28" i="45"/>
  <c r="AK28" i="45"/>
  <c r="AO28" i="45"/>
  <c r="AQ28" i="45"/>
  <c r="AR28" i="45"/>
  <c r="AH34" i="45"/>
  <c r="AI34" i="45"/>
  <c r="AJ34" i="45"/>
  <c r="AK34" i="45"/>
  <c r="AO34" i="45"/>
  <c r="AQ34" i="45"/>
  <c r="AR34" i="45"/>
  <c r="AH29" i="45"/>
  <c r="AI29" i="45"/>
  <c r="AJ29" i="45"/>
  <c r="AK29" i="45"/>
  <c r="AO29" i="45"/>
  <c r="AQ29" i="45"/>
  <c r="AR29" i="45"/>
  <c r="AH32" i="45"/>
  <c r="AI32" i="45"/>
  <c r="AJ32" i="45"/>
  <c r="AK32" i="45"/>
  <c r="AO32" i="45"/>
  <c r="AQ32" i="45"/>
  <c r="AR32" i="45"/>
  <c r="AH35" i="45"/>
  <c r="AI35" i="45"/>
  <c r="AJ35" i="45"/>
  <c r="AK35" i="45"/>
  <c r="AO35" i="45"/>
  <c r="AQ35" i="45"/>
  <c r="AR35" i="45"/>
  <c r="AH36" i="45"/>
  <c r="AI36" i="45"/>
  <c r="AJ36" i="45"/>
  <c r="AK36" i="45"/>
  <c r="AO36" i="45"/>
  <c r="AQ36" i="45"/>
  <c r="AR36" i="45"/>
  <c r="AH37" i="45"/>
  <c r="AI37" i="45"/>
  <c r="AJ37" i="45"/>
  <c r="AK37" i="45"/>
  <c r="AO37" i="45"/>
  <c r="AQ37" i="45"/>
  <c r="AR37" i="45"/>
  <c r="AH38" i="45"/>
  <c r="AI38" i="45"/>
  <c r="AJ38" i="45"/>
  <c r="AK38" i="45"/>
  <c r="AO38" i="45"/>
  <c r="AQ38" i="45"/>
  <c r="AR38" i="45"/>
  <c r="AH39" i="45"/>
  <c r="AI39" i="45"/>
  <c r="AJ39" i="45"/>
  <c r="AK39" i="45"/>
  <c r="AO39" i="45"/>
  <c r="AQ39" i="45"/>
  <c r="AR39" i="45"/>
  <c r="AH40" i="45"/>
  <c r="AI40" i="45"/>
  <c r="AJ40" i="45"/>
  <c r="AK40" i="45"/>
  <c r="AO40" i="45"/>
  <c r="AQ40" i="45"/>
  <c r="AR40" i="45"/>
  <c r="AH41" i="45"/>
  <c r="AI41" i="45"/>
  <c r="AJ41" i="45"/>
  <c r="AK41" i="45"/>
  <c r="AO41" i="45"/>
  <c r="AQ41" i="45"/>
  <c r="AR41" i="45"/>
  <c r="AH47" i="45"/>
  <c r="AI47" i="45"/>
  <c r="AJ47" i="45"/>
  <c r="AK47" i="45"/>
  <c r="AO47" i="45"/>
  <c r="AQ47" i="45"/>
  <c r="AR47" i="45"/>
  <c r="AH42" i="45"/>
  <c r="AI42" i="45"/>
  <c r="AJ42" i="45"/>
  <c r="AK42" i="45"/>
  <c r="AO42" i="45"/>
  <c r="AQ42" i="45"/>
  <c r="AR42" i="45"/>
  <c r="AH48" i="45"/>
  <c r="AI48" i="45"/>
  <c r="AJ48" i="45"/>
  <c r="AK48" i="45"/>
  <c r="AO48" i="45"/>
  <c r="AQ48" i="45"/>
  <c r="AR48" i="45"/>
  <c r="AH30" i="45"/>
  <c r="AI30" i="45"/>
  <c r="AJ30" i="45"/>
  <c r="AK30" i="45"/>
  <c r="AO30" i="45"/>
  <c r="AQ30" i="45"/>
  <c r="AR30" i="45"/>
  <c r="AH43" i="45"/>
  <c r="AI43" i="45"/>
  <c r="AJ43" i="45"/>
  <c r="AK43" i="45"/>
  <c r="AO43" i="45"/>
  <c r="AQ43" i="45"/>
  <c r="AR43" i="45"/>
  <c r="AH44" i="45"/>
  <c r="AI44" i="45"/>
  <c r="AJ44" i="45"/>
  <c r="AK44" i="45"/>
  <c r="AO44" i="45"/>
  <c r="AQ44" i="45"/>
  <c r="AR44" i="45"/>
  <c r="AH45" i="45"/>
  <c r="AI45" i="45"/>
  <c r="AJ45" i="45"/>
  <c r="AK45" i="45"/>
  <c r="AO45" i="45"/>
  <c r="AQ45" i="45"/>
  <c r="AR45" i="45"/>
  <c r="AH46" i="45"/>
  <c r="AI46" i="45"/>
  <c r="AJ46" i="45"/>
  <c r="AK46" i="45"/>
  <c r="AO46" i="45"/>
  <c r="AQ46" i="45"/>
  <c r="AR46" i="45"/>
  <c r="AI8" i="45"/>
  <c r="AJ8" i="45"/>
  <c r="AK8" i="45"/>
  <c r="AO8" i="45"/>
  <c r="AQ8" i="45"/>
  <c r="AR8" i="45"/>
  <c r="AH8" i="45"/>
  <c r="T7" i="45"/>
  <c r="U7" i="45"/>
  <c r="V7" i="45"/>
  <c r="W7" i="45"/>
  <c r="AA7" i="45"/>
  <c r="AC7" i="45"/>
  <c r="AD7" i="45"/>
  <c r="T9" i="45"/>
  <c r="U9" i="45"/>
  <c r="V9" i="45"/>
  <c r="W9" i="45"/>
  <c r="AA9" i="45"/>
  <c r="AC9" i="45"/>
  <c r="AD9" i="45"/>
  <c r="T10" i="45"/>
  <c r="U10" i="45"/>
  <c r="V10" i="45"/>
  <c r="W10" i="45"/>
  <c r="AA10" i="45"/>
  <c r="AC10" i="45"/>
  <c r="AD10" i="45"/>
  <c r="T11" i="45"/>
  <c r="U11" i="45"/>
  <c r="V11" i="45"/>
  <c r="W11" i="45"/>
  <c r="AA11" i="45"/>
  <c r="AC11" i="45"/>
  <c r="AD11" i="45"/>
  <c r="T13" i="45"/>
  <c r="U13" i="45"/>
  <c r="V13" i="45"/>
  <c r="W13" i="45"/>
  <c r="AA13" i="45"/>
  <c r="AC13" i="45"/>
  <c r="AD13" i="45"/>
  <c r="T12" i="45"/>
  <c r="U12" i="45"/>
  <c r="V12" i="45"/>
  <c r="W12" i="45"/>
  <c r="AA12" i="45"/>
  <c r="AC12" i="45"/>
  <c r="AD12" i="45"/>
  <c r="T15" i="45"/>
  <c r="U15" i="45"/>
  <c r="V15" i="45"/>
  <c r="W15" i="45"/>
  <c r="AA15" i="45"/>
  <c r="AC15" i="45"/>
  <c r="AD15" i="45"/>
  <c r="T14" i="45"/>
  <c r="U14" i="45"/>
  <c r="V14" i="45"/>
  <c r="W14" i="45"/>
  <c r="AA14" i="45"/>
  <c r="AC14" i="45"/>
  <c r="AD14" i="45"/>
  <c r="T16" i="45"/>
  <c r="U16" i="45"/>
  <c r="V16" i="45"/>
  <c r="W16" i="45"/>
  <c r="AA16" i="45"/>
  <c r="AC16" i="45"/>
  <c r="AD16" i="45"/>
  <c r="T33" i="45"/>
  <c r="U33" i="45"/>
  <c r="V33" i="45"/>
  <c r="W33" i="45"/>
  <c r="AA33" i="45"/>
  <c r="AC33" i="45"/>
  <c r="AD33" i="45"/>
  <c r="T20" i="45"/>
  <c r="U20" i="45"/>
  <c r="V20" i="45"/>
  <c r="W20" i="45"/>
  <c r="AA20" i="45"/>
  <c r="AC20" i="45"/>
  <c r="AD20" i="45"/>
  <c r="T21" i="45"/>
  <c r="U21" i="45"/>
  <c r="V21" i="45"/>
  <c r="W21" i="45"/>
  <c r="AA21" i="45"/>
  <c r="AC21" i="45"/>
  <c r="AD21" i="45"/>
  <c r="T19" i="45"/>
  <c r="U19" i="45"/>
  <c r="V19" i="45"/>
  <c r="W19" i="45"/>
  <c r="AA19" i="45"/>
  <c r="AC19" i="45"/>
  <c r="AD19" i="45"/>
  <c r="T31" i="45"/>
  <c r="U31" i="45"/>
  <c r="V31" i="45"/>
  <c r="W31" i="45"/>
  <c r="AA31" i="45"/>
  <c r="AC31" i="45"/>
  <c r="AD31" i="45"/>
  <c r="T24" i="45"/>
  <c r="U24" i="45"/>
  <c r="V24" i="45"/>
  <c r="W24" i="45"/>
  <c r="AA24" i="45"/>
  <c r="AC24" i="45"/>
  <c r="AD24" i="45"/>
  <c r="T23" i="45"/>
  <c r="U23" i="45"/>
  <c r="V23" i="45"/>
  <c r="W23" i="45"/>
  <c r="AA23" i="45"/>
  <c r="AC23" i="45"/>
  <c r="AD23" i="45"/>
  <c r="T27" i="45"/>
  <c r="U27" i="45"/>
  <c r="V27" i="45"/>
  <c r="W27" i="45"/>
  <c r="AA27" i="45"/>
  <c r="AC27" i="45"/>
  <c r="AD27" i="45"/>
  <c r="T18" i="45"/>
  <c r="U18" i="45"/>
  <c r="V18" i="45"/>
  <c r="W18" i="45"/>
  <c r="AA18" i="45"/>
  <c r="AC18" i="45"/>
  <c r="AD18" i="45"/>
  <c r="T26" i="45"/>
  <c r="U26" i="45"/>
  <c r="V26" i="45"/>
  <c r="W26" i="45"/>
  <c r="AA26" i="45"/>
  <c r="AC26" i="45"/>
  <c r="AD26" i="45"/>
  <c r="T22" i="45"/>
  <c r="U22" i="45"/>
  <c r="V22" i="45"/>
  <c r="W22" i="45"/>
  <c r="AA22" i="45"/>
  <c r="AC22" i="45"/>
  <c r="AD22" i="45"/>
  <c r="T25" i="45"/>
  <c r="U25" i="45"/>
  <c r="V25" i="45"/>
  <c r="W25" i="45"/>
  <c r="AA25" i="45"/>
  <c r="AC25" i="45"/>
  <c r="AD25" i="45"/>
  <c r="T17" i="45"/>
  <c r="U17" i="45"/>
  <c r="V17" i="45"/>
  <c r="W17" i="45"/>
  <c r="AA17" i="45"/>
  <c r="AC17" i="45"/>
  <c r="AD17" i="45"/>
  <c r="T28" i="45"/>
  <c r="U28" i="45"/>
  <c r="V28" i="45"/>
  <c r="W28" i="45"/>
  <c r="AA28" i="45"/>
  <c r="AC28" i="45"/>
  <c r="AD28" i="45"/>
  <c r="T34" i="45"/>
  <c r="U34" i="45"/>
  <c r="V34" i="45"/>
  <c r="W34" i="45"/>
  <c r="AA34" i="45"/>
  <c r="AC34" i="45"/>
  <c r="AD34" i="45"/>
  <c r="T29" i="45"/>
  <c r="U29" i="45"/>
  <c r="V29" i="45"/>
  <c r="W29" i="45"/>
  <c r="AA29" i="45"/>
  <c r="AC29" i="45"/>
  <c r="AD29" i="45"/>
  <c r="T32" i="45"/>
  <c r="U32" i="45"/>
  <c r="V32" i="45"/>
  <c r="W32" i="45"/>
  <c r="AA32" i="45"/>
  <c r="AC32" i="45"/>
  <c r="AD32" i="45"/>
  <c r="T35" i="45"/>
  <c r="U35" i="45"/>
  <c r="V35" i="45"/>
  <c r="W35" i="45"/>
  <c r="AA35" i="45"/>
  <c r="AC35" i="45"/>
  <c r="AD35" i="45"/>
  <c r="T36" i="45"/>
  <c r="U36" i="45"/>
  <c r="V36" i="45"/>
  <c r="W36" i="45"/>
  <c r="AA36" i="45"/>
  <c r="AC36" i="45"/>
  <c r="AD36" i="45"/>
  <c r="T37" i="45"/>
  <c r="U37" i="45"/>
  <c r="V37" i="45"/>
  <c r="W37" i="45"/>
  <c r="AA37" i="45"/>
  <c r="AC37" i="45"/>
  <c r="AD37" i="45"/>
  <c r="T38" i="45"/>
  <c r="U38" i="45"/>
  <c r="V38" i="45"/>
  <c r="W38" i="45"/>
  <c r="AA38" i="45"/>
  <c r="AC38" i="45"/>
  <c r="AD38" i="45"/>
  <c r="T39" i="45"/>
  <c r="U39" i="45"/>
  <c r="V39" i="45"/>
  <c r="W39" i="45"/>
  <c r="AA39" i="45"/>
  <c r="AC39" i="45"/>
  <c r="AD39" i="45"/>
  <c r="T40" i="45"/>
  <c r="U40" i="45"/>
  <c r="V40" i="45"/>
  <c r="W40" i="45"/>
  <c r="AA40" i="45"/>
  <c r="AC40" i="45"/>
  <c r="AD40" i="45"/>
  <c r="T41" i="45"/>
  <c r="U41" i="45"/>
  <c r="V41" i="45"/>
  <c r="W41" i="45"/>
  <c r="AA41" i="45"/>
  <c r="AC41" i="45"/>
  <c r="AD41" i="45"/>
  <c r="T47" i="45"/>
  <c r="U47" i="45"/>
  <c r="V47" i="45"/>
  <c r="W47" i="45"/>
  <c r="AA47" i="45"/>
  <c r="AC47" i="45"/>
  <c r="AD47" i="45"/>
  <c r="T42" i="45"/>
  <c r="U42" i="45"/>
  <c r="V42" i="45"/>
  <c r="W42" i="45"/>
  <c r="AA42" i="45"/>
  <c r="AC42" i="45"/>
  <c r="AD42" i="45"/>
  <c r="T48" i="45"/>
  <c r="U48" i="45"/>
  <c r="V48" i="45"/>
  <c r="W48" i="45"/>
  <c r="AA48" i="45"/>
  <c r="AC48" i="45"/>
  <c r="AD48" i="45"/>
  <c r="T30" i="45"/>
  <c r="U30" i="45"/>
  <c r="V30" i="45"/>
  <c r="W30" i="45"/>
  <c r="AA30" i="45"/>
  <c r="AC30" i="45"/>
  <c r="AD30" i="45"/>
  <c r="T43" i="45"/>
  <c r="U43" i="45"/>
  <c r="V43" i="45"/>
  <c r="W43" i="45"/>
  <c r="AA43" i="45"/>
  <c r="AC43" i="45"/>
  <c r="AD43" i="45"/>
  <c r="T44" i="45"/>
  <c r="U44" i="45"/>
  <c r="V44" i="45"/>
  <c r="W44" i="45"/>
  <c r="AA44" i="45"/>
  <c r="AC44" i="45"/>
  <c r="AD44" i="45"/>
  <c r="T45" i="45"/>
  <c r="U45" i="45"/>
  <c r="V45" i="45"/>
  <c r="W45" i="45"/>
  <c r="AA45" i="45"/>
  <c r="AC45" i="45"/>
  <c r="AD45" i="45"/>
  <c r="T46" i="45"/>
  <c r="U46" i="45"/>
  <c r="V46" i="45"/>
  <c r="W46" i="45"/>
  <c r="AA46" i="45"/>
  <c r="AC46" i="45"/>
  <c r="AD46" i="45"/>
  <c r="U8" i="45"/>
  <c r="V8" i="45"/>
  <c r="W8" i="45"/>
  <c r="AA8" i="45"/>
  <c r="AC8" i="45"/>
  <c r="AD8" i="45"/>
  <c r="T8" i="45"/>
  <c r="F7" i="45"/>
  <c r="G7" i="45"/>
  <c r="H7" i="45"/>
  <c r="I7" i="45"/>
  <c r="K50" i="45"/>
  <c r="M7" i="45"/>
  <c r="O7" i="45"/>
  <c r="P7" i="45"/>
  <c r="F9" i="45"/>
  <c r="G9" i="45"/>
  <c r="H9" i="45"/>
  <c r="I9" i="45"/>
  <c r="M9" i="45"/>
  <c r="O9" i="45"/>
  <c r="P9" i="45"/>
  <c r="F10" i="45"/>
  <c r="G10" i="45"/>
  <c r="H10" i="45"/>
  <c r="I10" i="45"/>
  <c r="M10" i="45"/>
  <c r="O10" i="45"/>
  <c r="P10" i="45"/>
  <c r="F11" i="45"/>
  <c r="G11" i="45"/>
  <c r="H11" i="45"/>
  <c r="I11" i="45"/>
  <c r="M11" i="45"/>
  <c r="O11" i="45"/>
  <c r="P11" i="45"/>
  <c r="F13" i="45"/>
  <c r="G13" i="45"/>
  <c r="H13" i="45"/>
  <c r="I13" i="45"/>
  <c r="M13" i="45"/>
  <c r="O13" i="45"/>
  <c r="P13" i="45"/>
  <c r="F12" i="45"/>
  <c r="G12" i="45"/>
  <c r="H12" i="45"/>
  <c r="I12" i="45"/>
  <c r="M12" i="45"/>
  <c r="O12" i="45"/>
  <c r="P12" i="45"/>
  <c r="F15" i="45"/>
  <c r="G15" i="45"/>
  <c r="H15" i="45"/>
  <c r="I15" i="45"/>
  <c r="M15" i="45"/>
  <c r="O15" i="45"/>
  <c r="P15" i="45"/>
  <c r="F14" i="45"/>
  <c r="G14" i="45"/>
  <c r="H14" i="45"/>
  <c r="I14" i="45"/>
  <c r="M14" i="45"/>
  <c r="O14" i="45"/>
  <c r="P14" i="45"/>
  <c r="F16" i="45"/>
  <c r="G16" i="45"/>
  <c r="H16" i="45"/>
  <c r="I16" i="45"/>
  <c r="M16" i="45"/>
  <c r="O16" i="45"/>
  <c r="P16" i="45"/>
  <c r="F33" i="45"/>
  <c r="G33" i="45"/>
  <c r="H33" i="45"/>
  <c r="I33" i="45"/>
  <c r="M33" i="45"/>
  <c r="O33" i="45"/>
  <c r="P33" i="45"/>
  <c r="F20" i="45"/>
  <c r="G20" i="45"/>
  <c r="H20" i="45"/>
  <c r="I20" i="45"/>
  <c r="M20" i="45"/>
  <c r="O20" i="45"/>
  <c r="P20" i="45"/>
  <c r="F21" i="45"/>
  <c r="G21" i="45"/>
  <c r="H21" i="45"/>
  <c r="I21" i="45"/>
  <c r="M21" i="45"/>
  <c r="O21" i="45"/>
  <c r="P21" i="45"/>
  <c r="F19" i="45"/>
  <c r="G19" i="45"/>
  <c r="H19" i="45"/>
  <c r="I19" i="45"/>
  <c r="M19" i="45"/>
  <c r="O19" i="45"/>
  <c r="P19" i="45"/>
  <c r="F31" i="45"/>
  <c r="G31" i="45"/>
  <c r="H31" i="45"/>
  <c r="I31" i="45"/>
  <c r="M31" i="45"/>
  <c r="O31" i="45"/>
  <c r="P31" i="45"/>
  <c r="F24" i="45"/>
  <c r="G24" i="45"/>
  <c r="H24" i="45"/>
  <c r="I24" i="45"/>
  <c r="M24" i="45"/>
  <c r="O24" i="45"/>
  <c r="P24" i="45"/>
  <c r="F23" i="45"/>
  <c r="G23" i="45"/>
  <c r="H23" i="45"/>
  <c r="I23" i="45"/>
  <c r="M23" i="45"/>
  <c r="O23" i="45"/>
  <c r="P23" i="45"/>
  <c r="F27" i="45"/>
  <c r="G27" i="45"/>
  <c r="H27" i="45"/>
  <c r="I27" i="45"/>
  <c r="M27" i="45"/>
  <c r="O27" i="45"/>
  <c r="P27" i="45"/>
  <c r="F18" i="45"/>
  <c r="G18" i="45"/>
  <c r="H18" i="45"/>
  <c r="I18" i="45"/>
  <c r="M18" i="45"/>
  <c r="O18" i="45"/>
  <c r="P18" i="45"/>
  <c r="F26" i="45"/>
  <c r="G26" i="45"/>
  <c r="H26" i="45"/>
  <c r="I26" i="45"/>
  <c r="M26" i="45"/>
  <c r="O26" i="45"/>
  <c r="P26" i="45"/>
  <c r="F22" i="45"/>
  <c r="G22" i="45"/>
  <c r="H22" i="45"/>
  <c r="I22" i="45"/>
  <c r="M22" i="45"/>
  <c r="O22" i="45"/>
  <c r="P22" i="45"/>
  <c r="F25" i="45"/>
  <c r="G25" i="45"/>
  <c r="H25" i="45"/>
  <c r="I25" i="45"/>
  <c r="M25" i="45"/>
  <c r="O25" i="45"/>
  <c r="P25" i="45"/>
  <c r="F17" i="45"/>
  <c r="G17" i="45"/>
  <c r="H17" i="45"/>
  <c r="I17" i="45"/>
  <c r="M17" i="45"/>
  <c r="O17" i="45"/>
  <c r="P17" i="45"/>
  <c r="F28" i="45"/>
  <c r="G28" i="45"/>
  <c r="H28" i="45"/>
  <c r="I28" i="45"/>
  <c r="M28" i="45"/>
  <c r="O28" i="45"/>
  <c r="P28" i="45"/>
  <c r="F34" i="45"/>
  <c r="G34" i="45"/>
  <c r="H34" i="45"/>
  <c r="I34" i="45"/>
  <c r="M34" i="45"/>
  <c r="O34" i="45"/>
  <c r="P34" i="45"/>
  <c r="F29" i="45"/>
  <c r="G29" i="45"/>
  <c r="H29" i="45"/>
  <c r="I29" i="45"/>
  <c r="M29" i="45"/>
  <c r="O29" i="45"/>
  <c r="P29" i="45"/>
  <c r="F32" i="45"/>
  <c r="G32" i="45"/>
  <c r="H32" i="45"/>
  <c r="I32" i="45"/>
  <c r="M32" i="45"/>
  <c r="O32" i="45"/>
  <c r="P32" i="45"/>
  <c r="F35" i="45"/>
  <c r="G35" i="45"/>
  <c r="H35" i="45"/>
  <c r="I35" i="45"/>
  <c r="M35" i="45"/>
  <c r="O35" i="45"/>
  <c r="P35" i="45"/>
  <c r="F36" i="45"/>
  <c r="G36" i="45"/>
  <c r="H36" i="45"/>
  <c r="I36" i="45"/>
  <c r="M36" i="45"/>
  <c r="O36" i="45"/>
  <c r="P36" i="45"/>
  <c r="F37" i="45"/>
  <c r="G37" i="45"/>
  <c r="H37" i="45"/>
  <c r="I37" i="45"/>
  <c r="M37" i="45"/>
  <c r="O37" i="45"/>
  <c r="P37" i="45"/>
  <c r="F38" i="45"/>
  <c r="G38" i="45"/>
  <c r="H38" i="45"/>
  <c r="I38" i="45"/>
  <c r="M38" i="45"/>
  <c r="O38" i="45"/>
  <c r="P38" i="45"/>
  <c r="F39" i="45"/>
  <c r="G39" i="45"/>
  <c r="H39" i="45"/>
  <c r="I39" i="45"/>
  <c r="M39" i="45"/>
  <c r="O39" i="45"/>
  <c r="P39" i="45"/>
  <c r="F40" i="45"/>
  <c r="G40" i="45"/>
  <c r="H40" i="45"/>
  <c r="I40" i="45"/>
  <c r="M40" i="45"/>
  <c r="O40" i="45"/>
  <c r="P40" i="45"/>
  <c r="F41" i="45"/>
  <c r="G41" i="45"/>
  <c r="H41" i="45"/>
  <c r="I41" i="45"/>
  <c r="M41" i="45"/>
  <c r="O41" i="45"/>
  <c r="P41" i="45"/>
  <c r="F47" i="45"/>
  <c r="G47" i="45"/>
  <c r="H47" i="45"/>
  <c r="I47" i="45"/>
  <c r="M47" i="45"/>
  <c r="O47" i="45"/>
  <c r="P47" i="45"/>
  <c r="F42" i="45"/>
  <c r="G42" i="45"/>
  <c r="H42" i="45"/>
  <c r="I42" i="45"/>
  <c r="M42" i="45"/>
  <c r="O42" i="45"/>
  <c r="P42" i="45"/>
  <c r="F48" i="45"/>
  <c r="G48" i="45"/>
  <c r="H48" i="45"/>
  <c r="I48" i="45"/>
  <c r="M48" i="45"/>
  <c r="O48" i="45"/>
  <c r="P48" i="45"/>
  <c r="F30" i="45"/>
  <c r="G30" i="45"/>
  <c r="H30" i="45"/>
  <c r="I30" i="45"/>
  <c r="M30" i="45"/>
  <c r="O30" i="45"/>
  <c r="P30" i="45"/>
  <c r="F43" i="45"/>
  <c r="G43" i="45"/>
  <c r="H43" i="45"/>
  <c r="I43" i="45"/>
  <c r="M43" i="45"/>
  <c r="O43" i="45"/>
  <c r="P43" i="45"/>
  <c r="F44" i="45"/>
  <c r="G44" i="45"/>
  <c r="H44" i="45"/>
  <c r="I44" i="45"/>
  <c r="M44" i="45"/>
  <c r="O44" i="45"/>
  <c r="P44" i="45"/>
  <c r="F45" i="45"/>
  <c r="G45" i="45"/>
  <c r="H45" i="45"/>
  <c r="I45" i="45"/>
  <c r="M45" i="45"/>
  <c r="O45" i="45"/>
  <c r="P45" i="45"/>
  <c r="F46" i="45"/>
  <c r="G46" i="45"/>
  <c r="H46" i="45"/>
  <c r="I46" i="45"/>
  <c r="M46" i="45"/>
  <c r="O46" i="45"/>
  <c r="P46" i="45"/>
  <c r="G8" i="45"/>
  <c r="H8" i="45"/>
  <c r="I8" i="45"/>
  <c r="M8" i="45"/>
  <c r="O8" i="45"/>
  <c r="P8" i="45"/>
  <c r="F8" i="45"/>
  <c r="K1" i="44"/>
  <c r="N1" i="44"/>
  <c r="F1" i="44" s="1"/>
  <c r="O1" i="44"/>
  <c r="G1" i="44" s="1"/>
  <c r="P1" i="44"/>
  <c r="H1" i="44" s="1"/>
  <c r="Q1" i="44"/>
  <c r="I1" i="44" s="1"/>
  <c r="R1" i="44"/>
  <c r="J1" i="44" s="1"/>
  <c r="S1" i="44"/>
  <c r="T1" i="44"/>
  <c r="L1" i="44" s="1"/>
  <c r="E9" i="37"/>
  <c r="Z54" i="29"/>
  <c r="AC47" i="29"/>
  <c r="AA47" i="29"/>
  <c r="Y47" i="29"/>
  <c r="AS23" i="45" l="1"/>
  <c r="BI23" i="45" s="1"/>
  <c r="CA23" i="45" s="1"/>
  <c r="AS29" i="45"/>
  <c r="BI29" i="45" s="1"/>
  <c r="CA29" i="45" s="1"/>
  <c r="AS8" i="45"/>
  <c r="BI8" i="45" s="1"/>
  <c r="CA8" i="45" s="1"/>
  <c r="AE32" i="45"/>
  <c r="BE32" i="45" s="1"/>
  <c r="BX32" i="45" s="1"/>
  <c r="AE9" i="45"/>
  <c r="BE9" i="45" s="1"/>
  <c r="AE21" i="45"/>
  <c r="BE21" i="45" s="1"/>
  <c r="BX21" i="45" s="1"/>
  <c r="AE19" i="45"/>
  <c r="BE19" i="45" s="1"/>
  <c r="BX19" i="45" s="1"/>
  <c r="AS15" i="45"/>
  <c r="BI15" i="45" s="1"/>
  <c r="CA15" i="45" s="1"/>
  <c r="Q25" i="45"/>
  <c r="BA25" i="45" s="1"/>
  <c r="BU25" i="45" s="1"/>
  <c r="Q19" i="45"/>
  <c r="BA19" i="45" s="1"/>
  <c r="BU19" i="45" s="1"/>
  <c r="AE45" i="45"/>
  <c r="BE45" i="45" s="1"/>
  <c r="BX45" i="45" s="1"/>
  <c r="AS47" i="45"/>
  <c r="BI47" i="45" s="1"/>
  <c r="CA47" i="45" s="1"/>
  <c r="AE46" i="45"/>
  <c r="BE46" i="45" s="1"/>
  <c r="BX46" i="45" s="1"/>
  <c r="AE35" i="45"/>
  <c r="BE35" i="45" s="1"/>
  <c r="BX35" i="45" s="1"/>
  <c r="F50" i="45"/>
  <c r="Q8" i="45"/>
  <c r="BA8" i="45" s="1"/>
  <c r="BU8" i="45" s="1"/>
  <c r="Q22" i="45"/>
  <c r="BA22" i="45" s="1"/>
  <c r="BU22" i="45" s="1"/>
  <c r="Q20" i="45"/>
  <c r="BA20" i="45" s="1"/>
  <c r="BU20" i="45" s="1"/>
  <c r="AE30" i="45"/>
  <c r="BE30" i="45" s="1"/>
  <c r="BX30" i="45" s="1"/>
  <c r="AS46" i="45"/>
  <c r="BI46" i="45" s="1"/>
  <c r="CA46" i="45" s="1"/>
  <c r="AS40" i="45"/>
  <c r="BI40" i="45" s="1"/>
  <c r="CA40" i="45" s="1"/>
  <c r="AS28" i="45"/>
  <c r="BI28" i="45" s="1"/>
  <c r="CA28" i="45" s="1"/>
  <c r="AS31" i="45"/>
  <c r="BI31" i="45" s="1"/>
  <c r="CA31" i="45" s="1"/>
  <c r="AS19" i="45"/>
  <c r="BI19" i="45" s="1"/>
  <c r="CA19" i="45" s="1"/>
  <c r="AS11" i="45"/>
  <c r="BI11" i="45" s="1"/>
  <c r="CA11" i="45" s="1"/>
  <c r="Q33" i="45"/>
  <c r="BA33" i="45" s="1"/>
  <c r="BU33" i="45" s="1"/>
  <c r="AE48" i="45"/>
  <c r="BE48" i="45" s="1"/>
  <c r="BX48" i="45" s="1"/>
  <c r="AE34" i="45"/>
  <c r="BE34" i="45" s="1"/>
  <c r="BX34" i="45" s="1"/>
  <c r="AE33" i="45"/>
  <c r="BE33" i="45" s="1"/>
  <c r="BX33" i="45" s="1"/>
  <c r="Q28" i="45"/>
  <c r="BA28" i="45" s="1"/>
  <c r="BU28" i="45" s="1"/>
  <c r="Q17" i="45"/>
  <c r="BA17" i="45" s="1"/>
  <c r="BU17" i="45" s="1"/>
  <c r="Q21" i="45"/>
  <c r="BA21" i="45" s="1"/>
  <c r="BU21" i="45" s="1"/>
  <c r="AE44" i="45"/>
  <c r="BE44" i="45" s="1"/>
  <c r="BX44" i="45" s="1"/>
  <c r="AE43" i="45"/>
  <c r="BE43" i="45" s="1"/>
  <c r="BX43" i="45" s="1"/>
  <c r="AE29" i="45"/>
  <c r="BE29" i="45" s="1"/>
  <c r="BX29" i="45" s="1"/>
  <c r="AE20" i="45"/>
  <c r="BE20" i="45" s="1"/>
  <c r="BX20" i="45" s="1"/>
  <c r="AE7" i="45"/>
  <c r="AS41" i="45"/>
  <c r="BI41" i="45" s="1"/>
  <c r="CA41" i="45" s="1"/>
  <c r="AS34" i="45"/>
  <c r="BI34" i="45" s="1"/>
  <c r="CA34" i="45" s="1"/>
  <c r="AS24" i="45"/>
  <c r="BI24" i="45" s="1"/>
  <c r="CA24" i="45" s="1"/>
  <c r="AS12" i="45"/>
  <c r="BI12" i="45" s="1"/>
  <c r="CA12" i="45" s="1"/>
  <c r="AS13" i="45"/>
  <c r="BI13" i="45" s="1"/>
  <c r="CA13" i="45" s="1"/>
  <c r="Q35" i="45"/>
  <c r="BA35" i="45" s="1"/>
  <c r="BU35" i="45" s="1"/>
  <c r="Q32" i="45"/>
  <c r="BA32" i="45" s="1"/>
  <c r="BU32" i="45" s="1"/>
  <c r="Q31" i="45"/>
  <c r="BA31" i="45" s="1"/>
  <c r="BU31" i="45" s="1"/>
  <c r="AE36" i="45"/>
  <c r="BE36" i="45" s="1"/>
  <c r="BX36" i="45" s="1"/>
  <c r="AE24" i="45"/>
  <c r="BE24" i="45" s="1"/>
  <c r="BX24" i="45" s="1"/>
  <c r="AE31" i="45"/>
  <c r="BE31" i="45" s="1"/>
  <c r="BX31" i="45" s="1"/>
  <c r="AE10" i="45"/>
  <c r="BE10" i="45" s="1"/>
  <c r="BX10" i="45" s="1"/>
  <c r="AS42" i="45"/>
  <c r="BI42" i="45" s="1"/>
  <c r="CA42" i="45" s="1"/>
  <c r="AS32" i="45"/>
  <c r="BI32" i="45" s="1"/>
  <c r="CA32" i="45" s="1"/>
  <c r="AS27" i="45"/>
  <c r="BI27" i="45" s="1"/>
  <c r="CA27" i="45" s="1"/>
  <c r="AS14" i="45"/>
  <c r="BI14" i="45" s="1"/>
  <c r="CA14" i="45" s="1"/>
  <c r="Q37" i="45"/>
  <c r="BA37" i="45" s="1"/>
  <c r="BU37" i="45" s="1"/>
  <c r="Q36" i="45"/>
  <c r="BA36" i="45" s="1"/>
  <c r="BU36" i="45" s="1"/>
  <c r="R23" i="45"/>
  <c r="Q24" i="45"/>
  <c r="BA24" i="45" s="1"/>
  <c r="BU24" i="45" s="1"/>
  <c r="Q10" i="45"/>
  <c r="BA10" i="45" s="1"/>
  <c r="BU10" i="45" s="1"/>
  <c r="Q9" i="45"/>
  <c r="BA9" i="45" s="1"/>
  <c r="BU9" i="45" s="1"/>
  <c r="Q7" i="45"/>
  <c r="BA7" i="45" s="1"/>
  <c r="BU7" i="45" s="1"/>
  <c r="AE37" i="45"/>
  <c r="BE37" i="45" s="1"/>
  <c r="BX37" i="45" s="1"/>
  <c r="AE27" i="45"/>
  <c r="BE27" i="45" s="1"/>
  <c r="BX27" i="45" s="1"/>
  <c r="AE23" i="45"/>
  <c r="BE23" i="45" s="1"/>
  <c r="BX23" i="45" s="1"/>
  <c r="AE13" i="45"/>
  <c r="BE13" i="45" s="1"/>
  <c r="BX13" i="45" s="1"/>
  <c r="AE11" i="45"/>
  <c r="BE11" i="45" s="1"/>
  <c r="BX11" i="45" s="1"/>
  <c r="AS48" i="45"/>
  <c r="BI48" i="45" s="1"/>
  <c r="CA48" i="45" s="1"/>
  <c r="AS35" i="45"/>
  <c r="BI35" i="45" s="1"/>
  <c r="CA35" i="45" s="1"/>
  <c r="AS18" i="45"/>
  <c r="BI18" i="45" s="1"/>
  <c r="CA18" i="45" s="1"/>
  <c r="AS16" i="45"/>
  <c r="BI16" i="45" s="1"/>
  <c r="CA16" i="45" s="1"/>
  <c r="AE39" i="45"/>
  <c r="BE39" i="45" s="1"/>
  <c r="BX39" i="45" s="1"/>
  <c r="AE38" i="45"/>
  <c r="BE38" i="45" s="1"/>
  <c r="BX38" i="45" s="1"/>
  <c r="AE26" i="45"/>
  <c r="BE26" i="45" s="1"/>
  <c r="BX26" i="45" s="1"/>
  <c r="AE18" i="45"/>
  <c r="BE18" i="45" s="1"/>
  <c r="BX18" i="45" s="1"/>
  <c r="AE15" i="45"/>
  <c r="BE15" i="45" s="1"/>
  <c r="BX15" i="45" s="1"/>
  <c r="AE12" i="45"/>
  <c r="BE12" i="45" s="1"/>
  <c r="BX12" i="45" s="1"/>
  <c r="AS43" i="45"/>
  <c r="BI43" i="45" s="1"/>
  <c r="CA43" i="45" s="1"/>
  <c r="AS30" i="45"/>
  <c r="BI30" i="45" s="1"/>
  <c r="CA30" i="45" s="1"/>
  <c r="AS36" i="45"/>
  <c r="BI36" i="45" s="1"/>
  <c r="CA36" i="45" s="1"/>
  <c r="AS26" i="45"/>
  <c r="BI26" i="45" s="1"/>
  <c r="CA26" i="45" s="1"/>
  <c r="AS33" i="45"/>
  <c r="BI33" i="45" s="1"/>
  <c r="CA33" i="45" s="1"/>
  <c r="AS7" i="45"/>
  <c r="BI7" i="45" s="1"/>
  <c r="CA7" i="45" s="1"/>
  <c r="Q29" i="45"/>
  <c r="BA29" i="45" s="1"/>
  <c r="BU29" i="45" s="1"/>
  <c r="Q40" i="45"/>
  <c r="BA40" i="45" s="1"/>
  <c r="BU40" i="45" s="1"/>
  <c r="Q38" i="45"/>
  <c r="BA38" i="45" s="1"/>
  <c r="BU38" i="45" s="1"/>
  <c r="Q23" i="45"/>
  <c r="BA23" i="45" s="1"/>
  <c r="BU23" i="45" s="1"/>
  <c r="Q13" i="45"/>
  <c r="BA13" i="45" s="1"/>
  <c r="BU13" i="45" s="1"/>
  <c r="Q30" i="45"/>
  <c r="BA30" i="45" s="1"/>
  <c r="BU30" i="45" s="1"/>
  <c r="Q48" i="45"/>
  <c r="BA48" i="45" s="1"/>
  <c r="BU48" i="45" s="1"/>
  <c r="Q42" i="45"/>
  <c r="BA42" i="45" s="1"/>
  <c r="BU42" i="45" s="1"/>
  <c r="Q47" i="45"/>
  <c r="BA47" i="45" s="1"/>
  <c r="BU47" i="45" s="1"/>
  <c r="Q18" i="45"/>
  <c r="BA18" i="45" s="1"/>
  <c r="BU18" i="45" s="1"/>
  <c r="Q15" i="45"/>
  <c r="BA15" i="45" s="1"/>
  <c r="BU15" i="45" s="1"/>
  <c r="Q12" i="45"/>
  <c r="BA12" i="45" s="1"/>
  <c r="BU12" i="45" s="1"/>
  <c r="AE41" i="45"/>
  <c r="BE41" i="45" s="1"/>
  <c r="BX41" i="45" s="1"/>
  <c r="AE40" i="45"/>
  <c r="BE40" i="45" s="1"/>
  <c r="BX40" i="45" s="1"/>
  <c r="AE25" i="45"/>
  <c r="BE25" i="45" s="1"/>
  <c r="BX25" i="45" s="1"/>
  <c r="AE22" i="45"/>
  <c r="BE22" i="45" s="1"/>
  <c r="BX22" i="45" s="1"/>
  <c r="AE14" i="45"/>
  <c r="BE14" i="45" s="1"/>
  <c r="BX14" i="45" s="1"/>
  <c r="W50" i="45"/>
  <c r="AS44" i="45"/>
  <c r="BI44" i="45" s="1"/>
  <c r="CA44" i="45" s="1"/>
  <c r="AS38" i="45"/>
  <c r="BI38" i="45" s="1"/>
  <c r="CA38" i="45" s="1"/>
  <c r="AS37" i="45"/>
  <c r="BI37" i="45" s="1"/>
  <c r="CA37" i="45" s="1"/>
  <c r="AS22" i="45"/>
  <c r="BI22" i="45" s="1"/>
  <c r="CA22" i="45" s="1"/>
  <c r="AS20" i="45"/>
  <c r="BI20" i="45" s="1"/>
  <c r="CA20" i="45" s="1"/>
  <c r="AS9" i="45"/>
  <c r="BI9" i="45" s="1"/>
  <c r="CA9" i="45" s="1"/>
  <c r="Q34" i="45"/>
  <c r="BA34" i="45" s="1"/>
  <c r="BU34" i="45" s="1"/>
  <c r="Q41" i="45"/>
  <c r="BA41" i="45" s="1"/>
  <c r="BU41" i="45" s="1"/>
  <c r="Q39" i="45"/>
  <c r="BA39" i="45" s="1"/>
  <c r="BU39" i="45" s="1"/>
  <c r="Q27" i="45"/>
  <c r="BA27" i="45" s="1"/>
  <c r="BU27" i="45" s="1"/>
  <c r="Q11" i="45"/>
  <c r="BA11" i="45" s="1"/>
  <c r="BU11" i="45" s="1"/>
  <c r="AE8" i="45"/>
  <c r="BE8" i="45" s="1"/>
  <c r="BX8" i="45" s="1"/>
  <c r="Q46" i="45"/>
  <c r="BA46" i="45" s="1"/>
  <c r="BU46" i="45" s="1"/>
  <c r="Q45" i="45"/>
  <c r="BA45" i="45" s="1"/>
  <c r="BU45" i="45" s="1"/>
  <c r="Q44" i="45"/>
  <c r="BA44" i="45" s="1"/>
  <c r="BU44" i="45" s="1"/>
  <c r="Q43" i="45"/>
  <c r="BA43" i="45" s="1"/>
  <c r="BU43" i="45" s="1"/>
  <c r="Q26" i="45"/>
  <c r="BA26" i="45" s="1"/>
  <c r="BU26" i="45" s="1"/>
  <c r="Q16" i="45"/>
  <c r="BA16" i="45" s="1"/>
  <c r="BU16" i="45" s="1"/>
  <c r="Q14" i="45"/>
  <c r="BA14" i="45" s="1"/>
  <c r="BU14" i="45" s="1"/>
  <c r="AE42" i="45"/>
  <c r="BE42" i="45" s="1"/>
  <c r="BX42" i="45" s="1"/>
  <c r="AE47" i="45"/>
  <c r="BE47" i="45" s="1"/>
  <c r="BX47" i="45" s="1"/>
  <c r="AE28" i="45"/>
  <c r="BE28" i="45" s="1"/>
  <c r="BX28" i="45" s="1"/>
  <c r="AE17" i="45"/>
  <c r="BE17" i="45" s="1"/>
  <c r="BX17" i="45" s="1"/>
  <c r="AE16" i="45"/>
  <c r="BE16" i="45" s="1"/>
  <c r="BX16" i="45" s="1"/>
  <c r="AS45" i="45"/>
  <c r="BI45" i="45" s="1"/>
  <c r="CA45" i="45" s="1"/>
  <c r="AS39" i="45"/>
  <c r="BI39" i="45" s="1"/>
  <c r="CA39" i="45" s="1"/>
  <c r="AS17" i="45"/>
  <c r="BI17" i="45" s="1"/>
  <c r="CA17" i="45" s="1"/>
  <c r="AS25" i="45"/>
  <c r="BI25" i="45" s="1"/>
  <c r="CA25" i="45" s="1"/>
  <c r="AS21" i="45"/>
  <c r="BI21" i="45" s="1"/>
  <c r="CA21" i="45" s="1"/>
  <c r="AS10" i="45"/>
  <c r="BI10" i="45" s="1"/>
  <c r="CA10" i="45" s="1"/>
  <c r="Z49" i="29"/>
  <c r="AD49" i="29"/>
  <c r="AM50" i="45"/>
  <c r="J50" i="45"/>
  <c r="X50" i="45"/>
  <c r="AL50" i="45"/>
  <c r="I50" i="45"/>
  <c r="I51" i="45" s="1"/>
  <c r="AK50" i="45"/>
  <c r="Y50" i="45"/>
  <c r="R29" i="45"/>
  <c r="R34" i="45"/>
  <c r="R14" i="45"/>
  <c r="P50" i="45"/>
  <c r="H50" i="45"/>
  <c r="AD50" i="45"/>
  <c r="V50" i="45"/>
  <c r="AN50" i="45"/>
  <c r="AR50" i="45"/>
  <c r="AJ50" i="45"/>
  <c r="O50" i="45"/>
  <c r="G50" i="45"/>
  <c r="AC50" i="45"/>
  <c r="U50" i="45"/>
  <c r="AQ50" i="45"/>
  <c r="AI50" i="45"/>
  <c r="N50" i="45"/>
  <c r="AB50" i="45"/>
  <c r="T50" i="45"/>
  <c r="AT35" i="45"/>
  <c r="AT26" i="45"/>
  <c r="AP50" i="45"/>
  <c r="AH50" i="45"/>
  <c r="M50" i="45"/>
  <c r="AA50" i="45"/>
  <c r="AO50" i="45"/>
  <c r="L50" i="45"/>
  <c r="Z50" i="45"/>
  <c r="AF16" i="45"/>
  <c r="AT11" i="45"/>
  <c r="AT42" i="45"/>
  <c r="R45" i="45"/>
  <c r="R30" i="45"/>
  <c r="R47" i="45"/>
  <c r="R41" i="45"/>
  <c r="R40" i="45"/>
  <c r="R39" i="45"/>
  <c r="R38" i="45"/>
  <c r="R37" i="45"/>
  <c r="R36" i="45"/>
  <c r="R35" i="45"/>
  <c r="R32" i="45"/>
  <c r="R28" i="45"/>
  <c r="R17" i="45"/>
  <c r="R25" i="45"/>
  <c r="R22" i="45"/>
  <c r="R26" i="45"/>
  <c r="R18" i="45"/>
  <c r="R27" i="45"/>
  <c r="R24" i="45"/>
  <c r="R31" i="45"/>
  <c r="R19" i="45"/>
  <c r="R21" i="45"/>
  <c r="R20" i="45"/>
  <c r="R33" i="45"/>
  <c r="R16" i="45"/>
  <c r="R15" i="45"/>
  <c r="R12" i="45"/>
  <c r="R13" i="45"/>
  <c r="R11" i="45"/>
  <c r="R10" i="45"/>
  <c r="R9" i="45"/>
  <c r="R43" i="45"/>
  <c r="R46" i="45"/>
  <c r="R42" i="45"/>
  <c r="R44" i="45"/>
  <c r="R48" i="45"/>
  <c r="AT20" i="45"/>
  <c r="AF46" i="45"/>
  <c r="AF44" i="45"/>
  <c r="AF43" i="45"/>
  <c r="AF30" i="45"/>
  <c r="AF48" i="45"/>
  <c r="AF42" i="45"/>
  <c r="AF41" i="45"/>
  <c r="AF40" i="45"/>
  <c r="AF39" i="45"/>
  <c r="AF38" i="45"/>
  <c r="AF37" i="45"/>
  <c r="AF36" i="45"/>
  <c r="AF35" i="45"/>
  <c r="AF32" i="45"/>
  <c r="AF29" i="45"/>
  <c r="AF34" i="45"/>
  <c r="AF28" i="45"/>
  <c r="AF17" i="45"/>
  <c r="AF25" i="45"/>
  <c r="AF22" i="45"/>
  <c r="AF26" i="45"/>
  <c r="AF18" i="45"/>
  <c r="AF27" i="45"/>
  <c r="AF23" i="45"/>
  <c r="AF24" i="45"/>
  <c r="AF31" i="45"/>
  <c r="AF19" i="45"/>
  <c r="AF21" i="45"/>
  <c r="AF20" i="45"/>
  <c r="AF33" i="45"/>
  <c r="AF14" i="45"/>
  <c r="AF15" i="45"/>
  <c r="AF12" i="45"/>
  <c r="AF13" i="45"/>
  <c r="AF9" i="45"/>
  <c r="AF7" i="45"/>
  <c r="AT8" i="45"/>
  <c r="AT47" i="45"/>
  <c r="AT32" i="45"/>
  <c r="AT18" i="45"/>
  <c r="AT33" i="45"/>
  <c r="AT9" i="45"/>
  <c r="AT46" i="45"/>
  <c r="AT41" i="45"/>
  <c r="AT29" i="45"/>
  <c r="AT27" i="45"/>
  <c r="AT16" i="45"/>
  <c r="AT7" i="45"/>
  <c r="AF45" i="45"/>
  <c r="AT45" i="45"/>
  <c r="AT40" i="45"/>
  <c r="AT34" i="45"/>
  <c r="AT23" i="45"/>
  <c r="AT14" i="45"/>
  <c r="AF11" i="45"/>
  <c r="AT44" i="45"/>
  <c r="AT39" i="45"/>
  <c r="AT28" i="45"/>
  <c r="AT24" i="45"/>
  <c r="AT15" i="45"/>
  <c r="AF47" i="45"/>
  <c r="AT43" i="45"/>
  <c r="AT38" i="45"/>
  <c r="AT17" i="45"/>
  <c r="AT31" i="45"/>
  <c r="AT12" i="45"/>
  <c r="AT10" i="45"/>
  <c r="AF10" i="45"/>
  <c r="AT30" i="45"/>
  <c r="AT37" i="45"/>
  <c r="AT25" i="45"/>
  <c r="AT19" i="45"/>
  <c r="AT13" i="45"/>
  <c r="AT48" i="45"/>
  <c r="AT36" i="45"/>
  <c r="AT22" i="45"/>
  <c r="AT21" i="45"/>
  <c r="AF8" i="45"/>
  <c r="R8" i="45"/>
  <c r="R7" i="45"/>
  <c r="AB49" i="29"/>
  <c r="BA50" i="45" l="1"/>
  <c r="BI50" i="45"/>
  <c r="BU50" i="45"/>
  <c r="AS50" i="45"/>
  <c r="Q50" i="45"/>
  <c r="CA50" i="45"/>
  <c r="BE7" i="45"/>
  <c r="BX7" i="45" s="1"/>
  <c r="AE50" i="45"/>
  <c r="BX9" i="45"/>
  <c r="AF50" i="45"/>
  <c r="R50" i="45"/>
  <c r="AT50" i="45"/>
  <c r="BE50" i="45" l="1"/>
  <c r="BX50" i="45"/>
  <c r="L63" i="39" l="1"/>
  <c r="L65" i="39"/>
  <c r="L62" i="39"/>
  <c r="L64" i="39" s="1"/>
  <c r="E15" i="37"/>
  <c r="E10" i="37" l="1"/>
  <c r="E8" i="37"/>
  <c r="E7" i="37"/>
  <c r="E10" i="41"/>
  <c r="E9" i="41"/>
  <c r="E8" i="41"/>
  <c r="E7" i="41"/>
  <c r="O2" i="42"/>
  <c r="T1" i="29"/>
  <c r="T72" i="37"/>
  <c r="U71" i="37"/>
  <c r="T71" i="37"/>
  <c r="N60" i="43"/>
  <c r="AM45" i="43"/>
  <c r="X45" i="43"/>
  <c r="AM44" i="43"/>
  <c r="X44" i="43"/>
  <c r="AM43" i="43"/>
  <c r="X43" i="43"/>
  <c r="AM42" i="43"/>
  <c r="X42" i="43"/>
  <c r="AM41" i="43"/>
  <c r="X41" i="43"/>
  <c r="AM40" i="43"/>
  <c r="X40" i="43"/>
  <c r="AM39" i="43"/>
  <c r="X39" i="43"/>
  <c r="AM38" i="43"/>
  <c r="X38" i="43"/>
  <c r="AM37" i="43"/>
  <c r="X37" i="43"/>
  <c r="AM36" i="43"/>
  <c r="X36" i="43"/>
  <c r="AM35" i="43"/>
  <c r="X35" i="43"/>
  <c r="AM34" i="43"/>
  <c r="X34" i="43"/>
  <c r="AM33" i="43"/>
  <c r="X33" i="43"/>
  <c r="AM32" i="43"/>
  <c r="X32" i="43"/>
  <c r="AM31" i="43"/>
  <c r="X31" i="43"/>
  <c r="AM30" i="43"/>
  <c r="X30" i="43"/>
  <c r="AM29" i="43"/>
  <c r="X29" i="43"/>
  <c r="AM28" i="43"/>
  <c r="X28" i="43"/>
  <c r="AM27" i="43"/>
  <c r="X27" i="43"/>
  <c r="AM26" i="43"/>
  <c r="X26" i="43"/>
  <c r="AM25" i="43"/>
  <c r="X25" i="43"/>
  <c r="AM24" i="43"/>
  <c r="X24" i="43"/>
  <c r="AM23" i="43"/>
  <c r="X23" i="43"/>
  <c r="AM22" i="43"/>
  <c r="X22" i="43"/>
  <c r="AM21" i="43"/>
  <c r="X21" i="43"/>
  <c r="AM20" i="43"/>
  <c r="X20" i="43"/>
  <c r="AM19" i="43"/>
  <c r="X19" i="43"/>
  <c r="AM18" i="43"/>
  <c r="X18" i="43"/>
  <c r="AM17" i="43"/>
  <c r="X17" i="43"/>
  <c r="AM16" i="43"/>
  <c r="X16" i="43"/>
  <c r="AM15" i="43"/>
  <c r="X15" i="43"/>
  <c r="AM14" i="43"/>
  <c r="X14" i="43"/>
  <c r="AM13" i="43"/>
  <c r="X13" i="43"/>
  <c r="AM12" i="43"/>
  <c r="X12" i="43"/>
  <c r="AM11" i="43"/>
  <c r="X11" i="43"/>
  <c r="AM10" i="43"/>
  <c r="X10" i="43"/>
  <c r="AM9" i="43"/>
  <c r="X9" i="43"/>
  <c r="AM8" i="43"/>
  <c r="X8" i="43"/>
  <c r="AM7" i="43"/>
  <c r="X7" i="43"/>
  <c r="AM6" i="43"/>
  <c r="X6" i="43"/>
  <c r="AM5" i="43"/>
  <c r="X5" i="43"/>
  <c r="AM4" i="43"/>
  <c r="X4" i="43"/>
  <c r="AE2" i="43"/>
  <c r="AD2" i="43"/>
  <c r="AA2" i="43"/>
  <c r="AD45" i="43" s="1"/>
  <c r="X48" i="41" s="1"/>
  <c r="W9" i="29"/>
  <c r="V15" i="29"/>
  <c r="W5" i="29"/>
  <c r="V5" i="29" s="1"/>
  <c r="U10" i="29"/>
  <c r="U9" i="29"/>
  <c r="V9" i="29" s="1"/>
  <c r="AF68" i="42"/>
  <c r="AF67" i="42"/>
  <c r="O65" i="42"/>
  <c r="AF63" i="42"/>
  <c r="AC63" i="42"/>
  <c r="AL57" i="42"/>
  <c r="M57" i="42"/>
  <c r="F57" i="42"/>
  <c r="AL56" i="42"/>
  <c r="M56" i="42"/>
  <c r="F56" i="42"/>
  <c r="AL55" i="42"/>
  <c r="M55" i="42"/>
  <c r="F55" i="42"/>
  <c r="AL54" i="42"/>
  <c r="M54" i="42"/>
  <c r="F54" i="42"/>
  <c r="AL53" i="42"/>
  <c r="M53" i="42"/>
  <c r="F53" i="42"/>
  <c r="AL52" i="42"/>
  <c r="M52" i="42"/>
  <c r="F52" i="42"/>
  <c r="AL51" i="42"/>
  <c r="M51" i="42"/>
  <c r="F51" i="42"/>
  <c r="AL50" i="42"/>
  <c r="M50" i="42"/>
  <c r="F50" i="42"/>
  <c r="CK49" i="42"/>
  <c r="CJ49" i="42"/>
  <c r="CI49" i="42"/>
  <c r="CH49" i="42"/>
  <c r="CG49" i="42"/>
  <c r="CE49" i="42"/>
  <c r="CD49" i="42"/>
  <c r="CC49" i="42"/>
  <c r="CB49" i="42"/>
  <c r="CA49" i="42"/>
  <c r="BY49" i="42"/>
  <c r="BX49" i="42"/>
  <c r="BW49" i="42"/>
  <c r="BV49" i="42"/>
  <c r="BU49" i="42"/>
  <c r="BS49" i="42"/>
  <c r="BR49" i="42"/>
  <c r="BQ49" i="42"/>
  <c r="BP49" i="42"/>
  <c r="BO49" i="42"/>
  <c r="BM49" i="42"/>
  <c r="BL49" i="42"/>
  <c r="BK49" i="42"/>
  <c r="BJ49" i="42"/>
  <c r="BI49" i="42"/>
  <c r="BG49" i="42"/>
  <c r="BE49" i="42"/>
  <c r="BC49" i="42"/>
  <c r="BB49" i="42"/>
  <c r="BA49" i="42"/>
  <c r="AY49" i="42"/>
  <c r="AX49" i="42"/>
  <c r="AW49" i="42"/>
  <c r="AU49" i="42"/>
  <c r="AR49" i="42"/>
  <c r="AP49" i="42"/>
  <c r="AO49" i="42"/>
  <c r="CN46" i="42"/>
  <c r="BG46" i="42"/>
  <c r="AK46" i="42"/>
  <c r="AJ46" i="42"/>
  <c r="AH46" i="42"/>
  <c r="AG46" i="42"/>
  <c r="AF46" i="42"/>
  <c r="AC46" i="42"/>
  <c r="Z46" i="42"/>
  <c r="T46" i="42"/>
  <c r="M46" i="42"/>
  <c r="AT46" i="42" s="1"/>
  <c r="H46" i="42"/>
  <c r="F46" i="42"/>
  <c r="CN45" i="42"/>
  <c r="BG45" i="42"/>
  <c r="AK45" i="42"/>
  <c r="AJ45" i="42"/>
  <c r="AH45" i="42"/>
  <c r="AG45" i="42"/>
  <c r="AF45" i="42"/>
  <c r="AC45" i="42"/>
  <c r="Z45" i="42"/>
  <c r="T45" i="42"/>
  <c r="M45" i="42"/>
  <c r="H45" i="42"/>
  <c r="F45" i="42"/>
  <c r="BG44" i="42"/>
  <c r="AK44" i="42"/>
  <c r="AJ44" i="42"/>
  <c r="AH44" i="42"/>
  <c r="AG44" i="42"/>
  <c r="AF44" i="42"/>
  <c r="AC44" i="42"/>
  <c r="Z44" i="42"/>
  <c r="T44" i="42"/>
  <c r="M44" i="42"/>
  <c r="AT44" i="42" s="1"/>
  <c r="H44" i="42"/>
  <c r="F44" i="42"/>
  <c r="BG43" i="42"/>
  <c r="AK43" i="42"/>
  <c r="AJ43" i="42"/>
  <c r="AH43" i="42"/>
  <c r="AG43" i="42"/>
  <c r="AF43" i="42"/>
  <c r="AC43" i="42"/>
  <c r="Z43" i="42"/>
  <c r="T43" i="42"/>
  <c r="M43" i="42"/>
  <c r="AT43" i="42" s="1"/>
  <c r="H43" i="42"/>
  <c r="F43" i="42"/>
  <c r="CN42" i="42"/>
  <c r="BG42" i="42"/>
  <c r="AK42" i="42"/>
  <c r="AJ42" i="42"/>
  <c r="AH42" i="42"/>
  <c r="AG42" i="42"/>
  <c r="AF42" i="42"/>
  <c r="AC42" i="42"/>
  <c r="Z42" i="42"/>
  <c r="T42" i="42"/>
  <c r="M42" i="42"/>
  <c r="AT42" i="42" s="1"/>
  <c r="H42" i="42"/>
  <c r="F42" i="42"/>
  <c r="BG41" i="42"/>
  <c r="AK41" i="42"/>
  <c r="AJ41" i="42"/>
  <c r="AH41" i="42"/>
  <c r="AG41" i="42"/>
  <c r="AF41" i="42"/>
  <c r="AC41" i="42"/>
  <c r="Z41" i="42"/>
  <c r="T41" i="42"/>
  <c r="M41" i="42"/>
  <c r="H41" i="42"/>
  <c r="F41" i="42"/>
  <c r="BG40" i="42"/>
  <c r="AK40" i="42"/>
  <c r="AJ40" i="42"/>
  <c r="AH40" i="42"/>
  <c r="AG40" i="42"/>
  <c r="AF40" i="42"/>
  <c r="AF56" i="42" s="1"/>
  <c r="AC40" i="42"/>
  <c r="Z40" i="42"/>
  <c r="T40" i="42"/>
  <c r="M40" i="42"/>
  <c r="H40" i="42"/>
  <c r="F40" i="42"/>
  <c r="BG39" i="42"/>
  <c r="AK39" i="42"/>
  <c r="AJ39" i="42"/>
  <c r="AH39" i="42"/>
  <c r="AG39" i="42"/>
  <c r="AF39" i="42"/>
  <c r="AC39" i="42"/>
  <c r="Z39" i="42"/>
  <c r="T39" i="42"/>
  <c r="M39" i="42"/>
  <c r="AT39" i="42" s="1"/>
  <c r="H39" i="42"/>
  <c r="F39" i="42"/>
  <c r="CN38" i="42"/>
  <c r="BG38" i="42"/>
  <c r="AK38" i="42"/>
  <c r="AJ38" i="42"/>
  <c r="AH38" i="42"/>
  <c r="AG38" i="42"/>
  <c r="AF38" i="42"/>
  <c r="AC38" i="42"/>
  <c r="Z38" i="42"/>
  <c r="T38" i="42"/>
  <c r="M38" i="42"/>
  <c r="H38" i="42"/>
  <c r="F38" i="42"/>
  <c r="BG37" i="42"/>
  <c r="AK37" i="42"/>
  <c r="AJ37" i="42"/>
  <c r="AH37" i="42"/>
  <c r="AG37" i="42"/>
  <c r="AF37" i="42"/>
  <c r="AC37" i="42"/>
  <c r="Z37" i="42"/>
  <c r="T37" i="42"/>
  <c r="M37" i="42"/>
  <c r="H37" i="42"/>
  <c r="F37" i="42"/>
  <c r="BG36" i="42"/>
  <c r="AK36" i="42"/>
  <c r="AJ36" i="42"/>
  <c r="AH36" i="42"/>
  <c r="AG36" i="42"/>
  <c r="AF36" i="42"/>
  <c r="AC36" i="42"/>
  <c r="Z36" i="42"/>
  <c r="T36" i="42"/>
  <c r="M36" i="42"/>
  <c r="H36" i="42"/>
  <c r="F36" i="42"/>
  <c r="BG35" i="42"/>
  <c r="AK35" i="42"/>
  <c r="AJ35" i="42"/>
  <c r="AH35" i="42"/>
  <c r="AG35" i="42"/>
  <c r="AF35" i="42"/>
  <c r="AC35" i="42"/>
  <c r="Z35" i="42"/>
  <c r="T35" i="42"/>
  <c r="M35" i="42"/>
  <c r="H35" i="42"/>
  <c r="F35" i="42"/>
  <c r="BG34" i="42"/>
  <c r="AK34" i="42"/>
  <c r="AJ34" i="42"/>
  <c r="AH34" i="42"/>
  <c r="AG34" i="42"/>
  <c r="AG55" i="42" s="1"/>
  <c r="AF34" i="42"/>
  <c r="AC34" i="42"/>
  <c r="AC55" i="42" s="1"/>
  <c r="Z34" i="42"/>
  <c r="T34" i="42"/>
  <c r="M34" i="42"/>
  <c r="H34" i="42"/>
  <c r="F34" i="42"/>
  <c r="BG33" i="42"/>
  <c r="AK33" i="42"/>
  <c r="AJ33" i="42"/>
  <c r="AH33" i="42"/>
  <c r="AG33" i="42"/>
  <c r="AF33" i="42"/>
  <c r="AC33" i="42"/>
  <c r="Z33" i="42"/>
  <c r="T33" i="42"/>
  <c r="M33" i="42"/>
  <c r="AT33" i="42" s="1"/>
  <c r="H33" i="42"/>
  <c r="F33" i="42"/>
  <c r="BG32" i="42"/>
  <c r="AK32" i="42"/>
  <c r="AJ32" i="42"/>
  <c r="AH32" i="42"/>
  <c r="AG32" i="42"/>
  <c r="AF32" i="42"/>
  <c r="AC32" i="42"/>
  <c r="Z32" i="42"/>
  <c r="T32" i="42"/>
  <c r="M32" i="42"/>
  <c r="AT32" i="42" s="1"/>
  <c r="H32" i="42"/>
  <c r="F32" i="42"/>
  <c r="BG31" i="42"/>
  <c r="AK31" i="42"/>
  <c r="AJ31" i="42"/>
  <c r="AH31" i="42"/>
  <c r="AG31" i="42"/>
  <c r="AF31" i="42"/>
  <c r="AC31" i="42"/>
  <c r="Z31" i="42"/>
  <c r="T31" i="42"/>
  <c r="M31" i="42"/>
  <c r="H31" i="42"/>
  <c r="F31" i="42"/>
  <c r="BG30" i="42"/>
  <c r="AK30" i="42"/>
  <c r="AJ30" i="42"/>
  <c r="AH30" i="42"/>
  <c r="AG30" i="42"/>
  <c r="AF30" i="42"/>
  <c r="AC30" i="42"/>
  <c r="Z30" i="42"/>
  <c r="T30" i="42"/>
  <c r="M30" i="42"/>
  <c r="H30" i="42"/>
  <c r="F30" i="42"/>
  <c r="BG29" i="42"/>
  <c r="AK29" i="42"/>
  <c r="AJ29" i="42"/>
  <c r="AH29" i="42"/>
  <c r="AG29" i="42"/>
  <c r="AG54" i="42" s="1"/>
  <c r="AF29" i="42"/>
  <c r="AC29" i="42"/>
  <c r="Z29" i="42"/>
  <c r="T29" i="42"/>
  <c r="M29" i="42"/>
  <c r="AT29" i="42" s="1"/>
  <c r="H29" i="42"/>
  <c r="F29" i="42"/>
  <c r="BG28" i="42"/>
  <c r="AK28" i="42"/>
  <c r="AJ28" i="42"/>
  <c r="AH28" i="42"/>
  <c r="AG28" i="42"/>
  <c r="AF28" i="42"/>
  <c r="AC28" i="42"/>
  <c r="Z28" i="42"/>
  <c r="T28" i="42"/>
  <c r="M28" i="42"/>
  <c r="O28" i="42" s="1"/>
  <c r="H28" i="42"/>
  <c r="F28" i="42"/>
  <c r="BG27" i="42"/>
  <c r="AK27" i="42"/>
  <c r="AJ27" i="42"/>
  <c r="AH27" i="42"/>
  <c r="AG27" i="42"/>
  <c r="AF27" i="42"/>
  <c r="AC27" i="42"/>
  <c r="Z27" i="42"/>
  <c r="T27" i="42"/>
  <c r="M27" i="42"/>
  <c r="H27" i="42"/>
  <c r="F27" i="42"/>
  <c r="BG26" i="42"/>
  <c r="AK26" i="42"/>
  <c r="AJ26" i="42"/>
  <c r="AH26" i="42"/>
  <c r="AG26" i="42"/>
  <c r="AF26" i="42"/>
  <c r="AC26" i="42"/>
  <c r="Z26" i="42"/>
  <c r="T26" i="42"/>
  <c r="M26" i="42"/>
  <c r="H26" i="42"/>
  <c r="F26" i="42"/>
  <c r="BG25" i="42"/>
  <c r="AK25" i="42"/>
  <c r="AJ25" i="42"/>
  <c r="AH25" i="42"/>
  <c r="AG25" i="42"/>
  <c r="AF25" i="42"/>
  <c r="AC25" i="42"/>
  <c r="Z25" i="42"/>
  <c r="T25" i="42"/>
  <c r="M25" i="42"/>
  <c r="AT25" i="42" s="1"/>
  <c r="H25" i="42"/>
  <c r="F25" i="42"/>
  <c r="BG24" i="42"/>
  <c r="AK24" i="42"/>
  <c r="AJ24" i="42"/>
  <c r="AH24" i="42"/>
  <c r="AG24" i="42"/>
  <c r="AF24" i="42"/>
  <c r="AC24" i="42"/>
  <c r="Z24" i="42"/>
  <c r="T24" i="42"/>
  <c r="M24" i="42"/>
  <c r="AT24" i="42" s="1"/>
  <c r="H24" i="42"/>
  <c r="F24" i="42"/>
  <c r="CN23" i="42"/>
  <c r="BG23" i="42"/>
  <c r="AK23" i="42"/>
  <c r="AJ23" i="42"/>
  <c r="AJ53" i="42" s="1"/>
  <c r="AH23" i="42"/>
  <c r="AG23" i="42"/>
  <c r="AF23" i="42"/>
  <c r="AC23" i="42"/>
  <c r="Z23" i="42"/>
  <c r="T23" i="42"/>
  <c r="M23" i="42"/>
  <c r="H23" i="42"/>
  <c r="F23" i="42"/>
  <c r="BG22" i="42"/>
  <c r="AK22" i="42"/>
  <c r="AJ22" i="42"/>
  <c r="AH22" i="42"/>
  <c r="AG22" i="42"/>
  <c r="AF22" i="42"/>
  <c r="AC22" i="42"/>
  <c r="Z22" i="42"/>
  <c r="T22" i="42"/>
  <c r="M22" i="42"/>
  <c r="H22" i="42"/>
  <c r="F22" i="42"/>
  <c r="BG21" i="42"/>
  <c r="AK21" i="42"/>
  <c r="AJ21" i="42"/>
  <c r="AH21" i="42"/>
  <c r="AG21" i="42"/>
  <c r="AF21" i="42"/>
  <c r="AC21" i="42"/>
  <c r="Z21" i="42"/>
  <c r="T21" i="42"/>
  <c r="M21" i="42"/>
  <c r="AT21" i="42" s="1"/>
  <c r="H21" i="42"/>
  <c r="F21" i="42"/>
  <c r="BG20" i="42"/>
  <c r="AK20" i="42"/>
  <c r="AJ20" i="42"/>
  <c r="AH20" i="42"/>
  <c r="AG20" i="42"/>
  <c r="AF20" i="42"/>
  <c r="AC20" i="42"/>
  <c r="Z20" i="42"/>
  <c r="T20" i="42"/>
  <c r="M20" i="42"/>
  <c r="AT20" i="42" s="1"/>
  <c r="H20" i="42"/>
  <c r="F20" i="42"/>
  <c r="BG19" i="42"/>
  <c r="AK19" i="42"/>
  <c r="AJ19" i="42"/>
  <c r="AH19" i="42"/>
  <c r="AG19" i="42"/>
  <c r="AF19" i="42"/>
  <c r="AC19" i="42"/>
  <c r="Z19" i="42"/>
  <c r="T19" i="42"/>
  <c r="M19" i="42"/>
  <c r="H19" i="42"/>
  <c r="F19" i="42"/>
  <c r="BG18" i="42"/>
  <c r="AK18" i="42"/>
  <c r="AJ18" i="42"/>
  <c r="AH18" i="42"/>
  <c r="AG18" i="42"/>
  <c r="AF18" i="42"/>
  <c r="AC18" i="42"/>
  <c r="Z18" i="42"/>
  <c r="T18" i="42"/>
  <c r="M18" i="42"/>
  <c r="H18" i="42"/>
  <c r="F18" i="42"/>
  <c r="BG17" i="42"/>
  <c r="AK17" i="42"/>
  <c r="AJ17" i="42"/>
  <c r="AH17" i="42"/>
  <c r="AG17" i="42"/>
  <c r="AF17" i="42"/>
  <c r="AC17" i="42"/>
  <c r="Z17" i="42"/>
  <c r="T17" i="42"/>
  <c r="M17" i="42"/>
  <c r="AT17" i="42" s="1"/>
  <c r="H17" i="42"/>
  <c r="F17" i="42"/>
  <c r="BG16" i="42"/>
  <c r="AK16" i="42"/>
  <c r="AJ16" i="42"/>
  <c r="AH16" i="42"/>
  <c r="AG16" i="42"/>
  <c r="AF16" i="42"/>
  <c r="AC16" i="42"/>
  <c r="Z16" i="42"/>
  <c r="T16" i="42"/>
  <c r="M16" i="42"/>
  <c r="H16" i="42"/>
  <c r="F16" i="42"/>
  <c r="BG15" i="42"/>
  <c r="AK15" i="42"/>
  <c r="AJ15" i="42"/>
  <c r="AH15" i="42"/>
  <c r="AG15" i="42"/>
  <c r="AF15" i="42"/>
  <c r="AC15" i="42"/>
  <c r="Z15" i="42"/>
  <c r="T15" i="42"/>
  <c r="M15" i="42"/>
  <c r="AT15" i="42" s="1"/>
  <c r="H15" i="42"/>
  <c r="F15" i="42"/>
  <c r="BG14" i="42"/>
  <c r="AK14" i="42"/>
  <c r="AJ14" i="42"/>
  <c r="AH14" i="42"/>
  <c r="AG14" i="42"/>
  <c r="AF14" i="42"/>
  <c r="AC14" i="42"/>
  <c r="Z14" i="42"/>
  <c r="T14" i="42"/>
  <c r="M14" i="42"/>
  <c r="H14" i="42"/>
  <c r="F14" i="42"/>
  <c r="BG13" i="42"/>
  <c r="AK13" i="42"/>
  <c r="AJ13" i="42"/>
  <c r="AH13" i="42"/>
  <c r="AG13" i="42"/>
  <c r="AF13" i="42"/>
  <c r="AC13" i="42"/>
  <c r="Z13" i="42"/>
  <c r="T13" i="42"/>
  <c r="M13" i="42"/>
  <c r="AT13" i="42" s="1"/>
  <c r="H13" i="42"/>
  <c r="F13" i="42"/>
  <c r="BG12" i="42"/>
  <c r="AK12" i="42"/>
  <c r="AJ12" i="42"/>
  <c r="AJ52" i="42" s="1"/>
  <c r="AH12" i="42"/>
  <c r="AG12" i="42"/>
  <c r="AF12" i="42"/>
  <c r="AC12" i="42"/>
  <c r="Z12" i="42"/>
  <c r="T12" i="42"/>
  <c r="M12" i="42"/>
  <c r="H12" i="42"/>
  <c r="F12" i="42"/>
  <c r="BG11" i="42"/>
  <c r="AK11" i="42"/>
  <c r="AJ11" i="42"/>
  <c r="AH11" i="42"/>
  <c r="AG11" i="42"/>
  <c r="AF11" i="42"/>
  <c r="AC11" i="42"/>
  <c r="Z11" i="42"/>
  <c r="T11" i="42"/>
  <c r="M11" i="42"/>
  <c r="AT11" i="42" s="1"/>
  <c r="H11" i="42"/>
  <c r="F11" i="42"/>
  <c r="BG10" i="42"/>
  <c r="AK10" i="42"/>
  <c r="AJ10" i="42"/>
  <c r="AH10" i="42"/>
  <c r="AG10" i="42"/>
  <c r="AF10" i="42"/>
  <c r="AC10" i="42"/>
  <c r="Z10" i="42"/>
  <c r="T10" i="42"/>
  <c r="M10" i="42"/>
  <c r="AT10" i="42" s="1"/>
  <c r="H10" i="42"/>
  <c r="F10" i="42"/>
  <c r="BG9" i="42"/>
  <c r="AK9" i="42"/>
  <c r="AJ9" i="42"/>
  <c r="AH9" i="42"/>
  <c r="AH51" i="42" s="1"/>
  <c r="AG9" i="42"/>
  <c r="AG51" i="42" s="1"/>
  <c r="AF9" i="42"/>
  <c r="AF51" i="42" s="1"/>
  <c r="AC9" i="42"/>
  <c r="AC51" i="42" s="1"/>
  <c r="Z9" i="42"/>
  <c r="T9" i="42"/>
  <c r="M9" i="42"/>
  <c r="H9" i="42"/>
  <c r="F9" i="42"/>
  <c r="CN8" i="42"/>
  <c r="BG8" i="42"/>
  <c r="AK8" i="42"/>
  <c r="AJ8" i="42"/>
  <c r="AH8" i="42"/>
  <c r="AG8" i="42"/>
  <c r="AF8" i="42"/>
  <c r="AC8" i="42"/>
  <c r="Z8" i="42"/>
  <c r="T8" i="42"/>
  <c r="M8" i="42"/>
  <c r="AT8" i="42" s="1"/>
  <c r="H8" i="42"/>
  <c r="F8" i="42"/>
  <c r="BG7" i="42"/>
  <c r="AK7" i="42"/>
  <c r="AJ7" i="42"/>
  <c r="AH7" i="42"/>
  <c r="AG7" i="42"/>
  <c r="AF7" i="42"/>
  <c r="AC7" i="42"/>
  <c r="Z7" i="42"/>
  <c r="T7" i="42"/>
  <c r="M7" i="42"/>
  <c r="AT7" i="42" s="1"/>
  <c r="H7" i="42"/>
  <c r="F7" i="42"/>
  <c r="BG6" i="42"/>
  <c r="AK6" i="42"/>
  <c r="AJ6" i="42"/>
  <c r="AH6" i="42"/>
  <c r="AG6" i="42"/>
  <c r="AF6" i="42"/>
  <c r="AC6" i="42"/>
  <c r="Z6" i="42"/>
  <c r="T6" i="42"/>
  <c r="M6" i="42"/>
  <c r="AT6" i="42" s="1"/>
  <c r="H6" i="42"/>
  <c r="F6" i="42"/>
  <c r="BG5" i="42"/>
  <c r="AK5" i="42"/>
  <c r="AJ5" i="42"/>
  <c r="AH5" i="42"/>
  <c r="AH50" i="42" s="1"/>
  <c r="AG5" i="42"/>
  <c r="AF5" i="42"/>
  <c r="AF50" i="42" s="1"/>
  <c r="AC5" i="42"/>
  <c r="Z5" i="42"/>
  <c r="T5" i="42"/>
  <c r="T50" i="42" s="1"/>
  <c r="M5" i="42"/>
  <c r="AT5" i="42" s="1"/>
  <c r="H5" i="42"/>
  <c r="F5" i="42"/>
  <c r="AH58" i="41"/>
  <c r="AH55" i="41"/>
  <c r="AH48" i="41"/>
  <c r="T48" i="41"/>
  <c r="O47" i="44" s="1"/>
  <c r="L48" i="41"/>
  <c r="O48" i="41" s="1"/>
  <c r="AH47" i="41"/>
  <c r="T47" i="41"/>
  <c r="O46" i="44" s="1"/>
  <c r="L47" i="41"/>
  <c r="O47" i="41" s="1"/>
  <c r="AP47" i="41" s="1"/>
  <c r="AH46" i="41"/>
  <c r="T46" i="41"/>
  <c r="O27" i="44" s="1"/>
  <c r="L46" i="41"/>
  <c r="O46" i="41" s="1"/>
  <c r="AP46" i="41" s="1"/>
  <c r="AH45" i="41"/>
  <c r="T45" i="41"/>
  <c r="O14" i="44" s="1"/>
  <c r="L45" i="41"/>
  <c r="O45" i="41" s="1"/>
  <c r="AP45" i="41" s="1"/>
  <c r="AH44" i="41"/>
  <c r="T44" i="41"/>
  <c r="O45" i="44" s="1"/>
  <c r="L44" i="41"/>
  <c r="O44" i="41" s="1"/>
  <c r="AH43" i="41"/>
  <c r="T43" i="41"/>
  <c r="O44" i="44" s="1"/>
  <c r="L43" i="41"/>
  <c r="O43" i="41" s="1"/>
  <c r="AH42" i="41"/>
  <c r="T42" i="41"/>
  <c r="O32" i="44" s="1"/>
  <c r="L42" i="41"/>
  <c r="O42" i="41" s="1"/>
  <c r="AH41" i="41"/>
  <c r="T41" i="41"/>
  <c r="O20" i="44" s="1"/>
  <c r="L41" i="41"/>
  <c r="O41" i="41" s="1"/>
  <c r="AP41" i="41" s="1"/>
  <c r="AH40" i="41"/>
  <c r="T40" i="41"/>
  <c r="O43" i="44" s="1"/>
  <c r="L40" i="41"/>
  <c r="O40" i="41" s="1"/>
  <c r="AH39" i="41"/>
  <c r="T39" i="41"/>
  <c r="O10" i="44" s="1"/>
  <c r="L39" i="41"/>
  <c r="AH38" i="41"/>
  <c r="T38" i="41"/>
  <c r="O8" i="44" s="1"/>
  <c r="L38" i="41"/>
  <c r="O38" i="41" s="1"/>
  <c r="AP38" i="41" s="1"/>
  <c r="AH37" i="41"/>
  <c r="T37" i="41"/>
  <c r="O31" i="44" s="1"/>
  <c r="L37" i="41"/>
  <c r="O37" i="41" s="1"/>
  <c r="AP37" i="41" s="1"/>
  <c r="AH36" i="41"/>
  <c r="T36" i="41"/>
  <c r="O26" i="44" s="1"/>
  <c r="L36" i="41"/>
  <c r="AH35" i="41"/>
  <c r="T35" i="41"/>
  <c r="O13" i="44" s="1"/>
  <c r="L35" i="41"/>
  <c r="O35" i="41" s="1"/>
  <c r="AH34" i="41"/>
  <c r="T34" i="41"/>
  <c r="O42" i="44" s="1"/>
  <c r="L34" i="41"/>
  <c r="O34" i="41" s="1"/>
  <c r="AP34" i="41" s="1"/>
  <c r="AH33" i="41"/>
  <c r="T33" i="41"/>
  <c r="O41" i="44" s="1"/>
  <c r="L33" i="41"/>
  <c r="O33" i="41" s="1"/>
  <c r="AP33" i="41" s="1"/>
  <c r="AH32" i="41"/>
  <c r="T32" i="41"/>
  <c r="O25" i="44" s="1"/>
  <c r="L32" i="41"/>
  <c r="O32" i="41" s="1"/>
  <c r="AP32" i="41" s="1"/>
  <c r="AH31" i="41"/>
  <c r="AH56" i="41" s="1"/>
  <c r="T31" i="41"/>
  <c r="O40" i="44" s="1"/>
  <c r="L31" i="41"/>
  <c r="AH30" i="41"/>
  <c r="T30" i="41"/>
  <c r="O39" i="44" s="1"/>
  <c r="L30" i="41"/>
  <c r="O30" i="41" s="1"/>
  <c r="AP30" i="41" s="1"/>
  <c r="AH29" i="41"/>
  <c r="T29" i="41"/>
  <c r="O30" i="44" s="1"/>
  <c r="L29" i="41"/>
  <c r="O29" i="41" s="1"/>
  <c r="AP29" i="41" s="1"/>
  <c r="AH28" i="41"/>
  <c r="T28" i="41"/>
  <c r="O17" i="44" s="1"/>
  <c r="L28" i="41"/>
  <c r="O28" i="41" s="1"/>
  <c r="AP28" i="41" s="1"/>
  <c r="AH27" i="41"/>
  <c r="T27" i="41"/>
  <c r="O38" i="44" s="1"/>
  <c r="L27" i="41"/>
  <c r="AH26" i="41"/>
  <c r="T26" i="41"/>
  <c r="O37" i="44" s="1"/>
  <c r="L26" i="41"/>
  <c r="O26" i="41" s="1"/>
  <c r="AP26" i="41" s="1"/>
  <c r="AH25" i="41"/>
  <c r="T25" i="41"/>
  <c r="O36" i="44" s="1"/>
  <c r="O25" i="41"/>
  <c r="L25" i="41"/>
  <c r="AH24" i="41"/>
  <c r="T24" i="41"/>
  <c r="O11" i="44" s="1"/>
  <c r="L24" i="41"/>
  <c r="O24" i="41" s="1"/>
  <c r="AP23" i="41"/>
  <c r="AH23" i="41"/>
  <c r="T23" i="41"/>
  <c r="O9" i="44" s="1"/>
  <c r="L23" i="41"/>
  <c r="O23" i="41" s="1"/>
  <c r="T22" i="41"/>
  <c r="O12" i="44" s="1"/>
  <c r="L22" i="41"/>
  <c r="O22" i="41" s="1"/>
  <c r="AP22" i="41" s="1"/>
  <c r="AH21" i="41"/>
  <c r="T21" i="41"/>
  <c r="O22" i="44" s="1"/>
  <c r="O21" i="41"/>
  <c r="L21" i="41"/>
  <c r="AH20" i="41"/>
  <c r="T20" i="41"/>
  <c r="O29" i="44" s="1"/>
  <c r="L20" i="41"/>
  <c r="O20" i="41" s="1"/>
  <c r="AP20" i="41" s="1"/>
  <c r="AH19" i="41"/>
  <c r="T19" i="41"/>
  <c r="O19" i="44" s="1"/>
  <c r="O19" i="41"/>
  <c r="AP19" i="41" s="1"/>
  <c r="L19" i="41"/>
  <c r="AH18" i="41"/>
  <c r="T18" i="41"/>
  <c r="O28" i="44" s="1"/>
  <c r="L18" i="41"/>
  <c r="O18" i="41" s="1"/>
  <c r="AP18" i="41" s="1"/>
  <c r="AH17" i="41"/>
  <c r="T17" i="41"/>
  <c r="O24" i="44" s="1"/>
  <c r="L17" i="41"/>
  <c r="O17" i="41" s="1"/>
  <c r="AH16" i="41"/>
  <c r="T16" i="41"/>
  <c r="O35" i="44" s="1"/>
  <c r="O16" i="41"/>
  <c r="L16" i="41"/>
  <c r="AH15" i="41"/>
  <c r="T15" i="41"/>
  <c r="O15" i="44" s="1"/>
  <c r="L15" i="41"/>
  <c r="O15" i="41" s="1"/>
  <c r="AH14" i="41"/>
  <c r="T14" i="41"/>
  <c r="O34" i="44" s="1"/>
  <c r="O14" i="41"/>
  <c r="AP14" i="41" s="1"/>
  <c r="L14" i="41"/>
  <c r="AP13" i="41"/>
  <c r="AH13" i="41"/>
  <c r="T13" i="41"/>
  <c r="O6" i="44" s="1"/>
  <c r="O13" i="41"/>
  <c r="L13" i="41"/>
  <c r="AH12" i="41"/>
  <c r="T12" i="41"/>
  <c r="O7" i="44" s="1"/>
  <c r="L12" i="41"/>
  <c r="O12" i="41" s="1"/>
  <c r="AH11" i="41"/>
  <c r="T11" i="41"/>
  <c r="O16" i="44" s="1"/>
  <c r="L11" i="41"/>
  <c r="AH10" i="41"/>
  <c r="T10" i="41"/>
  <c r="O33" i="44" s="1"/>
  <c r="O10" i="41"/>
  <c r="L10" i="41"/>
  <c r="AH9" i="41"/>
  <c r="T9" i="41"/>
  <c r="O18" i="44" s="1"/>
  <c r="O9" i="41"/>
  <c r="L9" i="41"/>
  <c r="AH8" i="41"/>
  <c r="T8" i="41"/>
  <c r="O21" i="44" s="1"/>
  <c r="O8" i="41"/>
  <c r="AP8" i="41" s="1"/>
  <c r="L8" i="41"/>
  <c r="AH7" i="41"/>
  <c r="T7" i="41"/>
  <c r="O23" i="44" s="1"/>
  <c r="L7" i="41"/>
  <c r="O16" i="42" l="1"/>
  <c r="AT28" i="42"/>
  <c r="AK52" i="42"/>
  <c r="O60" i="44"/>
  <c r="AA6" i="43"/>
  <c r="AA17" i="43"/>
  <c r="AD24" i="43"/>
  <c r="X27" i="41" s="1"/>
  <c r="AD35" i="43"/>
  <c r="X38" i="41" s="1"/>
  <c r="AD40" i="43"/>
  <c r="X43" i="41" s="1"/>
  <c r="AA9" i="43"/>
  <c r="U7" i="29"/>
  <c r="U1" i="29" s="1"/>
  <c r="V1" i="29" s="1"/>
  <c r="U72" i="37"/>
  <c r="V72" i="37" s="1"/>
  <c r="T57" i="41"/>
  <c r="T55" i="41"/>
  <c r="AD16" i="43"/>
  <c r="X19" i="41" s="1"/>
  <c r="AE24" i="43"/>
  <c r="AD27" i="43"/>
  <c r="X30" i="41" s="1"/>
  <c r="AA38" i="43"/>
  <c r="AD8" i="43"/>
  <c r="X11" i="41" s="1"/>
  <c r="AD19" i="43"/>
  <c r="X22" i="41" s="1"/>
  <c r="AA30" i="43"/>
  <c r="AA41" i="43"/>
  <c r="AD11" i="43"/>
  <c r="X14" i="41" s="1"/>
  <c r="AA22" i="43"/>
  <c r="AA33" i="43"/>
  <c r="AA14" i="43"/>
  <c r="AA25" i="43"/>
  <c r="AE45" i="43"/>
  <c r="AD32" i="43"/>
  <c r="X35" i="41" s="1"/>
  <c r="AD43" i="43"/>
  <c r="X46" i="41" s="1"/>
  <c r="AA4" i="43"/>
  <c r="AD6" i="43"/>
  <c r="X9" i="41" s="1"/>
  <c r="AA12" i="43"/>
  <c r="AD14" i="43"/>
  <c r="X17" i="41" s="1"/>
  <c r="AA20" i="43"/>
  <c r="AD22" i="43"/>
  <c r="X25" i="41" s="1"/>
  <c r="AA28" i="43"/>
  <c r="AD30" i="43"/>
  <c r="X33" i="41" s="1"/>
  <c r="AA36" i="43"/>
  <c r="AD38" i="43"/>
  <c r="X41" i="41" s="1"/>
  <c r="AA44" i="43"/>
  <c r="AA7" i="43"/>
  <c r="AD9" i="43"/>
  <c r="X12" i="41" s="1"/>
  <c r="AE14" i="43"/>
  <c r="AA15" i="43"/>
  <c r="AD17" i="43"/>
  <c r="X20" i="41" s="1"/>
  <c r="AE22" i="43"/>
  <c r="AA23" i="43"/>
  <c r="AD25" i="43"/>
  <c r="X28" i="41" s="1"/>
  <c r="AE30" i="43"/>
  <c r="AA31" i="43"/>
  <c r="AD33" i="43"/>
  <c r="X36" i="41" s="1"/>
  <c r="AA39" i="43"/>
  <c r="AD41" i="43"/>
  <c r="X44" i="41" s="1"/>
  <c r="AD4" i="43"/>
  <c r="X7" i="41" s="1"/>
  <c r="AA10" i="43"/>
  <c r="AD12" i="43"/>
  <c r="X15" i="41" s="1"/>
  <c r="AA18" i="43"/>
  <c r="AD20" i="43"/>
  <c r="X23" i="41" s="1"/>
  <c r="AA26" i="43"/>
  <c r="AD28" i="43"/>
  <c r="X31" i="41" s="1"/>
  <c r="AA34" i="43"/>
  <c r="AD36" i="43"/>
  <c r="X39" i="41" s="1"/>
  <c r="AA42" i="43"/>
  <c r="AD44" i="43"/>
  <c r="X47" i="41" s="1"/>
  <c r="AA5" i="43"/>
  <c r="AD7" i="43"/>
  <c r="X10" i="41" s="1"/>
  <c r="AA13" i="43"/>
  <c r="AD15" i="43"/>
  <c r="X18" i="41" s="1"/>
  <c r="AA21" i="43"/>
  <c r="AD23" i="43"/>
  <c r="X26" i="41" s="1"/>
  <c r="AA29" i="43"/>
  <c r="AD31" i="43"/>
  <c r="X34" i="41" s="1"/>
  <c r="AE36" i="43"/>
  <c r="AA37" i="43"/>
  <c r="AD39" i="43"/>
  <c r="X42" i="41" s="1"/>
  <c r="AA45" i="43"/>
  <c r="AA8" i="43"/>
  <c r="AD10" i="43"/>
  <c r="X13" i="41" s="1"/>
  <c r="AA16" i="43"/>
  <c r="AD18" i="43"/>
  <c r="X21" i="41" s="1"/>
  <c r="AA24" i="43"/>
  <c r="AD26" i="43"/>
  <c r="X29" i="41" s="1"/>
  <c r="AA32" i="43"/>
  <c r="AD34" i="43"/>
  <c r="X37" i="41" s="1"/>
  <c r="AA40" i="43"/>
  <c r="AD42" i="43"/>
  <c r="X45" i="41" s="1"/>
  <c r="AD5" i="43"/>
  <c r="X8" i="41" s="1"/>
  <c r="AE10" i="43"/>
  <c r="AA11" i="43"/>
  <c r="AD13" i="43"/>
  <c r="X16" i="41" s="1"/>
  <c r="AA19" i="43"/>
  <c r="AD21" i="43"/>
  <c r="X24" i="41" s="1"/>
  <c r="AE26" i="43"/>
  <c r="AA27" i="43"/>
  <c r="AD29" i="43"/>
  <c r="X32" i="41" s="1"/>
  <c r="AA35" i="43"/>
  <c r="AD37" i="43"/>
  <c r="X40" i="41" s="1"/>
  <c r="AA43" i="43"/>
  <c r="T54" i="41"/>
  <c r="T56" i="41"/>
  <c r="T58" i="41"/>
  <c r="T53" i="41"/>
  <c r="AP15" i="41"/>
  <c r="AP17" i="41"/>
  <c r="L61" i="41"/>
  <c r="O27" i="41"/>
  <c r="O20" i="42"/>
  <c r="T61" i="41"/>
  <c r="T65" i="37" s="1"/>
  <c r="L53" i="41"/>
  <c r="AP12" i="41"/>
  <c r="L58" i="41"/>
  <c r="AP35" i="41"/>
  <c r="O26" i="42"/>
  <c r="AT26" i="42"/>
  <c r="AP16" i="41"/>
  <c r="AP24" i="41"/>
  <c r="AP43" i="41"/>
  <c r="AP9" i="41"/>
  <c r="AP21" i="41"/>
  <c r="O9" i="42"/>
  <c r="AT9" i="42"/>
  <c r="AP10" i="41"/>
  <c r="O11" i="41"/>
  <c r="AP25" i="41"/>
  <c r="L57" i="41"/>
  <c r="O36" i="41"/>
  <c r="O39" i="41"/>
  <c r="L54" i="41"/>
  <c r="L56" i="41"/>
  <c r="O31" i="41"/>
  <c r="AP40" i="41"/>
  <c r="T52" i="41"/>
  <c r="AP44" i="41"/>
  <c r="O46" i="42"/>
  <c r="O44" i="42"/>
  <c r="O43" i="42"/>
  <c r="O42" i="42"/>
  <c r="O32" i="42"/>
  <c r="O39" i="42"/>
  <c r="O25" i="42"/>
  <c r="O21" i="42"/>
  <c r="O17" i="42"/>
  <c r="O13" i="42"/>
  <c r="O10" i="42"/>
  <c r="O6" i="42"/>
  <c r="AT1" i="42"/>
  <c r="AU2" i="42" s="1"/>
  <c r="O24" i="42"/>
  <c r="O29" i="42"/>
  <c r="O11" i="42"/>
  <c r="O33" i="42"/>
  <c r="O8" i="42"/>
  <c r="AH53" i="41"/>
  <c r="O54" i="41"/>
  <c r="O58" i="41"/>
  <c r="AP58" i="41" s="1"/>
  <c r="AP42" i="41"/>
  <c r="AT19" i="42"/>
  <c r="O19" i="42"/>
  <c r="L52" i="41"/>
  <c r="O7" i="41"/>
  <c r="AT38" i="42"/>
  <c r="O38" i="42"/>
  <c r="L55" i="41"/>
  <c r="AP48" i="41"/>
  <c r="O7" i="42"/>
  <c r="AH22" i="41"/>
  <c r="AH54" i="41" s="1"/>
  <c r="CN10" i="42"/>
  <c r="CN11" i="42"/>
  <c r="AT12" i="42"/>
  <c r="O12" i="42"/>
  <c r="AT16" i="42"/>
  <c r="AH52" i="41"/>
  <c r="T51" i="42"/>
  <c r="CN16" i="42"/>
  <c r="AT22" i="42"/>
  <c r="O22" i="42"/>
  <c r="AK53" i="42"/>
  <c r="AT27" i="42"/>
  <c r="O27" i="42"/>
  <c r="AH61" i="41"/>
  <c r="AT18" i="42"/>
  <c r="O18" i="42"/>
  <c r="M2" i="42"/>
  <c r="O5" i="42"/>
  <c r="M1" i="42"/>
  <c r="AC50" i="42"/>
  <c r="AG52" i="42"/>
  <c r="CN13" i="42"/>
  <c r="AT14" i="42"/>
  <c r="O14" i="42"/>
  <c r="AT23" i="42"/>
  <c r="O23" i="42"/>
  <c r="AH57" i="41"/>
  <c r="AH52" i="42"/>
  <c r="CN24" i="42"/>
  <c r="AG50" i="42"/>
  <c r="AG57" i="42" s="1"/>
  <c r="CN14" i="42"/>
  <c r="CN28" i="42"/>
  <c r="AT30" i="42"/>
  <c r="O30" i="42"/>
  <c r="AC56" i="42"/>
  <c r="BG64" i="42"/>
  <c r="BG63" i="42"/>
  <c r="BG60" i="42"/>
  <c r="BG59" i="42"/>
  <c r="CN7" i="42" s="1"/>
  <c r="BG65" i="42"/>
  <c r="BG50" i="42"/>
  <c r="BG51" i="42"/>
  <c r="BG52" i="42"/>
  <c r="CN12" i="42"/>
  <c r="CN21" i="42"/>
  <c r="CN25" i="42"/>
  <c r="AJ50" i="42"/>
  <c r="AJ51" i="42"/>
  <c r="O15" i="42"/>
  <c r="BG53" i="42"/>
  <c r="O37" i="42"/>
  <c r="AK50" i="42"/>
  <c r="CN5" i="42"/>
  <c r="AK51" i="42"/>
  <c r="CN9" i="42"/>
  <c r="O45" i="42"/>
  <c r="AT45" i="42"/>
  <c r="T53" i="42"/>
  <c r="AC53" i="42"/>
  <c r="AF54" i="42"/>
  <c r="CN31" i="42"/>
  <c r="T52" i="42"/>
  <c r="T57" i="42" s="1"/>
  <c r="AC52" i="42"/>
  <c r="AF53" i="42"/>
  <c r="AH54" i="42"/>
  <c r="AT35" i="42"/>
  <c r="O35" i="42"/>
  <c r="AJ56" i="42"/>
  <c r="AG53" i="42"/>
  <c r="O31" i="42"/>
  <c r="AT31" i="42"/>
  <c r="CN41" i="42"/>
  <c r="AF52" i="42"/>
  <c r="AF57" i="42" s="1"/>
  <c r="AF59" i="42" s="1"/>
  <c r="AH53" i="42"/>
  <c r="AJ54" i="42"/>
  <c r="AT34" i="42"/>
  <c r="O34" i="42"/>
  <c r="BG54" i="42"/>
  <c r="AK55" i="42"/>
  <c r="AT36" i="42"/>
  <c r="O36" i="42"/>
  <c r="AK54" i="42"/>
  <c r="CN29" i="42"/>
  <c r="AT40" i="42"/>
  <c r="O40" i="42"/>
  <c r="O41" i="42"/>
  <c r="AT41" i="42"/>
  <c r="AH56" i="42"/>
  <c r="T54" i="42"/>
  <c r="AC54" i="42"/>
  <c r="CN32" i="42"/>
  <c r="CN33" i="42"/>
  <c r="T55" i="42"/>
  <c r="CN39" i="42"/>
  <c r="BG56" i="42"/>
  <c r="CN40" i="42"/>
  <c r="AF55" i="42"/>
  <c r="CN36" i="42"/>
  <c r="AT37" i="42"/>
  <c r="CN43" i="42"/>
  <c r="AH55" i="42"/>
  <c r="CN35" i="42"/>
  <c r="BG55" i="42"/>
  <c r="AJ55" i="42"/>
  <c r="AG56" i="42"/>
  <c r="AK56" i="42"/>
  <c r="T56" i="42"/>
  <c r="AF69" i="42"/>
  <c r="AH57" i="42" l="1"/>
  <c r="AE27" i="43"/>
  <c r="AE43" i="43"/>
  <c r="AE5" i="43"/>
  <c r="AE18" i="43"/>
  <c r="AE25" i="43"/>
  <c r="AE17" i="43"/>
  <c r="AE15" i="43"/>
  <c r="AE39" i="43"/>
  <c r="AE4" i="43"/>
  <c r="AE7" i="43"/>
  <c r="AE34" i="43"/>
  <c r="AE20" i="43"/>
  <c r="AE41" i="43"/>
  <c r="AE37" i="43"/>
  <c r="AE13" i="43"/>
  <c r="X58" i="41"/>
  <c r="X54" i="41"/>
  <c r="X61" i="41"/>
  <c r="X65" i="37" s="1"/>
  <c r="X57" i="41"/>
  <c r="W1" i="29"/>
  <c r="X53" i="41"/>
  <c r="X52" i="41"/>
  <c r="X55" i="41"/>
  <c r="X56" i="41"/>
  <c r="T59" i="41"/>
  <c r="AF72" i="42"/>
  <c r="AF64" i="42"/>
  <c r="AC57" i="42"/>
  <c r="AC59" i="42" s="1"/>
  <c r="AC64" i="42" s="1"/>
  <c r="CN20" i="42"/>
  <c r="AH62" i="41"/>
  <c r="AP54" i="41"/>
  <c r="AP27" i="41"/>
  <c r="L59" i="41"/>
  <c r="CN17" i="42"/>
  <c r="AP31" i="41"/>
  <c r="O56" i="41"/>
  <c r="AP56" i="41" s="1"/>
  <c r="AH63" i="41"/>
  <c r="O57" i="41"/>
  <c r="AP57" i="41" s="1"/>
  <c r="AP36" i="41"/>
  <c r="BG57" i="42"/>
  <c r="AK57" i="42"/>
  <c r="BG61" i="42"/>
  <c r="CN55" i="42"/>
  <c r="CN53" i="42"/>
  <c r="CN51" i="42"/>
  <c r="CN54" i="42"/>
  <c r="CN52" i="42"/>
  <c r="CN50" i="42"/>
  <c r="CN44" i="42"/>
  <c r="CN56" i="42"/>
  <c r="CN37" i="42"/>
  <c r="CN30" i="42"/>
  <c r="CN27" i="42"/>
  <c r="CN34" i="42"/>
  <c r="CN22" i="42"/>
  <c r="CN18" i="42"/>
  <c r="CN26" i="42"/>
  <c r="CN6" i="42"/>
  <c r="CN19" i="42"/>
  <c r="CN15" i="42"/>
  <c r="O55" i="41"/>
  <c r="AP55" i="41" s="1"/>
  <c r="O61" i="41"/>
  <c r="AP61" i="41" s="1"/>
  <c r="AP7" i="41"/>
  <c r="O52" i="41"/>
  <c r="AJ57" i="42"/>
  <c r="AH59" i="41"/>
  <c r="AP39" i="41"/>
  <c r="O53" i="41"/>
  <c r="AP53" i="41" s="1"/>
  <c r="AP11" i="41"/>
  <c r="X59" i="41" l="1"/>
  <c r="AP52" i="41"/>
  <c r="O59" i="41"/>
  <c r="AP59" i="41" s="1"/>
  <c r="T10" i="29" l="1"/>
  <c r="BF46" i="36" l="1"/>
  <c r="BF45" i="36"/>
  <c r="BF44" i="36"/>
  <c r="BF43" i="36"/>
  <c r="BF42" i="36"/>
  <c r="BF41" i="36"/>
  <c r="BF40" i="36"/>
  <c r="BF39" i="36"/>
  <c r="BF38" i="36"/>
  <c r="BF37" i="36"/>
  <c r="BF36" i="36"/>
  <c r="BF35" i="36"/>
  <c r="BF34" i="36"/>
  <c r="BF33" i="36"/>
  <c r="BF32" i="36"/>
  <c r="BF31" i="36"/>
  <c r="BF30" i="36"/>
  <c r="BF29" i="36"/>
  <c r="BF28" i="36"/>
  <c r="BF27" i="36"/>
  <c r="BF26" i="36"/>
  <c r="BF25" i="36"/>
  <c r="BF24" i="36"/>
  <c r="BF23" i="36"/>
  <c r="BF22" i="36"/>
  <c r="BF21" i="36"/>
  <c r="BF20" i="36"/>
  <c r="BF19" i="36"/>
  <c r="BF18" i="36"/>
  <c r="BF17" i="36"/>
  <c r="BF16" i="36"/>
  <c r="BF15" i="36"/>
  <c r="BF14" i="36"/>
  <c r="BF13" i="36"/>
  <c r="BF12" i="36"/>
  <c r="BF11" i="36"/>
  <c r="BF10" i="36"/>
  <c r="BF9" i="36"/>
  <c r="BF8" i="36"/>
  <c r="BF7" i="36"/>
  <c r="BF6" i="36"/>
  <c r="BF5" i="36"/>
  <c r="BF46" i="34"/>
  <c r="BF45" i="34"/>
  <c r="BF44" i="34"/>
  <c r="BF43" i="34"/>
  <c r="BF42" i="34"/>
  <c r="BF41" i="34"/>
  <c r="BF40" i="34"/>
  <c r="BF39" i="34"/>
  <c r="BF38" i="34"/>
  <c r="BF37" i="34"/>
  <c r="BF36" i="34"/>
  <c r="BF35" i="34"/>
  <c r="BF34" i="34"/>
  <c r="BF33" i="34"/>
  <c r="BF32" i="34"/>
  <c r="BF31" i="34"/>
  <c r="BF30" i="34"/>
  <c r="BF29" i="34"/>
  <c r="BF28" i="34"/>
  <c r="BF27" i="34"/>
  <c r="BF26" i="34"/>
  <c r="BF25" i="34"/>
  <c r="BF24" i="34"/>
  <c r="BF23" i="34"/>
  <c r="BF22" i="34"/>
  <c r="BF21" i="34"/>
  <c r="BF20" i="34"/>
  <c r="BF19" i="34"/>
  <c r="BF18" i="34"/>
  <c r="BF17" i="34"/>
  <c r="BF16" i="34"/>
  <c r="BF15" i="34"/>
  <c r="BF14" i="34"/>
  <c r="BF13" i="34"/>
  <c r="BF12" i="34"/>
  <c r="BF11" i="34"/>
  <c r="BF10" i="34"/>
  <c r="BF9" i="34"/>
  <c r="BF8" i="34"/>
  <c r="BF7" i="34"/>
  <c r="BF6" i="34"/>
  <c r="BF5" i="34"/>
  <c r="BF46" i="38"/>
  <c r="BF45" i="38"/>
  <c r="BF44" i="38"/>
  <c r="BF43" i="38"/>
  <c r="BF42" i="38"/>
  <c r="BF41" i="38"/>
  <c r="BF40" i="38"/>
  <c r="BF39" i="38"/>
  <c r="BF38" i="38"/>
  <c r="BF37" i="38"/>
  <c r="BF36" i="38"/>
  <c r="BF35" i="38"/>
  <c r="BF34" i="38"/>
  <c r="BF33" i="38"/>
  <c r="BF32" i="38"/>
  <c r="BF31" i="38"/>
  <c r="BF30" i="38"/>
  <c r="BF29" i="38"/>
  <c r="BF28" i="38"/>
  <c r="BF27" i="38"/>
  <c r="BF26" i="38"/>
  <c r="BF25" i="38"/>
  <c r="BF24" i="38"/>
  <c r="BF23" i="38"/>
  <c r="BF22" i="38"/>
  <c r="BF21" i="38"/>
  <c r="BF20" i="38"/>
  <c r="BF19" i="38"/>
  <c r="BF18" i="38"/>
  <c r="BF17" i="38"/>
  <c r="BF16" i="38"/>
  <c r="BF15" i="38"/>
  <c r="BF14" i="38"/>
  <c r="BF13" i="38"/>
  <c r="BF12" i="38"/>
  <c r="BF11" i="38"/>
  <c r="BF10" i="38"/>
  <c r="BF9" i="38"/>
  <c r="BF8" i="38"/>
  <c r="BF7" i="38"/>
  <c r="BF6" i="38"/>
  <c r="BF5" i="38"/>
  <c r="AM5" i="39"/>
  <c r="AM6" i="39"/>
  <c r="AM7" i="39"/>
  <c r="AM8" i="39"/>
  <c r="AM9" i="39"/>
  <c r="AM10" i="39"/>
  <c r="AM11" i="39"/>
  <c r="AM12" i="39"/>
  <c r="AM13" i="39"/>
  <c r="AM14" i="39"/>
  <c r="AM15" i="39"/>
  <c r="AM16" i="39"/>
  <c r="AM17" i="39"/>
  <c r="AM18" i="39"/>
  <c r="AM19" i="39"/>
  <c r="AM20" i="39"/>
  <c r="AM21" i="39"/>
  <c r="AM22" i="39"/>
  <c r="AM23" i="39"/>
  <c r="AM24" i="39"/>
  <c r="AM25" i="39"/>
  <c r="AM26" i="39"/>
  <c r="AM27" i="39"/>
  <c r="AM28" i="39"/>
  <c r="AM29" i="39"/>
  <c r="AM30" i="39"/>
  <c r="AM31" i="39"/>
  <c r="AM32" i="39"/>
  <c r="AM33" i="39"/>
  <c r="AM34" i="39"/>
  <c r="AM35" i="39"/>
  <c r="AM36" i="39"/>
  <c r="AM37" i="39"/>
  <c r="AM38" i="39"/>
  <c r="AM39" i="39"/>
  <c r="AM40" i="39"/>
  <c r="AM41" i="39"/>
  <c r="AM42" i="39"/>
  <c r="AM43" i="39"/>
  <c r="AM44" i="39"/>
  <c r="AM45" i="39"/>
  <c r="AM4" i="39"/>
  <c r="N60" i="39" l="1"/>
  <c r="AD2" i="39" l="1"/>
  <c r="AE2" i="39"/>
  <c r="AK8" i="37"/>
  <c r="AK9" i="37"/>
  <c r="AK10" i="37"/>
  <c r="AK11" i="37"/>
  <c r="AK12" i="37"/>
  <c r="AK13" i="37"/>
  <c r="AK14" i="37"/>
  <c r="AK15" i="37"/>
  <c r="AK16" i="37"/>
  <c r="AK17" i="37"/>
  <c r="AK18" i="37"/>
  <c r="AK19" i="37"/>
  <c r="AK20" i="37"/>
  <c r="AK21" i="37"/>
  <c r="AK22" i="37"/>
  <c r="AK23" i="37"/>
  <c r="AK24" i="37"/>
  <c r="AK25" i="37"/>
  <c r="AK26" i="37"/>
  <c r="AK27" i="37"/>
  <c r="AK28" i="37"/>
  <c r="AK29" i="37"/>
  <c r="AK30" i="37"/>
  <c r="AK31" i="37"/>
  <c r="AK32" i="37"/>
  <c r="AK33" i="37"/>
  <c r="AK34" i="37"/>
  <c r="AK35" i="37"/>
  <c r="AK36" i="37"/>
  <c r="AK37" i="37"/>
  <c r="AK38" i="37"/>
  <c r="AK39" i="37"/>
  <c r="AK40" i="37"/>
  <c r="AK41" i="37"/>
  <c r="AK42" i="37"/>
  <c r="AK43" i="37"/>
  <c r="AK44" i="37"/>
  <c r="AK45" i="37"/>
  <c r="AK46" i="37"/>
  <c r="AK47" i="37"/>
  <c r="AK48" i="37"/>
  <c r="AK7" i="37"/>
  <c r="AA2" i="39"/>
  <c r="AA5" i="39" s="1"/>
  <c r="X5" i="39"/>
  <c r="X6" i="39"/>
  <c r="X7" i="39"/>
  <c r="X8" i="39"/>
  <c r="X9" i="39"/>
  <c r="X10" i="39"/>
  <c r="X11" i="39"/>
  <c r="X12" i="39"/>
  <c r="X13" i="39"/>
  <c r="X14" i="39"/>
  <c r="X15" i="39"/>
  <c r="X16" i="39"/>
  <c r="X17" i="39"/>
  <c r="X18" i="39"/>
  <c r="X19" i="39"/>
  <c r="X20" i="39"/>
  <c r="X21" i="39"/>
  <c r="X22" i="39"/>
  <c r="X23" i="39"/>
  <c r="X24" i="39"/>
  <c r="X25" i="39"/>
  <c r="X26" i="39"/>
  <c r="X27" i="39"/>
  <c r="X28" i="39"/>
  <c r="X29" i="39"/>
  <c r="X30" i="39"/>
  <c r="X31" i="39"/>
  <c r="X32" i="39"/>
  <c r="X33" i="39"/>
  <c r="X34" i="39"/>
  <c r="X35" i="39"/>
  <c r="X36" i="39"/>
  <c r="X37" i="39"/>
  <c r="X38" i="39"/>
  <c r="X39" i="39"/>
  <c r="X40" i="39"/>
  <c r="X41" i="39"/>
  <c r="X42" i="39"/>
  <c r="X43" i="39"/>
  <c r="X44" i="39"/>
  <c r="X45" i="39"/>
  <c r="X4" i="39"/>
  <c r="L8" i="37"/>
  <c r="BN24" i="45" s="1"/>
  <c r="L9" i="37"/>
  <c r="L10" i="37"/>
  <c r="BN35" i="45" s="1"/>
  <c r="L11" i="37"/>
  <c r="BN33" i="45" s="1"/>
  <c r="L12" i="37"/>
  <c r="L13" i="37"/>
  <c r="BN8" i="45" s="1"/>
  <c r="L14" i="37"/>
  <c r="BN36" i="45" s="1"/>
  <c r="L15" i="37"/>
  <c r="BN16" i="45" s="1"/>
  <c r="L16" i="37"/>
  <c r="BN37" i="45" s="1"/>
  <c r="L17" i="37"/>
  <c r="BN18" i="45" s="1"/>
  <c r="L18" i="37"/>
  <c r="BN17" i="45" s="1"/>
  <c r="L19" i="37"/>
  <c r="BN19" i="45" s="1"/>
  <c r="L20" i="37"/>
  <c r="BN28" i="45" s="1"/>
  <c r="L21" i="37"/>
  <c r="BN23" i="45" s="1"/>
  <c r="L22" i="37"/>
  <c r="BN12" i="45" s="1"/>
  <c r="L23" i="37"/>
  <c r="BN10" i="45" s="1"/>
  <c r="L24" i="37"/>
  <c r="BN13" i="45" s="1"/>
  <c r="L25" i="37"/>
  <c r="BN38" i="45" s="1"/>
  <c r="L26" i="37"/>
  <c r="BN39" i="45" s="1"/>
  <c r="L27" i="37"/>
  <c r="BN40" i="45" s="1"/>
  <c r="L28" i="37"/>
  <c r="BN20" i="45" s="1"/>
  <c r="L29" i="37"/>
  <c r="BN34" i="45" s="1"/>
  <c r="L30" i="37"/>
  <c r="BN41" i="45" s="1"/>
  <c r="L31" i="37"/>
  <c r="BN47" i="45" s="1"/>
  <c r="L32" i="37"/>
  <c r="BN26" i="45" s="1"/>
  <c r="L33" i="37"/>
  <c r="BN42" i="45" s="1"/>
  <c r="L34" i="37"/>
  <c r="BN48" i="45" s="1"/>
  <c r="L35" i="37"/>
  <c r="BN15" i="45" s="1"/>
  <c r="L36" i="37"/>
  <c r="BN22" i="45" s="1"/>
  <c r="L37" i="37"/>
  <c r="BN29" i="45" s="1"/>
  <c r="L38" i="37"/>
  <c r="BN9" i="45" s="1"/>
  <c r="L39" i="37"/>
  <c r="BN11" i="45" s="1"/>
  <c r="L40" i="37"/>
  <c r="BN30" i="45" s="1"/>
  <c r="L41" i="37"/>
  <c r="BN31" i="45" s="1"/>
  <c r="L42" i="37"/>
  <c r="BN32" i="45" s="1"/>
  <c r="L43" i="37"/>
  <c r="BN43" i="45" s="1"/>
  <c r="L44" i="37"/>
  <c r="BN44" i="45" s="1"/>
  <c r="L45" i="37"/>
  <c r="BN14" i="45" s="1"/>
  <c r="L46" i="37"/>
  <c r="BN25" i="45" s="1"/>
  <c r="L47" i="37"/>
  <c r="BN45" i="45" s="1"/>
  <c r="L48" i="37"/>
  <c r="BN46" i="45" s="1"/>
  <c r="L7" i="37"/>
  <c r="BN27" i="45" s="1"/>
  <c r="X14" i="44" l="1"/>
  <c r="AX14" i="45"/>
  <c r="AX23" i="45"/>
  <c r="X22" i="44"/>
  <c r="AX44" i="45"/>
  <c r="X45" i="44"/>
  <c r="AX22" i="45"/>
  <c r="X26" i="44"/>
  <c r="AX20" i="45"/>
  <c r="X17" i="44"/>
  <c r="AX28" i="45"/>
  <c r="X29" i="44"/>
  <c r="AX7" i="45"/>
  <c r="X7" i="44"/>
  <c r="AX34" i="45"/>
  <c r="X30" i="44"/>
  <c r="X44" i="44"/>
  <c r="AX43" i="45"/>
  <c r="X13" i="44"/>
  <c r="AX15" i="45"/>
  <c r="AX40" i="45"/>
  <c r="X38" i="44"/>
  <c r="X19" i="44"/>
  <c r="AX19" i="45"/>
  <c r="X16" i="44"/>
  <c r="AX33" i="45"/>
  <c r="AX29" i="45"/>
  <c r="X31" i="44"/>
  <c r="AX8" i="45"/>
  <c r="X6" i="44"/>
  <c r="X32" i="44"/>
  <c r="AX32" i="45"/>
  <c r="X42" i="44"/>
  <c r="AX48" i="45"/>
  <c r="X37" i="44"/>
  <c r="AX39" i="45"/>
  <c r="X28" i="44"/>
  <c r="AX17" i="45"/>
  <c r="X33" i="44"/>
  <c r="AX35" i="45"/>
  <c r="BQ7" i="45"/>
  <c r="BN7" i="45"/>
  <c r="X23" i="44"/>
  <c r="AX27" i="45"/>
  <c r="X20" i="44"/>
  <c r="AX31" i="45"/>
  <c r="X41" i="44"/>
  <c r="AX42" i="45"/>
  <c r="X36" i="44"/>
  <c r="AX38" i="45"/>
  <c r="X24" i="44"/>
  <c r="AX18" i="45"/>
  <c r="AX46" i="45"/>
  <c r="X47" i="44"/>
  <c r="X43" i="44"/>
  <c r="AX30" i="45"/>
  <c r="X25" i="44"/>
  <c r="AX26" i="45"/>
  <c r="AX13" i="45"/>
  <c r="X11" i="44"/>
  <c r="X35" i="44"/>
  <c r="AX37" i="45"/>
  <c r="AX24" i="45"/>
  <c r="X21" i="44"/>
  <c r="AX45" i="45"/>
  <c r="X46" i="44"/>
  <c r="AX11" i="45"/>
  <c r="X10" i="44"/>
  <c r="X40" i="44"/>
  <c r="AX47" i="45"/>
  <c r="X9" i="44"/>
  <c r="AX10" i="45"/>
  <c r="X15" i="44"/>
  <c r="AX16" i="45"/>
  <c r="AX25" i="45"/>
  <c r="X27" i="44"/>
  <c r="X8" i="44"/>
  <c r="AX9" i="45"/>
  <c r="X39" i="44"/>
  <c r="AX41" i="45"/>
  <c r="AX12" i="45"/>
  <c r="X12" i="44"/>
  <c r="AX36" i="45"/>
  <c r="X34" i="44"/>
  <c r="BQ21" i="45"/>
  <c r="BQ50" i="45" s="1"/>
  <c r="BN21" i="45"/>
  <c r="X18" i="44"/>
  <c r="AX21" i="45"/>
  <c r="AK63" i="37"/>
  <c r="AK62" i="37"/>
  <c r="AK54" i="37"/>
  <c r="L57" i="37"/>
  <c r="L53" i="37"/>
  <c r="L52" i="37"/>
  <c r="L55" i="37"/>
  <c r="AK58" i="37"/>
  <c r="L56" i="37"/>
  <c r="AK57" i="37"/>
  <c r="L58" i="37"/>
  <c r="AK53" i="37"/>
  <c r="AK52" i="37"/>
  <c r="AK55" i="37"/>
  <c r="L54" i="37"/>
  <c r="AK56" i="37"/>
  <c r="AD30" i="39"/>
  <c r="AD23" i="39"/>
  <c r="AD15" i="39"/>
  <c r="AD22" i="39"/>
  <c r="AD14" i="39"/>
  <c r="AD7" i="39"/>
  <c r="AD39" i="39"/>
  <c r="AD31" i="39"/>
  <c r="AD44" i="39"/>
  <c r="AD36" i="39"/>
  <c r="AD28" i="39"/>
  <c r="AD20" i="39"/>
  <c r="AD12" i="39"/>
  <c r="AD43" i="39"/>
  <c r="AD35" i="39"/>
  <c r="AD27" i="39"/>
  <c r="AD19" i="39"/>
  <c r="AD11" i="39"/>
  <c r="AD42" i="39"/>
  <c r="AD34" i="39"/>
  <c r="AD18" i="39"/>
  <c r="AD10" i="39"/>
  <c r="AD41" i="39"/>
  <c r="AE41" i="39" s="1"/>
  <c r="AD33" i="39"/>
  <c r="AD25" i="39"/>
  <c r="AD17" i="39"/>
  <c r="AD9" i="39"/>
  <c r="AD26" i="39"/>
  <c r="AD40" i="39"/>
  <c r="AD32" i="39"/>
  <c r="AD24" i="39"/>
  <c r="AD16" i="39"/>
  <c r="AD8" i="39"/>
  <c r="AD4" i="39"/>
  <c r="X3" i="37" s="1"/>
  <c r="AD38" i="39"/>
  <c r="AD6" i="39"/>
  <c r="AD45" i="39"/>
  <c r="AD37" i="39"/>
  <c r="AD29" i="39"/>
  <c r="AD21" i="39"/>
  <c r="AD13" i="39"/>
  <c r="AD5" i="39"/>
  <c r="AK61" i="37"/>
  <c r="L61" i="37"/>
  <c r="AA31" i="39"/>
  <c r="AA7" i="39"/>
  <c r="AA4" i="39"/>
  <c r="AA6" i="39"/>
  <c r="AA44" i="39"/>
  <c r="AA36" i="39"/>
  <c r="AA28" i="39"/>
  <c r="AA20" i="39"/>
  <c r="AA12" i="39"/>
  <c r="AA43" i="39"/>
  <c r="AA35" i="39"/>
  <c r="AA27" i="39"/>
  <c r="AA19" i="39"/>
  <c r="AA11" i="39"/>
  <c r="AA14" i="39"/>
  <c r="AA10" i="39"/>
  <c r="AA39" i="39"/>
  <c r="AA30" i="39"/>
  <c r="AA18" i="39"/>
  <c r="AA41" i="39"/>
  <c r="AA33" i="39"/>
  <c r="AA25" i="39"/>
  <c r="AA17" i="39"/>
  <c r="AA9" i="39"/>
  <c r="AA15" i="39"/>
  <c r="AA38" i="39"/>
  <c r="AA42" i="39"/>
  <c r="AA34" i="39"/>
  <c r="AA26" i="39"/>
  <c r="AA40" i="39"/>
  <c r="AA32" i="39"/>
  <c r="AA24" i="39"/>
  <c r="AA16" i="39"/>
  <c r="AA8" i="39"/>
  <c r="AA23" i="39"/>
  <c r="AA22" i="39"/>
  <c r="AA45" i="39"/>
  <c r="AA37" i="39"/>
  <c r="AA29" i="39"/>
  <c r="AA21" i="39"/>
  <c r="AA13" i="39"/>
  <c r="BN50" i="45" l="1"/>
  <c r="X60" i="44"/>
  <c r="X61" i="44"/>
  <c r="X62" i="44"/>
  <c r="AX53" i="45"/>
  <c r="AX52" i="45"/>
  <c r="AX50" i="45"/>
  <c r="AE20" i="39"/>
  <c r="AE10" i="39"/>
  <c r="O58" i="37"/>
  <c r="AS58" i="37" s="1"/>
  <c r="O52" i="37"/>
  <c r="AS52" i="37" s="1"/>
  <c r="O54" i="37"/>
  <c r="AS54" i="37" s="1"/>
  <c r="O56" i="37"/>
  <c r="AS56" i="37" s="1"/>
  <c r="O53" i="37"/>
  <c r="AE13" i="39"/>
  <c r="O57" i="37"/>
  <c r="AS57" i="37" s="1"/>
  <c r="AE30" i="39"/>
  <c r="O55" i="37"/>
  <c r="AS55" i="37" s="1"/>
  <c r="AK59" i="37"/>
  <c r="X56" i="37"/>
  <c r="X53" i="37"/>
  <c r="L59" i="37"/>
  <c r="AE5" i="39"/>
  <c r="AE4" i="39"/>
  <c r="AE17" i="39"/>
  <c r="AE25" i="39"/>
  <c r="AE27" i="39"/>
  <c r="AE24" i="39"/>
  <c r="AE39" i="39"/>
  <c r="AE36" i="39"/>
  <c r="AE37" i="39"/>
  <c r="AE43" i="39"/>
  <c r="AE7" i="39"/>
  <c r="AE45" i="39"/>
  <c r="AE14" i="39"/>
  <c r="AE18" i="39"/>
  <c r="AE26" i="39"/>
  <c r="AE34" i="39"/>
  <c r="AE22" i="39"/>
  <c r="AE15" i="39"/>
  <c r="O59" i="37" l="1"/>
  <c r="AS59" i="37" s="1"/>
  <c r="AS53" i="37"/>
  <c r="X57" i="37"/>
  <c r="X52" i="37"/>
  <c r="X54" i="37"/>
  <c r="X55" i="37"/>
  <c r="X58" i="37"/>
  <c r="X61" i="37"/>
  <c r="X66" i="37" s="1"/>
  <c r="AS40" i="37"/>
  <c r="AS30" i="37"/>
  <c r="AS44" i="37"/>
  <c r="AS17" i="37"/>
  <c r="AS27" i="37"/>
  <c r="AS29" i="37"/>
  <c r="AS25" i="37"/>
  <c r="AS16" i="37"/>
  <c r="AS18" i="37"/>
  <c r="AS21" i="37"/>
  <c r="AS23" i="37"/>
  <c r="AS33" i="37"/>
  <c r="AS46" i="37"/>
  <c r="AS8" i="37"/>
  <c r="AS7" i="37"/>
  <c r="AS37" i="37"/>
  <c r="AS39" i="37"/>
  <c r="AS28" i="37"/>
  <c r="X59" i="37" l="1"/>
  <c r="AS42" i="37"/>
  <c r="AS20" i="37"/>
  <c r="AS10" i="37"/>
  <c r="AS48" i="37"/>
  <c r="AE68" i="38" l="1"/>
  <c r="AE69" i="38" s="1"/>
  <c r="AE67" i="38"/>
  <c r="O65" i="38"/>
  <c r="AE63" i="38"/>
  <c r="AB63" i="38"/>
  <c r="M57" i="38"/>
  <c r="F57" i="38"/>
  <c r="AK56" i="38"/>
  <c r="M56" i="38"/>
  <c r="F56" i="38"/>
  <c r="AK55" i="38"/>
  <c r="M55" i="38"/>
  <c r="F55" i="38"/>
  <c r="AK54" i="38"/>
  <c r="M54" i="38"/>
  <c r="F54" i="38"/>
  <c r="AK53" i="38"/>
  <c r="M53" i="38"/>
  <c r="F53" i="38"/>
  <c r="AK52" i="38"/>
  <c r="M52" i="38"/>
  <c r="F52" i="38"/>
  <c r="AK51" i="38"/>
  <c r="M51" i="38"/>
  <c r="F51" i="38"/>
  <c r="AK50" i="38"/>
  <c r="AK57" i="38" s="1"/>
  <c r="M50" i="38"/>
  <c r="F50" i="38"/>
  <c r="CJ49" i="38"/>
  <c r="CI49" i="38"/>
  <c r="CH49" i="38"/>
  <c r="CG49" i="38"/>
  <c r="CF49" i="38"/>
  <c r="CD49" i="38"/>
  <c r="CC49" i="38"/>
  <c r="CB49" i="38"/>
  <c r="CA49" i="38"/>
  <c r="BZ49" i="38"/>
  <c r="BX49" i="38"/>
  <c r="BW49" i="38"/>
  <c r="BV49" i="38"/>
  <c r="BU49" i="38"/>
  <c r="BT49" i="38"/>
  <c r="BR49" i="38"/>
  <c r="BQ49" i="38"/>
  <c r="BP49" i="38"/>
  <c r="BO49" i="38"/>
  <c r="BN49" i="38"/>
  <c r="BL49" i="38"/>
  <c r="BK49" i="38"/>
  <c r="BJ49" i="38"/>
  <c r="BI49" i="38"/>
  <c r="BH49" i="38"/>
  <c r="BF49" i="38"/>
  <c r="BD49" i="38"/>
  <c r="BB49" i="38"/>
  <c r="BA49" i="38"/>
  <c r="AZ49" i="38"/>
  <c r="AX49" i="38"/>
  <c r="AW49" i="38"/>
  <c r="AV49" i="38"/>
  <c r="AT49" i="38"/>
  <c r="AQ49" i="38"/>
  <c r="AO49" i="38"/>
  <c r="AN49" i="38"/>
  <c r="CM46" i="38"/>
  <c r="AJ46" i="38"/>
  <c r="AI46" i="38"/>
  <c r="AG46" i="38"/>
  <c r="AF46" i="38"/>
  <c r="AE46" i="38"/>
  <c r="AB46" i="38"/>
  <c r="Y46" i="38"/>
  <c r="S46" i="38"/>
  <c r="M46" i="38"/>
  <c r="AS46" i="38" s="1"/>
  <c r="H46" i="38"/>
  <c r="F46" i="38"/>
  <c r="AJ45" i="38"/>
  <c r="AI45" i="38"/>
  <c r="AG45" i="38"/>
  <c r="AF45" i="38"/>
  <c r="AE45" i="38"/>
  <c r="AB45" i="38"/>
  <c r="Y45" i="38"/>
  <c r="S45" i="38"/>
  <c r="M45" i="38"/>
  <c r="O45" i="38" s="1"/>
  <c r="H45" i="38"/>
  <c r="F45" i="38"/>
  <c r="AJ44" i="38"/>
  <c r="AI44" i="38"/>
  <c r="AG44" i="38"/>
  <c r="AF44" i="38"/>
  <c r="AE44" i="38"/>
  <c r="AB44" i="38"/>
  <c r="Y44" i="38"/>
  <c r="S44" i="38"/>
  <c r="M44" i="38"/>
  <c r="H44" i="38"/>
  <c r="F44" i="38"/>
  <c r="AJ43" i="38"/>
  <c r="AI43" i="38"/>
  <c r="AG43" i="38"/>
  <c r="AF43" i="38"/>
  <c r="AE43" i="38"/>
  <c r="AB43" i="38"/>
  <c r="Y43" i="38"/>
  <c r="S43" i="38"/>
  <c r="M43" i="38"/>
  <c r="AS43" i="38" s="1"/>
  <c r="H43" i="38"/>
  <c r="F43" i="38"/>
  <c r="CM42" i="38"/>
  <c r="AJ42" i="38"/>
  <c r="AI42" i="38"/>
  <c r="AG42" i="38"/>
  <c r="AF42" i="38"/>
  <c r="AE42" i="38"/>
  <c r="AB42" i="38"/>
  <c r="Y42" i="38"/>
  <c r="S42" i="38"/>
  <c r="M42" i="38"/>
  <c r="AS42" i="38" s="1"/>
  <c r="H42" i="38"/>
  <c r="F42" i="38"/>
  <c r="AJ41" i="38"/>
  <c r="AI41" i="38"/>
  <c r="AG41" i="38"/>
  <c r="AF41" i="38"/>
  <c r="AE41" i="38"/>
  <c r="AB41" i="38"/>
  <c r="Y41" i="38"/>
  <c r="S41" i="38"/>
  <c r="M41" i="38"/>
  <c r="AS41" i="38" s="1"/>
  <c r="H41" i="38"/>
  <c r="F41" i="38"/>
  <c r="BF56" i="38"/>
  <c r="AJ40" i="38"/>
  <c r="AI40" i="38"/>
  <c r="AG40" i="38"/>
  <c r="AG56" i="38" s="1"/>
  <c r="AF40" i="38"/>
  <c r="AE40" i="38"/>
  <c r="AE56" i="38" s="1"/>
  <c r="AB40" i="38"/>
  <c r="AB56" i="38" s="1"/>
  <c r="Y40" i="38"/>
  <c r="S40" i="38"/>
  <c r="S56" i="38" s="1"/>
  <c r="M40" i="38"/>
  <c r="AS40" i="38" s="1"/>
  <c r="H40" i="38"/>
  <c r="F40" i="38"/>
  <c r="AJ39" i="38"/>
  <c r="AI39" i="38"/>
  <c r="AG39" i="38"/>
  <c r="AF39" i="38"/>
  <c r="AE39" i="38"/>
  <c r="AB39" i="38"/>
  <c r="Y39" i="38"/>
  <c r="S39" i="38"/>
  <c r="M39" i="38"/>
  <c r="AS39" i="38" s="1"/>
  <c r="H39" i="38"/>
  <c r="F39" i="38"/>
  <c r="AJ38" i="38"/>
  <c r="AI38" i="38"/>
  <c r="AG38" i="38"/>
  <c r="AF38" i="38"/>
  <c r="AE38" i="38"/>
  <c r="AB38" i="38"/>
  <c r="Y38" i="38"/>
  <c r="S38" i="38"/>
  <c r="M38" i="38"/>
  <c r="AS38" i="38" s="1"/>
  <c r="H38" i="38"/>
  <c r="F38" i="38"/>
  <c r="AJ37" i="38"/>
  <c r="AI37" i="38"/>
  <c r="AG37" i="38"/>
  <c r="AF37" i="38"/>
  <c r="AE37" i="38"/>
  <c r="AB37" i="38"/>
  <c r="Y37" i="38"/>
  <c r="S37" i="38"/>
  <c r="M37" i="38"/>
  <c r="AS37" i="38" s="1"/>
  <c r="H37" i="38"/>
  <c r="F37" i="38"/>
  <c r="AJ36" i="38"/>
  <c r="AI36" i="38"/>
  <c r="AG36" i="38"/>
  <c r="AF36" i="38"/>
  <c r="AE36" i="38"/>
  <c r="AB36" i="38"/>
  <c r="Y36" i="38"/>
  <c r="S36" i="38"/>
  <c r="M36" i="38"/>
  <c r="AS36" i="38" s="1"/>
  <c r="H36" i="38"/>
  <c r="F36" i="38"/>
  <c r="AJ35" i="38"/>
  <c r="AI35" i="38"/>
  <c r="AG35" i="38"/>
  <c r="AF35" i="38"/>
  <c r="AE35" i="38"/>
  <c r="AB35" i="38"/>
  <c r="Y35" i="38"/>
  <c r="S35" i="38"/>
  <c r="M35" i="38"/>
  <c r="H35" i="38"/>
  <c r="F35" i="38"/>
  <c r="AJ34" i="38"/>
  <c r="AI34" i="38"/>
  <c r="AG34" i="38"/>
  <c r="AF34" i="38"/>
  <c r="AF55" i="38" s="1"/>
  <c r="AE34" i="38"/>
  <c r="AE55" i="38" s="1"/>
  <c r="AB34" i="38"/>
  <c r="Y34" i="38"/>
  <c r="S34" i="38"/>
  <c r="S55" i="38" s="1"/>
  <c r="M34" i="38"/>
  <c r="H34" i="38"/>
  <c r="F34" i="38"/>
  <c r="AJ33" i="38"/>
  <c r="AI33" i="38"/>
  <c r="AG33" i="38"/>
  <c r="AF33" i="38"/>
  <c r="AE33" i="38"/>
  <c r="AB33" i="38"/>
  <c r="Y33" i="38"/>
  <c r="S33" i="38"/>
  <c r="M33" i="38"/>
  <c r="AS33" i="38" s="1"/>
  <c r="H33" i="38"/>
  <c r="F33" i="38"/>
  <c r="AJ32" i="38"/>
  <c r="AI32" i="38"/>
  <c r="AG32" i="38"/>
  <c r="AF32" i="38"/>
  <c r="AE32" i="38"/>
  <c r="AB32" i="38"/>
  <c r="Y32" i="38"/>
  <c r="S32" i="38"/>
  <c r="M32" i="38"/>
  <c r="O32" i="38" s="1"/>
  <c r="H32" i="38"/>
  <c r="F32" i="38"/>
  <c r="AJ31" i="38"/>
  <c r="AI31" i="38"/>
  <c r="AG31" i="38"/>
  <c r="AF31" i="38"/>
  <c r="AE31" i="38"/>
  <c r="AB31" i="38"/>
  <c r="Y31" i="38"/>
  <c r="S31" i="38"/>
  <c r="M31" i="38"/>
  <c r="H31" i="38"/>
  <c r="F31" i="38"/>
  <c r="AJ30" i="38"/>
  <c r="AI30" i="38"/>
  <c r="AG30" i="38"/>
  <c r="AF30" i="38"/>
  <c r="AE30" i="38"/>
  <c r="AB30" i="38"/>
  <c r="Y30" i="38"/>
  <c r="S30" i="38"/>
  <c r="M30" i="38"/>
  <c r="AS30" i="38" s="1"/>
  <c r="H30" i="38"/>
  <c r="F30" i="38"/>
  <c r="BF54" i="38"/>
  <c r="AJ29" i="38"/>
  <c r="AI29" i="38"/>
  <c r="AG29" i="38"/>
  <c r="AG54" i="38" s="1"/>
  <c r="AF29" i="38"/>
  <c r="AE29" i="38"/>
  <c r="AB29" i="38"/>
  <c r="Y29" i="38"/>
  <c r="S29" i="38"/>
  <c r="M29" i="38"/>
  <c r="AS29" i="38" s="1"/>
  <c r="H29" i="38"/>
  <c r="F29" i="38"/>
  <c r="AJ28" i="38"/>
  <c r="AI28" i="38"/>
  <c r="AG28" i="38"/>
  <c r="AF28" i="38"/>
  <c r="AE28" i="38"/>
  <c r="AB28" i="38"/>
  <c r="Y28" i="38"/>
  <c r="S28" i="38"/>
  <c r="M28" i="38"/>
  <c r="AS28" i="38" s="1"/>
  <c r="H28" i="38"/>
  <c r="F28" i="38"/>
  <c r="AJ27" i="38"/>
  <c r="AI27" i="38"/>
  <c r="AG27" i="38"/>
  <c r="AF27" i="38"/>
  <c r="AE27" i="38"/>
  <c r="AB27" i="38"/>
  <c r="Y27" i="38"/>
  <c r="S27" i="38"/>
  <c r="M27" i="38"/>
  <c r="AS27" i="38" s="1"/>
  <c r="H27" i="38"/>
  <c r="F27" i="38"/>
  <c r="AJ26" i="38"/>
  <c r="AI26" i="38"/>
  <c r="AG26" i="38"/>
  <c r="AF26" i="38"/>
  <c r="AE26" i="38"/>
  <c r="AB26" i="38"/>
  <c r="Y26" i="38"/>
  <c r="S26" i="38"/>
  <c r="M26" i="38"/>
  <c r="AS26" i="38" s="1"/>
  <c r="H26" i="38"/>
  <c r="F26" i="38"/>
  <c r="AJ25" i="38"/>
  <c r="AI25" i="38"/>
  <c r="AG25" i="38"/>
  <c r="AF25" i="38"/>
  <c r="AE25" i="38"/>
  <c r="AB25" i="38"/>
  <c r="Y25" i="38"/>
  <c r="S25" i="38"/>
  <c r="M25" i="38"/>
  <c r="H25" i="38"/>
  <c r="F25" i="38"/>
  <c r="AJ24" i="38"/>
  <c r="AI24" i="38"/>
  <c r="AG24" i="38"/>
  <c r="AF24" i="38"/>
  <c r="AE24" i="38"/>
  <c r="AB24" i="38"/>
  <c r="Y24" i="38"/>
  <c r="S24" i="38"/>
  <c r="M24" i="38"/>
  <c r="H24" i="38"/>
  <c r="F24" i="38"/>
  <c r="AJ23" i="38"/>
  <c r="AI23" i="38"/>
  <c r="AG23" i="38"/>
  <c r="AG53" i="38" s="1"/>
  <c r="AF23" i="38"/>
  <c r="AE23" i="38"/>
  <c r="AB23" i="38"/>
  <c r="AB53" i="38" s="1"/>
  <c r="Y23" i="38"/>
  <c r="S23" i="38"/>
  <c r="M23" i="38"/>
  <c r="O23" i="38" s="1"/>
  <c r="H23" i="38"/>
  <c r="F23" i="38"/>
  <c r="AJ22" i="38"/>
  <c r="AI22" i="38"/>
  <c r="AG22" i="38"/>
  <c r="AF22" i="38"/>
  <c r="AE22" i="38"/>
  <c r="AB22" i="38"/>
  <c r="Y22" i="38"/>
  <c r="S22" i="38"/>
  <c r="M22" i="38"/>
  <c r="AS22" i="38" s="1"/>
  <c r="H22" i="38"/>
  <c r="F22" i="38"/>
  <c r="AJ21" i="38"/>
  <c r="AI21" i="38"/>
  <c r="AG21" i="38"/>
  <c r="AF21" i="38"/>
  <c r="AE21" i="38"/>
  <c r="AB21" i="38"/>
  <c r="Y21" i="38"/>
  <c r="S21" i="38"/>
  <c r="M21" i="38"/>
  <c r="AS21" i="38" s="1"/>
  <c r="H21" i="38"/>
  <c r="F21" i="38"/>
  <c r="AJ20" i="38"/>
  <c r="AI20" i="38"/>
  <c r="AG20" i="38"/>
  <c r="AF20" i="38"/>
  <c r="AE20" i="38"/>
  <c r="AB20" i="38"/>
  <c r="Y20" i="38"/>
  <c r="S20" i="38"/>
  <c r="M20" i="38"/>
  <c r="O20" i="38" s="1"/>
  <c r="H20" i="38"/>
  <c r="F20" i="38"/>
  <c r="AJ19" i="38"/>
  <c r="AI19" i="38"/>
  <c r="AG19" i="38"/>
  <c r="AF19" i="38"/>
  <c r="AE19" i="38"/>
  <c r="AB19" i="38"/>
  <c r="Y19" i="38"/>
  <c r="S19" i="38"/>
  <c r="M19" i="38"/>
  <c r="AS19" i="38" s="1"/>
  <c r="H19" i="38"/>
  <c r="F19" i="38"/>
  <c r="AJ18" i="38"/>
  <c r="AI18" i="38"/>
  <c r="AG18" i="38"/>
  <c r="AF18" i="38"/>
  <c r="AE18" i="38"/>
  <c r="AB18" i="38"/>
  <c r="Y18" i="38"/>
  <c r="S18" i="38"/>
  <c r="M18" i="38"/>
  <c r="AS18" i="38" s="1"/>
  <c r="H18" i="38"/>
  <c r="F18" i="38"/>
  <c r="AJ17" i="38"/>
  <c r="AI17" i="38"/>
  <c r="AG17" i="38"/>
  <c r="AF17" i="38"/>
  <c r="AE17" i="38"/>
  <c r="AB17" i="38"/>
  <c r="Y17" i="38"/>
  <c r="S17" i="38"/>
  <c r="M17" i="38"/>
  <c r="AS17" i="38" s="1"/>
  <c r="H17" i="38"/>
  <c r="F17" i="38"/>
  <c r="AJ16" i="38"/>
  <c r="AI16" i="38"/>
  <c r="AG16" i="38"/>
  <c r="AF16" i="38"/>
  <c r="AE16" i="38"/>
  <c r="AB16" i="38"/>
  <c r="Y16" i="38"/>
  <c r="S16" i="38"/>
  <c r="M16" i="38"/>
  <c r="O16" i="38" s="1"/>
  <c r="H16" i="38"/>
  <c r="F16" i="38"/>
  <c r="AJ15" i="38"/>
  <c r="AI15" i="38"/>
  <c r="AG15" i="38"/>
  <c r="AF15" i="38"/>
  <c r="AE15" i="38"/>
  <c r="AB15" i="38"/>
  <c r="Y15" i="38"/>
  <c r="S15" i="38"/>
  <c r="M15" i="38"/>
  <c r="AS15" i="38" s="1"/>
  <c r="H15" i="38"/>
  <c r="F15" i="38"/>
  <c r="AJ14" i="38"/>
  <c r="AI14" i="38"/>
  <c r="AG14" i="38"/>
  <c r="AF14" i="38"/>
  <c r="AE14" i="38"/>
  <c r="AB14" i="38"/>
  <c r="Y14" i="38"/>
  <c r="S14" i="38"/>
  <c r="M14" i="38"/>
  <c r="H14" i="38"/>
  <c r="F14" i="38"/>
  <c r="AJ13" i="38"/>
  <c r="AI13" i="38"/>
  <c r="AG13" i="38"/>
  <c r="AF13" i="38"/>
  <c r="AE13" i="38"/>
  <c r="AB13" i="38"/>
  <c r="Y13" i="38"/>
  <c r="S13" i="38"/>
  <c r="M13" i="38"/>
  <c r="O13" i="38" s="1"/>
  <c r="H13" i="38"/>
  <c r="F13" i="38"/>
  <c r="AJ12" i="38"/>
  <c r="AI12" i="38"/>
  <c r="AG12" i="38"/>
  <c r="AG52" i="38" s="1"/>
  <c r="AF12" i="38"/>
  <c r="AE12" i="38"/>
  <c r="AB12" i="38"/>
  <c r="AB52" i="38" s="1"/>
  <c r="Y12" i="38"/>
  <c r="S12" i="38"/>
  <c r="S52" i="38" s="1"/>
  <c r="M12" i="38"/>
  <c r="AS12" i="38" s="1"/>
  <c r="H12" i="38"/>
  <c r="F12" i="38"/>
  <c r="AJ11" i="38"/>
  <c r="AI11" i="38"/>
  <c r="AG11" i="38"/>
  <c r="AF11" i="38"/>
  <c r="AE11" i="38"/>
  <c r="AB11" i="38"/>
  <c r="Y11" i="38"/>
  <c r="S11" i="38"/>
  <c r="M11" i="38"/>
  <c r="AS11" i="38" s="1"/>
  <c r="H11" i="38"/>
  <c r="F11" i="38"/>
  <c r="AJ10" i="38"/>
  <c r="AI10" i="38"/>
  <c r="AG10" i="38"/>
  <c r="AF10" i="38"/>
  <c r="AE10" i="38"/>
  <c r="AB10" i="38"/>
  <c r="Y10" i="38"/>
  <c r="S10" i="38"/>
  <c r="M10" i="38"/>
  <c r="AS10" i="38" s="1"/>
  <c r="H10" i="38"/>
  <c r="F10" i="38"/>
  <c r="BF51" i="38"/>
  <c r="AJ9" i="38"/>
  <c r="AI9" i="38"/>
  <c r="AG9" i="38"/>
  <c r="AF9" i="38"/>
  <c r="AF51" i="38" s="1"/>
  <c r="AE9" i="38"/>
  <c r="AB9" i="38"/>
  <c r="AB51" i="38" s="1"/>
  <c r="Y9" i="38"/>
  <c r="S9" i="38"/>
  <c r="S51" i="38" s="1"/>
  <c r="M9" i="38"/>
  <c r="AS9" i="38" s="1"/>
  <c r="H9" i="38"/>
  <c r="F9" i="38"/>
  <c r="AJ8" i="38"/>
  <c r="AI8" i="38"/>
  <c r="AG8" i="38"/>
  <c r="AF8" i="38"/>
  <c r="AE8" i="38"/>
  <c r="AB8" i="38"/>
  <c r="Y8" i="38"/>
  <c r="S8" i="38"/>
  <c r="M8" i="38"/>
  <c r="AS8" i="38" s="1"/>
  <c r="H8" i="38"/>
  <c r="F8" i="38"/>
  <c r="AJ7" i="38"/>
  <c r="AI7" i="38"/>
  <c r="AG7" i="38"/>
  <c r="AF7" i="38"/>
  <c r="AE7" i="38"/>
  <c r="AB7" i="38"/>
  <c r="Y7" i="38"/>
  <c r="S7" i="38"/>
  <c r="M7" i="38"/>
  <c r="AS7" i="38" s="1"/>
  <c r="H7" i="38"/>
  <c r="F7" i="38"/>
  <c r="AJ6" i="38"/>
  <c r="AI6" i="38"/>
  <c r="AG6" i="38"/>
  <c r="AF6" i="38"/>
  <c r="AE6" i="38"/>
  <c r="AB6" i="38"/>
  <c r="Y6" i="38"/>
  <c r="S6" i="38"/>
  <c r="M6" i="38"/>
  <c r="AS6" i="38" s="1"/>
  <c r="H6" i="38"/>
  <c r="F6" i="38"/>
  <c r="AJ5" i="38"/>
  <c r="AI5" i="38"/>
  <c r="AG5" i="38"/>
  <c r="AF5" i="38"/>
  <c r="AF50" i="38" s="1"/>
  <c r="AE5" i="38"/>
  <c r="AB5" i="38"/>
  <c r="AB50" i="38" s="1"/>
  <c r="Y5" i="38"/>
  <c r="S5" i="38"/>
  <c r="S50" i="38" s="1"/>
  <c r="M5" i="38"/>
  <c r="O5" i="38" s="1"/>
  <c r="H5" i="38"/>
  <c r="F5" i="38"/>
  <c r="AT2" i="38"/>
  <c r="AS1" i="38"/>
  <c r="AE68" i="36"/>
  <c r="AE69" i="36" s="1"/>
  <c r="AE67" i="36"/>
  <c r="O65" i="36"/>
  <c r="AE63" i="36"/>
  <c r="AB63" i="36"/>
  <c r="M57" i="36"/>
  <c r="F57" i="36"/>
  <c r="AK56" i="36"/>
  <c r="M56" i="36"/>
  <c r="F56" i="36"/>
  <c r="AK55" i="36"/>
  <c r="M55" i="36"/>
  <c r="F55" i="36"/>
  <c r="AK54" i="36"/>
  <c r="M54" i="36"/>
  <c r="F54" i="36"/>
  <c r="AK53" i="36"/>
  <c r="M53" i="36"/>
  <c r="F53" i="36"/>
  <c r="AK52" i="36"/>
  <c r="M52" i="36"/>
  <c r="F52" i="36"/>
  <c r="AK51" i="36"/>
  <c r="M51" i="36"/>
  <c r="F51" i="36"/>
  <c r="AK50" i="36"/>
  <c r="AK57" i="36" s="1"/>
  <c r="M50" i="36"/>
  <c r="F50" i="36"/>
  <c r="CJ49" i="36"/>
  <c r="CI49" i="36"/>
  <c r="CH49" i="36"/>
  <c r="CG49" i="36"/>
  <c r="CF49" i="36"/>
  <c r="CD49" i="36"/>
  <c r="CC49" i="36"/>
  <c r="CB49" i="36"/>
  <c r="CA49" i="36"/>
  <c r="BZ49" i="36"/>
  <c r="BX49" i="36"/>
  <c r="BW49" i="36"/>
  <c r="BV49" i="36"/>
  <c r="BU49" i="36"/>
  <c r="BT49" i="36"/>
  <c r="BR49" i="36"/>
  <c r="BQ49" i="36"/>
  <c r="BP49" i="36"/>
  <c r="BO49" i="36"/>
  <c r="BN49" i="36"/>
  <c r="BL49" i="36"/>
  <c r="BK49" i="36"/>
  <c r="BJ49" i="36"/>
  <c r="BI49" i="36"/>
  <c r="BH49" i="36"/>
  <c r="BF49" i="36"/>
  <c r="BD49" i="36"/>
  <c r="BB49" i="36"/>
  <c r="BA49" i="36"/>
  <c r="AZ49" i="36"/>
  <c r="AX49" i="36"/>
  <c r="AW49" i="36"/>
  <c r="AV49" i="36"/>
  <c r="AT49" i="36"/>
  <c r="AQ49" i="36"/>
  <c r="AO49" i="36"/>
  <c r="AN49" i="36"/>
  <c r="AJ46" i="36"/>
  <c r="AI46" i="36"/>
  <c r="AG46" i="36"/>
  <c r="AF46" i="36"/>
  <c r="AE46" i="36"/>
  <c r="AB46" i="36"/>
  <c r="Y46" i="36"/>
  <c r="S46" i="36"/>
  <c r="M46" i="36"/>
  <c r="AS46" i="36" s="1"/>
  <c r="H46" i="36"/>
  <c r="F46" i="36"/>
  <c r="AJ45" i="36"/>
  <c r="AI45" i="36"/>
  <c r="AG45" i="36"/>
  <c r="AF45" i="36"/>
  <c r="AE45" i="36"/>
  <c r="AB45" i="36"/>
  <c r="Y45" i="36"/>
  <c r="S45" i="36"/>
  <c r="M45" i="36"/>
  <c r="AS45" i="36" s="1"/>
  <c r="H45" i="36"/>
  <c r="F45" i="36"/>
  <c r="AJ44" i="36"/>
  <c r="AI44" i="36"/>
  <c r="AG44" i="36"/>
  <c r="AF44" i="36"/>
  <c r="AE44" i="36"/>
  <c r="AB44" i="36"/>
  <c r="Y44" i="36"/>
  <c r="S44" i="36"/>
  <c r="M44" i="36"/>
  <c r="AS44" i="36" s="1"/>
  <c r="H44" i="36"/>
  <c r="F44" i="36"/>
  <c r="AJ43" i="36"/>
  <c r="AI43" i="36"/>
  <c r="AG43" i="36"/>
  <c r="AF43" i="36"/>
  <c r="AE43" i="36"/>
  <c r="AB43" i="36"/>
  <c r="Y43" i="36"/>
  <c r="S43" i="36"/>
  <c r="M43" i="36"/>
  <c r="O43" i="36" s="1"/>
  <c r="H43" i="36"/>
  <c r="F43" i="36"/>
  <c r="CM42" i="36"/>
  <c r="AJ42" i="36"/>
  <c r="AI42" i="36"/>
  <c r="AG42" i="36"/>
  <c r="AF42" i="36"/>
  <c r="AE42" i="36"/>
  <c r="AB42" i="36"/>
  <c r="Y42" i="36"/>
  <c r="S42" i="36"/>
  <c r="M42" i="36"/>
  <c r="AS42" i="36" s="1"/>
  <c r="H42" i="36"/>
  <c r="F42" i="36"/>
  <c r="AJ41" i="36"/>
  <c r="AI41" i="36"/>
  <c r="AG41" i="36"/>
  <c r="AF41" i="36"/>
  <c r="AE41" i="36"/>
  <c r="AB41" i="36"/>
  <c r="Y41" i="36"/>
  <c r="S41" i="36"/>
  <c r="M41" i="36"/>
  <c r="H41" i="36"/>
  <c r="F41" i="36"/>
  <c r="AJ40" i="36"/>
  <c r="AI40" i="36"/>
  <c r="AG40" i="36"/>
  <c r="AF40" i="36"/>
  <c r="AF56" i="36" s="1"/>
  <c r="AE40" i="36"/>
  <c r="AE56" i="36" s="1"/>
  <c r="AB40" i="36"/>
  <c r="Y40" i="36"/>
  <c r="S40" i="36"/>
  <c r="M40" i="36"/>
  <c r="H40" i="36"/>
  <c r="F40" i="36"/>
  <c r="AJ39" i="36"/>
  <c r="AI39" i="36"/>
  <c r="AG39" i="36"/>
  <c r="AF39" i="36"/>
  <c r="AE39" i="36"/>
  <c r="AB39" i="36"/>
  <c r="Y39" i="36"/>
  <c r="S39" i="36"/>
  <c r="M39" i="36"/>
  <c r="AS39" i="36" s="1"/>
  <c r="H39" i="36"/>
  <c r="F39" i="36"/>
  <c r="AJ38" i="36"/>
  <c r="AI38" i="36"/>
  <c r="AG38" i="36"/>
  <c r="AF38" i="36"/>
  <c r="AE38" i="36"/>
  <c r="AB38" i="36"/>
  <c r="Y38" i="36"/>
  <c r="S38" i="36"/>
  <c r="M38" i="36"/>
  <c r="H38" i="36"/>
  <c r="F38" i="36"/>
  <c r="AJ37" i="36"/>
  <c r="AI37" i="36"/>
  <c r="AG37" i="36"/>
  <c r="AF37" i="36"/>
  <c r="AE37" i="36"/>
  <c r="AB37" i="36"/>
  <c r="Y37" i="36"/>
  <c r="S37" i="36"/>
  <c r="M37" i="36"/>
  <c r="H37" i="36"/>
  <c r="F37" i="36"/>
  <c r="AJ36" i="36"/>
  <c r="AI36" i="36"/>
  <c r="AG36" i="36"/>
  <c r="AF36" i="36"/>
  <c r="AE36" i="36"/>
  <c r="AB36" i="36"/>
  <c r="Y36" i="36"/>
  <c r="S36" i="36"/>
  <c r="M36" i="36"/>
  <c r="AS36" i="36" s="1"/>
  <c r="H36" i="36"/>
  <c r="F36" i="36"/>
  <c r="AJ35" i="36"/>
  <c r="AI35" i="36"/>
  <c r="AG35" i="36"/>
  <c r="AF35" i="36"/>
  <c r="AE35" i="36"/>
  <c r="AB35" i="36"/>
  <c r="Y35" i="36"/>
  <c r="S35" i="36"/>
  <c r="M35" i="36"/>
  <c r="AS35" i="36" s="1"/>
  <c r="H35" i="36"/>
  <c r="F35" i="36"/>
  <c r="AJ34" i="36"/>
  <c r="AI34" i="36"/>
  <c r="AG34" i="36"/>
  <c r="AF34" i="36"/>
  <c r="AE34" i="36"/>
  <c r="AE55" i="36" s="1"/>
  <c r="AB34" i="36"/>
  <c r="Y34" i="36"/>
  <c r="S34" i="36"/>
  <c r="M34" i="36"/>
  <c r="H34" i="36"/>
  <c r="F34" i="36"/>
  <c r="AJ33" i="36"/>
  <c r="AI33" i="36"/>
  <c r="AG33" i="36"/>
  <c r="AF33" i="36"/>
  <c r="AE33" i="36"/>
  <c r="AB33" i="36"/>
  <c r="Y33" i="36"/>
  <c r="S33" i="36"/>
  <c r="M33" i="36"/>
  <c r="H33" i="36"/>
  <c r="F33" i="36"/>
  <c r="AJ32" i="36"/>
  <c r="AI32" i="36"/>
  <c r="AG32" i="36"/>
  <c r="AF32" i="36"/>
  <c r="AE32" i="36"/>
  <c r="AB32" i="36"/>
  <c r="Y32" i="36"/>
  <c r="S32" i="36"/>
  <c r="M32" i="36"/>
  <c r="H32" i="36"/>
  <c r="F32" i="36"/>
  <c r="AJ31" i="36"/>
  <c r="AI31" i="36"/>
  <c r="AG31" i="36"/>
  <c r="AF31" i="36"/>
  <c r="AE31" i="36"/>
  <c r="AB31" i="36"/>
  <c r="Y31" i="36"/>
  <c r="S31" i="36"/>
  <c r="M31" i="36"/>
  <c r="AS31" i="36" s="1"/>
  <c r="H31" i="36"/>
  <c r="F31" i="36"/>
  <c r="AJ30" i="36"/>
  <c r="AI30" i="36"/>
  <c r="AG30" i="36"/>
  <c r="AF30" i="36"/>
  <c r="AE30" i="36"/>
  <c r="AB30" i="36"/>
  <c r="Y30" i="36"/>
  <c r="S30" i="36"/>
  <c r="M30" i="36"/>
  <c r="AS30" i="36" s="1"/>
  <c r="H30" i="36"/>
  <c r="F30" i="36"/>
  <c r="AJ29" i="36"/>
  <c r="AI29" i="36"/>
  <c r="AG29" i="36"/>
  <c r="AF29" i="36"/>
  <c r="AE29" i="36"/>
  <c r="AB29" i="36"/>
  <c r="Y29" i="36"/>
  <c r="S29" i="36"/>
  <c r="S54" i="36" s="1"/>
  <c r="M29" i="36"/>
  <c r="AS29" i="36" s="1"/>
  <c r="H29" i="36"/>
  <c r="F29" i="36"/>
  <c r="AJ28" i="36"/>
  <c r="AI28" i="36"/>
  <c r="AG28" i="36"/>
  <c r="AF28" i="36"/>
  <c r="AE28" i="36"/>
  <c r="AB28" i="36"/>
  <c r="Y28" i="36"/>
  <c r="S28" i="36"/>
  <c r="M28" i="36"/>
  <c r="AS28" i="36" s="1"/>
  <c r="H28" i="36"/>
  <c r="F28" i="36"/>
  <c r="AJ27" i="36"/>
  <c r="AI27" i="36"/>
  <c r="AG27" i="36"/>
  <c r="AF27" i="36"/>
  <c r="AE27" i="36"/>
  <c r="AB27" i="36"/>
  <c r="Y27" i="36"/>
  <c r="S27" i="36"/>
  <c r="M27" i="36"/>
  <c r="AS27" i="36" s="1"/>
  <c r="H27" i="36"/>
  <c r="F27" i="36"/>
  <c r="AJ26" i="36"/>
  <c r="AI26" i="36"/>
  <c r="AG26" i="36"/>
  <c r="AF26" i="36"/>
  <c r="AE26" i="36"/>
  <c r="AB26" i="36"/>
  <c r="Y26" i="36"/>
  <c r="S26" i="36"/>
  <c r="M26" i="36"/>
  <c r="AS26" i="36" s="1"/>
  <c r="H26" i="36"/>
  <c r="F26" i="36"/>
  <c r="AJ25" i="36"/>
  <c r="AI25" i="36"/>
  <c r="AG25" i="36"/>
  <c r="AF25" i="36"/>
  <c r="AE25" i="36"/>
  <c r="AB25" i="36"/>
  <c r="Y25" i="36"/>
  <c r="S25" i="36"/>
  <c r="M25" i="36"/>
  <c r="O25" i="36" s="1"/>
  <c r="H25" i="36"/>
  <c r="F25" i="36"/>
  <c r="AJ24" i="36"/>
  <c r="AI24" i="36"/>
  <c r="AG24" i="36"/>
  <c r="AF24" i="36"/>
  <c r="AE24" i="36"/>
  <c r="AB24" i="36"/>
  <c r="Y24" i="36"/>
  <c r="S24" i="36"/>
  <c r="M24" i="36"/>
  <c r="AS24" i="36" s="1"/>
  <c r="H24" i="36"/>
  <c r="F24" i="36"/>
  <c r="AJ23" i="36"/>
  <c r="AI23" i="36"/>
  <c r="AG23" i="36"/>
  <c r="AF23" i="36"/>
  <c r="AE23" i="36"/>
  <c r="AE53" i="36" s="1"/>
  <c r="AB23" i="36"/>
  <c r="AB53" i="36" s="1"/>
  <c r="Y23" i="36"/>
  <c r="S23" i="36"/>
  <c r="M23" i="36"/>
  <c r="AS23" i="36" s="1"/>
  <c r="H23" i="36"/>
  <c r="F23" i="36"/>
  <c r="AJ22" i="36"/>
  <c r="AI22" i="36"/>
  <c r="AG22" i="36"/>
  <c r="AF22" i="36"/>
  <c r="AE22" i="36"/>
  <c r="AB22" i="36"/>
  <c r="Y22" i="36"/>
  <c r="S22" i="36"/>
  <c r="M22" i="36"/>
  <c r="H22" i="36"/>
  <c r="F22" i="36"/>
  <c r="AJ21" i="36"/>
  <c r="AI21" i="36"/>
  <c r="AG21" i="36"/>
  <c r="AF21" i="36"/>
  <c r="AE21" i="36"/>
  <c r="AB21" i="36"/>
  <c r="Y21" i="36"/>
  <c r="S21" i="36"/>
  <c r="M21" i="36"/>
  <c r="H21" i="36"/>
  <c r="F21" i="36"/>
  <c r="AJ20" i="36"/>
  <c r="AI20" i="36"/>
  <c r="AG20" i="36"/>
  <c r="AF20" i="36"/>
  <c r="AE20" i="36"/>
  <c r="AB20" i="36"/>
  <c r="Y20" i="36"/>
  <c r="S20" i="36"/>
  <c r="M20" i="36"/>
  <c r="AS20" i="36" s="1"/>
  <c r="H20" i="36"/>
  <c r="F20" i="36"/>
  <c r="AJ19" i="36"/>
  <c r="AI19" i="36"/>
  <c r="AG19" i="36"/>
  <c r="AF19" i="36"/>
  <c r="AE19" i="36"/>
  <c r="AB19" i="36"/>
  <c r="Y19" i="36"/>
  <c r="S19" i="36"/>
  <c r="M19" i="36"/>
  <c r="H19" i="36"/>
  <c r="F19" i="36"/>
  <c r="AJ18" i="36"/>
  <c r="AI18" i="36"/>
  <c r="AG18" i="36"/>
  <c r="AF18" i="36"/>
  <c r="AE18" i="36"/>
  <c r="AB18" i="36"/>
  <c r="Y18" i="36"/>
  <c r="S18" i="36"/>
  <c r="M18" i="36"/>
  <c r="AS18" i="36" s="1"/>
  <c r="H18" i="36"/>
  <c r="F18" i="36"/>
  <c r="AJ17" i="36"/>
  <c r="AI17" i="36"/>
  <c r="AG17" i="36"/>
  <c r="AF17" i="36"/>
  <c r="AE17" i="36"/>
  <c r="AB17" i="36"/>
  <c r="Y17" i="36"/>
  <c r="S17" i="36"/>
  <c r="M17" i="36"/>
  <c r="AS17" i="36" s="1"/>
  <c r="H17" i="36"/>
  <c r="F17" i="36"/>
  <c r="AJ16" i="36"/>
  <c r="AI16" i="36"/>
  <c r="AG16" i="36"/>
  <c r="AF16" i="36"/>
  <c r="AE16" i="36"/>
  <c r="AB16" i="36"/>
  <c r="Y16" i="36"/>
  <c r="S16" i="36"/>
  <c r="M16" i="36"/>
  <c r="O16" i="36" s="1"/>
  <c r="H16" i="36"/>
  <c r="F16" i="36"/>
  <c r="AJ15" i="36"/>
  <c r="AI15" i="36"/>
  <c r="AG15" i="36"/>
  <c r="AF15" i="36"/>
  <c r="AE15" i="36"/>
  <c r="AB15" i="36"/>
  <c r="Y15" i="36"/>
  <c r="S15" i="36"/>
  <c r="M15" i="36"/>
  <c r="H15" i="36"/>
  <c r="F15" i="36"/>
  <c r="AJ14" i="36"/>
  <c r="AI14" i="36"/>
  <c r="AG14" i="36"/>
  <c r="AF14" i="36"/>
  <c r="AE14" i="36"/>
  <c r="AB14" i="36"/>
  <c r="Y14" i="36"/>
  <c r="S14" i="36"/>
  <c r="M14" i="36"/>
  <c r="H14" i="36"/>
  <c r="F14" i="36"/>
  <c r="AJ13" i="36"/>
  <c r="AI13" i="36"/>
  <c r="AG13" i="36"/>
  <c r="AF13" i="36"/>
  <c r="AE13" i="36"/>
  <c r="AB13" i="36"/>
  <c r="Y13" i="36"/>
  <c r="S13" i="36"/>
  <c r="M13" i="36"/>
  <c r="AS13" i="36" s="1"/>
  <c r="H13" i="36"/>
  <c r="F13" i="36"/>
  <c r="AJ12" i="36"/>
  <c r="AI12" i="36"/>
  <c r="AG12" i="36"/>
  <c r="AF12" i="36"/>
  <c r="AE12" i="36"/>
  <c r="AB12" i="36"/>
  <c r="Y12" i="36"/>
  <c r="S12" i="36"/>
  <c r="M12" i="36"/>
  <c r="AS12" i="36" s="1"/>
  <c r="H12" i="36"/>
  <c r="F12" i="36"/>
  <c r="AJ11" i="36"/>
  <c r="AI11" i="36"/>
  <c r="AG11" i="36"/>
  <c r="AF11" i="36"/>
  <c r="AE11" i="36"/>
  <c r="AB11" i="36"/>
  <c r="Y11" i="36"/>
  <c r="S11" i="36"/>
  <c r="M11" i="36"/>
  <c r="AS11" i="36" s="1"/>
  <c r="H11" i="36"/>
  <c r="F11" i="36"/>
  <c r="AJ10" i="36"/>
  <c r="AI10" i="36"/>
  <c r="AG10" i="36"/>
  <c r="AF10" i="36"/>
  <c r="AE10" i="36"/>
  <c r="AB10" i="36"/>
  <c r="Y10" i="36"/>
  <c r="S10" i="36"/>
  <c r="M10" i="36"/>
  <c r="AS10" i="36" s="1"/>
  <c r="H10" i="36"/>
  <c r="F10" i="36"/>
  <c r="AJ9" i="36"/>
  <c r="AI9" i="36"/>
  <c r="AG9" i="36"/>
  <c r="AG51" i="36" s="1"/>
  <c r="AF9" i="36"/>
  <c r="AE9" i="36"/>
  <c r="AB9" i="36"/>
  <c r="AB51" i="36" s="1"/>
  <c r="Y9" i="36"/>
  <c r="S9" i="36"/>
  <c r="S51" i="36" s="1"/>
  <c r="M9" i="36"/>
  <c r="AS9" i="36" s="1"/>
  <c r="H9" i="36"/>
  <c r="F9" i="36"/>
  <c r="AJ8" i="36"/>
  <c r="AI8" i="36"/>
  <c r="AG8" i="36"/>
  <c r="AF8" i="36"/>
  <c r="AE8" i="36"/>
  <c r="AB8" i="36"/>
  <c r="Y8" i="36"/>
  <c r="S8" i="36"/>
  <c r="M8" i="36"/>
  <c r="AS8" i="36" s="1"/>
  <c r="H8" i="36"/>
  <c r="F8" i="36"/>
  <c r="AJ7" i="36"/>
  <c r="AI7" i="36"/>
  <c r="AG7" i="36"/>
  <c r="AF7" i="36"/>
  <c r="AE7" i="36"/>
  <c r="AB7" i="36"/>
  <c r="Y7" i="36"/>
  <c r="S7" i="36"/>
  <c r="M7" i="36"/>
  <c r="AS7" i="36" s="1"/>
  <c r="H7" i="36"/>
  <c r="F7" i="36"/>
  <c r="AJ6" i="36"/>
  <c r="AI6" i="36"/>
  <c r="AG6" i="36"/>
  <c r="AF6" i="36"/>
  <c r="AE6" i="36"/>
  <c r="AB6" i="36"/>
  <c r="Y6" i="36"/>
  <c r="S6" i="36"/>
  <c r="M6" i="36"/>
  <c r="AS6" i="36" s="1"/>
  <c r="H6" i="36"/>
  <c r="F6" i="36"/>
  <c r="AJ5" i="36"/>
  <c r="AJ50" i="36" s="1"/>
  <c r="AI5" i="36"/>
  <c r="AG5" i="36"/>
  <c r="AG50" i="36" s="1"/>
  <c r="AF5" i="36"/>
  <c r="AF50" i="36" s="1"/>
  <c r="AE5" i="36"/>
  <c r="AE50" i="36" s="1"/>
  <c r="AB5" i="36"/>
  <c r="Y5" i="36"/>
  <c r="S5" i="36"/>
  <c r="M5" i="36"/>
  <c r="M2" i="36" s="1"/>
  <c r="H5" i="36"/>
  <c r="F5" i="36"/>
  <c r="AS1" i="36"/>
  <c r="AT2" i="36" s="1"/>
  <c r="T8" i="29"/>
  <c r="U8" i="29" s="1"/>
  <c r="Z1" i="29" s="1"/>
  <c r="O24" i="36" l="1"/>
  <c r="AS45" i="38"/>
  <c r="AS16" i="38"/>
  <c r="O10" i="36"/>
  <c r="AS43" i="36"/>
  <c r="O31" i="36"/>
  <c r="O46" i="36"/>
  <c r="O36" i="38"/>
  <c r="AS16" i="36"/>
  <c r="O12" i="36"/>
  <c r="O8" i="36"/>
  <c r="O29" i="36"/>
  <c r="AS5" i="38"/>
  <c r="O43" i="38"/>
  <c r="O39" i="36"/>
  <c r="O20" i="36"/>
  <c r="O8" i="38"/>
  <c r="AS25" i="36"/>
  <c r="AS20" i="38"/>
  <c r="O40" i="38"/>
  <c r="O35" i="36"/>
  <c r="O18" i="36"/>
  <c r="O28" i="36"/>
  <c r="O42" i="36"/>
  <c r="O45" i="36"/>
  <c r="O12" i="38"/>
  <c r="O27" i="38"/>
  <c r="O30" i="38"/>
  <c r="AS32" i="38"/>
  <c r="O9" i="36"/>
  <c r="O42" i="38"/>
  <c r="O11" i="36"/>
  <c r="O23" i="36"/>
  <c r="O30" i="36"/>
  <c r="O36" i="36"/>
  <c r="O15" i="38"/>
  <c r="O19" i="38"/>
  <c r="O29" i="38"/>
  <c r="O13" i="36"/>
  <c r="O17" i="36"/>
  <c r="O44" i="36"/>
  <c r="O26" i="38"/>
  <c r="O46" i="38"/>
  <c r="O27" i="36"/>
  <c r="O9" i="38"/>
  <c r="O33" i="38"/>
  <c r="O37" i="38"/>
  <c r="O28" i="38"/>
  <c r="O41" i="38"/>
  <c r="O22" i="38"/>
  <c r="AJ54" i="38"/>
  <c r="AJ51" i="36"/>
  <c r="AJ55" i="38"/>
  <c r="AJ51" i="38"/>
  <c r="AJ54" i="36"/>
  <c r="AG52" i="36"/>
  <c r="AG50" i="38"/>
  <c r="AG51" i="38"/>
  <c r="AG53" i="36"/>
  <c r="AI54" i="38"/>
  <c r="AI54" i="36"/>
  <c r="AI55" i="36"/>
  <c r="AB1" i="29"/>
  <c r="AA1" i="29"/>
  <c r="E12" i="41" s="1"/>
  <c r="T11" i="29"/>
  <c r="T17" i="29" s="1"/>
  <c r="AI50" i="38"/>
  <c r="O7" i="38"/>
  <c r="AE51" i="38"/>
  <c r="AJ52" i="38"/>
  <c r="AS14" i="38"/>
  <c r="O14" i="38"/>
  <c r="AJ50" i="38"/>
  <c r="M2" i="38"/>
  <c r="O10" i="38"/>
  <c r="AS13" i="38"/>
  <c r="AE50" i="38"/>
  <c r="AI51" i="38"/>
  <c r="O11" i="38"/>
  <c r="AF52" i="38"/>
  <c r="BF52" i="38"/>
  <c r="M1" i="38"/>
  <c r="BF64" i="38"/>
  <c r="BF63" i="38"/>
  <c r="BF60" i="38"/>
  <c r="BF59" i="38"/>
  <c r="CM11" i="38" s="1"/>
  <c r="BF65" i="38"/>
  <c r="BF50" i="38"/>
  <c r="O6" i="38"/>
  <c r="AI52" i="38"/>
  <c r="AE52" i="38"/>
  <c r="O18" i="38"/>
  <c r="AJ53" i="38"/>
  <c r="AS25" i="38"/>
  <c r="O25" i="38"/>
  <c r="S53" i="38"/>
  <c r="S57" i="38" s="1"/>
  <c r="O21" i="38"/>
  <c r="AE53" i="38"/>
  <c r="AS24" i="38"/>
  <c r="O24" i="38"/>
  <c r="AF53" i="38"/>
  <c r="AS23" i="38"/>
  <c r="BF53" i="38"/>
  <c r="O17" i="38"/>
  <c r="AI53" i="38"/>
  <c r="S54" i="38"/>
  <c r="AB54" i="38"/>
  <c r="AB57" i="38" s="1"/>
  <c r="AB59" i="38" s="1"/>
  <c r="AB64" i="38" s="1"/>
  <c r="AI55" i="38"/>
  <c r="AS34" i="38"/>
  <c r="O34" i="38"/>
  <c r="AE54" i="38"/>
  <c r="AF54" i="38"/>
  <c r="CM32" i="38"/>
  <c r="AS31" i="38"/>
  <c r="O31" i="38"/>
  <c r="CM28" i="38"/>
  <c r="AS35" i="38"/>
  <c r="O35" i="38"/>
  <c r="CM29" i="38"/>
  <c r="BF55" i="38"/>
  <c r="AJ56" i="38"/>
  <c r="AS44" i="38"/>
  <c r="O44" i="38"/>
  <c r="CM45" i="38"/>
  <c r="AB55" i="38"/>
  <c r="O38" i="38"/>
  <c r="O39" i="38"/>
  <c r="AF56" i="38"/>
  <c r="AG55" i="38"/>
  <c r="AG57" i="38" s="1"/>
  <c r="AI56" i="38"/>
  <c r="AS15" i="36"/>
  <c r="O15" i="36"/>
  <c r="O5" i="36"/>
  <c r="AS5" i="36"/>
  <c r="BF51" i="36"/>
  <c r="AS14" i="36"/>
  <c r="O14" i="36"/>
  <c r="AS21" i="36"/>
  <c r="O21" i="36"/>
  <c r="BF64" i="36"/>
  <c r="BF63" i="36"/>
  <c r="BF60" i="36"/>
  <c r="BF59" i="36"/>
  <c r="CM16" i="36" s="1"/>
  <c r="BF65" i="36"/>
  <c r="BF50" i="36"/>
  <c r="O6" i="36"/>
  <c r="M1" i="36"/>
  <c r="AI50" i="36"/>
  <c r="O7" i="36"/>
  <c r="AF51" i="36"/>
  <c r="AF57" i="36" s="1"/>
  <c r="AS19" i="36"/>
  <c r="O19" i="36"/>
  <c r="S50" i="36"/>
  <c r="AB50" i="36"/>
  <c r="BF52" i="36"/>
  <c r="AI51" i="36"/>
  <c r="AI52" i="36"/>
  <c r="AE51" i="36"/>
  <c r="AE57" i="36" s="1"/>
  <c r="AE59" i="36" s="1"/>
  <c r="AJ52" i="36"/>
  <c r="S52" i="36"/>
  <c r="AB52" i="36"/>
  <c r="AE52" i="36"/>
  <c r="AS22" i="36"/>
  <c r="O22" i="36"/>
  <c r="AF52" i="36"/>
  <c r="S53" i="36"/>
  <c r="AF53" i="36"/>
  <c r="BF53" i="36"/>
  <c r="BF54" i="36"/>
  <c r="AI53" i="36"/>
  <c r="AJ53" i="36"/>
  <c r="CM25" i="36"/>
  <c r="AS32" i="36"/>
  <c r="O32" i="36"/>
  <c r="BF55" i="36"/>
  <c r="AB54" i="36"/>
  <c r="CM32" i="36"/>
  <c r="CM35" i="36"/>
  <c r="AS40" i="36"/>
  <c r="O40" i="36"/>
  <c r="AS41" i="36"/>
  <c r="O41" i="36"/>
  <c r="O26" i="36"/>
  <c r="CM31" i="36"/>
  <c r="AS34" i="36"/>
  <c r="O34" i="36"/>
  <c r="AE54" i="36"/>
  <c r="AS38" i="36"/>
  <c r="O38" i="36"/>
  <c r="AF54" i="36"/>
  <c r="AG54" i="36"/>
  <c r="AS33" i="36"/>
  <c r="O33" i="36"/>
  <c r="AS37" i="36"/>
  <c r="O37" i="36"/>
  <c r="AJ55" i="36"/>
  <c r="S55" i="36"/>
  <c r="AB55" i="36"/>
  <c r="AI56" i="36"/>
  <c r="AJ56" i="36"/>
  <c r="AB56" i="36"/>
  <c r="AF55" i="36"/>
  <c r="CM38" i="36"/>
  <c r="S56" i="36"/>
  <c r="AG55" i="36"/>
  <c r="AG56" i="36"/>
  <c r="CM45" i="36"/>
  <c r="BF56" i="36"/>
  <c r="CM46" i="36"/>
  <c r="AE68" i="34"/>
  <c r="AE69" i="34" s="1"/>
  <c r="AE67" i="34"/>
  <c r="O65" i="34"/>
  <c r="AE63" i="34"/>
  <c r="AB63" i="34"/>
  <c r="M57" i="34"/>
  <c r="F57" i="34"/>
  <c r="AK56" i="34"/>
  <c r="M56" i="34"/>
  <c r="F56" i="34"/>
  <c r="AK55" i="34"/>
  <c r="M55" i="34"/>
  <c r="F55" i="34"/>
  <c r="AK54" i="34"/>
  <c r="M54" i="34"/>
  <c r="F54" i="34"/>
  <c r="AK53" i="34"/>
  <c r="M53" i="34"/>
  <c r="F53" i="34"/>
  <c r="AK52" i="34"/>
  <c r="M52" i="34"/>
  <c r="F52" i="34"/>
  <c r="AK51" i="34"/>
  <c r="M51" i="34"/>
  <c r="F51" i="34"/>
  <c r="AK50" i="34"/>
  <c r="M50" i="34"/>
  <c r="F50" i="34"/>
  <c r="CJ49" i="34"/>
  <c r="CI49" i="34"/>
  <c r="CH49" i="34"/>
  <c r="CG49" i="34"/>
  <c r="CF49" i="34"/>
  <c r="CD49" i="34"/>
  <c r="CC49" i="34"/>
  <c r="CB49" i="34"/>
  <c r="CA49" i="34"/>
  <c r="BZ49" i="34"/>
  <c r="BX49" i="34"/>
  <c r="BW49" i="34"/>
  <c r="BV49" i="34"/>
  <c r="BU49" i="34"/>
  <c r="BT49" i="34"/>
  <c r="BR49" i="34"/>
  <c r="BQ49" i="34"/>
  <c r="BP49" i="34"/>
  <c r="BO49" i="34"/>
  <c r="BN49" i="34"/>
  <c r="BL49" i="34"/>
  <c r="BK49" i="34"/>
  <c r="BJ49" i="34"/>
  <c r="BI49" i="34"/>
  <c r="BH49" i="34"/>
  <c r="BF49" i="34"/>
  <c r="BD49" i="34"/>
  <c r="BB49" i="34"/>
  <c r="BA49" i="34"/>
  <c r="AZ49" i="34"/>
  <c r="AX49" i="34"/>
  <c r="AW49" i="34"/>
  <c r="AV49" i="34"/>
  <c r="AT49" i="34"/>
  <c r="AQ49" i="34"/>
  <c r="AO49" i="34"/>
  <c r="AN49" i="34"/>
  <c r="AJ46" i="34"/>
  <c r="AI46" i="34"/>
  <c r="AG46" i="34"/>
  <c r="AF46" i="34"/>
  <c r="AE46" i="34"/>
  <c r="AB46" i="34"/>
  <c r="Y46" i="34"/>
  <c r="S46" i="34"/>
  <c r="M46" i="34"/>
  <c r="AS46" i="34" s="1"/>
  <c r="H46" i="34"/>
  <c r="F46" i="34"/>
  <c r="AJ45" i="34"/>
  <c r="AI45" i="34"/>
  <c r="AG45" i="34"/>
  <c r="AF45" i="34"/>
  <c r="AE45" i="34"/>
  <c r="AB45" i="34"/>
  <c r="Y45" i="34"/>
  <c r="S45" i="34"/>
  <c r="M45" i="34"/>
  <c r="O45" i="34" s="1"/>
  <c r="H45" i="34"/>
  <c r="F45" i="34"/>
  <c r="AJ44" i="34"/>
  <c r="AI44" i="34"/>
  <c r="AG44" i="34"/>
  <c r="AF44" i="34"/>
  <c r="AE44" i="34"/>
  <c r="AB44" i="34"/>
  <c r="Y44" i="34"/>
  <c r="S44" i="34"/>
  <c r="M44" i="34"/>
  <c r="O44" i="34" s="1"/>
  <c r="H44" i="34"/>
  <c r="F44" i="34"/>
  <c r="AJ43" i="34"/>
  <c r="AI43" i="34"/>
  <c r="AG43" i="34"/>
  <c r="AF43" i="34"/>
  <c r="AE43" i="34"/>
  <c r="AB43" i="34"/>
  <c r="Y43" i="34"/>
  <c r="S43" i="34"/>
  <c r="M43" i="34"/>
  <c r="O43" i="34" s="1"/>
  <c r="H43" i="34"/>
  <c r="F43" i="34"/>
  <c r="CM42" i="34"/>
  <c r="AJ42" i="34"/>
  <c r="AI42" i="34"/>
  <c r="AG42" i="34"/>
  <c r="AF42" i="34"/>
  <c r="AE42" i="34"/>
  <c r="AB42" i="34"/>
  <c r="Y42" i="34"/>
  <c r="S42" i="34"/>
  <c r="M42" i="34"/>
  <c r="AS42" i="34" s="1"/>
  <c r="H42" i="34"/>
  <c r="F42" i="34"/>
  <c r="AJ41" i="34"/>
  <c r="AI41" i="34"/>
  <c r="AG41" i="34"/>
  <c r="AF41" i="34"/>
  <c r="AE41" i="34"/>
  <c r="AB41" i="34"/>
  <c r="Y41" i="34"/>
  <c r="S41" i="34"/>
  <c r="M41" i="34"/>
  <c r="H41" i="34"/>
  <c r="F41" i="34"/>
  <c r="AJ40" i="34"/>
  <c r="AI40" i="34"/>
  <c r="AG40" i="34"/>
  <c r="AF40" i="34"/>
  <c r="AE40" i="34"/>
  <c r="AB40" i="34"/>
  <c r="AB56" i="34" s="1"/>
  <c r="Y40" i="34"/>
  <c r="S40" i="34"/>
  <c r="M40" i="34"/>
  <c r="AS40" i="34" s="1"/>
  <c r="H40" i="34"/>
  <c r="F40" i="34"/>
  <c r="AJ39" i="34"/>
  <c r="AI39" i="34"/>
  <c r="AG39" i="34"/>
  <c r="AF39" i="34"/>
  <c r="AE39" i="34"/>
  <c r="AB39" i="34"/>
  <c r="Y39" i="34"/>
  <c r="S39" i="34"/>
  <c r="M39" i="34"/>
  <c r="AS39" i="34" s="1"/>
  <c r="H39" i="34"/>
  <c r="F39" i="34"/>
  <c r="AJ38" i="34"/>
  <c r="AI38" i="34"/>
  <c r="AG38" i="34"/>
  <c r="AF38" i="34"/>
  <c r="AE38" i="34"/>
  <c r="AB38" i="34"/>
  <c r="Y38" i="34"/>
  <c r="S38" i="34"/>
  <c r="M38" i="34"/>
  <c r="AS38" i="34" s="1"/>
  <c r="H38" i="34"/>
  <c r="F38" i="34"/>
  <c r="AJ37" i="34"/>
  <c r="AI37" i="34"/>
  <c r="AG37" i="34"/>
  <c r="AF37" i="34"/>
  <c r="AE37" i="34"/>
  <c r="AB37" i="34"/>
  <c r="Y37" i="34"/>
  <c r="S37" i="34"/>
  <c r="M37" i="34"/>
  <c r="AS37" i="34" s="1"/>
  <c r="H37" i="34"/>
  <c r="F37" i="34"/>
  <c r="AJ36" i="34"/>
  <c r="AI36" i="34"/>
  <c r="AG36" i="34"/>
  <c r="AF36" i="34"/>
  <c r="AE36" i="34"/>
  <c r="AB36" i="34"/>
  <c r="Y36" i="34"/>
  <c r="S36" i="34"/>
  <c r="M36" i="34"/>
  <c r="AS36" i="34" s="1"/>
  <c r="H36" i="34"/>
  <c r="F36" i="34"/>
  <c r="AJ35" i="34"/>
  <c r="AI35" i="34"/>
  <c r="AG35" i="34"/>
  <c r="AF35" i="34"/>
  <c r="AE35" i="34"/>
  <c r="AB35" i="34"/>
  <c r="Y35" i="34"/>
  <c r="S35" i="34"/>
  <c r="M35" i="34"/>
  <c r="AS35" i="34" s="1"/>
  <c r="H35" i="34"/>
  <c r="F35" i="34"/>
  <c r="AJ34" i="34"/>
  <c r="AI34" i="34"/>
  <c r="AG34" i="34"/>
  <c r="AF34" i="34"/>
  <c r="AE34" i="34"/>
  <c r="AB34" i="34"/>
  <c r="Y34" i="34"/>
  <c r="S34" i="34"/>
  <c r="M34" i="34"/>
  <c r="AS34" i="34" s="1"/>
  <c r="H34" i="34"/>
  <c r="F34" i="34"/>
  <c r="AJ33" i="34"/>
  <c r="AI33" i="34"/>
  <c r="AG33" i="34"/>
  <c r="AF33" i="34"/>
  <c r="AE33" i="34"/>
  <c r="AB33" i="34"/>
  <c r="Y33" i="34"/>
  <c r="S33" i="34"/>
  <c r="M33" i="34"/>
  <c r="AS33" i="34" s="1"/>
  <c r="H33" i="34"/>
  <c r="F33" i="34"/>
  <c r="AJ32" i="34"/>
  <c r="AI32" i="34"/>
  <c r="AG32" i="34"/>
  <c r="AF32" i="34"/>
  <c r="AE32" i="34"/>
  <c r="AB32" i="34"/>
  <c r="Y32" i="34"/>
  <c r="S32" i="34"/>
  <c r="M32" i="34"/>
  <c r="O32" i="34" s="1"/>
  <c r="H32" i="34"/>
  <c r="F32" i="34"/>
  <c r="AJ31" i="34"/>
  <c r="AI31" i="34"/>
  <c r="AG31" i="34"/>
  <c r="AF31" i="34"/>
  <c r="AE31" i="34"/>
  <c r="AB31" i="34"/>
  <c r="Y31" i="34"/>
  <c r="S31" i="34"/>
  <c r="M31" i="34"/>
  <c r="AS31" i="34" s="1"/>
  <c r="H31" i="34"/>
  <c r="F31" i="34"/>
  <c r="AJ30" i="34"/>
  <c r="AI30" i="34"/>
  <c r="AG30" i="34"/>
  <c r="AF30" i="34"/>
  <c r="AE30" i="34"/>
  <c r="AB30" i="34"/>
  <c r="Y30" i="34"/>
  <c r="S30" i="34"/>
  <c r="M30" i="34"/>
  <c r="AS30" i="34" s="1"/>
  <c r="H30" i="34"/>
  <c r="F30" i="34"/>
  <c r="AJ29" i="34"/>
  <c r="AI29" i="34"/>
  <c r="AG29" i="34"/>
  <c r="AF29" i="34"/>
  <c r="AE29" i="34"/>
  <c r="AB29" i="34"/>
  <c r="Y29" i="34"/>
  <c r="S29" i="34"/>
  <c r="M29" i="34"/>
  <c r="H29" i="34"/>
  <c r="F29" i="34"/>
  <c r="AJ28" i="34"/>
  <c r="AI28" i="34"/>
  <c r="AG28" i="34"/>
  <c r="AF28" i="34"/>
  <c r="AE28" i="34"/>
  <c r="AB28" i="34"/>
  <c r="Y28" i="34"/>
  <c r="S28" i="34"/>
  <c r="M28" i="34"/>
  <c r="O28" i="34" s="1"/>
  <c r="H28" i="34"/>
  <c r="F28" i="34"/>
  <c r="AJ27" i="34"/>
  <c r="AI27" i="34"/>
  <c r="AG27" i="34"/>
  <c r="AF27" i="34"/>
  <c r="AE27" i="34"/>
  <c r="AB27" i="34"/>
  <c r="Y27" i="34"/>
  <c r="S27" i="34"/>
  <c r="M27" i="34"/>
  <c r="O27" i="34" s="1"/>
  <c r="H27" i="34"/>
  <c r="F27" i="34"/>
  <c r="AJ26" i="34"/>
  <c r="AI26" i="34"/>
  <c r="AG26" i="34"/>
  <c r="AF26" i="34"/>
  <c r="AE26" i="34"/>
  <c r="AB26" i="34"/>
  <c r="Y26" i="34"/>
  <c r="S26" i="34"/>
  <c r="M26" i="34"/>
  <c r="H26" i="34"/>
  <c r="F26" i="34"/>
  <c r="AJ25" i="34"/>
  <c r="AI25" i="34"/>
  <c r="AG25" i="34"/>
  <c r="AF25" i="34"/>
  <c r="AE25" i="34"/>
  <c r="AB25" i="34"/>
  <c r="Y25" i="34"/>
  <c r="S25" i="34"/>
  <c r="M25" i="34"/>
  <c r="AS25" i="34" s="1"/>
  <c r="H25" i="34"/>
  <c r="F25" i="34"/>
  <c r="AJ24" i="34"/>
  <c r="AI24" i="34"/>
  <c r="AG24" i="34"/>
  <c r="AF24" i="34"/>
  <c r="AE24" i="34"/>
  <c r="AB24" i="34"/>
  <c r="Y24" i="34"/>
  <c r="S24" i="34"/>
  <c r="M24" i="34"/>
  <c r="AS24" i="34" s="1"/>
  <c r="H24" i="34"/>
  <c r="F24" i="34"/>
  <c r="AJ23" i="34"/>
  <c r="AI23" i="34"/>
  <c r="AI53" i="34" s="1"/>
  <c r="AG23" i="34"/>
  <c r="AF23" i="34"/>
  <c r="AE23" i="34"/>
  <c r="AB23" i="34"/>
  <c r="Y23" i="34"/>
  <c r="S23" i="34"/>
  <c r="M23" i="34"/>
  <c r="AS23" i="34" s="1"/>
  <c r="H23" i="34"/>
  <c r="F23" i="34"/>
  <c r="AJ22" i="34"/>
  <c r="AI22" i="34"/>
  <c r="AG22" i="34"/>
  <c r="AF22" i="34"/>
  <c r="AE22" i="34"/>
  <c r="AB22" i="34"/>
  <c r="Y22" i="34"/>
  <c r="S22" i="34"/>
  <c r="M22" i="34"/>
  <c r="AS22" i="34" s="1"/>
  <c r="H22" i="34"/>
  <c r="F22" i="34"/>
  <c r="AJ21" i="34"/>
  <c r="AI21" i="34"/>
  <c r="AG21" i="34"/>
  <c r="AF21" i="34"/>
  <c r="AE21" i="34"/>
  <c r="AB21" i="34"/>
  <c r="Y21" i="34"/>
  <c r="S21" i="34"/>
  <c r="M21" i="34"/>
  <c r="AS21" i="34" s="1"/>
  <c r="H21" i="34"/>
  <c r="F21" i="34"/>
  <c r="AJ20" i="34"/>
  <c r="AI20" i="34"/>
  <c r="AG20" i="34"/>
  <c r="AF20" i="34"/>
  <c r="AE20" i="34"/>
  <c r="AB20" i="34"/>
  <c r="Y20" i="34"/>
  <c r="S20" i="34"/>
  <c r="M20" i="34"/>
  <c r="AS20" i="34" s="1"/>
  <c r="H20" i="34"/>
  <c r="F20" i="34"/>
  <c r="AJ19" i="34"/>
  <c r="AI19" i="34"/>
  <c r="AG19" i="34"/>
  <c r="AF19" i="34"/>
  <c r="AE19" i="34"/>
  <c r="AB19" i="34"/>
  <c r="Y19" i="34"/>
  <c r="S19" i="34"/>
  <c r="M19" i="34"/>
  <c r="AS19" i="34" s="1"/>
  <c r="H19" i="34"/>
  <c r="F19" i="34"/>
  <c r="AJ18" i="34"/>
  <c r="AI18" i="34"/>
  <c r="AG18" i="34"/>
  <c r="AF18" i="34"/>
  <c r="AE18" i="34"/>
  <c r="AB18" i="34"/>
  <c r="Y18" i="34"/>
  <c r="S18" i="34"/>
  <c r="M18" i="34"/>
  <c r="AS18" i="34" s="1"/>
  <c r="H18" i="34"/>
  <c r="F18" i="34"/>
  <c r="AJ17" i="34"/>
  <c r="AI17" i="34"/>
  <c r="AG17" i="34"/>
  <c r="AF17" i="34"/>
  <c r="AE17" i="34"/>
  <c r="AB17" i="34"/>
  <c r="Y17" i="34"/>
  <c r="S17" i="34"/>
  <c r="M17" i="34"/>
  <c r="AS17" i="34" s="1"/>
  <c r="H17" i="34"/>
  <c r="F17" i="34"/>
  <c r="AJ16" i="34"/>
  <c r="AI16" i="34"/>
  <c r="AG16" i="34"/>
  <c r="AF16" i="34"/>
  <c r="AE16" i="34"/>
  <c r="AB16" i="34"/>
  <c r="Y16" i="34"/>
  <c r="S16" i="34"/>
  <c r="M16" i="34"/>
  <c r="AS16" i="34" s="1"/>
  <c r="H16" i="34"/>
  <c r="F16" i="34"/>
  <c r="AJ15" i="34"/>
  <c r="AI15" i="34"/>
  <c r="AG15" i="34"/>
  <c r="AF15" i="34"/>
  <c r="AE15" i="34"/>
  <c r="AB15" i="34"/>
  <c r="Y15" i="34"/>
  <c r="S15" i="34"/>
  <c r="M15" i="34"/>
  <c r="AS15" i="34" s="1"/>
  <c r="H15" i="34"/>
  <c r="F15" i="34"/>
  <c r="AJ14" i="34"/>
  <c r="AI14" i="34"/>
  <c r="AG14" i="34"/>
  <c r="AF14" i="34"/>
  <c r="AE14" i="34"/>
  <c r="AB14" i="34"/>
  <c r="Y14" i="34"/>
  <c r="S14" i="34"/>
  <c r="M14" i="34"/>
  <c r="AS14" i="34" s="1"/>
  <c r="H14" i="34"/>
  <c r="F14" i="34"/>
  <c r="AJ13" i="34"/>
  <c r="AI13" i="34"/>
  <c r="AG13" i="34"/>
  <c r="AF13" i="34"/>
  <c r="AE13" i="34"/>
  <c r="AB13" i="34"/>
  <c r="Y13" i="34"/>
  <c r="S13" i="34"/>
  <c r="M13" i="34"/>
  <c r="AS13" i="34" s="1"/>
  <c r="H13" i="34"/>
  <c r="F13" i="34"/>
  <c r="AJ12" i="34"/>
  <c r="AI12" i="34"/>
  <c r="AG12" i="34"/>
  <c r="AF12" i="34"/>
  <c r="AF52" i="34" s="1"/>
  <c r="AE12" i="34"/>
  <c r="AB12" i="34"/>
  <c r="AB52" i="34" s="1"/>
  <c r="Y12" i="34"/>
  <c r="S12" i="34"/>
  <c r="S52" i="34" s="1"/>
  <c r="M12" i="34"/>
  <c r="AS12" i="34" s="1"/>
  <c r="H12" i="34"/>
  <c r="F12" i="34"/>
  <c r="AJ11" i="34"/>
  <c r="AI11" i="34"/>
  <c r="AG11" i="34"/>
  <c r="AF11" i="34"/>
  <c r="AE11" i="34"/>
  <c r="AB11" i="34"/>
  <c r="Y11" i="34"/>
  <c r="S11" i="34"/>
  <c r="M11" i="34"/>
  <c r="AS11" i="34" s="1"/>
  <c r="H11" i="34"/>
  <c r="F11" i="34"/>
  <c r="AJ10" i="34"/>
  <c r="AI10" i="34"/>
  <c r="AG10" i="34"/>
  <c r="AF10" i="34"/>
  <c r="AE10" i="34"/>
  <c r="AB10" i="34"/>
  <c r="Y10" i="34"/>
  <c r="S10" i="34"/>
  <c r="M10" i="34"/>
  <c r="AS10" i="34" s="1"/>
  <c r="H10" i="34"/>
  <c r="F10" i="34"/>
  <c r="AJ9" i="34"/>
  <c r="AI9" i="34"/>
  <c r="AI51" i="34" s="1"/>
  <c r="AG9" i="34"/>
  <c r="AF9" i="34"/>
  <c r="AE9" i="34"/>
  <c r="AE51" i="34" s="1"/>
  <c r="AB9" i="34"/>
  <c r="Y9" i="34"/>
  <c r="S9" i="34"/>
  <c r="S51" i="34" s="1"/>
  <c r="M9" i="34"/>
  <c r="AS9" i="34" s="1"/>
  <c r="H9" i="34"/>
  <c r="F9" i="34"/>
  <c r="AJ8" i="34"/>
  <c r="AI8" i="34"/>
  <c r="AG8" i="34"/>
  <c r="AF8" i="34"/>
  <c r="AE8" i="34"/>
  <c r="AB8" i="34"/>
  <c r="Y8" i="34"/>
  <c r="S8" i="34"/>
  <c r="M8" i="34"/>
  <c r="AS8" i="34" s="1"/>
  <c r="H8" i="34"/>
  <c r="F8" i="34"/>
  <c r="AJ7" i="34"/>
  <c r="AI7" i="34"/>
  <c r="AG7" i="34"/>
  <c r="AF7" i="34"/>
  <c r="AE7" i="34"/>
  <c r="AB7" i="34"/>
  <c r="Y7" i="34"/>
  <c r="S7" i="34"/>
  <c r="M7" i="34"/>
  <c r="H7" i="34"/>
  <c r="F7" i="34"/>
  <c r="AJ6" i="34"/>
  <c r="AI6" i="34"/>
  <c r="AG6" i="34"/>
  <c r="AF6" i="34"/>
  <c r="AE6" i="34"/>
  <c r="AB6" i="34"/>
  <c r="Y6" i="34"/>
  <c r="S6" i="34"/>
  <c r="M6" i="34"/>
  <c r="H6" i="34"/>
  <c r="F6" i="34"/>
  <c r="AJ5" i="34"/>
  <c r="AI5" i="34"/>
  <c r="AG5" i="34"/>
  <c r="AF5" i="34"/>
  <c r="AE5" i="34"/>
  <c r="AB5" i="34"/>
  <c r="Y5" i="34"/>
  <c r="S5" i="34"/>
  <c r="M5" i="34"/>
  <c r="H5" i="34"/>
  <c r="F5" i="34"/>
  <c r="AS1" i="34"/>
  <c r="AT2" i="34" s="1"/>
  <c r="AS32" i="34" l="1"/>
  <c r="O36" i="34"/>
  <c r="O35" i="34"/>
  <c r="O8" i="34"/>
  <c r="AJ52" i="34"/>
  <c r="AJ50" i="34"/>
  <c r="AI50" i="34"/>
  <c r="Z2" i="43"/>
  <c r="Z45" i="43" s="1"/>
  <c r="E12" i="37"/>
  <c r="Z2" i="39" s="1"/>
  <c r="CM34" i="36"/>
  <c r="CM19" i="36"/>
  <c r="CM18" i="36"/>
  <c r="CM10" i="36"/>
  <c r="BF57" i="36"/>
  <c r="CM30" i="36"/>
  <c r="CM9" i="36"/>
  <c r="CM40" i="38"/>
  <c r="CM39" i="38"/>
  <c r="CM36" i="38"/>
  <c r="CM35" i="38"/>
  <c r="CM19" i="38"/>
  <c r="CM18" i="38"/>
  <c r="CM33" i="38"/>
  <c r="CM44" i="38"/>
  <c r="CM30" i="38"/>
  <c r="CM22" i="38"/>
  <c r="AF57" i="38"/>
  <c r="CM23" i="38"/>
  <c r="CM15" i="38"/>
  <c r="BF57" i="38"/>
  <c r="CM7" i="38"/>
  <c r="BF61" i="38"/>
  <c r="CM53" i="38"/>
  <c r="CM55" i="38"/>
  <c r="CM54" i="38"/>
  <c r="CM56" i="38"/>
  <c r="CM51" i="38"/>
  <c r="CM52" i="38"/>
  <c r="CM50" i="38"/>
  <c r="CM43" i="38"/>
  <c r="CM38" i="38"/>
  <c r="CM37" i="38"/>
  <c r="CM41" i="38"/>
  <c r="CM34" i="38"/>
  <c r="CM31" i="38"/>
  <c r="CM24" i="38"/>
  <c r="CM20" i="38"/>
  <c r="CM27" i="38"/>
  <c r="CM26" i="38"/>
  <c r="CM21" i="38"/>
  <c r="CM17" i="38"/>
  <c r="CM25" i="38"/>
  <c r="CM13" i="38"/>
  <c r="CM10" i="38"/>
  <c r="CM9" i="38"/>
  <c r="CM12" i="38"/>
  <c r="CM16" i="38"/>
  <c r="CM6" i="38"/>
  <c r="CM5" i="38"/>
  <c r="CM14" i="38"/>
  <c r="AI57" i="38"/>
  <c r="CM8" i="38"/>
  <c r="AE57" i="38"/>
  <c r="AE59" i="38" s="1"/>
  <c r="AJ57" i="38"/>
  <c r="BF52" i="34"/>
  <c r="AG56" i="34"/>
  <c r="AK57" i="34"/>
  <c r="AE50" i="34"/>
  <c r="AF50" i="34"/>
  <c r="AB51" i="34"/>
  <c r="O24" i="34"/>
  <c r="O25" i="34"/>
  <c r="AS27" i="34"/>
  <c r="AS28" i="34"/>
  <c r="AI55" i="34"/>
  <c r="AJ56" i="34"/>
  <c r="AS43" i="34"/>
  <c r="AS44" i="34"/>
  <c r="AS45" i="34"/>
  <c r="AE54" i="34"/>
  <c r="S55" i="34"/>
  <c r="AJ55" i="34"/>
  <c r="M1" i="34"/>
  <c r="AG50" i="34"/>
  <c r="AF51" i="34"/>
  <c r="S53" i="34"/>
  <c r="AF54" i="34"/>
  <c r="O33" i="34"/>
  <c r="BF55" i="34"/>
  <c r="O10" i="34"/>
  <c r="O11" i="34"/>
  <c r="O12" i="34"/>
  <c r="AI52" i="34"/>
  <c r="O13" i="34"/>
  <c r="O18" i="34"/>
  <c r="O19" i="34"/>
  <c r="O20" i="34"/>
  <c r="O21" i="34"/>
  <c r="AB53" i="34"/>
  <c r="O30" i="34"/>
  <c r="O38" i="34"/>
  <c r="AF55" i="34"/>
  <c r="AJ54" i="34"/>
  <c r="O42" i="34"/>
  <c r="CM56" i="36"/>
  <c r="CM54" i="36"/>
  <c r="CM52" i="36"/>
  <c r="CM50" i="36"/>
  <c r="BF61" i="36"/>
  <c r="CM55" i="36"/>
  <c r="CM53" i="36"/>
  <c r="CM51" i="36"/>
  <c r="CM43" i="36"/>
  <c r="CM41" i="36"/>
  <c r="CM37" i="36"/>
  <c r="CM40" i="36"/>
  <c r="CM36" i="36"/>
  <c r="CM44" i="36"/>
  <c r="CM33" i="36"/>
  <c r="CM28" i="36"/>
  <c r="CM26" i="36"/>
  <c r="CM23" i="36"/>
  <c r="CM27" i="36"/>
  <c r="CM22" i="36"/>
  <c r="CM21" i="36"/>
  <c r="CM20" i="36"/>
  <c r="CM15" i="36"/>
  <c r="CM24" i="36"/>
  <c r="CM14" i="36"/>
  <c r="CM13" i="36"/>
  <c r="CM5" i="36"/>
  <c r="CM6" i="36"/>
  <c r="CM11" i="36"/>
  <c r="CM12" i="36"/>
  <c r="CM29" i="36"/>
  <c r="CM39" i="36"/>
  <c r="CM7" i="36"/>
  <c r="AE72" i="36"/>
  <c r="AE64" i="36"/>
  <c r="AG57" i="36"/>
  <c r="CM17" i="36"/>
  <c r="CM8" i="36"/>
  <c r="AJ57" i="36"/>
  <c r="AB57" i="36"/>
  <c r="AB59" i="36" s="1"/>
  <c r="AB64" i="36" s="1"/>
  <c r="S57" i="36"/>
  <c r="AI57" i="36"/>
  <c r="AS5" i="34"/>
  <c r="AS6" i="34"/>
  <c r="O6" i="34"/>
  <c r="O5" i="34"/>
  <c r="M2" i="34"/>
  <c r="AS7" i="34"/>
  <c r="O7" i="34"/>
  <c r="O15" i="34"/>
  <c r="O16" i="34"/>
  <c r="AF53" i="34"/>
  <c r="S50" i="34"/>
  <c r="AB50" i="34"/>
  <c r="O9" i="34"/>
  <c r="AG51" i="34"/>
  <c r="O17" i="34"/>
  <c r="BF51" i="34"/>
  <c r="AE52" i="34"/>
  <c r="AS26" i="34"/>
  <c r="O26" i="34"/>
  <c r="BF53" i="34"/>
  <c r="AS29" i="34"/>
  <c r="O29" i="34"/>
  <c r="AJ51" i="34"/>
  <c r="AG52" i="34"/>
  <c r="BF65" i="34"/>
  <c r="BF50" i="34"/>
  <c r="BF60" i="34"/>
  <c r="BF59" i="34"/>
  <c r="CM14" i="34" s="1"/>
  <c r="BF64" i="34"/>
  <c r="BF63" i="34"/>
  <c r="O14" i="34"/>
  <c r="O22" i="34"/>
  <c r="AI56" i="34"/>
  <c r="AE53" i="34"/>
  <c r="AG54" i="34"/>
  <c r="O37" i="34"/>
  <c r="O40" i="34"/>
  <c r="AB55" i="34"/>
  <c r="O23" i="34"/>
  <c r="AG53" i="34"/>
  <c r="CM28" i="34"/>
  <c r="AI54" i="34"/>
  <c r="O31" i="34"/>
  <c r="O39" i="34"/>
  <c r="S56" i="34"/>
  <c r="AS41" i="34"/>
  <c r="O41" i="34"/>
  <c r="AE55" i="34"/>
  <c r="AE56" i="34"/>
  <c r="BF54" i="34"/>
  <c r="BF56" i="34"/>
  <c r="S54" i="34"/>
  <c r="AB54" i="34"/>
  <c r="CM38" i="34"/>
  <c r="AF56" i="34"/>
  <c r="AJ53" i="34"/>
  <c r="O34" i="34"/>
  <c r="AG55" i="34"/>
  <c r="CM46" i="34"/>
  <c r="O46" i="34"/>
  <c r="AF57" i="34" l="1"/>
  <c r="Z8" i="43"/>
  <c r="Z31" i="43"/>
  <c r="Z4" i="43"/>
  <c r="AK4" i="43" s="1"/>
  <c r="Z23" i="43"/>
  <c r="AK23" i="43" s="1"/>
  <c r="AJ57" i="34"/>
  <c r="Z37" i="43"/>
  <c r="AC37" i="43" s="1"/>
  <c r="AF37" i="43" s="1"/>
  <c r="Z14" i="43"/>
  <c r="AC14" i="43" s="1"/>
  <c r="AF14" i="43" s="1"/>
  <c r="Z6" i="43"/>
  <c r="AH6" i="43" s="1"/>
  <c r="Z16" i="43"/>
  <c r="AC16" i="43" s="1"/>
  <c r="Z34" i="43"/>
  <c r="Z5" i="43"/>
  <c r="Z11" i="43"/>
  <c r="AC11" i="43" s="1"/>
  <c r="Z29" i="43"/>
  <c r="AK29" i="43" s="1"/>
  <c r="Z35" i="43"/>
  <c r="AH35" i="43" s="1"/>
  <c r="Z36" i="43"/>
  <c r="AC36" i="43" s="1"/>
  <c r="AF36" i="43" s="1"/>
  <c r="Z12" i="43"/>
  <c r="AK12" i="43" s="1"/>
  <c r="Z15" i="43"/>
  <c r="AH15" i="43" s="1"/>
  <c r="AJ15" i="43" s="1"/>
  <c r="Z18" i="41" s="1"/>
  <c r="S28" i="44" s="1"/>
  <c r="Z13" i="43"/>
  <c r="Z21" i="43"/>
  <c r="AK21" i="43" s="1"/>
  <c r="Z19" i="43"/>
  <c r="AK19" i="43" s="1"/>
  <c r="Z39" i="43"/>
  <c r="AH39" i="43" s="1"/>
  <c r="AJ39" i="43" s="1"/>
  <c r="Z42" i="41" s="1"/>
  <c r="S32" i="44" s="1"/>
  <c r="Z18" i="43"/>
  <c r="AK18" i="43" s="1"/>
  <c r="Z26" i="43"/>
  <c r="AH26" i="43" s="1"/>
  <c r="AJ26" i="43" s="1"/>
  <c r="Z29" i="41" s="1"/>
  <c r="S30" i="44" s="1"/>
  <c r="Z7" i="43"/>
  <c r="AH7" i="43" s="1"/>
  <c r="AJ7" i="43" s="1"/>
  <c r="Z10" i="41" s="1"/>
  <c r="S33" i="44" s="1"/>
  <c r="Z20" i="43"/>
  <c r="AK20" i="43" s="1"/>
  <c r="Z38" i="43"/>
  <c r="Z42" i="43"/>
  <c r="AC42" i="43" s="1"/>
  <c r="Z9" i="43"/>
  <c r="AH9" i="43" s="1"/>
  <c r="Z22" i="43"/>
  <c r="AC22" i="43" s="1"/>
  <c r="AF22" i="43" s="1"/>
  <c r="Z43" i="43"/>
  <c r="AC43" i="43" s="1"/>
  <c r="AF43" i="43" s="1"/>
  <c r="Z27" i="43"/>
  <c r="AC27" i="43" s="1"/>
  <c r="AF27" i="43" s="1"/>
  <c r="Z28" i="43"/>
  <c r="AK28" i="43" s="1"/>
  <c r="Z41" i="43"/>
  <c r="AH41" i="43" s="1"/>
  <c r="AJ41" i="43" s="1"/>
  <c r="Z44" i="41" s="1"/>
  <c r="S45" i="44" s="1"/>
  <c r="Z24" i="43"/>
  <c r="Z30" i="43"/>
  <c r="AK30" i="43" s="1"/>
  <c r="Z17" i="43"/>
  <c r="AK17" i="43" s="1"/>
  <c r="Z44" i="43"/>
  <c r="AC44" i="43" s="1"/>
  <c r="Z32" i="43"/>
  <c r="AC32" i="43" s="1"/>
  <c r="Z10" i="43"/>
  <c r="AK10" i="43" s="1"/>
  <c r="Z40" i="43"/>
  <c r="AH40" i="43" s="1"/>
  <c r="Z33" i="43"/>
  <c r="AH33" i="43" s="1"/>
  <c r="Z25" i="43"/>
  <c r="AI57" i="34"/>
  <c r="Z13" i="39"/>
  <c r="AK13" i="39" s="1"/>
  <c r="Z4" i="39"/>
  <c r="AK4" i="39" s="1"/>
  <c r="W3" i="37" s="1"/>
  <c r="Z24" i="39"/>
  <c r="AK24" i="39" s="1"/>
  <c r="Z15" i="39"/>
  <c r="AK15" i="39" s="1"/>
  <c r="Z43" i="39"/>
  <c r="AH43" i="39" s="1"/>
  <c r="AJ43" i="39" s="1"/>
  <c r="K27" i="44" s="1"/>
  <c r="Z42" i="39"/>
  <c r="AH42" i="39" s="1"/>
  <c r="Z5" i="39"/>
  <c r="AK5" i="39" s="1"/>
  <c r="Z38" i="39"/>
  <c r="AK38" i="39" s="1"/>
  <c r="W41" i="41" s="1"/>
  <c r="Z23" i="39"/>
  <c r="AC23" i="39" s="1"/>
  <c r="Z41" i="39"/>
  <c r="AC41" i="39" s="1"/>
  <c r="AF41" i="39" s="1"/>
  <c r="Z45" i="39"/>
  <c r="AK45" i="39" s="1"/>
  <c r="Z30" i="39"/>
  <c r="AK30" i="39" s="1"/>
  <c r="Z34" i="39"/>
  <c r="AC34" i="39" s="1"/>
  <c r="AF34" i="39" s="1"/>
  <c r="Z11" i="39"/>
  <c r="AK11" i="39" s="1"/>
  <c r="W14" i="41" s="1"/>
  <c r="Z6" i="39"/>
  <c r="AC6" i="39" s="1"/>
  <c r="Z10" i="39"/>
  <c r="AH10" i="39" s="1"/>
  <c r="Z33" i="39"/>
  <c r="AC33" i="39" s="1"/>
  <c r="Z18" i="39"/>
  <c r="AK18" i="39" s="1"/>
  <c r="Z16" i="39"/>
  <c r="AK16" i="39" s="1"/>
  <c r="W19" i="41" s="1"/>
  <c r="Z8" i="39"/>
  <c r="AK8" i="39" s="1"/>
  <c r="W11" i="41" s="1"/>
  <c r="Z39" i="39"/>
  <c r="AC39" i="39" s="1"/>
  <c r="AF39" i="39" s="1"/>
  <c r="Z28" i="39"/>
  <c r="AC28" i="39" s="1"/>
  <c r="Z19" i="39"/>
  <c r="AC19" i="39" s="1"/>
  <c r="Z31" i="39"/>
  <c r="AK31" i="39" s="1"/>
  <c r="W34" i="41" s="1"/>
  <c r="Z26" i="39"/>
  <c r="AC26" i="39" s="1"/>
  <c r="AF26" i="39" s="1"/>
  <c r="Z22" i="39"/>
  <c r="AC22" i="39" s="1"/>
  <c r="AF22" i="39" s="1"/>
  <c r="Z29" i="39"/>
  <c r="AH29" i="39" s="1"/>
  <c r="Z25" i="39"/>
  <c r="AH25" i="39" s="1"/>
  <c r="AJ25" i="39" s="1"/>
  <c r="K17" i="44" s="1"/>
  <c r="Z27" i="39"/>
  <c r="AC27" i="39" s="1"/>
  <c r="AF27" i="39" s="1"/>
  <c r="Z44" i="39"/>
  <c r="AC44" i="39" s="1"/>
  <c r="Z37" i="39"/>
  <c r="AK37" i="39" s="1"/>
  <c r="Z36" i="39"/>
  <c r="AH36" i="39" s="1"/>
  <c r="AJ36" i="39" s="1"/>
  <c r="K10" i="44" s="1"/>
  <c r="Z40" i="39"/>
  <c r="AK40" i="39" s="1"/>
  <c r="W43" i="41" s="1"/>
  <c r="Z17" i="39"/>
  <c r="AK17" i="39" s="1"/>
  <c r="Z20" i="39"/>
  <c r="AC20" i="39" s="1"/>
  <c r="AF20" i="39" s="1"/>
  <c r="Z21" i="39"/>
  <c r="AK21" i="39" s="1"/>
  <c r="W24" i="41" s="1"/>
  <c r="Z14" i="39"/>
  <c r="AC14" i="39" s="1"/>
  <c r="AF14" i="39" s="1"/>
  <c r="Z7" i="39"/>
  <c r="AH7" i="39" s="1"/>
  <c r="AJ7" i="39" s="1"/>
  <c r="K33" i="44" s="1"/>
  <c r="Z32" i="39"/>
  <c r="AC32" i="39" s="1"/>
  <c r="Z9" i="39"/>
  <c r="AH9" i="39" s="1"/>
  <c r="Z12" i="39"/>
  <c r="AK12" i="39" s="1"/>
  <c r="W15" i="41" s="1"/>
  <c r="Z35" i="39"/>
  <c r="AC35" i="39" s="1"/>
  <c r="AC24" i="43"/>
  <c r="AF24" i="43" s="1"/>
  <c r="AH24" i="43"/>
  <c r="AJ24" i="43" s="1"/>
  <c r="Z27" i="41" s="1"/>
  <c r="S38" i="44" s="1"/>
  <c r="AK24" i="43"/>
  <c r="AH38" i="43"/>
  <c r="AC38" i="43"/>
  <c r="AK38" i="43"/>
  <c r="AK8" i="43"/>
  <c r="AH8" i="43"/>
  <c r="AC8" i="43"/>
  <c r="AC30" i="43"/>
  <c r="AF30" i="43" s="1"/>
  <c r="AH30" i="43"/>
  <c r="AJ30" i="43" s="1"/>
  <c r="Z33" i="41" s="1"/>
  <c r="S41" i="44" s="1"/>
  <c r="AK42" i="43"/>
  <c r="AH42" i="43"/>
  <c r="AC13" i="43"/>
  <c r="AF13" i="43" s="1"/>
  <c r="AK13" i="43"/>
  <c r="AH13" i="43"/>
  <c r="AJ13" i="43" s="1"/>
  <c r="Z16" i="41" s="1"/>
  <c r="S35" i="44" s="1"/>
  <c r="AK45" i="43"/>
  <c r="AH45" i="43"/>
  <c r="AJ45" i="43" s="1"/>
  <c r="Z48" i="41" s="1"/>
  <c r="S47" i="44" s="1"/>
  <c r="AC45" i="43"/>
  <c r="AF45" i="43" s="1"/>
  <c r="AC31" i="43"/>
  <c r="AH31" i="43"/>
  <c r="AK31" i="43"/>
  <c r="AH32" i="39"/>
  <c r="AK32" i="39"/>
  <c r="W35" i="41" s="1"/>
  <c r="AK35" i="43"/>
  <c r="AK34" i="43"/>
  <c r="AH34" i="43"/>
  <c r="AJ34" i="43" s="1"/>
  <c r="Z37" i="41" s="1"/>
  <c r="S31" i="44" s="1"/>
  <c r="AC34" i="43"/>
  <c r="AF34" i="43" s="1"/>
  <c r="AC21" i="43"/>
  <c r="AH21" i="43"/>
  <c r="AH43" i="43"/>
  <c r="AJ43" i="43" s="1"/>
  <c r="Z46" i="41" s="1"/>
  <c r="S27" i="44" s="1"/>
  <c r="AK43" i="43"/>
  <c r="AC4" i="43"/>
  <c r="AF4" i="43" s="1"/>
  <c r="AH4" i="43"/>
  <c r="AJ4" i="43" s="1"/>
  <c r="Z7" i="41" s="1"/>
  <c r="S23" i="44" s="1"/>
  <c r="AC40" i="39"/>
  <c r="AC5" i="43"/>
  <c r="AF5" i="43" s="1"/>
  <c r="AK5" i="43"/>
  <c r="AH5" i="43"/>
  <c r="AJ5" i="43" s="1"/>
  <c r="Z8" i="41" s="1"/>
  <c r="S21" i="44" s="1"/>
  <c r="AH44" i="43"/>
  <c r="AK33" i="43"/>
  <c r="AH25" i="43"/>
  <c r="AJ25" i="43" s="1"/>
  <c r="Z28" i="41" s="1"/>
  <c r="S17" i="44" s="1"/>
  <c r="AK25" i="43"/>
  <c r="AC25" i="43"/>
  <c r="AF25" i="43" s="1"/>
  <c r="AK41" i="43"/>
  <c r="AH33" i="39"/>
  <c r="CM39" i="34"/>
  <c r="CM27" i="34"/>
  <c r="CM43" i="34"/>
  <c r="AE72" i="38"/>
  <c r="AE64" i="38"/>
  <c r="AE57" i="34"/>
  <c r="AE59" i="34" s="1"/>
  <c r="AE64" i="34" s="1"/>
  <c r="CM44" i="34"/>
  <c r="CM31" i="34"/>
  <c r="CM20" i="34"/>
  <c r="CM30" i="34"/>
  <c r="CM22" i="34"/>
  <c r="AG57" i="34"/>
  <c r="CM41" i="34"/>
  <c r="CM34" i="34"/>
  <c r="CM36" i="34"/>
  <c r="CM21" i="34"/>
  <c r="CM19" i="34"/>
  <c r="CM26" i="34"/>
  <c r="CM12" i="34"/>
  <c r="AB57" i="34"/>
  <c r="AB59" i="34" s="1"/>
  <c r="AB64" i="34" s="1"/>
  <c r="BF61" i="34"/>
  <c r="CM55" i="34"/>
  <c r="CM53" i="34"/>
  <c r="CM51" i="34"/>
  <c r="CM40" i="34"/>
  <c r="CM56" i="34"/>
  <c r="CM54" i="34"/>
  <c r="CM52" i="34"/>
  <c r="CM50" i="34"/>
  <c r="CM37" i="34"/>
  <c r="CM29" i="34"/>
  <c r="CM35" i="34"/>
  <c r="CM33" i="34"/>
  <c r="CM25" i="34"/>
  <c r="CM45" i="34"/>
  <c r="CM24" i="34"/>
  <c r="CM18" i="34"/>
  <c r="CM10" i="34"/>
  <c r="CM17" i="34"/>
  <c r="CM9" i="34"/>
  <c r="CM16" i="34"/>
  <c r="CM8" i="34"/>
  <c r="CM32" i="34"/>
  <c r="CM15" i="34"/>
  <c r="CM5" i="34"/>
  <c r="S57" i="34"/>
  <c r="CM11" i="34"/>
  <c r="BF57" i="34"/>
  <c r="CM23" i="34"/>
  <c r="CM7" i="34"/>
  <c r="CM6" i="34"/>
  <c r="CM13" i="34"/>
  <c r="AC45" i="39" l="1"/>
  <c r="AF45" i="39" s="1"/>
  <c r="AH16" i="39"/>
  <c r="AC16" i="39"/>
  <c r="AC18" i="43"/>
  <c r="AF18" i="43" s="1"/>
  <c r="AH32" i="43"/>
  <c r="AH37" i="43"/>
  <c r="AJ37" i="43" s="1"/>
  <c r="Z40" i="41" s="1"/>
  <c r="S43" i="44" s="1"/>
  <c r="AH18" i="43"/>
  <c r="AJ18" i="43" s="1"/>
  <c r="Z21" i="41" s="1"/>
  <c r="S22" i="44" s="1"/>
  <c r="AK32" i="43"/>
  <c r="AC35" i="43"/>
  <c r="AK36" i="43"/>
  <c r="AC10" i="43"/>
  <c r="AF10" i="43" s="1"/>
  <c r="AK37" i="43"/>
  <c r="AH14" i="43"/>
  <c r="AJ14" i="43" s="1"/>
  <c r="Z17" i="41" s="1"/>
  <c r="S24" i="44" s="1"/>
  <c r="AK40" i="43"/>
  <c r="AK14" i="43"/>
  <c r="AH36" i="43"/>
  <c r="AJ36" i="43" s="1"/>
  <c r="Z39" i="41" s="1"/>
  <c r="S10" i="44" s="1"/>
  <c r="AH15" i="39"/>
  <c r="AJ15" i="39" s="1"/>
  <c r="K28" i="44" s="1"/>
  <c r="AH27" i="43"/>
  <c r="AJ27" i="43" s="1"/>
  <c r="Z30" i="41" s="1"/>
  <c r="S39" i="44" s="1"/>
  <c r="AH30" i="39"/>
  <c r="AJ30" i="39" s="1"/>
  <c r="K41" i="44" s="1"/>
  <c r="AC8" i="39"/>
  <c r="AK27" i="43"/>
  <c r="AH8" i="39"/>
  <c r="AK25" i="39"/>
  <c r="W28" i="41" s="1"/>
  <c r="AK26" i="43"/>
  <c r="AH10" i="43"/>
  <c r="AJ10" i="43" s="1"/>
  <c r="Z13" i="41" s="1"/>
  <c r="S6" i="44" s="1"/>
  <c r="AC26" i="43"/>
  <c r="AF26" i="43" s="1"/>
  <c r="AC25" i="39"/>
  <c r="AF25" i="39" s="1"/>
  <c r="AH11" i="43"/>
  <c r="AE11" i="43" s="1"/>
  <c r="AJ11" i="43" s="1"/>
  <c r="Z14" i="41" s="1"/>
  <c r="S34" i="44" s="1"/>
  <c r="AK11" i="43"/>
  <c r="AK23" i="39"/>
  <c r="W26" i="41" s="1"/>
  <c r="Y26" i="41" s="1"/>
  <c r="R37" i="44" s="1"/>
  <c r="AC23" i="43"/>
  <c r="AH26" i="39"/>
  <c r="AJ26" i="39" s="1"/>
  <c r="K30" i="44" s="1"/>
  <c r="AH19" i="43"/>
  <c r="AE19" i="43" s="1"/>
  <c r="AJ19" i="43" s="1"/>
  <c r="Z22" i="41" s="1"/>
  <c r="S12" i="44" s="1"/>
  <c r="AH13" i="39"/>
  <c r="AJ13" i="39" s="1"/>
  <c r="K35" i="44" s="1"/>
  <c r="AH23" i="39"/>
  <c r="AH23" i="43"/>
  <c r="AE23" i="43" s="1"/>
  <c r="AK26" i="39"/>
  <c r="AC39" i="43"/>
  <c r="AF39" i="43" s="1"/>
  <c r="AC19" i="43"/>
  <c r="AC13" i="39"/>
  <c r="AF13" i="39" s="1"/>
  <c r="AK9" i="43"/>
  <c r="AK33" i="39"/>
  <c r="W36" i="41" s="1"/>
  <c r="AH17" i="43"/>
  <c r="AJ17" i="43" s="1"/>
  <c r="Z20" i="41" s="1"/>
  <c r="S29" i="44" s="1"/>
  <c r="AC9" i="43"/>
  <c r="AC17" i="43"/>
  <c r="AF17" i="43" s="1"/>
  <c r="AC40" i="43"/>
  <c r="AH28" i="43"/>
  <c r="AK6" i="43"/>
  <c r="AK7" i="43"/>
  <c r="AC6" i="43"/>
  <c r="AC28" i="43"/>
  <c r="AC7" i="43"/>
  <c r="AF7" i="43" s="1"/>
  <c r="AH12" i="43"/>
  <c r="AC12" i="43"/>
  <c r="AK15" i="43"/>
  <c r="AC41" i="43"/>
  <c r="AF41" i="43" s="1"/>
  <c r="AH41" i="39"/>
  <c r="AJ41" i="39" s="1"/>
  <c r="K45" i="44" s="1"/>
  <c r="AH16" i="43"/>
  <c r="AE16" i="43" s="1"/>
  <c r="AJ16" i="43" s="1"/>
  <c r="Z19" i="41" s="1"/>
  <c r="S19" i="44" s="1"/>
  <c r="AK16" i="43"/>
  <c r="AH20" i="43"/>
  <c r="AJ20" i="43" s="1"/>
  <c r="Z23" i="41" s="1"/>
  <c r="S9" i="44" s="1"/>
  <c r="AC20" i="43"/>
  <c r="AF20" i="43" s="1"/>
  <c r="AC33" i="43"/>
  <c r="AC15" i="43"/>
  <c r="AF15" i="43" s="1"/>
  <c r="AK39" i="43"/>
  <c r="AK44" i="43"/>
  <c r="AH29" i="43"/>
  <c r="AE29" i="43" s="1"/>
  <c r="AC29" i="43"/>
  <c r="AH22" i="43"/>
  <c r="AJ22" i="43" s="1"/>
  <c r="Z25" i="41" s="1"/>
  <c r="S36" i="44" s="1"/>
  <c r="AK22" i="43"/>
  <c r="AC4" i="39"/>
  <c r="AF4" i="39" s="1"/>
  <c r="AK20" i="39"/>
  <c r="AC29" i="39"/>
  <c r="AH45" i="39"/>
  <c r="AJ45" i="39" s="1"/>
  <c r="K47" i="44" s="1"/>
  <c r="AC24" i="39"/>
  <c r="AF24" i="39" s="1"/>
  <c r="AK29" i="39"/>
  <c r="W32" i="41" s="1"/>
  <c r="Y32" i="41" s="1"/>
  <c r="R25" i="44" s="1"/>
  <c r="AH24" i="39"/>
  <c r="AJ24" i="39" s="1"/>
  <c r="K38" i="44" s="1"/>
  <c r="AH20" i="39"/>
  <c r="AJ20" i="39" s="1"/>
  <c r="K9" i="44" s="1"/>
  <c r="AH35" i="39"/>
  <c r="AC18" i="39"/>
  <c r="AF18" i="39" s="1"/>
  <c r="AH18" i="39"/>
  <c r="AJ18" i="39" s="1"/>
  <c r="K22" i="44" s="1"/>
  <c r="AK35" i="39"/>
  <c r="W38" i="41" s="1"/>
  <c r="Y38" i="41" s="1"/>
  <c r="R8" i="44" s="1"/>
  <c r="AH22" i="39"/>
  <c r="AJ22" i="39" s="1"/>
  <c r="K36" i="44" s="1"/>
  <c r="AH37" i="39"/>
  <c r="AJ37" i="39" s="1"/>
  <c r="K43" i="44" s="1"/>
  <c r="AK22" i="39"/>
  <c r="W25" i="41" s="1"/>
  <c r="AC17" i="39"/>
  <c r="AF17" i="39" s="1"/>
  <c r="AK44" i="39"/>
  <c r="W47" i="41" s="1"/>
  <c r="Y47" i="41" s="1"/>
  <c r="R46" i="44" s="1"/>
  <c r="AC37" i="39"/>
  <c r="AF37" i="39" s="1"/>
  <c r="AK28" i="39"/>
  <c r="W31" i="41" s="1"/>
  <c r="Y31" i="41" s="1"/>
  <c r="R40" i="44" s="1"/>
  <c r="AH19" i="39"/>
  <c r="AK19" i="39"/>
  <c r="W22" i="41" s="1"/>
  <c r="Y22" i="41" s="1"/>
  <c r="R12" i="44" s="1"/>
  <c r="AC21" i="39"/>
  <c r="AH21" i="39"/>
  <c r="AC30" i="39"/>
  <c r="AF30" i="39" s="1"/>
  <c r="AH44" i="39"/>
  <c r="AH12" i="39"/>
  <c r="AH17" i="39"/>
  <c r="AJ17" i="39" s="1"/>
  <c r="K29" i="44" s="1"/>
  <c r="AK39" i="39"/>
  <c r="W42" i="41" s="1"/>
  <c r="AC11" i="39"/>
  <c r="AC12" i="39"/>
  <c r="AH4" i="39"/>
  <c r="AJ4" i="39" s="1"/>
  <c r="K23" i="44" s="1"/>
  <c r="AK41" i="39"/>
  <c r="AG44" i="37" s="1"/>
  <c r="AH31" i="39"/>
  <c r="AH40" i="39"/>
  <c r="AH34" i="39"/>
  <c r="AJ34" i="39" s="1"/>
  <c r="K31" i="44" s="1"/>
  <c r="AK7" i="39"/>
  <c r="W10" i="41" s="1"/>
  <c r="AK14" i="39"/>
  <c r="W17" i="41" s="1"/>
  <c r="AC38" i="39"/>
  <c r="AC10" i="39"/>
  <c r="AF10" i="39" s="1"/>
  <c r="AS13" i="37" s="1"/>
  <c r="AK9" i="39"/>
  <c r="W12" i="41" s="1"/>
  <c r="Y12" i="41" s="1"/>
  <c r="R7" i="44" s="1"/>
  <c r="AC15" i="39"/>
  <c r="AF15" i="39" s="1"/>
  <c r="AH14" i="39"/>
  <c r="AJ14" i="39" s="1"/>
  <c r="K24" i="44" s="1"/>
  <c r="AH39" i="39"/>
  <c r="AJ39" i="39" s="1"/>
  <c r="K32" i="44" s="1"/>
  <c r="AH5" i="39"/>
  <c r="AJ5" i="39" s="1"/>
  <c r="K21" i="44" s="1"/>
  <c r="AH28" i="39"/>
  <c r="AC31" i="39"/>
  <c r="AE44" i="43"/>
  <c r="AJ44" i="43" s="1"/>
  <c r="Z47" i="41" s="1"/>
  <c r="S46" i="44" s="1"/>
  <c r="AC7" i="39"/>
  <c r="AF7" i="39" s="1"/>
  <c r="AE8" i="43"/>
  <c r="AJ8" i="43" s="1"/>
  <c r="Z11" i="41" s="1"/>
  <c r="S16" i="44" s="1"/>
  <c r="AE28" i="43"/>
  <c r="AJ28" i="43" s="1"/>
  <c r="Z31" i="41" s="1"/>
  <c r="S40" i="44" s="1"/>
  <c r="AK10" i="39"/>
  <c r="W13" i="41" s="1"/>
  <c r="AH11" i="39"/>
  <c r="AE35" i="43"/>
  <c r="AJ35" i="43" s="1"/>
  <c r="Z38" i="41" s="1"/>
  <c r="S8" i="44" s="1"/>
  <c r="AE33" i="43"/>
  <c r="AE12" i="43"/>
  <c r="AE6" i="43"/>
  <c r="AK43" i="39"/>
  <c r="W46" i="41" s="1"/>
  <c r="AE40" i="43"/>
  <c r="AK27" i="39"/>
  <c r="AK36" i="39"/>
  <c r="AG39" i="37" s="1"/>
  <c r="AE9" i="43"/>
  <c r="AE21" i="43"/>
  <c r="AJ21" i="43" s="1"/>
  <c r="Z24" i="41" s="1"/>
  <c r="S11" i="44" s="1"/>
  <c r="AE31" i="43"/>
  <c r="AJ31" i="43" s="1"/>
  <c r="Z34" i="41" s="1"/>
  <c r="S42" i="44" s="1"/>
  <c r="AC43" i="39"/>
  <c r="AF43" i="39" s="1"/>
  <c r="AC42" i="39"/>
  <c r="AE42" i="43"/>
  <c r="AF42" i="43" s="1"/>
  <c r="AE32" i="43"/>
  <c r="AF32" i="43" s="1"/>
  <c r="AH27" i="39"/>
  <c r="AJ27" i="39" s="1"/>
  <c r="K39" i="44" s="1"/>
  <c r="AC36" i="39"/>
  <c r="AF36" i="39" s="1"/>
  <c r="AC9" i="39"/>
  <c r="AE38" i="43"/>
  <c r="AJ38" i="43" s="1"/>
  <c r="Z41" i="41" s="1"/>
  <c r="S20" i="44" s="1"/>
  <c r="AK34" i="39"/>
  <c r="W37" i="41" s="1"/>
  <c r="AC5" i="39"/>
  <c r="AF5" i="39" s="1"/>
  <c r="AH38" i="39"/>
  <c r="AK6" i="39"/>
  <c r="W9" i="41" s="1"/>
  <c r="Y9" i="41" s="1"/>
  <c r="R18" i="44" s="1"/>
  <c r="AH6" i="39"/>
  <c r="AE6" i="39" s="1"/>
  <c r="AK42" i="39"/>
  <c r="W45" i="41" s="1"/>
  <c r="Y45" i="41" s="1"/>
  <c r="R14" i="44" s="1"/>
  <c r="AJ10" i="39"/>
  <c r="K6" i="44" s="1"/>
  <c r="AG25" i="37"/>
  <c r="AG28" i="37"/>
  <c r="AG48" i="37"/>
  <c r="W48" i="41"/>
  <c r="AG20" i="37"/>
  <c r="W20" i="41"/>
  <c r="AG10" i="37"/>
  <c r="Y15" i="41"/>
  <c r="R15" i="44" s="1"/>
  <c r="AG16" i="37"/>
  <c r="W16" i="41"/>
  <c r="W27" i="41"/>
  <c r="AG27" i="37"/>
  <c r="Y34" i="41"/>
  <c r="R42" i="44" s="1"/>
  <c r="AG40" i="37"/>
  <c r="W40" i="41"/>
  <c r="AG21" i="37"/>
  <c r="W21" i="41"/>
  <c r="W8" i="41"/>
  <c r="Y36" i="41"/>
  <c r="R26" i="44" s="1"/>
  <c r="AG23" i="37"/>
  <c r="W23" i="41"/>
  <c r="Y35" i="41"/>
  <c r="R13" i="44" s="1"/>
  <c r="AG18" i="37"/>
  <c r="W18" i="41"/>
  <c r="AG37" i="37"/>
  <c r="Y14" i="41"/>
  <c r="R34" i="44" s="1"/>
  <c r="Y43" i="41"/>
  <c r="R44" i="44" s="1"/>
  <c r="Y24" i="41"/>
  <c r="R11" i="44" s="1"/>
  <c r="W7" i="41"/>
  <c r="AG7" i="37"/>
  <c r="Y11" i="41"/>
  <c r="R16" i="44" s="1"/>
  <c r="Y19" i="41"/>
  <c r="R19" i="44" s="1"/>
  <c r="W29" i="41"/>
  <c r="AG29" i="37"/>
  <c r="W33" i="41"/>
  <c r="AG33" i="37"/>
  <c r="Y41" i="41"/>
  <c r="R20" i="44" s="1"/>
  <c r="AE72" i="34"/>
  <c r="AF23" i="43" l="1"/>
  <c r="AF9" i="43"/>
  <c r="AF12" i="43"/>
  <c r="AF33" i="43"/>
  <c r="AF40" i="43"/>
  <c r="AF6" i="43"/>
  <c r="AF29" i="43"/>
  <c r="AF19" i="43"/>
  <c r="AF31" i="43"/>
  <c r="AG8" i="37"/>
  <c r="AF28" i="43"/>
  <c r="AG42" i="37"/>
  <c r="AF35" i="43"/>
  <c r="AJ23" i="43"/>
  <c r="Z26" i="41" s="1"/>
  <c r="S37" i="44" s="1"/>
  <c r="AF8" i="43"/>
  <c r="W44" i="41"/>
  <c r="AD44" i="41" s="1"/>
  <c r="AG46" i="37"/>
  <c r="AG17" i="37"/>
  <c r="AG30" i="37"/>
  <c r="AJ42" i="43"/>
  <c r="Z45" i="41" s="1"/>
  <c r="S14" i="44" s="1"/>
  <c r="AF21" i="43"/>
  <c r="AF11" i="43"/>
  <c r="AJ12" i="43"/>
  <c r="Z15" i="41" s="1"/>
  <c r="S15" i="44" s="1"/>
  <c r="AF16" i="43"/>
  <c r="AF38" i="43"/>
  <c r="AJ9" i="43"/>
  <c r="Z12" i="41" s="1"/>
  <c r="S7" i="44" s="1"/>
  <c r="AJ6" i="43"/>
  <c r="Z9" i="41" s="1"/>
  <c r="S18" i="44" s="1"/>
  <c r="AJ33" i="43"/>
  <c r="Z36" i="41" s="1"/>
  <c r="S26" i="44" s="1"/>
  <c r="AF44" i="43"/>
  <c r="W39" i="41"/>
  <c r="W57" i="41" s="1"/>
  <c r="AJ29" i="43"/>
  <c r="Z32" i="41" s="1"/>
  <c r="S25" i="44" s="1"/>
  <c r="W30" i="41"/>
  <c r="AD30" i="41" s="1"/>
  <c r="AJ32" i="43"/>
  <c r="Z35" i="41" s="1"/>
  <c r="S13" i="44" s="1"/>
  <c r="AJ40" i="43"/>
  <c r="Z43" i="41" s="1"/>
  <c r="S44" i="44" s="1"/>
  <c r="W54" i="41"/>
  <c r="Y29" i="37"/>
  <c r="J30" i="44" s="1"/>
  <c r="Y29" i="41"/>
  <c r="R30" i="44" s="1"/>
  <c r="AD29" i="41"/>
  <c r="Y7" i="41"/>
  <c r="R23" i="44" s="1"/>
  <c r="W52" i="41"/>
  <c r="AD7" i="41"/>
  <c r="Y30" i="37"/>
  <c r="J39" i="44" s="1"/>
  <c r="Y16" i="37"/>
  <c r="J35" i="44" s="1"/>
  <c r="Y20" i="37"/>
  <c r="J29" i="44" s="1"/>
  <c r="Y42" i="37"/>
  <c r="J32" i="44" s="1"/>
  <c r="AD48" i="41"/>
  <c r="Y48" i="41"/>
  <c r="R47" i="44" s="1"/>
  <c r="Y20" i="41"/>
  <c r="R29" i="44" s="1"/>
  <c r="AD20" i="41"/>
  <c r="Y46" i="37"/>
  <c r="J27" i="44" s="1"/>
  <c r="AD46" i="41"/>
  <c r="Y46" i="41"/>
  <c r="R27" i="44" s="1"/>
  <c r="AD23" i="41"/>
  <c r="Y23" i="41"/>
  <c r="R9" i="44" s="1"/>
  <c r="Y44" i="37"/>
  <c r="J45" i="44" s="1"/>
  <c r="Y42" i="41"/>
  <c r="R32" i="44" s="1"/>
  <c r="AD42" i="41"/>
  <c r="Y48" i="37"/>
  <c r="J47" i="44" s="1"/>
  <c r="Y33" i="37"/>
  <c r="J41" i="44" s="1"/>
  <c r="Y37" i="41"/>
  <c r="R31" i="44" s="1"/>
  <c r="AD37" i="41"/>
  <c r="Y23" i="37"/>
  <c r="J9" i="44" s="1"/>
  <c r="Y8" i="37"/>
  <c r="J21" i="44" s="1"/>
  <c r="Y21" i="41"/>
  <c r="R22" i="44" s="1"/>
  <c r="AD21" i="41"/>
  <c r="Y10" i="41"/>
  <c r="R33" i="44" s="1"/>
  <c r="AD10" i="41"/>
  <c r="Y33" i="41"/>
  <c r="R41" i="44" s="1"/>
  <c r="AD33" i="41"/>
  <c r="W53" i="41"/>
  <c r="Y13" i="41"/>
  <c r="R6" i="44" s="1"/>
  <c r="AD13" i="41"/>
  <c r="Y37" i="37"/>
  <c r="J31" i="44" s="1"/>
  <c r="AD18" i="41"/>
  <c r="Y18" i="41"/>
  <c r="R28" i="44" s="1"/>
  <c r="Y8" i="41"/>
  <c r="R21" i="44" s="1"/>
  <c r="AD8" i="41"/>
  <c r="Y21" i="37"/>
  <c r="J22" i="44" s="1"/>
  <c r="Y10" i="37"/>
  <c r="J33" i="44" s="1"/>
  <c r="Y18" i="37"/>
  <c r="J28" i="44" s="1"/>
  <c r="Y39" i="37"/>
  <c r="J10" i="44" s="1"/>
  <c r="Y40" i="41"/>
  <c r="R43" i="44" s="1"/>
  <c r="AD40" i="41"/>
  <c r="Y27" i="37"/>
  <c r="J38" i="44" s="1"/>
  <c r="Y17" i="37"/>
  <c r="J24" i="44" s="1"/>
  <c r="AD28" i="41"/>
  <c r="Y28" i="41"/>
  <c r="R17" i="44" s="1"/>
  <c r="Y25" i="37"/>
  <c r="J36" i="44" s="1"/>
  <c r="Y7" i="37"/>
  <c r="Y16" i="41"/>
  <c r="R35" i="44" s="1"/>
  <c r="AD16" i="41"/>
  <c r="W56" i="41"/>
  <c r="Y40" i="37"/>
  <c r="J43" i="44" s="1"/>
  <c r="Y27" i="41"/>
  <c r="R38" i="44" s="1"/>
  <c r="AD27" i="41"/>
  <c r="Y17" i="41"/>
  <c r="R24" i="44" s="1"/>
  <c r="AD17" i="41"/>
  <c r="Y28" i="37"/>
  <c r="J17" i="44" s="1"/>
  <c r="AD25" i="41"/>
  <c r="Y25" i="41"/>
  <c r="R36" i="44" s="1"/>
  <c r="Y30" i="41" l="1"/>
  <c r="R39" i="44" s="1"/>
  <c r="W55" i="41"/>
  <c r="W58" i="41"/>
  <c r="Y44" i="41"/>
  <c r="R45" i="44" s="1"/>
  <c r="J23" i="44"/>
  <c r="Y39" i="41"/>
  <c r="R10" i="44" s="1"/>
  <c r="Y13" i="37"/>
  <c r="J6" i="44" s="1"/>
  <c r="AG13" i="37"/>
  <c r="S60" i="44"/>
  <c r="AF49" i="43"/>
  <c r="W61" i="41"/>
  <c r="W65" i="37" s="1"/>
  <c r="AD39" i="41"/>
  <c r="AX39" i="41" s="1"/>
  <c r="AT39" i="41" s="1"/>
  <c r="AX23" i="41"/>
  <c r="AT23" i="41" s="1"/>
  <c r="AX28" i="41"/>
  <c r="AT28" i="41" s="1"/>
  <c r="AX44" i="41"/>
  <c r="AT44" i="41" s="1"/>
  <c r="AX33" i="41"/>
  <c r="AT33" i="41" s="1"/>
  <c r="AX21" i="41"/>
  <c r="AT21" i="41" s="1"/>
  <c r="AX25" i="41"/>
  <c r="AT25" i="41" s="1"/>
  <c r="AX27" i="41"/>
  <c r="AT27" i="41" s="1"/>
  <c r="AX8" i="41"/>
  <c r="AT8" i="41" s="1"/>
  <c r="AX20" i="41"/>
  <c r="AT20" i="41" s="1"/>
  <c r="AX17" i="41"/>
  <c r="AT17" i="41" s="1"/>
  <c r="AX16" i="41"/>
  <c r="AT16" i="41" s="1"/>
  <c r="AX48" i="41"/>
  <c r="AT48" i="41" s="1"/>
  <c r="AX40" i="41"/>
  <c r="AT40" i="41" s="1"/>
  <c r="AX30" i="41"/>
  <c r="AT30" i="41" s="1"/>
  <c r="AX37" i="41"/>
  <c r="AT37" i="41" s="1"/>
  <c r="AX13" i="41"/>
  <c r="AT13" i="41" s="1"/>
  <c r="AX10" i="41"/>
  <c r="AT10" i="41" s="1"/>
  <c r="AX46" i="41"/>
  <c r="AT46" i="41" s="1"/>
  <c r="AX42" i="41"/>
  <c r="AT42" i="41" s="1"/>
  <c r="AX7" i="41"/>
  <c r="AT7" i="41" s="1"/>
  <c r="AX29" i="41"/>
  <c r="AT29" i="41" s="1"/>
  <c r="AX18" i="41"/>
  <c r="AT18" i="41" s="1"/>
  <c r="W59" i="41" l="1"/>
  <c r="Y61" i="41"/>
  <c r="Y65" i="37" s="1"/>
  <c r="R60" i="44"/>
  <c r="M96" i="29" l="1"/>
  <c r="L96" i="29"/>
  <c r="N89" i="29" l="1"/>
  <c r="O89" i="29" s="1"/>
  <c r="P89" i="29" s="1"/>
  <c r="N88" i="29"/>
  <c r="O88" i="29" s="1"/>
  <c r="P88" i="29" s="1"/>
  <c r="N87" i="29"/>
  <c r="O87" i="29" s="1"/>
  <c r="P87" i="29" s="1"/>
  <c r="P90" i="29" l="1"/>
  <c r="V235" i="31" l="1"/>
  <c r="U235" i="31"/>
  <c r="T235" i="31"/>
  <c r="W235" i="31" s="1"/>
  <c r="V234" i="31"/>
  <c r="U234" i="31"/>
  <c r="T234" i="31"/>
  <c r="W234" i="31" s="1"/>
  <c r="V233" i="31"/>
  <c r="U233" i="31"/>
  <c r="T233" i="31"/>
  <c r="W233" i="31" s="1"/>
  <c r="V232" i="31"/>
  <c r="V236" i="31" s="1"/>
  <c r="U232" i="31"/>
  <c r="U236" i="31" s="1"/>
  <c r="T232" i="31"/>
  <c r="W232" i="31" s="1"/>
  <c r="Q235" i="31"/>
  <c r="P235" i="31"/>
  <c r="R235" i="31" s="1"/>
  <c r="Q234" i="31"/>
  <c r="R234" i="31" s="1"/>
  <c r="P234" i="31"/>
  <c r="Q233" i="31"/>
  <c r="P233" i="31"/>
  <c r="R233" i="31" s="1"/>
  <c r="Q232" i="31"/>
  <c r="Q236" i="31" s="1"/>
  <c r="P232" i="31"/>
  <c r="R232" i="31" s="1"/>
  <c r="Q4" i="31"/>
  <c r="Q5" i="31"/>
  <c r="Q6" i="31"/>
  <c r="Q7" i="31"/>
  <c r="Q8"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3" i="31"/>
  <c r="T236" i="31" l="1"/>
  <c r="W236" i="31" s="1"/>
  <c r="P236" i="31"/>
  <c r="R236" i="31" s="1"/>
  <c r="AC8" i="30" l="1"/>
  <c r="AC9" i="30"/>
  <c r="AC10" i="30"/>
  <c r="AC11" i="30"/>
  <c r="AC12" i="30"/>
  <c r="AC13" i="30"/>
  <c r="AC14" i="30"/>
  <c r="AC15" i="30"/>
  <c r="AC16" i="30"/>
  <c r="AC17" i="30"/>
  <c r="AC18" i="30"/>
  <c r="AC19" i="30"/>
  <c r="AC20" i="30"/>
  <c r="AC21" i="30"/>
  <c r="AC22" i="30"/>
  <c r="AC23" i="30"/>
  <c r="AC24" i="30"/>
  <c r="AC25" i="30"/>
  <c r="AC26" i="30"/>
  <c r="AC27" i="30"/>
  <c r="AC28" i="30"/>
  <c r="AC29" i="30"/>
  <c r="AC30" i="30"/>
  <c r="AC31" i="30"/>
  <c r="AC32" i="30"/>
  <c r="AC33" i="30"/>
  <c r="AC34" i="30"/>
  <c r="AC35" i="30"/>
  <c r="AC36" i="30"/>
  <c r="AC37" i="30"/>
  <c r="AC38" i="30"/>
  <c r="AC39" i="30"/>
  <c r="AC40" i="30"/>
  <c r="AC41" i="30"/>
  <c r="AC42" i="30"/>
  <c r="AC43" i="30"/>
  <c r="AC44" i="30"/>
  <c r="AC45" i="30"/>
  <c r="AC46" i="30"/>
  <c r="AC47" i="30"/>
  <c r="AC48" i="30"/>
  <c r="AC7" i="30"/>
  <c r="F1" i="31"/>
  <c r="G1" i="31"/>
  <c r="H1" i="31"/>
  <c r="I1" i="31"/>
  <c r="J1" i="31"/>
  <c r="K1" i="31"/>
  <c r="L1" i="31"/>
  <c r="M1" i="31"/>
  <c r="N1" i="31"/>
  <c r="O1" i="31"/>
  <c r="AC50" i="30" l="1"/>
  <c r="Q226" i="31"/>
  <c r="Q224" i="31"/>
  <c r="Q225" i="31"/>
  <c r="Q227" i="31"/>
  <c r="Q216" i="31"/>
  <c r="J53" i="29" s="1"/>
  <c r="Q218" i="31"/>
  <c r="J56" i="29" s="1"/>
  <c r="Q219" i="31"/>
  <c r="J57" i="29" s="1"/>
  <c r="Q220" i="31"/>
  <c r="J58" i="29" s="1"/>
  <c r="Q215" i="31"/>
  <c r="J52" i="29" s="1"/>
  <c r="Q1" i="31"/>
  <c r="Q228" i="31" l="1"/>
  <c r="J54" i="29"/>
  <c r="N23" i="29"/>
  <c r="O23" i="29"/>
  <c r="P23" i="29"/>
  <c r="F64" i="29"/>
  <c r="F38" i="29"/>
  <c r="F4" i="29"/>
  <c r="F56" i="29"/>
  <c r="E17" i="29"/>
  <c r="P52" i="30"/>
  <c r="BE50" i="30"/>
  <c r="AN50" i="30"/>
  <c r="AH50" i="30"/>
  <c r="AF50" i="30"/>
  <c r="AE50" i="30"/>
  <c r="AB50" i="30"/>
  <c r="Z50" i="30"/>
  <c r="Y50" i="30"/>
  <c r="W50" i="30"/>
  <c r="V50" i="30"/>
  <c r="U50" i="30"/>
  <c r="T50" i="30"/>
  <c r="S50" i="30"/>
  <c r="P50" i="30"/>
  <c r="O50" i="30"/>
  <c r="O53" i="30" s="1"/>
  <c r="N50" i="30"/>
  <c r="L50" i="30"/>
  <c r="K50" i="30"/>
  <c r="BK48" i="30"/>
  <c r="BG48" i="30"/>
  <c r="AX48" i="30"/>
  <c r="AW48" i="30"/>
  <c r="AT48" i="30"/>
  <c r="AO48" i="30"/>
  <c r="BA48" i="30" s="1"/>
  <c r="AZ48" i="30"/>
  <c r="X48" i="30"/>
  <c r="BK47" i="30"/>
  <c r="BG47" i="30"/>
  <c r="AX47" i="30"/>
  <c r="AW47" i="30"/>
  <c r="AT47" i="30"/>
  <c r="AO47" i="30"/>
  <c r="BA47" i="30" s="1"/>
  <c r="AZ47" i="30"/>
  <c r="X47" i="30"/>
  <c r="BK46" i="30"/>
  <c r="BG46" i="30"/>
  <c r="AX46" i="30"/>
  <c r="AW46" i="30"/>
  <c r="AT46" i="30"/>
  <c r="AO46" i="30"/>
  <c r="BA46" i="30" s="1"/>
  <c r="AZ46" i="30"/>
  <c r="X46" i="30"/>
  <c r="BG45" i="30"/>
  <c r="AX45" i="30"/>
  <c r="AW45" i="30"/>
  <c r="AT45" i="30"/>
  <c r="AO45" i="30"/>
  <c r="BA45" i="30" s="1"/>
  <c r="AZ45" i="30"/>
  <c r="X45" i="30"/>
  <c r="BK44" i="30"/>
  <c r="BG44" i="30"/>
  <c r="BA44" i="30"/>
  <c r="AZ44" i="30"/>
  <c r="AX44" i="30"/>
  <c r="AW44" i="30"/>
  <c r="AT44" i="30"/>
  <c r="AO44" i="30"/>
  <c r="X44" i="30"/>
  <c r="BG43" i="30"/>
  <c r="AX43" i="30"/>
  <c r="AW43" i="30"/>
  <c r="AT43" i="30"/>
  <c r="AO43" i="30"/>
  <c r="BA43" i="30" s="1"/>
  <c r="AZ43" i="30"/>
  <c r="X43" i="30"/>
  <c r="BK42" i="30"/>
  <c r="BG42" i="30"/>
  <c r="AZ42" i="30"/>
  <c r="AX42" i="30"/>
  <c r="AW42" i="30"/>
  <c r="AT42" i="30"/>
  <c r="AO42" i="30"/>
  <c r="BA42" i="30" s="1"/>
  <c r="X42" i="30"/>
  <c r="BK41" i="30"/>
  <c r="BG41" i="30"/>
  <c r="AZ41" i="30"/>
  <c r="AX41" i="30"/>
  <c r="AY41" i="30" s="1"/>
  <c r="AW41" i="30"/>
  <c r="BJ41" i="30" s="1"/>
  <c r="AT41" i="30"/>
  <c r="AO41" i="30"/>
  <c r="BA41" i="30" s="1"/>
  <c r="X41" i="30"/>
  <c r="BJ40" i="30"/>
  <c r="BG40" i="30"/>
  <c r="AZ40" i="30"/>
  <c r="AT40" i="30"/>
  <c r="AO40" i="30"/>
  <c r="BA40" i="30" s="1"/>
  <c r="AI40" i="30"/>
  <c r="AG40" i="30"/>
  <c r="AX40" i="30" s="1"/>
  <c r="AY40" i="30" s="1"/>
  <c r="X40" i="30"/>
  <c r="BG39" i="30"/>
  <c r="AX39" i="30"/>
  <c r="AW39" i="30"/>
  <c r="AT39" i="30"/>
  <c r="AO39" i="30"/>
  <c r="BA39" i="30" s="1"/>
  <c r="AZ39" i="30"/>
  <c r="X39" i="30"/>
  <c r="BJ38" i="30"/>
  <c r="BG38" i="30"/>
  <c r="AX38" i="30"/>
  <c r="AY38" i="30" s="1"/>
  <c r="AT38" i="30"/>
  <c r="AO38" i="30"/>
  <c r="BA38" i="30" s="1"/>
  <c r="AZ38" i="30"/>
  <c r="X38" i="30"/>
  <c r="BJ37" i="30"/>
  <c r="BG37" i="30"/>
  <c r="AZ37" i="30"/>
  <c r="AX37" i="30"/>
  <c r="AY37" i="30" s="1"/>
  <c r="AT37" i="30"/>
  <c r="AO37" i="30"/>
  <c r="BA37" i="30" s="1"/>
  <c r="X37" i="30"/>
  <c r="BG36" i="30"/>
  <c r="AZ36" i="30"/>
  <c r="AX36" i="30"/>
  <c r="AT36" i="30"/>
  <c r="AW36" i="30" s="1"/>
  <c r="AO36" i="30"/>
  <c r="BA36" i="30" s="1"/>
  <c r="X36" i="30"/>
  <c r="BG35" i="30"/>
  <c r="AZ35" i="30"/>
  <c r="AX35" i="30"/>
  <c r="AW35" i="30"/>
  <c r="AT35" i="30"/>
  <c r="AO35" i="30"/>
  <c r="BA35" i="30" s="1"/>
  <c r="X35" i="30"/>
  <c r="BJ34" i="30"/>
  <c r="BG34" i="30"/>
  <c r="AX34" i="30"/>
  <c r="AY34" i="30" s="1"/>
  <c r="AT34" i="30"/>
  <c r="AO34" i="30"/>
  <c r="BA34" i="30" s="1"/>
  <c r="AZ34" i="30"/>
  <c r="X34" i="30"/>
  <c r="BG33" i="30"/>
  <c r="AZ33" i="30"/>
  <c r="AX33" i="30"/>
  <c r="AW33" i="30"/>
  <c r="AT33" i="30"/>
  <c r="AO33" i="30"/>
  <c r="BA33" i="30" s="1"/>
  <c r="X33" i="30"/>
  <c r="BG32" i="30"/>
  <c r="AZ32" i="30"/>
  <c r="AX32" i="30"/>
  <c r="AW32" i="30"/>
  <c r="AT32" i="30"/>
  <c r="AO32" i="30"/>
  <c r="BA32" i="30" s="1"/>
  <c r="X32" i="30"/>
  <c r="BJ31" i="30"/>
  <c r="BG31" i="30"/>
  <c r="AT31" i="30"/>
  <c r="AO31" i="30"/>
  <c r="BA31" i="30" s="1"/>
  <c r="AZ31" i="30"/>
  <c r="AI31" i="30"/>
  <c r="AG31" i="30"/>
  <c r="AX31" i="30" s="1"/>
  <c r="X31" i="30"/>
  <c r="BJ30" i="30"/>
  <c r="BG30" i="30"/>
  <c r="AT30" i="30"/>
  <c r="AO30" i="30"/>
  <c r="BA30" i="30" s="1"/>
  <c r="AZ30" i="30"/>
  <c r="AI30" i="30"/>
  <c r="AG30" i="30"/>
  <c r="AX30" i="30" s="1"/>
  <c r="X30" i="30"/>
  <c r="BG29" i="30"/>
  <c r="AX29" i="30"/>
  <c r="AW29" i="30"/>
  <c r="AT29" i="30"/>
  <c r="AO29" i="30"/>
  <c r="BA29" i="30" s="1"/>
  <c r="AZ29" i="30"/>
  <c r="X29" i="30"/>
  <c r="BG28" i="30"/>
  <c r="AX28" i="30"/>
  <c r="AW28" i="30"/>
  <c r="AT28" i="30"/>
  <c r="AO28" i="30"/>
  <c r="BA28" i="30" s="1"/>
  <c r="AZ28" i="30"/>
  <c r="X28" i="30"/>
  <c r="BG27" i="30"/>
  <c r="AX27" i="30"/>
  <c r="AW27" i="30"/>
  <c r="AT27" i="30"/>
  <c r="AO27" i="30"/>
  <c r="BA27" i="30" s="1"/>
  <c r="AZ27" i="30"/>
  <c r="X27" i="30"/>
  <c r="BJ26" i="30"/>
  <c r="BG26" i="30"/>
  <c r="AT26" i="30"/>
  <c r="AO26" i="30"/>
  <c r="BA26" i="30" s="1"/>
  <c r="AZ26" i="30"/>
  <c r="AI26" i="30"/>
  <c r="AG26" i="30"/>
  <c r="AX26" i="30" s="1"/>
  <c r="AY26" i="30" s="1"/>
  <c r="X26" i="30"/>
  <c r="BK25" i="30"/>
  <c r="AZ25" i="30"/>
  <c r="AX25" i="30"/>
  <c r="AW25" i="30"/>
  <c r="AT25" i="30"/>
  <c r="AO25" i="30"/>
  <c r="BA25" i="30" s="1"/>
  <c r="X25" i="30"/>
  <c r="BG24" i="30"/>
  <c r="BA24" i="30"/>
  <c r="AW24" i="30"/>
  <c r="AT24" i="30"/>
  <c r="AO24" i="30"/>
  <c r="AZ24" i="30"/>
  <c r="AG24" i="30"/>
  <c r="AX24" i="30" s="1"/>
  <c r="X24" i="30"/>
  <c r="BK23" i="30"/>
  <c r="BJ23" i="30"/>
  <c r="AZ23" i="30"/>
  <c r="AX23" i="30"/>
  <c r="AY23" i="30" s="1"/>
  <c r="AW23" i="30"/>
  <c r="AT23" i="30"/>
  <c r="AO23" i="30"/>
  <c r="BA23" i="30" s="1"/>
  <c r="X23" i="30"/>
  <c r="BK22" i="30"/>
  <c r="BG22" i="30"/>
  <c r="AX22" i="30"/>
  <c r="AW22" i="30"/>
  <c r="AT22" i="30"/>
  <c r="AO22" i="30"/>
  <c r="BA22" i="30" s="1"/>
  <c r="AZ22" i="30"/>
  <c r="X22" i="30"/>
  <c r="BK21" i="30"/>
  <c r="BG21" i="30"/>
  <c r="AX21" i="30"/>
  <c r="AW21" i="30"/>
  <c r="BJ21" i="30" s="1"/>
  <c r="AT21" i="30"/>
  <c r="AO21" i="30"/>
  <c r="BA21" i="30" s="1"/>
  <c r="AZ21" i="30"/>
  <c r="X21" i="30"/>
  <c r="BK20" i="30"/>
  <c r="BG20" i="30"/>
  <c r="AZ20" i="30"/>
  <c r="AX20" i="30"/>
  <c r="AW20" i="30"/>
  <c r="AT20" i="30"/>
  <c r="AO20" i="30"/>
  <c r="BA20" i="30" s="1"/>
  <c r="X20" i="30"/>
  <c r="BK19" i="30"/>
  <c r="BJ19" i="30"/>
  <c r="BG19" i="30"/>
  <c r="AX19" i="30"/>
  <c r="AY19" i="30" s="1"/>
  <c r="AT19" i="30"/>
  <c r="AO19" i="30"/>
  <c r="BA19" i="30" s="1"/>
  <c r="AZ19" i="30"/>
  <c r="X19" i="30"/>
  <c r="BK18" i="30"/>
  <c r="BJ18" i="30"/>
  <c r="BG18" i="30"/>
  <c r="AZ18" i="30"/>
  <c r="AX18" i="30"/>
  <c r="AY18" i="30" s="1"/>
  <c r="AT18" i="30"/>
  <c r="AO18" i="30"/>
  <c r="BA18" i="30" s="1"/>
  <c r="X18" i="30"/>
  <c r="BK17" i="30"/>
  <c r="BJ17" i="30"/>
  <c r="BG17" i="30"/>
  <c r="AX17" i="30"/>
  <c r="AY17" i="30" s="1"/>
  <c r="AT17" i="30"/>
  <c r="AO17" i="30"/>
  <c r="BA17" i="30" s="1"/>
  <c r="AZ17" i="30"/>
  <c r="X17" i="30"/>
  <c r="BK16" i="30"/>
  <c r="BJ16" i="30"/>
  <c r="BG16" i="30"/>
  <c r="AZ16" i="30"/>
  <c r="AX16" i="30"/>
  <c r="AY16" i="30" s="1"/>
  <c r="AT16" i="30"/>
  <c r="AO16" i="30"/>
  <c r="BA16" i="30" s="1"/>
  <c r="X16" i="30"/>
  <c r="BK15" i="30"/>
  <c r="BJ15" i="30"/>
  <c r="BG15" i="30"/>
  <c r="AX15" i="30"/>
  <c r="AY15" i="30" s="1"/>
  <c r="AT15" i="30"/>
  <c r="AO15" i="30"/>
  <c r="BA15" i="30" s="1"/>
  <c r="AZ15" i="30"/>
  <c r="X15" i="30"/>
  <c r="BK14" i="30"/>
  <c r="BJ14" i="30"/>
  <c r="BG14" i="30"/>
  <c r="AX14" i="30"/>
  <c r="AY14" i="30" s="1"/>
  <c r="AT14" i="30"/>
  <c r="AO14" i="30"/>
  <c r="BA14" i="30" s="1"/>
  <c r="AZ14" i="30"/>
  <c r="X14" i="30"/>
  <c r="BK13" i="30"/>
  <c r="BG13" i="30"/>
  <c r="AZ13" i="30"/>
  <c r="AX13" i="30"/>
  <c r="AW13" i="30"/>
  <c r="AT13" i="30"/>
  <c r="AO13" i="30"/>
  <c r="BA13" i="30" s="1"/>
  <c r="X13" i="30"/>
  <c r="BK12" i="30"/>
  <c r="BJ12" i="30"/>
  <c r="BG12" i="30"/>
  <c r="AT12" i="30"/>
  <c r="AO12" i="30"/>
  <c r="BA12" i="30" s="1"/>
  <c r="AZ12" i="30"/>
  <c r="AI12" i="30"/>
  <c r="AG12" i="30"/>
  <c r="AX12" i="30" s="1"/>
  <c r="X12" i="30"/>
  <c r="BK11" i="30"/>
  <c r="BJ11" i="30"/>
  <c r="BG11" i="30"/>
  <c r="AZ11" i="30"/>
  <c r="AT11" i="30"/>
  <c r="AO11" i="30"/>
  <c r="BA11" i="30" s="1"/>
  <c r="AI11" i="30"/>
  <c r="AG11" i="30"/>
  <c r="AX11" i="30" s="1"/>
  <c r="X11" i="30"/>
  <c r="BK10" i="30"/>
  <c r="BJ10" i="30"/>
  <c r="BG10" i="30"/>
  <c r="AZ10" i="30"/>
  <c r="AT10" i="30"/>
  <c r="AO10" i="30"/>
  <c r="BA10" i="30" s="1"/>
  <c r="AG10" i="30"/>
  <c r="AX10" i="30" s="1"/>
  <c r="AY10" i="30" s="1"/>
  <c r="X10" i="30"/>
  <c r="BK9" i="30"/>
  <c r="BG9" i="30"/>
  <c r="AZ9" i="30"/>
  <c r="AW9" i="30"/>
  <c r="BJ9" i="30" s="1"/>
  <c r="AT9" i="30"/>
  <c r="AO9" i="30"/>
  <c r="BA9" i="30" s="1"/>
  <c r="AG9" i="30"/>
  <c r="AX9" i="30" s="1"/>
  <c r="X9" i="30"/>
  <c r="BK8" i="30"/>
  <c r="BG8" i="30"/>
  <c r="AZ8" i="30"/>
  <c r="AW8" i="30"/>
  <c r="AT8" i="30"/>
  <c r="AO8" i="30"/>
  <c r="BA8" i="30" s="1"/>
  <c r="AG8" i="30"/>
  <c r="AX8" i="30" s="1"/>
  <c r="X8" i="30"/>
  <c r="BK7" i="30"/>
  <c r="BG7" i="30"/>
  <c r="AT7" i="30"/>
  <c r="AW7" i="30" s="1"/>
  <c r="AO7" i="30"/>
  <c r="AG7" i="30"/>
  <c r="AX7" i="30" s="1"/>
  <c r="X7" i="30"/>
  <c r="Q50" i="30" l="1"/>
  <c r="AY30" i="30"/>
  <c r="BB14" i="30"/>
  <c r="BD14" i="30" s="1"/>
  <c r="BH14" i="30" s="1"/>
  <c r="F14" i="30" s="1"/>
  <c r="AI50" i="30"/>
  <c r="AY12" i="30"/>
  <c r="BB12" i="30" s="1"/>
  <c r="BD12" i="30" s="1"/>
  <c r="BH12" i="30" s="1"/>
  <c r="H12" i="30" s="1"/>
  <c r="AY31" i="30"/>
  <c r="BB31" i="30" s="1"/>
  <c r="BC31" i="30" s="1"/>
  <c r="BB16" i="30"/>
  <c r="BD16" i="30" s="1"/>
  <c r="BH16" i="30" s="1"/>
  <c r="H16" i="30" s="1"/>
  <c r="BB19" i="30"/>
  <c r="BD19" i="30" s="1"/>
  <c r="BH19" i="30" s="1"/>
  <c r="H19" i="30" s="1"/>
  <c r="BB40" i="30"/>
  <c r="BC40" i="30" s="1"/>
  <c r="BD40" i="30" s="1"/>
  <c r="BH40" i="30" s="1"/>
  <c r="BB10" i="30"/>
  <c r="BD10" i="30" s="1"/>
  <c r="BH10" i="30" s="1"/>
  <c r="F10" i="30" s="1"/>
  <c r="AY11" i="30"/>
  <c r="BB11" i="30" s="1"/>
  <c r="BD11" i="30" s="1"/>
  <c r="BH11" i="30" s="1"/>
  <c r="F11" i="30" s="1"/>
  <c r="BB15" i="30"/>
  <c r="BD15" i="30" s="1"/>
  <c r="BH15" i="30" s="1"/>
  <c r="BL15" i="30" s="1"/>
  <c r="BB37" i="30"/>
  <c r="BC37" i="30" s="1"/>
  <c r="BB30" i="30"/>
  <c r="AY21" i="30"/>
  <c r="BB21" i="30" s="1"/>
  <c r="BD21" i="30" s="1"/>
  <c r="BH21" i="30" s="1"/>
  <c r="BB34" i="30"/>
  <c r="BC34" i="30" s="1"/>
  <c r="J35" i="29"/>
  <c r="J34" i="29"/>
  <c r="J33" i="29"/>
  <c r="J30" i="29"/>
  <c r="J14" i="30"/>
  <c r="H14" i="30"/>
  <c r="G14" i="30"/>
  <c r="I14" i="30"/>
  <c r="J16" i="30"/>
  <c r="I16" i="30"/>
  <c r="BK37" i="30"/>
  <c r="BJ13" i="30"/>
  <c r="AY13" i="30"/>
  <c r="BB13" i="30" s="1"/>
  <c r="BD13" i="30" s="1"/>
  <c r="BH13" i="30" s="1"/>
  <c r="BJ8" i="30"/>
  <c r="AY8" i="30"/>
  <c r="BB8" i="30" s="1"/>
  <c r="BD8" i="30" s="1"/>
  <c r="BH8" i="30" s="1"/>
  <c r="BC30" i="30"/>
  <c r="BD30" i="30" s="1"/>
  <c r="BH30" i="30" s="1"/>
  <c r="I19" i="30"/>
  <c r="G11" i="30"/>
  <c r="I11" i="30"/>
  <c r="BL11" i="30"/>
  <c r="J11" i="30"/>
  <c r="AW50" i="30"/>
  <c r="AY7" i="30"/>
  <c r="BJ7" i="30"/>
  <c r="I10" i="30"/>
  <c r="AY42" i="30"/>
  <c r="BB42" i="30" s="1"/>
  <c r="BD42" i="30" s="1"/>
  <c r="BH42" i="30" s="1"/>
  <c r="BJ42" i="30"/>
  <c r="BJ45" i="30"/>
  <c r="AY45" i="30"/>
  <c r="BB45" i="30" s="1"/>
  <c r="X50" i="30"/>
  <c r="AG50" i="30"/>
  <c r="BJ44" i="30"/>
  <c r="AY44" i="30"/>
  <c r="BB44" i="30" s="1"/>
  <c r="BD44" i="30" s="1"/>
  <c r="BH44" i="30" s="1"/>
  <c r="AY47" i="30"/>
  <c r="BB47" i="30" s="1"/>
  <c r="BD47" i="30" s="1"/>
  <c r="BH47" i="30" s="1"/>
  <c r="BJ47" i="30"/>
  <c r="AT50" i="30"/>
  <c r="BB17" i="30"/>
  <c r="BD17" i="30" s="1"/>
  <c r="BH17" i="30" s="1"/>
  <c r="AU50" i="30"/>
  <c r="AY9" i="30"/>
  <c r="BB9" i="30" s="1"/>
  <c r="BD9" i="30" s="1"/>
  <c r="BH9" i="30" s="1"/>
  <c r="BJ29" i="30"/>
  <c r="AY29" i="30"/>
  <c r="BB29" i="30" s="1"/>
  <c r="AM50" i="30"/>
  <c r="AX50" i="30"/>
  <c r="AY22" i="30"/>
  <c r="BB22" i="30" s="1"/>
  <c r="BD22" i="30" s="1"/>
  <c r="BH22" i="30" s="1"/>
  <c r="BJ22" i="30"/>
  <c r="BB23" i="30"/>
  <c r="BD23" i="30" s="1"/>
  <c r="BJ24" i="30"/>
  <c r="AY24" i="30"/>
  <c r="BB24" i="30" s="1"/>
  <c r="BA7" i="30"/>
  <c r="BA50" i="30" s="1"/>
  <c r="AO50" i="30"/>
  <c r="BJ25" i="30"/>
  <c r="AY25" i="30"/>
  <c r="BB25" i="30" s="1"/>
  <c r="BD25" i="30" s="1"/>
  <c r="BJ33" i="30"/>
  <c r="AY33" i="30"/>
  <c r="BB33" i="30" s="1"/>
  <c r="BJ36" i="30"/>
  <c r="AY36" i="30"/>
  <c r="BB36" i="30" s="1"/>
  <c r="BJ39" i="30"/>
  <c r="AY39" i="30"/>
  <c r="BB39" i="30" s="1"/>
  <c r="BB41" i="30"/>
  <c r="BD41" i="30" s="1"/>
  <c r="BH41" i="30" s="1"/>
  <c r="BJ27" i="30"/>
  <c r="AY27" i="30"/>
  <c r="BB27" i="30" s="1"/>
  <c r="AV50" i="30"/>
  <c r="BD37" i="30"/>
  <c r="BH37" i="30" s="1"/>
  <c r="F37" i="30" s="1"/>
  <c r="BB38" i="30"/>
  <c r="AZ7" i="30"/>
  <c r="AZ50" i="30" s="1"/>
  <c r="AY20" i="30"/>
  <c r="BB20" i="30" s="1"/>
  <c r="BD20" i="30" s="1"/>
  <c r="BH20" i="30" s="1"/>
  <c r="BJ20" i="30"/>
  <c r="BB26" i="30"/>
  <c r="BJ28" i="30"/>
  <c r="AY28" i="30"/>
  <c r="BB28" i="30" s="1"/>
  <c r="BJ32" i="30"/>
  <c r="AY32" i="30"/>
  <c r="BB32" i="30" s="1"/>
  <c r="BJ43" i="30"/>
  <c r="AY43" i="30"/>
  <c r="BB43" i="30" s="1"/>
  <c r="AY46" i="30"/>
  <c r="BB46" i="30" s="1"/>
  <c r="BD46" i="30" s="1"/>
  <c r="BH46" i="30" s="1"/>
  <c r="BJ46" i="30"/>
  <c r="AY48" i="30"/>
  <c r="BB48" i="30" s="1"/>
  <c r="BD48" i="30" s="1"/>
  <c r="BH48" i="30" s="1"/>
  <c r="BJ48" i="30"/>
  <c r="BB18" i="30"/>
  <c r="BD18" i="30" s="1"/>
  <c r="BH18" i="30" s="1"/>
  <c r="BJ35" i="30"/>
  <c r="AY35" i="30"/>
  <c r="BB35" i="30" s="1"/>
  <c r="F57" i="29"/>
  <c r="F58" i="29" s="1"/>
  <c r="F65" i="29" s="1"/>
  <c r="F62" i="29"/>
  <c r="F66" i="29" s="1"/>
  <c r="E62" i="29"/>
  <c r="E66" i="29" s="1"/>
  <c r="E58" i="29"/>
  <c r="E65" i="29" s="1"/>
  <c r="E47" i="29"/>
  <c r="E43" i="29"/>
  <c r="F40" i="29"/>
  <c r="F39" i="29"/>
  <c r="F43" i="29" s="1"/>
  <c r="M5" i="29" s="1"/>
  <c r="F37" i="29"/>
  <c r="E37" i="29"/>
  <c r="E41" i="29"/>
  <c r="A12" i="29"/>
  <c r="E16" i="29"/>
  <c r="F16" i="29" s="1"/>
  <c r="E15" i="29"/>
  <c r="F15" i="29" s="1"/>
  <c r="E14" i="29"/>
  <c r="F14" i="29" s="1"/>
  <c r="E7" i="29"/>
  <c r="F7" i="29" s="1"/>
  <c r="F6" i="29"/>
  <c r="E3" i="29"/>
  <c r="E6" i="29" s="1"/>
  <c r="F17" i="29"/>
  <c r="F13" i="29"/>
  <c r="F11" i="29"/>
  <c r="F10" i="29"/>
  <c r="F9" i="29"/>
  <c r="F8" i="29"/>
  <c r="F5" i="29"/>
  <c r="C48" i="29"/>
  <c r="C25" i="29"/>
  <c r="E20" i="29"/>
  <c r="E21" i="29" s="1"/>
  <c r="F29" i="29" l="1"/>
  <c r="L12" i="29" s="1"/>
  <c r="J19" i="30"/>
  <c r="H11" i="30"/>
  <c r="BL16" i="30"/>
  <c r="BL14" i="30"/>
  <c r="G16" i="30"/>
  <c r="G19" i="30"/>
  <c r="E19" i="30" s="1"/>
  <c r="F16" i="30"/>
  <c r="BL19" i="30"/>
  <c r="F19" i="30"/>
  <c r="G15" i="30"/>
  <c r="J10" i="30"/>
  <c r="J15" i="30"/>
  <c r="I12" i="30"/>
  <c r="BL10" i="30"/>
  <c r="J12" i="30"/>
  <c r="H34" i="30"/>
  <c r="G10" i="30"/>
  <c r="H15" i="30"/>
  <c r="H10" i="30"/>
  <c r="F15" i="30"/>
  <c r="F12" i="30"/>
  <c r="BD34" i="30"/>
  <c r="BH34" i="30" s="1"/>
  <c r="F34" i="30" s="1"/>
  <c r="BK34" i="30"/>
  <c r="I15" i="30"/>
  <c r="BL12" i="30"/>
  <c r="G12" i="30"/>
  <c r="I37" i="30"/>
  <c r="E12" i="29"/>
  <c r="E18" i="29" s="1"/>
  <c r="J29" i="29"/>
  <c r="J31" i="29"/>
  <c r="E29" i="29"/>
  <c r="J30" i="30"/>
  <c r="BL30" i="30"/>
  <c r="J40" i="30"/>
  <c r="BL40" i="30"/>
  <c r="BC28" i="30"/>
  <c r="BD28" i="30" s="1"/>
  <c r="BH28" i="30" s="1"/>
  <c r="BC33" i="30"/>
  <c r="BD33" i="30" s="1"/>
  <c r="BH33" i="30" s="1"/>
  <c r="BC24" i="30"/>
  <c r="BC29" i="30"/>
  <c r="BD29" i="30" s="1"/>
  <c r="BH29" i="30" s="1"/>
  <c r="J44" i="30"/>
  <c r="I44" i="30"/>
  <c r="H44" i="30"/>
  <c r="G44" i="30"/>
  <c r="BL44" i="30"/>
  <c r="F44" i="30"/>
  <c r="I42" i="30"/>
  <c r="H42" i="30"/>
  <c r="G42" i="30"/>
  <c r="BL42" i="30"/>
  <c r="F42" i="30"/>
  <c r="J42" i="30"/>
  <c r="G37" i="30"/>
  <c r="E16" i="30"/>
  <c r="BC26" i="30"/>
  <c r="BD26" i="30" s="1"/>
  <c r="BH26" i="30" s="1"/>
  <c r="BF25" i="30"/>
  <c r="BK31" i="30"/>
  <c r="J9" i="30"/>
  <c r="I9" i="30"/>
  <c r="H9" i="30"/>
  <c r="G9" i="30"/>
  <c r="F9" i="30"/>
  <c r="BL9" i="30"/>
  <c r="G34" i="30"/>
  <c r="J48" i="30"/>
  <c r="I48" i="30"/>
  <c r="H48" i="30"/>
  <c r="G48" i="30"/>
  <c r="BL48" i="30"/>
  <c r="F48" i="30"/>
  <c r="G46" i="30"/>
  <c r="BL46" i="30"/>
  <c r="F46" i="30"/>
  <c r="J46" i="30"/>
  <c r="H46" i="30"/>
  <c r="I46" i="30"/>
  <c r="J41" i="30"/>
  <c r="I41" i="30"/>
  <c r="H41" i="30"/>
  <c r="G41" i="30"/>
  <c r="BL41" i="30"/>
  <c r="F41" i="30"/>
  <c r="BF23" i="30"/>
  <c r="BD31" i="30"/>
  <c r="BH31" i="30" s="1"/>
  <c r="G31" i="30" s="1"/>
  <c r="I34" i="30"/>
  <c r="H8" i="30"/>
  <c r="G8" i="30"/>
  <c r="F8" i="30"/>
  <c r="J8" i="30"/>
  <c r="BL8" i="30"/>
  <c r="I8" i="30"/>
  <c r="BC35" i="30"/>
  <c r="BD35" i="30" s="1"/>
  <c r="BH35" i="30" s="1"/>
  <c r="BC43" i="30"/>
  <c r="BD43" i="30" s="1"/>
  <c r="BH43" i="30" s="1"/>
  <c r="I20" i="30"/>
  <c r="H20" i="30"/>
  <c r="G20" i="30"/>
  <c r="BL20" i="30"/>
  <c r="J20" i="30"/>
  <c r="F20" i="30"/>
  <c r="BC39" i="30"/>
  <c r="BD39" i="30" s="1"/>
  <c r="BH39" i="30" s="1"/>
  <c r="G21" i="30"/>
  <c r="BL21" i="30"/>
  <c r="F21" i="30"/>
  <c r="J21" i="30"/>
  <c r="H21" i="30"/>
  <c r="I21" i="30"/>
  <c r="J17" i="30"/>
  <c r="H17" i="30"/>
  <c r="G17" i="30"/>
  <c r="BL17" i="30"/>
  <c r="I17" i="30"/>
  <c r="F17" i="30"/>
  <c r="E11" i="30"/>
  <c r="J22" i="30"/>
  <c r="I22" i="30"/>
  <c r="H22" i="30"/>
  <c r="BL22" i="30"/>
  <c r="F22" i="30"/>
  <c r="G22" i="30"/>
  <c r="BC45" i="30"/>
  <c r="H13" i="30"/>
  <c r="G13" i="30"/>
  <c r="J13" i="30"/>
  <c r="BL13" i="30"/>
  <c r="I13" i="30"/>
  <c r="F13" i="30"/>
  <c r="BC27" i="30"/>
  <c r="I30" i="30"/>
  <c r="H30" i="30"/>
  <c r="BK30" i="30"/>
  <c r="G30" i="30"/>
  <c r="F30" i="30"/>
  <c r="J18" i="30"/>
  <c r="I18" i="30"/>
  <c r="G18" i="30"/>
  <c r="F18" i="30"/>
  <c r="H18" i="30"/>
  <c r="BL18" i="30"/>
  <c r="BC32" i="30"/>
  <c r="BC38" i="30"/>
  <c r="BD38" i="30" s="1"/>
  <c r="BH38" i="30" s="1"/>
  <c r="BC36" i="30"/>
  <c r="BD36" i="30" s="1"/>
  <c r="BH36" i="30" s="1"/>
  <c r="BJ50" i="30"/>
  <c r="BL37" i="30"/>
  <c r="J37" i="30"/>
  <c r="BL34" i="30"/>
  <c r="J34" i="30"/>
  <c r="J47" i="30"/>
  <c r="I47" i="30"/>
  <c r="H47" i="30"/>
  <c r="BL47" i="30"/>
  <c r="F47" i="30"/>
  <c r="G47" i="30"/>
  <c r="BK40" i="30"/>
  <c r="G40" i="30"/>
  <c r="F40" i="30"/>
  <c r="H40" i="30"/>
  <c r="I40" i="30"/>
  <c r="AY50" i="30"/>
  <c r="AY52" i="30" s="1"/>
  <c r="BB7" i="30"/>
  <c r="H37" i="30"/>
  <c r="E14" i="30"/>
  <c r="E67" i="29"/>
  <c r="F67" i="29"/>
  <c r="F41" i="29"/>
  <c r="F47" i="29"/>
  <c r="E48" i="29"/>
  <c r="E49" i="29" s="1"/>
  <c r="E44" i="29"/>
  <c r="F44" i="29"/>
  <c r="F20" i="29"/>
  <c r="E22" i="29"/>
  <c r="L5" i="29" l="1"/>
  <c r="M6" i="29"/>
  <c r="N5" i="29"/>
  <c r="N15" i="29" s="1"/>
  <c r="E10" i="30"/>
  <c r="E12" i="30"/>
  <c r="E15" i="30"/>
  <c r="I31" i="30"/>
  <c r="F31" i="30"/>
  <c r="E13" i="30"/>
  <c r="E24" i="29"/>
  <c r="E25" i="29" s="1"/>
  <c r="E26" i="29" s="1"/>
  <c r="E34" i="30"/>
  <c r="E47" i="30"/>
  <c r="E21" i="30"/>
  <c r="E37" i="30"/>
  <c r="F12" i="29"/>
  <c r="F24" i="29" s="1"/>
  <c r="J28" i="30"/>
  <c r="BL28" i="30"/>
  <c r="BL26" i="30"/>
  <c r="J26" i="30"/>
  <c r="BK32" i="30"/>
  <c r="E30" i="30"/>
  <c r="E22" i="30"/>
  <c r="BG23" i="30"/>
  <c r="BF50" i="30"/>
  <c r="J38" i="30"/>
  <c r="BL38" i="30"/>
  <c r="I28" i="30"/>
  <c r="H28" i="30"/>
  <c r="G28" i="30"/>
  <c r="BK28" i="30"/>
  <c r="F28" i="30"/>
  <c r="BD32" i="30"/>
  <c r="BH32" i="30" s="1"/>
  <c r="I32" i="30" s="1"/>
  <c r="E8" i="30"/>
  <c r="E41" i="30"/>
  <c r="G29" i="30"/>
  <c r="BK29" i="30"/>
  <c r="F29" i="30"/>
  <c r="H29" i="30"/>
  <c r="I29" i="30"/>
  <c r="BB50" i="30"/>
  <c r="BD7" i="30"/>
  <c r="I39" i="30"/>
  <c r="H39" i="30"/>
  <c r="G39" i="30"/>
  <c r="BK39" i="30"/>
  <c r="F39" i="30"/>
  <c r="G43" i="30"/>
  <c r="BK43" i="30"/>
  <c r="F43" i="30"/>
  <c r="H43" i="30"/>
  <c r="I43" i="30"/>
  <c r="E46" i="30"/>
  <c r="I26" i="30"/>
  <c r="H26" i="30"/>
  <c r="BK26" i="30"/>
  <c r="G26" i="30"/>
  <c r="F26" i="30"/>
  <c r="BL29" i="30"/>
  <c r="J29" i="30"/>
  <c r="J39" i="30"/>
  <c r="BL39" i="30"/>
  <c r="BL43" i="30"/>
  <c r="J43" i="30"/>
  <c r="E44" i="30"/>
  <c r="BK24" i="30"/>
  <c r="BC50" i="30"/>
  <c r="BG25" i="30"/>
  <c r="BH25" i="30" s="1"/>
  <c r="G25" i="30" s="1"/>
  <c r="BL36" i="30"/>
  <c r="J36" i="30"/>
  <c r="E18" i="30"/>
  <c r="E20" i="30"/>
  <c r="I35" i="30"/>
  <c r="H35" i="30"/>
  <c r="G35" i="30"/>
  <c r="F35" i="30"/>
  <c r="BK35" i="30"/>
  <c r="BD24" i="30"/>
  <c r="BH24" i="30" s="1"/>
  <c r="I24" i="30" s="1"/>
  <c r="I36" i="30"/>
  <c r="H36" i="30"/>
  <c r="G36" i="30"/>
  <c r="BK36" i="30"/>
  <c r="F36" i="30"/>
  <c r="BK27" i="30"/>
  <c r="BK45" i="30"/>
  <c r="J35" i="30"/>
  <c r="BL35" i="30"/>
  <c r="E48" i="30"/>
  <c r="E9" i="30"/>
  <c r="BL33" i="30"/>
  <c r="J33" i="30"/>
  <c r="E40" i="30"/>
  <c r="I38" i="30"/>
  <c r="H38" i="30"/>
  <c r="G38" i="30"/>
  <c r="BK38" i="30"/>
  <c r="F38" i="30"/>
  <c r="BD27" i="30"/>
  <c r="BH27" i="30" s="1"/>
  <c r="H27" i="30" s="1"/>
  <c r="BD45" i="30"/>
  <c r="BH45" i="30" s="1"/>
  <c r="H45" i="30" s="1"/>
  <c r="E17" i="30"/>
  <c r="BL31" i="30"/>
  <c r="J31" i="30"/>
  <c r="H31" i="30"/>
  <c r="E42" i="30"/>
  <c r="I33" i="30"/>
  <c r="H33" i="30"/>
  <c r="G33" i="30"/>
  <c r="BK33" i="30"/>
  <c r="F33" i="30"/>
  <c r="F48" i="29"/>
  <c r="M8" i="29"/>
  <c r="E45" i="29"/>
  <c r="E53" i="29"/>
  <c r="F45" i="29"/>
  <c r="E50" i="29"/>
  <c r="F18" i="29"/>
  <c r="F21" i="29"/>
  <c r="L6" i="29" l="1"/>
  <c r="E32" i="29"/>
  <c r="E27" i="29"/>
  <c r="E31" i="29" s="1"/>
  <c r="F27" i="30"/>
  <c r="H25" i="30"/>
  <c r="I25" i="30"/>
  <c r="I27" i="30"/>
  <c r="F25" i="30"/>
  <c r="E33" i="30"/>
  <c r="F45" i="30"/>
  <c r="F32" i="30"/>
  <c r="G32" i="30"/>
  <c r="H32" i="30"/>
  <c r="E31" i="30"/>
  <c r="E28" i="30"/>
  <c r="BL24" i="30"/>
  <c r="J24" i="30"/>
  <c r="E39" i="30"/>
  <c r="F24" i="30"/>
  <c r="E29" i="30"/>
  <c r="G24" i="30"/>
  <c r="E36" i="30"/>
  <c r="BG50" i="30"/>
  <c r="BH23" i="30"/>
  <c r="J27" i="30"/>
  <c r="BL27" i="30"/>
  <c r="H24" i="30"/>
  <c r="E35" i="30"/>
  <c r="J45" i="30"/>
  <c r="BL45" i="30"/>
  <c r="G45" i="30"/>
  <c r="E38" i="30"/>
  <c r="I45" i="30"/>
  <c r="E26" i="30"/>
  <c r="E43" i="30"/>
  <c r="BD52" i="30"/>
  <c r="BD50" i="30"/>
  <c r="BD4" i="30"/>
  <c r="BH7" i="30"/>
  <c r="G27" i="30"/>
  <c r="J25" i="30"/>
  <c r="E25" i="30" s="1"/>
  <c r="BL25" i="30"/>
  <c r="J32" i="30"/>
  <c r="BL32" i="30"/>
  <c r="F49" i="29"/>
  <c r="M9" i="29"/>
  <c r="F25" i="29"/>
  <c r="L8" i="29"/>
  <c r="E52" i="29"/>
  <c r="E54" i="29" s="1"/>
  <c r="F22" i="29"/>
  <c r="U6" i="28"/>
  <c r="U7" i="28"/>
  <c r="U8" i="28"/>
  <c r="U9" i="28"/>
  <c r="U10" i="28"/>
  <c r="U11" i="28"/>
  <c r="U12" i="28"/>
  <c r="U13" i="28"/>
  <c r="U14"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5" i="28"/>
  <c r="E33" i="29" l="1"/>
  <c r="E32" i="30"/>
  <c r="E27" i="30"/>
  <c r="E45" i="30"/>
  <c r="E24" i="30"/>
  <c r="BD54" i="30"/>
  <c r="BH52" i="30"/>
  <c r="BH50" i="30"/>
  <c r="H7" i="30"/>
  <c r="F7" i="30"/>
  <c r="I7" i="30"/>
  <c r="G7" i="30"/>
  <c r="BL7" i="30"/>
  <c r="J7" i="30"/>
  <c r="BH4" i="30"/>
  <c r="J23" i="30"/>
  <c r="BL23" i="30"/>
  <c r="F23" i="30"/>
  <c r="G23" i="30"/>
  <c r="I23" i="30"/>
  <c r="H23" i="30"/>
  <c r="F26" i="29"/>
  <c r="L9" i="29"/>
  <c r="M10" i="29"/>
  <c r="M15" i="29" s="1"/>
  <c r="F50" i="29"/>
  <c r="F53" i="29"/>
  <c r="M19" i="29" s="1"/>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5" i="28"/>
  <c r="F52" i="29" l="1"/>
  <c r="F54" i="29" s="1"/>
  <c r="M38" i="29"/>
  <c r="Y9" i="31"/>
  <c r="Z9" i="31" s="1"/>
  <c r="Y17" i="31"/>
  <c r="Y25" i="31"/>
  <c r="Z25" i="31" s="1"/>
  <c r="Y33" i="31"/>
  <c r="Z33" i="31" s="1"/>
  <c r="Y41" i="31"/>
  <c r="Z41" i="31" s="1"/>
  <c r="Y49" i="31"/>
  <c r="Z49" i="31" s="1"/>
  <c r="Y57" i="31"/>
  <c r="Z57" i="31" s="1"/>
  <c r="Y65" i="31"/>
  <c r="Z65" i="31" s="1"/>
  <c r="Y73" i="31"/>
  <c r="Z73" i="31" s="1"/>
  <c r="Y81" i="31"/>
  <c r="Z81" i="31" s="1"/>
  <c r="Y89" i="31"/>
  <c r="Z89" i="31" s="1"/>
  <c r="Y97" i="31"/>
  <c r="Z97" i="31" s="1"/>
  <c r="Y105" i="31"/>
  <c r="Z105" i="31" s="1"/>
  <c r="Y113" i="31"/>
  <c r="Z113" i="31" s="1"/>
  <c r="Y121" i="31"/>
  <c r="Z121" i="31" s="1"/>
  <c r="Y129" i="31"/>
  <c r="Z129" i="31" s="1"/>
  <c r="Y137" i="31"/>
  <c r="Z137" i="31" s="1"/>
  <c r="Y145" i="31"/>
  <c r="Z145" i="31" s="1"/>
  <c r="Y153" i="31"/>
  <c r="Z153" i="31" s="1"/>
  <c r="Y161" i="31"/>
  <c r="Z161" i="31" s="1"/>
  <c r="Y169" i="31"/>
  <c r="Z169" i="31" s="1"/>
  <c r="Y177" i="31"/>
  <c r="Z177" i="31" s="1"/>
  <c r="Y185" i="31"/>
  <c r="Z185" i="31" s="1"/>
  <c r="Y193" i="31"/>
  <c r="Z193" i="31" s="1"/>
  <c r="Y201" i="31"/>
  <c r="Z201" i="31" s="1"/>
  <c r="Y209" i="31"/>
  <c r="Z209" i="31" s="1"/>
  <c r="Y6" i="31"/>
  <c r="Z6" i="31" s="1"/>
  <c r="Y126" i="31"/>
  <c r="Z126" i="31" s="1"/>
  <c r="Y174" i="31"/>
  <c r="Z174" i="31" s="1"/>
  <c r="Y3" i="31"/>
  <c r="Y15" i="31"/>
  <c r="Z15" i="31" s="1"/>
  <c r="Y47" i="31"/>
  <c r="Z47" i="31" s="1"/>
  <c r="Y71" i="31"/>
  <c r="Z71" i="31" s="1"/>
  <c r="Y111" i="31"/>
  <c r="Z111" i="31" s="1"/>
  <c r="Y159" i="31"/>
  <c r="Z159" i="31" s="1"/>
  <c r="Y199" i="31"/>
  <c r="Z199" i="31" s="1"/>
  <c r="Y24" i="31"/>
  <c r="Z24" i="31" s="1"/>
  <c r="Y48" i="31"/>
  <c r="Z48" i="31" s="1"/>
  <c r="Y72" i="31"/>
  <c r="Z72" i="31" s="1"/>
  <c r="Y104" i="31"/>
  <c r="Z104" i="31" s="1"/>
  <c r="Y144" i="31"/>
  <c r="Z144" i="31" s="1"/>
  <c r="Y192" i="31"/>
  <c r="Z192" i="31" s="1"/>
  <c r="Y10" i="31"/>
  <c r="Z10" i="31" s="1"/>
  <c r="Y18" i="31"/>
  <c r="Z18" i="31" s="1"/>
  <c r="Y26" i="31"/>
  <c r="Z26" i="31" s="1"/>
  <c r="Y34" i="31"/>
  <c r="Z34" i="31" s="1"/>
  <c r="Y42" i="31"/>
  <c r="Z42" i="31" s="1"/>
  <c r="Y50" i="31"/>
  <c r="Z50" i="31" s="1"/>
  <c r="Y58" i="31"/>
  <c r="Z58" i="31" s="1"/>
  <c r="Y66" i="31"/>
  <c r="Z66" i="31" s="1"/>
  <c r="Y74" i="31"/>
  <c r="Z74" i="31" s="1"/>
  <c r="Y82" i="31"/>
  <c r="Z82" i="31" s="1"/>
  <c r="Y90" i="31"/>
  <c r="Z90" i="31" s="1"/>
  <c r="Y98" i="31"/>
  <c r="Z98" i="31" s="1"/>
  <c r="Y106" i="31"/>
  <c r="Z106" i="31" s="1"/>
  <c r="Y114" i="31"/>
  <c r="Z114" i="31" s="1"/>
  <c r="Y122" i="31"/>
  <c r="Z122" i="31" s="1"/>
  <c r="Y130" i="31"/>
  <c r="Z130" i="31" s="1"/>
  <c r="Y138" i="31"/>
  <c r="Z138" i="31" s="1"/>
  <c r="Y146" i="31"/>
  <c r="Z146" i="31" s="1"/>
  <c r="Y154" i="31"/>
  <c r="Z154" i="31" s="1"/>
  <c r="Y162" i="31"/>
  <c r="Z162" i="31" s="1"/>
  <c r="Y170" i="31"/>
  <c r="Z170" i="31" s="1"/>
  <c r="Y178" i="31"/>
  <c r="Z178" i="31" s="1"/>
  <c r="Y186" i="31"/>
  <c r="Z186" i="31" s="1"/>
  <c r="Y194" i="31"/>
  <c r="Z194" i="31" s="1"/>
  <c r="Y202" i="31"/>
  <c r="Z202" i="31" s="1"/>
  <c r="Y210" i="31"/>
  <c r="Z210" i="31" s="1"/>
  <c r="Y22" i="31"/>
  <c r="Z22" i="31" s="1"/>
  <c r="Y70" i="31"/>
  <c r="Z70" i="31" s="1"/>
  <c r="Y102" i="31"/>
  <c r="Z102" i="31" s="1"/>
  <c r="Y134" i="31"/>
  <c r="Z134" i="31" s="1"/>
  <c r="Y190" i="31"/>
  <c r="Z190" i="31" s="1"/>
  <c r="Y31" i="31"/>
  <c r="Z31" i="31" s="1"/>
  <c r="Y79" i="31"/>
  <c r="Z79" i="31" s="1"/>
  <c r="Y135" i="31"/>
  <c r="Z135" i="31" s="1"/>
  <c r="Y175" i="31"/>
  <c r="Z175" i="31" s="1"/>
  <c r="Y32" i="31"/>
  <c r="Z32" i="31" s="1"/>
  <c r="Y112" i="31"/>
  <c r="Z112" i="31" s="1"/>
  <c r="Y168" i="31"/>
  <c r="Z168" i="31" s="1"/>
  <c r="Y208" i="31"/>
  <c r="Z208" i="31" s="1"/>
  <c r="Y11" i="31"/>
  <c r="Z11" i="31" s="1"/>
  <c r="Y19" i="31"/>
  <c r="Z19" i="31" s="1"/>
  <c r="Y27" i="31"/>
  <c r="Z27" i="31" s="1"/>
  <c r="Y35" i="31"/>
  <c r="Z35" i="31" s="1"/>
  <c r="Y43" i="31"/>
  <c r="Z43" i="31" s="1"/>
  <c r="Y51" i="31"/>
  <c r="Z51" i="31" s="1"/>
  <c r="Y59" i="31"/>
  <c r="Z59" i="31" s="1"/>
  <c r="Y67" i="31"/>
  <c r="Z67" i="31" s="1"/>
  <c r="Y75" i="31"/>
  <c r="Z75" i="31" s="1"/>
  <c r="Y83" i="31"/>
  <c r="Z83" i="31" s="1"/>
  <c r="Y91" i="31"/>
  <c r="Z91" i="31" s="1"/>
  <c r="Y99" i="31"/>
  <c r="Z99" i="31" s="1"/>
  <c r="Y107" i="31"/>
  <c r="Z107" i="31" s="1"/>
  <c r="Y115" i="31"/>
  <c r="Z115" i="31" s="1"/>
  <c r="Y123" i="31"/>
  <c r="Z123" i="31" s="1"/>
  <c r="Y131" i="31"/>
  <c r="Z131" i="31" s="1"/>
  <c r="Y139" i="31"/>
  <c r="Z139" i="31" s="1"/>
  <c r="Y147" i="31"/>
  <c r="Z147" i="31" s="1"/>
  <c r="Y155" i="31"/>
  <c r="Z155" i="31" s="1"/>
  <c r="Y163" i="31"/>
  <c r="Z163" i="31" s="1"/>
  <c r="Y171" i="31"/>
  <c r="Z171" i="31" s="1"/>
  <c r="Y179" i="31"/>
  <c r="Z179" i="31" s="1"/>
  <c r="Y187" i="31"/>
  <c r="Z187" i="31" s="1"/>
  <c r="Y195" i="31"/>
  <c r="Z195" i="31" s="1"/>
  <c r="Y203" i="31"/>
  <c r="Z203" i="31" s="1"/>
  <c r="Y211" i="31"/>
  <c r="Z211" i="31" s="1"/>
  <c r="Y14" i="31"/>
  <c r="Z14" i="31" s="1"/>
  <c r="Y30" i="31"/>
  <c r="Z30" i="31" s="1"/>
  <c r="Y46" i="31"/>
  <c r="Z46" i="31" s="1"/>
  <c r="Y54" i="31"/>
  <c r="Z54" i="31" s="1"/>
  <c r="Y78" i="31"/>
  <c r="Z78" i="31" s="1"/>
  <c r="Y94" i="31"/>
  <c r="Z94" i="31" s="1"/>
  <c r="Y118" i="31"/>
  <c r="Z118" i="31" s="1"/>
  <c r="Y142" i="31"/>
  <c r="Z142" i="31" s="1"/>
  <c r="Y158" i="31"/>
  <c r="Z158" i="31" s="1"/>
  <c r="Y198" i="31"/>
  <c r="Z198" i="31" s="1"/>
  <c r="Y23" i="31"/>
  <c r="Z23" i="31" s="1"/>
  <c r="Y63" i="31"/>
  <c r="Z63" i="31" s="1"/>
  <c r="Y95" i="31"/>
  <c r="Z95" i="31" s="1"/>
  <c r="Y127" i="31"/>
  <c r="Z127" i="31" s="1"/>
  <c r="Y151" i="31"/>
  <c r="Z151" i="31" s="1"/>
  <c r="Y183" i="31"/>
  <c r="Z183" i="31" s="1"/>
  <c r="Y8" i="31"/>
  <c r="Z8" i="31" s="1"/>
  <c r="Y64" i="31"/>
  <c r="Z64" i="31" s="1"/>
  <c r="Y96" i="31"/>
  <c r="Z96" i="31" s="1"/>
  <c r="Y136" i="31"/>
  <c r="Z136" i="31" s="1"/>
  <c r="Y176" i="31"/>
  <c r="Z176" i="31" s="1"/>
  <c r="Y4" i="31"/>
  <c r="Z4" i="31" s="1"/>
  <c r="Y12" i="31"/>
  <c r="Z12" i="31" s="1"/>
  <c r="Y20" i="31"/>
  <c r="Z20" i="31" s="1"/>
  <c r="Y28" i="31"/>
  <c r="Z28" i="31" s="1"/>
  <c r="Y36" i="31"/>
  <c r="Z36" i="31" s="1"/>
  <c r="Y44" i="31"/>
  <c r="Z44" i="31" s="1"/>
  <c r="Y52" i="31"/>
  <c r="Z52" i="31" s="1"/>
  <c r="Y60" i="31"/>
  <c r="Z60" i="31" s="1"/>
  <c r="Y68" i="31"/>
  <c r="Z68" i="31" s="1"/>
  <c r="Y76" i="31"/>
  <c r="Z76" i="31" s="1"/>
  <c r="Y84" i="31"/>
  <c r="Z84" i="31" s="1"/>
  <c r="Y92" i="31"/>
  <c r="Z92" i="31" s="1"/>
  <c r="Y100" i="31"/>
  <c r="Z100" i="31" s="1"/>
  <c r="Y108" i="31"/>
  <c r="Z108" i="31" s="1"/>
  <c r="Y116" i="31"/>
  <c r="Z116" i="31" s="1"/>
  <c r="Y124" i="31"/>
  <c r="Z124" i="31" s="1"/>
  <c r="Y132" i="31"/>
  <c r="Z132" i="31" s="1"/>
  <c r="Y140" i="31"/>
  <c r="Z140" i="31" s="1"/>
  <c r="Y148" i="31"/>
  <c r="Z148" i="31" s="1"/>
  <c r="Y156" i="31"/>
  <c r="Z156" i="31" s="1"/>
  <c r="Y164" i="31"/>
  <c r="Z164" i="31" s="1"/>
  <c r="Y172" i="31"/>
  <c r="Z172" i="31" s="1"/>
  <c r="Y180" i="31"/>
  <c r="Z180" i="31" s="1"/>
  <c r="Y188" i="31"/>
  <c r="Z188" i="31" s="1"/>
  <c r="Y196" i="31"/>
  <c r="Z196" i="31" s="1"/>
  <c r="Y204" i="31"/>
  <c r="Z204" i="31" s="1"/>
  <c r="Y212" i="31"/>
  <c r="Z212" i="31" s="1"/>
  <c r="Y182" i="31"/>
  <c r="Z182" i="31" s="1"/>
  <c r="Y39" i="31"/>
  <c r="Z39" i="31" s="1"/>
  <c r="Y103" i="31"/>
  <c r="Z103" i="31" s="1"/>
  <c r="Y167" i="31"/>
  <c r="Z167" i="31" s="1"/>
  <c r="Y207" i="31"/>
  <c r="Z207" i="31" s="1"/>
  <c r="Y16" i="31"/>
  <c r="Z16" i="31" s="1"/>
  <c r="Y56" i="31"/>
  <c r="Z56" i="31" s="1"/>
  <c r="Y88" i="31"/>
  <c r="Z88" i="31" s="1"/>
  <c r="Y128" i="31"/>
  <c r="Z128" i="31" s="1"/>
  <c r="Y152" i="31"/>
  <c r="Z152" i="31" s="1"/>
  <c r="Y184" i="31"/>
  <c r="Z184" i="31" s="1"/>
  <c r="Y5" i="31"/>
  <c r="Y13" i="31"/>
  <c r="Z13" i="31" s="1"/>
  <c r="Y21" i="31"/>
  <c r="Z21" i="31" s="1"/>
  <c r="Y29" i="31"/>
  <c r="Z29" i="31" s="1"/>
  <c r="Y37" i="31"/>
  <c r="Z37" i="31" s="1"/>
  <c r="Y45" i="31"/>
  <c r="Z45" i="31" s="1"/>
  <c r="Y53" i="31"/>
  <c r="Z53" i="31" s="1"/>
  <c r="Y61" i="31"/>
  <c r="Z61" i="31" s="1"/>
  <c r="Y69" i="31"/>
  <c r="Z69" i="31" s="1"/>
  <c r="Y77" i="31"/>
  <c r="Z77" i="31" s="1"/>
  <c r="Y85" i="31"/>
  <c r="Z85" i="31" s="1"/>
  <c r="Y93" i="31"/>
  <c r="Z93" i="31" s="1"/>
  <c r="Y101" i="31"/>
  <c r="Z101" i="31" s="1"/>
  <c r="Y109" i="31"/>
  <c r="Z109" i="31" s="1"/>
  <c r="Y117" i="31"/>
  <c r="Z117" i="31" s="1"/>
  <c r="Y125" i="31"/>
  <c r="Z125" i="31" s="1"/>
  <c r="Y133" i="31"/>
  <c r="Z133" i="31" s="1"/>
  <c r="Y141" i="31"/>
  <c r="Z141" i="31" s="1"/>
  <c r="Y149" i="31"/>
  <c r="Z149" i="31" s="1"/>
  <c r="Y157" i="31"/>
  <c r="Z157" i="31" s="1"/>
  <c r="Y165" i="31"/>
  <c r="Z165" i="31" s="1"/>
  <c r="Y173" i="31"/>
  <c r="Z173" i="31" s="1"/>
  <c r="Y181" i="31"/>
  <c r="Z181" i="31" s="1"/>
  <c r="Y189" i="31"/>
  <c r="Z189" i="31" s="1"/>
  <c r="Y197" i="31"/>
  <c r="Z197" i="31" s="1"/>
  <c r="Y205" i="31"/>
  <c r="Z205" i="31" s="1"/>
  <c r="Y213" i="31"/>
  <c r="Z213" i="31" s="1"/>
  <c r="Y38" i="31"/>
  <c r="Z38" i="31" s="1"/>
  <c r="Y62" i="31"/>
  <c r="Z62" i="31" s="1"/>
  <c r="Y86" i="31"/>
  <c r="Z86" i="31" s="1"/>
  <c r="Y110" i="31"/>
  <c r="Z110" i="31" s="1"/>
  <c r="Y150" i="31"/>
  <c r="Z150" i="31" s="1"/>
  <c r="Y166" i="31"/>
  <c r="Z166" i="31" s="1"/>
  <c r="Y206" i="31"/>
  <c r="Z206" i="31" s="1"/>
  <c r="Y7" i="31"/>
  <c r="Y55" i="31"/>
  <c r="Z55" i="31" s="1"/>
  <c r="Y87" i="31"/>
  <c r="Z87" i="31" s="1"/>
  <c r="Y119" i="31"/>
  <c r="Z119" i="31" s="1"/>
  <c r="Y143" i="31"/>
  <c r="Z143" i="31" s="1"/>
  <c r="Y191" i="31"/>
  <c r="Z191" i="31" s="1"/>
  <c r="Y40" i="31"/>
  <c r="Z40" i="31" s="1"/>
  <c r="Y80" i="31"/>
  <c r="Z80" i="31" s="1"/>
  <c r="Y120" i="31"/>
  <c r="Z120" i="31" s="1"/>
  <c r="Y160" i="31"/>
  <c r="Z160" i="31" s="1"/>
  <c r="Y200" i="31"/>
  <c r="Z200" i="31" s="1"/>
  <c r="M23" i="29"/>
  <c r="M42" i="29"/>
  <c r="M46" i="29" s="1"/>
  <c r="E7" i="30"/>
  <c r="E23" i="30"/>
  <c r="L10" i="29"/>
  <c r="L15" i="29" s="1"/>
  <c r="L38" i="29" s="1"/>
  <c r="F27" i="29"/>
  <c r="F32" i="29"/>
  <c r="L19" i="29" s="1"/>
  <c r="F55" i="28"/>
  <c r="F51" i="28"/>
  <c r="F50" i="28"/>
  <c r="F53" i="28"/>
  <c r="F54" i="28"/>
  <c r="F52" i="28"/>
  <c r="F56" i="28"/>
  <c r="F31" i="29" l="1"/>
  <c r="F33" i="29" s="1"/>
  <c r="Z5" i="31"/>
  <c r="Z225" i="31" s="1"/>
  <c r="Y225" i="31"/>
  <c r="Y224" i="31"/>
  <c r="Z17" i="31"/>
  <c r="Z227" i="31" s="1"/>
  <c r="Y227" i="31"/>
  <c r="Z7" i="31"/>
  <c r="Z226" i="31" s="1"/>
  <c r="Y226" i="31"/>
  <c r="AA166" i="31"/>
  <c r="AB166" i="31"/>
  <c r="AC166" i="31" s="1"/>
  <c r="AB52" i="31"/>
  <c r="AC52" i="31" s="1"/>
  <c r="AA52" i="31"/>
  <c r="AB54" i="31"/>
  <c r="AC54" i="31" s="1"/>
  <c r="AA54" i="31"/>
  <c r="AB112" i="31"/>
  <c r="AC112" i="31" s="1"/>
  <c r="AA112" i="31"/>
  <c r="AA72" i="31"/>
  <c r="AB72" i="31"/>
  <c r="AC72" i="31" s="1"/>
  <c r="AA191" i="31"/>
  <c r="AB191" i="31"/>
  <c r="AC191" i="31" s="1"/>
  <c r="AB189" i="31"/>
  <c r="AC189" i="31" s="1"/>
  <c r="AA189" i="31"/>
  <c r="AB61" i="31"/>
  <c r="AC61" i="31" s="1"/>
  <c r="AA61" i="31"/>
  <c r="AB103" i="31"/>
  <c r="AC103" i="31" s="1"/>
  <c r="AA103" i="31"/>
  <c r="AB44" i="31"/>
  <c r="AC44" i="31" s="1"/>
  <c r="AA44" i="31"/>
  <c r="AB96" i="31"/>
  <c r="AC96" i="31" s="1"/>
  <c r="AA96" i="31"/>
  <c r="AB171" i="31"/>
  <c r="AC171" i="31" s="1"/>
  <c r="AA171" i="31"/>
  <c r="AA43" i="31"/>
  <c r="AB43" i="31"/>
  <c r="AC43" i="31" s="1"/>
  <c r="AA32" i="31"/>
  <c r="AB32" i="31"/>
  <c r="AC32" i="31" s="1"/>
  <c r="AB98" i="31"/>
  <c r="AC98" i="31" s="1"/>
  <c r="AA98" i="31"/>
  <c r="AB34" i="31"/>
  <c r="AC34" i="31" s="1"/>
  <c r="AA34" i="31"/>
  <c r="AB113" i="31"/>
  <c r="AC113" i="31" s="1"/>
  <c r="AA113" i="31"/>
  <c r="AA143" i="31"/>
  <c r="AB143" i="31"/>
  <c r="AC143" i="31"/>
  <c r="AB110" i="31"/>
  <c r="AC110" i="31" s="1"/>
  <c r="AA110" i="31"/>
  <c r="AA181" i="31"/>
  <c r="AB181" i="31"/>
  <c r="AC181" i="31" s="1"/>
  <c r="AB117" i="31"/>
  <c r="AC117" i="31" s="1"/>
  <c r="AA117" i="31"/>
  <c r="AB53" i="31"/>
  <c r="AC53" i="31" s="1"/>
  <c r="AA53" i="31"/>
  <c r="AB152" i="31"/>
  <c r="AC152" i="31" s="1"/>
  <c r="AA152" i="31"/>
  <c r="AB39" i="31"/>
  <c r="AC39" i="31" s="1"/>
  <c r="AA39" i="31"/>
  <c r="AB164" i="31"/>
  <c r="AC164" i="31" s="1"/>
  <c r="AA164" i="31"/>
  <c r="AB100" i="31"/>
  <c r="AC100" i="31" s="1"/>
  <c r="AA100" i="31"/>
  <c r="AB36" i="31"/>
  <c r="AC36" i="31" s="1"/>
  <c r="AA36" i="31"/>
  <c r="AB64" i="31"/>
  <c r="AC64" i="31" s="1"/>
  <c r="AA64" i="31"/>
  <c r="AA198" i="31"/>
  <c r="AB198" i="31"/>
  <c r="AC198" i="31" s="1"/>
  <c r="AB30" i="31"/>
  <c r="AA30" i="31"/>
  <c r="AC30" i="31"/>
  <c r="AB163" i="31"/>
  <c r="AC163" i="31" s="1"/>
  <c r="AA163" i="31"/>
  <c r="AB99" i="31"/>
  <c r="AC99" i="31" s="1"/>
  <c r="AA99" i="31"/>
  <c r="AB35" i="31"/>
  <c r="AC35" i="31" s="1"/>
  <c r="AA35" i="31"/>
  <c r="AA175" i="31"/>
  <c r="AB175" i="31"/>
  <c r="AC175" i="31" s="1"/>
  <c r="AB22" i="31"/>
  <c r="AC22" i="31" s="1"/>
  <c r="AA22" i="31"/>
  <c r="AA154" i="31"/>
  <c r="AB154" i="31"/>
  <c r="AC154" i="31" s="1"/>
  <c r="AB90" i="31"/>
  <c r="AC90" i="31" s="1"/>
  <c r="AA90" i="31"/>
  <c r="AA26" i="31"/>
  <c r="AB26" i="31"/>
  <c r="AC26" i="31" s="1"/>
  <c r="AB24" i="31"/>
  <c r="AC24" i="31" s="1"/>
  <c r="AA24" i="31"/>
  <c r="AA174" i="31"/>
  <c r="AB174" i="31"/>
  <c r="AC174" i="31" s="1"/>
  <c r="AB169" i="31"/>
  <c r="AC169" i="31" s="1"/>
  <c r="AA169" i="31"/>
  <c r="AB105" i="31"/>
  <c r="AC105" i="31" s="1"/>
  <c r="AA105" i="31"/>
  <c r="AA41" i="31"/>
  <c r="AB41" i="31"/>
  <c r="AC41" i="31" s="1"/>
  <c r="AB40" i="31"/>
  <c r="AC40" i="31" s="1"/>
  <c r="AA40" i="31"/>
  <c r="AB69" i="31"/>
  <c r="AC69" i="31" s="1"/>
  <c r="AA69" i="31"/>
  <c r="AB136" i="31"/>
  <c r="AC136" i="31" s="1"/>
  <c r="AA136" i="31"/>
  <c r="AB179" i="31"/>
  <c r="AC179" i="31" s="1"/>
  <c r="AA179" i="31"/>
  <c r="AB102" i="31"/>
  <c r="AC102" i="31" s="1"/>
  <c r="AA102" i="31"/>
  <c r="AA106" i="31"/>
  <c r="AB106" i="31"/>
  <c r="AC106" i="31" s="1"/>
  <c r="AB42" i="31"/>
  <c r="AC42" i="31" s="1"/>
  <c r="AA42" i="31"/>
  <c r="AA185" i="31"/>
  <c r="AB185" i="31"/>
  <c r="AC185" i="31" s="1"/>
  <c r="AB150" i="31"/>
  <c r="AC150" i="31" s="1"/>
  <c r="AA150" i="31"/>
  <c r="AB125" i="31"/>
  <c r="AC125" i="31" s="1"/>
  <c r="AA125" i="31"/>
  <c r="AB184" i="31"/>
  <c r="AC184" i="31"/>
  <c r="AA184" i="31"/>
  <c r="AA172" i="31"/>
  <c r="AB172" i="31"/>
  <c r="AC172" i="31" s="1"/>
  <c r="AB108" i="31"/>
  <c r="AC108" i="31" s="1"/>
  <c r="AA108" i="31"/>
  <c r="AB23" i="31"/>
  <c r="AC23" i="31" s="1"/>
  <c r="AA23" i="31"/>
  <c r="AB46" i="31"/>
  <c r="AC46" i="31" s="1"/>
  <c r="AA46" i="31"/>
  <c r="AB107" i="31"/>
  <c r="AC107" i="31" s="1"/>
  <c r="AA107" i="31"/>
  <c r="AB70" i="31"/>
  <c r="AC70" i="31" s="1"/>
  <c r="AA70" i="31"/>
  <c r="AB162" i="31"/>
  <c r="AC162" i="31" s="1"/>
  <c r="AA162" i="31"/>
  <c r="AB48" i="31"/>
  <c r="AC48" i="31" s="1"/>
  <c r="AA48" i="31"/>
  <c r="Z3" i="31"/>
  <c r="Z224" i="31" s="1"/>
  <c r="Y1" i="31"/>
  <c r="AB177" i="31"/>
  <c r="AC177" i="31" s="1"/>
  <c r="AA177" i="31"/>
  <c r="AB49" i="31"/>
  <c r="AC49" i="31" s="1"/>
  <c r="AA49" i="31"/>
  <c r="AB119" i="31"/>
  <c r="AC119" i="31" s="1"/>
  <c r="AA119" i="31"/>
  <c r="AB86" i="31"/>
  <c r="AC86" i="31" s="1"/>
  <c r="AA86" i="31"/>
  <c r="AA173" i="31"/>
  <c r="AB173" i="31"/>
  <c r="AC173" i="31" s="1"/>
  <c r="AA109" i="31"/>
  <c r="AB109" i="31"/>
  <c r="AC109" i="31" s="1"/>
  <c r="AB45" i="31"/>
  <c r="AC45" i="31" s="1"/>
  <c r="AA45" i="31"/>
  <c r="AB128" i="31"/>
  <c r="AC128" i="31" s="1"/>
  <c r="AA128" i="31"/>
  <c r="AB182" i="31"/>
  <c r="AC182" i="31" s="1"/>
  <c r="AA182" i="31"/>
  <c r="AB156" i="31"/>
  <c r="AC156" i="31" s="1"/>
  <c r="AA156" i="31"/>
  <c r="AB92" i="31"/>
  <c r="AC92" i="31" s="1"/>
  <c r="AA92" i="31"/>
  <c r="AB28" i="31"/>
  <c r="AC28" i="31" s="1"/>
  <c r="AA28" i="31"/>
  <c r="AA8" i="31"/>
  <c r="AB8" i="31"/>
  <c r="AC8" i="31" s="1"/>
  <c r="AB158" i="31"/>
  <c r="AC158" i="31" s="1"/>
  <c r="AA158" i="31"/>
  <c r="AB14" i="31"/>
  <c r="AC14" i="31" s="1"/>
  <c r="AA14" i="31"/>
  <c r="AA155" i="31"/>
  <c r="AB155" i="31"/>
  <c r="AC155" i="31" s="1"/>
  <c r="AB91" i="31"/>
  <c r="AC91" i="31" s="1"/>
  <c r="AA91" i="31"/>
  <c r="AA27" i="31"/>
  <c r="AB27" i="31"/>
  <c r="AC27" i="31" s="1"/>
  <c r="AA135" i="31"/>
  <c r="AB135" i="31"/>
  <c r="AC135" i="31" s="1"/>
  <c r="AB210" i="31"/>
  <c r="AC210" i="31" s="1"/>
  <c r="AA210" i="31"/>
  <c r="AA146" i="31"/>
  <c r="AB146" i="31"/>
  <c r="AC146" i="31" s="1"/>
  <c r="AB82" i="31"/>
  <c r="AC82" i="31" s="1"/>
  <c r="AA82" i="31"/>
  <c r="AB18" i="31"/>
  <c r="AC18" i="31" s="1"/>
  <c r="AA18" i="31"/>
  <c r="AA199" i="31"/>
  <c r="AB199" i="31"/>
  <c r="AC199" i="31" s="1"/>
  <c r="AB126" i="31"/>
  <c r="AC126" i="31" s="1"/>
  <c r="AA126" i="31"/>
  <c r="AB161" i="31"/>
  <c r="AC161" i="31" s="1"/>
  <c r="AA161" i="31"/>
  <c r="AB97" i="31"/>
  <c r="AC97" i="31" s="1"/>
  <c r="AA97" i="31"/>
  <c r="AB33" i="31"/>
  <c r="AC33" i="31" s="1"/>
  <c r="AA33" i="31"/>
  <c r="AA167" i="31"/>
  <c r="AB167" i="31"/>
  <c r="AC167" i="31" s="1"/>
  <c r="AA51" i="31"/>
  <c r="AB51" i="31"/>
  <c r="AC51" i="31" s="1"/>
  <c r="AB57" i="31"/>
  <c r="AC57" i="31" s="1"/>
  <c r="AA57" i="31"/>
  <c r="AA200" i="31"/>
  <c r="AC200" i="31"/>
  <c r="AB200" i="31"/>
  <c r="AA165" i="31"/>
  <c r="AB165" i="31"/>
  <c r="AC165" i="31" s="1"/>
  <c r="AB88" i="31"/>
  <c r="AC88" i="31" s="1"/>
  <c r="AA88" i="31"/>
  <c r="AB84" i="31"/>
  <c r="AA84" i="31"/>
  <c r="AC84" i="31"/>
  <c r="AA183" i="31"/>
  <c r="AB183" i="31"/>
  <c r="AC183" i="31" s="1"/>
  <c r="AB147" i="31"/>
  <c r="AC147" i="31" s="1"/>
  <c r="AA147" i="31"/>
  <c r="AA19" i="31"/>
  <c r="AB19" i="31"/>
  <c r="AC19" i="31" s="1"/>
  <c r="AA138" i="31"/>
  <c r="AB138" i="31"/>
  <c r="AC138" i="31" s="1"/>
  <c r="AB10" i="31"/>
  <c r="AC10" i="31" s="1"/>
  <c r="AA10" i="31"/>
  <c r="AB25" i="31"/>
  <c r="AC25" i="31" s="1"/>
  <c r="AA25" i="31"/>
  <c r="AA160" i="31"/>
  <c r="AB160" i="31"/>
  <c r="AC160" i="31" s="1"/>
  <c r="AB55" i="31"/>
  <c r="AC55" i="31"/>
  <c r="AA55" i="31"/>
  <c r="AB38" i="31"/>
  <c r="AC38" i="31" s="1"/>
  <c r="AA38" i="31"/>
  <c r="AA157" i="31"/>
  <c r="AB157" i="31"/>
  <c r="AC157" i="31" s="1"/>
  <c r="AB93" i="31"/>
  <c r="AC93" i="31" s="1"/>
  <c r="AA93" i="31"/>
  <c r="AB29" i="31"/>
  <c r="AC29" i="31" s="1"/>
  <c r="AA29" i="31"/>
  <c r="AB56" i="31"/>
  <c r="AC56" i="31" s="1"/>
  <c r="AA56" i="31"/>
  <c r="AB204" i="31"/>
  <c r="AC204" i="31" s="1"/>
  <c r="AA204" i="31"/>
  <c r="AB140" i="31"/>
  <c r="AC140" i="31" s="1"/>
  <c r="AA140" i="31"/>
  <c r="AB76" i="31"/>
  <c r="AC76" i="31" s="1"/>
  <c r="AA76" i="31"/>
  <c r="AB12" i="31"/>
  <c r="AC12" i="31" s="1"/>
  <c r="AA12" i="31"/>
  <c r="AA151" i="31"/>
  <c r="AB151" i="31"/>
  <c r="AC151" i="31" s="1"/>
  <c r="AB118" i="31"/>
  <c r="AC118" i="31" s="1"/>
  <c r="AA118" i="31"/>
  <c r="AA203" i="31"/>
  <c r="AB203" i="31"/>
  <c r="AC203" i="31" s="1"/>
  <c r="AB139" i="31"/>
  <c r="AC139" i="31" s="1"/>
  <c r="AA139" i="31"/>
  <c r="AA75" i="31"/>
  <c r="AB75" i="31"/>
  <c r="AC75" i="31" s="1"/>
  <c r="AB11" i="31"/>
  <c r="AC11" i="31" s="1"/>
  <c r="AA11" i="31"/>
  <c r="AB31" i="31"/>
  <c r="AC31" i="31" s="1"/>
  <c r="AA31" i="31"/>
  <c r="AA194" i="31"/>
  <c r="AB194" i="31"/>
  <c r="AC194" i="31" s="1"/>
  <c r="AB130" i="31"/>
  <c r="AC130" i="31" s="1"/>
  <c r="AA130" i="31"/>
  <c r="AA66" i="31"/>
  <c r="AB66" i="31"/>
  <c r="AC66" i="31" s="1"/>
  <c r="AB192" i="31"/>
  <c r="AC192" i="31" s="1"/>
  <c r="AA192" i="31"/>
  <c r="AB111" i="31"/>
  <c r="AC111" i="31" s="1"/>
  <c r="AA111" i="31"/>
  <c r="AA209" i="31"/>
  <c r="AB209" i="31"/>
  <c r="AC209" i="31" s="1"/>
  <c r="AB145" i="31"/>
  <c r="AC145" i="31" s="1"/>
  <c r="AA145" i="31"/>
  <c r="AA81" i="31"/>
  <c r="AB81" i="31"/>
  <c r="AC81" i="31" s="1"/>
  <c r="AB197" i="31"/>
  <c r="AC197" i="31" s="1"/>
  <c r="AA197" i="31"/>
  <c r="AB180" i="31"/>
  <c r="AC180" i="31" s="1"/>
  <c r="AA180" i="31"/>
  <c r="AA63" i="31"/>
  <c r="AB63" i="31"/>
  <c r="AC63" i="31" s="1"/>
  <c r="AB15" i="31"/>
  <c r="AC15" i="31" s="1"/>
  <c r="AA15" i="31"/>
  <c r="AA62" i="31"/>
  <c r="AB62" i="31"/>
  <c r="AC62" i="31" s="1"/>
  <c r="AB101" i="31"/>
  <c r="AC101" i="31" s="1"/>
  <c r="AA101" i="31"/>
  <c r="AB212" i="31"/>
  <c r="AC212" i="31" s="1"/>
  <c r="AA212" i="31"/>
  <c r="AB20" i="31"/>
  <c r="AC20" i="31" s="1"/>
  <c r="AA20" i="31"/>
  <c r="AB142" i="31"/>
  <c r="AC142" i="31" s="1"/>
  <c r="AA142" i="31"/>
  <c r="AB83" i="31"/>
  <c r="AC83" i="31" s="1"/>
  <c r="AA83" i="31"/>
  <c r="AB79" i="31"/>
  <c r="AC79" i="31" s="1"/>
  <c r="AA79" i="31"/>
  <c r="AA202" i="31"/>
  <c r="AB202" i="31"/>
  <c r="AC202" i="31" s="1"/>
  <c r="AA74" i="31"/>
  <c r="AB74" i="31"/>
  <c r="AC74" i="31" s="1"/>
  <c r="AA159" i="31"/>
  <c r="AB159" i="31"/>
  <c r="AC159" i="31" s="1"/>
  <c r="AB6" i="31"/>
  <c r="AC6" i="31"/>
  <c r="AA6" i="31"/>
  <c r="AA89" i="31"/>
  <c r="AB89" i="31"/>
  <c r="AC89" i="31" s="1"/>
  <c r="AB120" i="31"/>
  <c r="AC120" i="31" s="1"/>
  <c r="AA120" i="31"/>
  <c r="AA213" i="31"/>
  <c r="AB213" i="31"/>
  <c r="AC213" i="31" s="1"/>
  <c r="AB149" i="31"/>
  <c r="AC149" i="31" s="1"/>
  <c r="AA149" i="31"/>
  <c r="AB85" i="31"/>
  <c r="AC85" i="31" s="1"/>
  <c r="AA85" i="31"/>
  <c r="AA21" i="31"/>
  <c r="AB21" i="31"/>
  <c r="AC21" i="31" s="1"/>
  <c r="AB16" i="31"/>
  <c r="AC16" i="31" s="1"/>
  <c r="AA16" i="31"/>
  <c r="AA196" i="31"/>
  <c r="AB196" i="31"/>
  <c r="AC196" i="31" s="1"/>
  <c r="AA132" i="31"/>
  <c r="AB132" i="31"/>
  <c r="AC132" i="31" s="1"/>
  <c r="AB68" i="31"/>
  <c r="AC68" i="31" s="1"/>
  <c r="AA68" i="31"/>
  <c r="AB4" i="31"/>
  <c r="AC4" i="31" s="1"/>
  <c r="AA4" i="31"/>
  <c r="AB127" i="31"/>
  <c r="AC127" i="31" s="1"/>
  <c r="AA127" i="31"/>
  <c r="AB94" i="31"/>
  <c r="AC94" i="31" s="1"/>
  <c r="AA94" i="31"/>
  <c r="AB195" i="31"/>
  <c r="AC195" i="31" s="1"/>
  <c r="AA195" i="31"/>
  <c r="AB131" i="31"/>
  <c r="AC131" i="31" s="1"/>
  <c r="AA131" i="31"/>
  <c r="AB67" i="31"/>
  <c r="AC67" i="31" s="1"/>
  <c r="AA67" i="31"/>
  <c r="AA208" i="31"/>
  <c r="AB208" i="31"/>
  <c r="AC208" i="31" s="1"/>
  <c r="AB190" i="31"/>
  <c r="AC190" i="31" s="1"/>
  <c r="AA190" i="31"/>
  <c r="AA186" i="31"/>
  <c r="AB186" i="31"/>
  <c r="AC186" i="31" s="1"/>
  <c r="AA122" i="31"/>
  <c r="AB122" i="31"/>
  <c r="AC122" i="31" s="1"/>
  <c r="AA58" i="31"/>
  <c r="AC58" i="31"/>
  <c r="AB58" i="31"/>
  <c r="AA144" i="31"/>
  <c r="AB144" i="31"/>
  <c r="AC144" i="31" s="1"/>
  <c r="AB71" i="31"/>
  <c r="AC71" i="31" s="1"/>
  <c r="AA71" i="31"/>
  <c r="AB201" i="31"/>
  <c r="AC201" i="31" s="1"/>
  <c r="AA201" i="31"/>
  <c r="AB137" i="31"/>
  <c r="AC137" i="31" s="1"/>
  <c r="AA137" i="31"/>
  <c r="AB73" i="31"/>
  <c r="AC73" i="31" s="1"/>
  <c r="AA73" i="31"/>
  <c r="AB9" i="31"/>
  <c r="AA9" i="31"/>
  <c r="AC9" i="31"/>
  <c r="AA133" i="31"/>
  <c r="AB133" i="31"/>
  <c r="AC133" i="31" s="1"/>
  <c r="AB116" i="31"/>
  <c r="AC116" i="31" s="1"/>
  <c r="AA116" i="31"/>
  <c r="AA115" i="31"/>
  <c r="AB115" i="31"/>
  <c r="AC115" i="31" s="1"/>
  <c r="AA170" i="31"/>
  <c r="AB170" i="31"/>
  <c r="AC170" i="31" s="1"/>
  <c r="AA121" i="31"/>
  <c r="AB121" i="31"/>
  <c r="AC121" i="31" s="1"/>
  <c r="AB87" i="31"/>
  <c r="AC87" i="31" s="1"/>
  <c r="AA87" i="31"/>
  <c r="AB37" i="31"/>
  <c r="AC37" i="31" s="1"/>
  <c r="AA37" i="31"/>
  <c r="AB148" i="31"/>
  <c r="AC148" i="31" s="1"/>
  <c r="AA148" i="31"/>
  <c r="AA211" i="31"/>
  <c r="AB211" i="31"/>
  <c r="AC211" i="31" s="1"/>
  <c r="AB153" i="31"/>
  <c r="AC153" i="31" s="1"/>
  <c r="AA153" i="31"/>
  <c r="AB80" i="31"/>
  <c r="AC80" i="31" s="1"/>
  <c r="AA80" i="31"/>
  <c r="AB206" i="31"/>
  <c r="AC206" i="31" s="1"/>
  <c r="AA206" i="31"/>
  <c r="AA205" i="31"/>
  <c r="AB205" i="31"/>
  <c r="AC205" i="31" s="1"/>
  <c r="AB141" i="31"/>
  <c r="AC141" i="31" s="1"/>
  <c r="AA141" i="31"/>
  <c r="AB77" i="31"/>
  <c r="AC77" i="31" s="1"/>
  <c r="AA77" i="31"/>
  <c r="AB13" i="31"/>
  <c r="AC13" i="31" s="1"/>
  <c r="AA13" i="31"/>
  <c r="AB207" i="31"/>
  <c r="AC207" i="31" s="1"/>
  <c r="AA207" i="31"/>
  <c r="AA188" i="31"/>
  <c r="AB188" i="31"/>
  <c r="AC188" i="31" s="1"/>
  <c r="AB124" i="31"/>
  <c r="AC124" i="31" s="1"/>
  <c r="AA124" i="31"/>
  <c r="AB60" i="31"/>
  <c r="AC60" i="31" s="1"/>
  <c r="AA60" i="31"/>
  <c r="AA176" i="31"/>
  <c r="AB176" i="31"/>
  <c r="AC176" i="31" s="1"/>
  <c r="AB95" i="31"/>
  <c r="AC95" i="31" s="1"/>
  <c r="AA95" i="31"/>
  <c r="AB78" i="31"/>
  <c r="AC78" i="31" s="1"/>
  <c r="AA78" i="31"/>
  <c r="AA187" i="31"/>
  <c r="AB187" i="31"/>
  <c r="AC187" i="31" s="1"/>
  <c r="AB123" i="31"/>
  <c r="AC123" i="31" s="1"/>
  <c r="AA123" i="31"/>
  <c r="AB59" i="31"/>
  <c r="AC59" i="31" s="1"/>
  <c r="AA59" i="31"/>
  <c r="AB168" i="31"/>
  <c r="AC168" i="31" s="1"/>
  <c r="AA168" i="31"/>
  <c r="AA134" i="31"/>
  <c r="AB134" i="31"/>
  <c r="AC134" i="31" s="1"/>
  <c r="AB178" i="31"/>
  <c r="AC178" i="31" s="1"/>
  <c r="AA178" i="31"/>
  <c r="AA114" i="31"/>
  <c r="AB114" i="31"/>
  <c r="AC114" i="31"/>
  <c r="AA50" i="31"/>
  <c r="AB50" i="31"/>
  <c r="AC50" i="31" s="1"/>
  <c r="AB104" i="31"/>
  <c r="AC104" i="31" s="1"/>
  <c r="AA104" i="31"/>
  <c r="AB47" i="31"/>
  <c r="AC47" i="31" s="1"/>
  <c r="AA47" i="31"/>
  <c r="AA193" i="31"/>
  <c r="AB193" i="31"/>
  <c r="AC193" i="31" s="1"/>
  <c r="AB129" i="31"/>
  <c r="AC129" i="31" s="1"/>
  <c r="AA129" i="31"/>
  <c r="AB65" i="31"/>
  <c r="AC65" i="31" s="1"/>
  <c r="AA65" i="31"/>
  <c r="L23" i="29"/>
  <c r="L42" i="29"/>
  <c r="L46" i="29" s="1"/>
  <c r="S5" i="31"/>
  <c r="S167" i="31"/>
  <c r="T167" i="31" s="1"/>
  <c r="V167" i="31" s="1"/>
  <c r="S13" i="31"/>
  <c r="T13" i="31" s="1"/>
  <c r="V13" i="31" s="1"/>
  <c r="S212" i="31"/>
  <c r="T212" i="31" s="1"/>
  <c r="V212" i="31" s="1"/>
  <c r="S172" i="31"/>
  <c r="T172" i="31" s="1"/>
  <c r="V172" i="31" s="1"/>
  <c r="S45" i="31"/>
  <c r="T45" i="31" s="1"/>
  <c r="V45" i="31" s="1"/>
  <c r="S133" i="31"/>
  <c r="T133" i="31" s="1"/>
  <c r="V133" i="31" s="1"/>
  <c r="S3" i="31"/>
  <c r="S64" i="31"/>
  <c r="T64" i="31" s="1"/>
  <c r="V64" i="31" s="1"/>
  <c r="S128" i="31"/>
  <c r="T128" i="31" s="1"/>
  <c r="V128" i="31" s="1"/>
  <c r="S25" i="31"/>
  <c r="T25" i="31" s="1"/>
  <c r="V25" i="31" s="1"/>
  <c r="S89" i="31"/>
  <c r="T89" i="31" s="1"/>
  <c r="V89" i="31" s="1"/>
  <c r="S153" i="31"/>
  <c r="T153" i="31" s="1"/>
  <c r="V153" i="31" s="1"/>
  <c r="S58" i="31"/>
  <c r="T58" i="31" s="1"/>
  <c r="V58" i="31" s="1"/>
  <c r="S122" i="31"/>
  <c r="T122" i="31" s="1"/>
  <c r="V122" i="31" s="1"/>
  <c r="S19" i="31"/>
  <c r="T19" i="31" s="1"/>
  <c r="V19" i="31" s="1"/>
  <c r="S83" i="31"/>
  <c r="T83" i="31" s="1"/>
  <c r="V83" i="31" s="1"/>
  <c r="S147" i="31"/>
  <c r="T147" i="31" s="1"/>
  <c r="V147" i="31" s="1"/>
  <c r="S4" i="31"/>
  <c r="T4" i="31" s="1"/>
  <c r="V4" i="31" s="1"/>
  <c r="S68" i="31"/>
  <c r="T68" i="31" s="1"/>
  <c r="V68" i="31" s="1"/>
  <c r="S132" i="31"/>
  <c r="T132" i="31" s="1"/>
  <c r="V132" i="31" s="1"/>
  <c r="S30" i="31"/>
  <c r="T30" i="31" s="1"/>
  <c r="V30" i="31" s="1"/>
  <c r="S94" i="31"/>
  <c r="T94" i="31" s="1"/>
  <c r="V94" i="31" s="1"/>
  <c r="S158" i="31"/>
  <c r="T158" i="31" s="1"/>
  <c r="V158" i="31" s="1"/>
  <c r="S177" i="31"/>
  <c r="T177" i="31" s="1"/>
  <c r="V177" i="31" s="1"/>
  <c r="S61" i="31"/>
  <c r="T61" i="31" s="1"/>
  <c r="V61" i="31" s="1"/>
  <c r="S185" i="31"/>
  <c r="T185" i="31" s="1"/>
  <c r="V185" i="31" s="1"/>
  <c r="S109" i="31"/>
  <c r="T109" i="31" s="1"/>
  <c r="V109" i="31" s="1"/>
  <c r="S202" i="31"/>
  <c r="T202" i="31" s="1"/>
  <c r="V202" i="31" s="1"/>
  <c r="S103" i="31"/>
  <c r="T103" i="31" s="1"/>
  <c r="V103" i="31" s="1"/>
  <c r="S200" i="31"/>
  <c r="T200" i="31" s="1"/>
  <c r="V200" i="31" s="1"/>
  <c r="S194" i="31"/>
  <c r="T194" i="31" s="1"/>
  <c r="V194" i="31" s="1"/>
  <c r="S111" i="31"/>
  <c r="T111" i="31" s="1"/>
  <c r="V111" i="31" s="1"/>
  <c r="S101" i="31"/>
  <c r="T101" i="31" s="1"/>
  <c r="V101" i="31" s="1"/>
  <c r="S8" i="31"/>
  <c r="T8" i="31" s="1"/>
  <c r="V8" i="31" s="1"/>
  <c r="S72" i="31"/>
  <c r="T72" i="31" s="1"/>
  <c r="V72" i="31" s="1"/>
  <c r="S136" i="31"/>
  <c r="T136" i="31" s="1"/>
  <c r="V136" i="31" s="1"/>
  <c r="S33" i="31"/>
  <c r="T33" i="31" s="1"/>
  <c r="V33" i="31" s="1"/>
  <c r="S97" i="31"/>
  <c r="T97" i="31" s="1"/>
  <c r="V97" i="31" s="1"/>
  <c r="S161" i="31"/>
  <c r="T161" i="31" s="1"/>
  <c r="V161" i="31" s="1"/>
  <c r="S66" i="31"/>
  <c r="T66" i="31" s="1"/>
  <c r="V66" i="31" s="1"/>
  <c r="S130" i="31"/>
  <c r="T130" i="31" s="1"/>
  <c r="V130" i="31" s="1"/>
  <c r="S27" i="31"/>
  <c r="T27" i="31" s="1"/>
  <c r="V27" i="31" s="1"/>
  <c r="S91" i="31"/>
  <c r="T91" i="31" s="1"/>
  <c r="V91" i="31" s="1"/>
  <c r="S155" i="31"/>
  <c r="T155" i="31" s="1"/>
  <c r="V155" i="31" s="1"/>
  <c r="S12" i="31"/>
  <c r="T12" i="31" s="1"/>
  <c r="V12" i="31" s="1"/>
  <c r="S76" i="31"/>
  <c r="T76" i="31" s="1"/>
  <c r="V76" i="31" s="1"/>
  <c r="S140" i="31"/>
  <c r="T140" i="31" s="1"/>
  <c r="V140" i="31" s="1"/>
  <c r="S38" i="31"/>
  <c r="T38" i="31" s="1"/>
  <c r="V38" i="31" s="1"/>
  <c r="S102" i="31"/>
  <c r="T102" i="31" s="1"/>
  <c r="V102" i="31" s="1"/>
  <c r="S166" i="31"/>
  <c r="T166" i="31" s="1"/>
  <c r="V166" i="31" s="1"/>
  <c r="S159" i="31"/>
  <c r="T159" i="31" s="1"/>
  <c r="V159" i="31" s="1"/>
  <c r="S206" i="31"/>
  <c r="T206" i="31" s="1"/>
  <c r="V206" i="31" s="1"/>
  <c r="S29" i="31"/>
  <c r="T29" i="31" s="1"/>
  <c r="V29" i="31" s="1"/>
  <c r="S175" i="31"/>
  <c r="T175" i="31" s="1"/>
  <c r="V175" i="31" s="1"/>
  <c r="S183" i="31"/>
  <c r="T183" i="31" s="1"/>
  <c r="V183" i="31" s="1"/>
  <c r="S39" i="31"/>
  <c r="T39" i="31" s="1"/>
  <c r="V39" i="31" s="1"/>
  <c r="S180" i="31"/>
  <c r="T180" i="31" s="1"/>
  <c r="V180" i="31" s="1"/>
  <c r="S173" i="31"/>
  <c r="T173" i="31" s="1"/>
  <c r="V173" i="31" s="1"/>
  <c r="S47" i="31"/>
  <c r="T47" i="31" s="1"/>
  <c r="V47" i="31" s="1"/>
  <c r="S69" i="31"/>
  <c r="T69" i="31" s="1"/>
  <c r="V69" i="31" s="1"/>
  <c r="S16" i="31"/>
  <c r="T16" i="31" s="1"/>
  <c r="V16" i="31" s="1"/>
  <c r="S80" i="31"/>
  <c r="T80" i="31" s="1"/>
  <c r="V80" i="31" s="1"/>
  <c r="S144" i="31"/>
  <c r="T144" i="31" s="1"/>
  <c r="V144" i="31" s="1"/>
  <c r="S41" i="31"/>
  <c r="T41" i="31" s="1"/>
  <c r="V41" i="31" s="1"/>
  <c r="S105" i="31"/>
  <c r="T105" i="31" s="1"/>
  <c r="V105" i="31" s="1"/>
  <c r="S10" i="31"/>
  <c r="T10" i="31" s="1"/>
  <c r="V10" i="31" s="1"/>
  <c r="S74" i="31"/>
  <c r="T74" i="31" s="1"/>
  <c r="V74" i="31" s="1"/>
  <c r="S138" i="31"/>
  <c r="T138" i="31" s="1"/>
  <c r="V138" i="31" s="1"/>
  <c r="S35" i="31"/>
  <c r="T35" i="31" s="1"/>
  <c r="V35" i="31" s="1"/>
  <c r="S99" i="31"/>
  <c r="T99" i="31" s="1"/>
  <c r="V99" i="31" s="1"/>
  <c r="S163" i="31"/>
  <c r="T163" i="31" s="1"/>
  <c r="V163" i="31" s="1"/>
  <c r="S20" i="31"/>
  <c r="T20" i="31" s="1"/>
  <c r="V20" i="31" s="1"/>
  <c r="S84" i="31"/>
  <c r="T84" i="31" s="1"/>
  <c r="V84" i="31" s="1"/>
  <c r="S148" i="31"/>
  <c r="T148" i="31" s="1"/>
  <c r="V148" i="31" s="1"/>
  <c r="S46" i="31"/>
  <c r="T46" i="31" s="1"/>
  <c r="V46" i="31" s="1"/>
  <c r="S110" i="31"/>
  <c r="T110" i="31" s="1"/>
  <c r="V110" i="31" s="1"/>
  <c r="S174" i="31"/>
  <c r="T174" i="31" s="1"/>
  <c r="V174" i="31" s="1"/>
  <c r="S127" i="31"/>
  <c r="T127" i="31" s="1"/>
  <c r="V127" i="31" s="1"/>
  <c r="S197" i="31"/>
  <c r="T197" i="31" s="1"/>
  <c r="V197" i="31" s="1"/>
  <c r="S151" i="31"/>
  <c r="T151" i="31" s="1"/>
  <c r="V151" i="31" s="1"/>
  <c r="S203" i="31"/>
  <c r="T203" i="31" s="1"/>
  <c r="V203" i="31" s="1"/>
  <c r="S143" i="31"/>
  <c r="T143" i="31" s="1"/>
  <c r="V143" i="31" s="1"/>
  <c r="S204" i="31"/>
  <c r="T204" i="31" s="1"/>
  <c r="V204" i="31" s="1"/>
  <c r="S135" i="31"/>
  <c r="T135" i="31" s="1"/>
  <c r="V135" i="31" s="1"/>
  <c r="S117" i="31"/>
  <c r="T117" i="31" s="1"/>
  <c r="V117" i="31" s="1"/>
  <c r="S141" i="31"/>
  <c r="T141" i="31" s="1"/>
  <c r="V141" i="31" s="1"/>
  <c r="S208" i="31"/>
  <c r="T208" i="31" s="1"/>
  <c r="V208" i="31" s="1"/>
  <c r="S37" i="31"/>
  <c r="T37" i="31" s="1"/>
  <c r="V37" i="31" s="1"/>
  <c r="S24" i="31"/>
  <c r="T24" i="31" s="1"/>
  <c r="V24" i="31" s="1"/>
  <c r="S88" i="31"/>
  <c r="T88" i="31" s="1"/>
  <c r="V88" i="31" s="1"/>
  <c r="S152" i="31"/>
  <c r="T152" i="31" s="1"/>
  <c r="V152" i="31" s="1"/>
  <c r="S49" i="31"/>
  <c r="T49" i="31" s="1"/>
  <c r="V49" i="31" s="1"/>
  <c r="S113" i="31"/>
  <c r="T113" i="31" s="1"/>
  <c r="V113" i="31" s="1"/>
  <c r="S18" i="31"/>
  <c r="T18" i="31" s="1"/>
  <c r="V18" i="31" s="1"/>
  <c r="S82" i="31"/>
  <c r="T82" i="31" s="1"/>
  <c r="V82" i="31" s="1"/>
  <c r="S146" i="31"/>
  <c r="T146" i="31" s="1"/>
  <c r="V146" i="31" s="1"/>
  <c r="S43" i="31"/>
  <c r="T43" i="31" s="1"/>
  <c r="V43" i="31" s="1"/>
  <c r="S107" i="31"/>
  <c r="T107" i="31" s="1"/>
  <c r="V107" i="31" s="1"/>
  <c r="S171" i="31"/>
  <c r="T171" i="31" s="1"/>
  <c r="V171" i="31" s="1"/>
  <c r="S28" i="31"/>
  <c r="T28" i="31" s="1"/>
  <c r="V28" i="31" s="1"/>
  <c r="S92" i="31"/>
  <c r="T92" i="31" s="1"/>
  <c r="V92" i="31" s="1"/>
  <c r="S156" i="31"/>
  <c r="T156" i="31" s="1"/>
  <c r="V156" i="31" s="1"/>
  <c r="S54" i="31"/>
  <c r="T54" i="31" s="1"/>
  <c r="V54" i="31" s="1"/>
  <c r="S118" i="31"/>
  <c r="T118" i="31" s="1"/>
  <c r="V118" i="31" s="1"/>
  <c r="S182" i="31"/>
  <c r="T182" i="31" s="1"/>
  <c r="V182" i="31" s="1"/>
  <c r="S95" i="31"/>
  <c r="T95" i="31" s="1"/>
  <c r="V95" i="31" s="1"/>
  <c r="S186" i="31"/>
  <c r="T186" i="31" s="1"/>
  <c r="V186" i="31" s="1"/>
  <c r="S119" i="31"/>
  <c r="T119" i="31" s="1"/>
  <c r="V119" i="31" s="1"/>
  <c r="S79" i="31"/>
  <c r="T79" i="31" s="1"/>
  <c r="V79" i="31" s="1"/>
  <c r="S184" i="31"/>
  <c r="T184" i="31" s="1"/>
  <c r="V184" i="31" s="1"/>
  <c r="S71" i="31"/>
  <c r="T71" i="31" s="1"/>
  <c r="V71" i="31" s="1"/>
  <c r="S53" i="31"/>
  <c r="T53" i="31" s="1"/>
  <c r="V53" i="31" s="1"/>
  <c r="S210" i="31"/>
  <c r="T210" i="31" s="1"/>
  <c r="V210" i="31" s="1"/>
  <c r="S199" i="31"/>
  <c r="T199" i="31" s="1"/>
  <c r="V199" i="31" s="1"/>
  <c r="S32" i="31"/>
  <c r="T32" i="31" s="1"/>
  <c r="V32" i="31" s="1"/>
  <c r="S96" i="31"/>
  <c r="T96" i="31" s="1"/>
  <c r="V96" i="31" s="1"/>
  <c r="S160" i="31"/>
  <c r="T160" i="31" s="1"/>
  <c r="V160" i="31" s="1"/>
  <c r="S57" i="31"/>
  <c r="T57" i="31" s="1"/>
  <c r="V57" i="31" s="1"/>
  <c r="S121" i="31"/>
  <c r="T121" i="31" s="1"/>
  <c r="V121" i="31" s="1"/>
  <c r="S26" i="31"/>
  <c r="T26" i="31" s="1"/>
  <c r="V26" i="31" s="1"/>
  <c r="S90" i="31"/>
  <c r="T90" i="31" s="1"/>
  <c r="V90" i="31" s="1"/>
  <c r="S154" i="31"/>
  <c r="T154" i="31" s="1"/>
  <c r="V154" i="31" s="1"/>
  <c r="S51" i="31"/>
  <c r="T51" i="31" s="1"/>
  <c r="V51" i="31" s="1"/>
  <c r="S115" i="31"/>
  <c r="T115" i="31" s="1"/>
  <c r="V115" i="31" s="1"/>
  <c r="S179" i="31"/>
  <c r="T179" i="31" s="1"/>
  <c r="V179" i="31" s="1"/>
  <c r="S36" i="31"/>
  <c r="T36" i="31" s="1"/>
  <c r="V36" i="31" s="1"/>
  <c r="S100" i="31"/>
  <c r="T100" i="31" s="1"/>
  <c r="V100" i="31" s="1"/>
  <c r="S164" i="31"/>
  <c r="T164" i="31" s="1"/>
  <c r="V164" i="31" s="1"/>
  <c r="S62" i="31"/>
  <c r="T62" i="31" s="1"/>
  <c r="V62" i="31" s="1"/>
  <c r="S126" i="31"/>
  <c r="T126" i="31" s="1"/>
  <c r="V126" i="31" s="1"/>
  <c r="S190" i="31"/>
  <c r="T190" i="31" s="1"/>
  <c r="V190" i="31" s="1"/>
  <c r="S63" i="31"/>
  <c r="T63" i="31" s="1"/>
  <c r="V63" i="31" s="1"/>
  <c r="S176" i="31"/>
  <c r="T176" i="31" s="1"/>
  <c r="V176" i="31" s="1"/>
  <c r="S87" i="31"/>
  <c r="T87" i="31" s="1"/>
  <c r="V87" i="31" s="1"/>
  <c r="S75" i="31"/>
  <c r="T75" i="31" s="1"/>
  <c r="V75" i="31" s="1"/>
  <c r="S15" i="31"/>
  <c r="T15" i="31" s="1"/>
  <c r="V15" i="31" s="1"/>
  <c r="S149" i="31"/>
  <c r="T149" i="31" s="1"/>
  <c r="V149" i="31" s="1"/>
  <c r="S7" i="31"/>
  <c r="S181" i="31"/>
  <c r="T181" i="31" s="1"/>
  <c r="V181" i="31" s="1"/>
  <c r="S192" i="31"/>
  <c r="T192" i="31" s="1"/>
  <c r="V192" i="31" s="1"/>
  <c r="S189" i="31"/>
  <c r="T189" i="31" s="1"/>
  <c r="V189" i="31" s="1"/>
  <c r="S40" i="31"/>
  <c r="T40" i="31" s="1"/>
  <c r="V40" i="31" s="1"/>
  <c r="S104" i="31"/>
  <c r="T104" i="31" s="1"/>
  <c r="V104" i="31" s="1"/>
  <c r="S168" i="31"/>
  <c r="T168" i="31" s="1"/>
  <c r="V168" i="31" s="1"/>
  <c r="S65" i="31"/>
  <c r="T65" i="31" s="1"/>
  <c r="V65" i="31" s="1"/>
  <c r="S129" i="31"/>
  <c r="T129" i="31" s="1"/>
  <c r="V129" i="31" s="1"/>
  <c r="S34" i="31"/>
  <c r="T34" i="31" s="1"/>
  <c r="V34" i="31" s="1"/>
  <c r="S98" i="31"/>
  <c r="T98" i="31" s="1"/>
  <c r="V98" i="31" s="1"/>
  <c r="S162" i="31"/>
  <c r="T162" i="31" s="1"/>
  <c r="V162" i="31" s="1"/>
  <c r="S59" i="31"/>
  <c r="T59" i="31" s="1"/>
  <c r="V59" i="31" s="1"/>
  <c r="S123" i="31"/>
  <c r="T123" i="31" s="1"/>
  <c r="V123" i="31" s="1"/>
  <c r="S187" i="31"/>
  <c r="T187" i="31" s="1"/>
  <c r="V187" i="31" s="1"/>
  <c r="S44" i="31"/>
  <c r="T44" i="31" s="1"/>
  <c r="V44" i="31" s="1"/>
  <c r="S108" i="31"/>
  <c r="T108" i="31" s="1"/>
  <c r="V108" i="31" s="1"/>
  <c r="S6" i="31"/>
  <c r="T6" i="31" s="1"/>
  <c r="V6" i="31" s="1"/>
  <c r="S70" i="31"/>
  <c r="T70" i="31" s="1"/>
  <c r="V70" i="31" s="1"/>
  <c r="S134" i="31"/>
  <c r="T134" i="31" s="1"/>
  <c r="V134" i="31" s="1"/>
  <c r="S207" i="31"/>
  <c r="T207" i="31" s="1"/>
  <c r="V207" i="31" s="1"/>
  <c r="S31" i="31"/>
  <c r="T31" i="31" s="1"/>
  <c r="V31" i="31" s="1"/>
  <c r="S157" i="31"/>
  <c r="T157" i="31" s="1"/>
  <c r="V157" i="31" s="1"/>
  <c r="S213" i="31"/>
  <c r="T213" i="31" s="1"/>
  <c r="V213" i="31" s="1"/>
  <c r="S55" i="31"/>
  <c r="T55" i="31" s="1"/>
  <c r="V55" i="31" s="1"/>
  <c r="S209" i="31"/>
  <c r="T209" i="31" s="1"/>
  <c r="V209" i="31" s="1"/>
  <c r="S85" i="31"/>
  <c r="T85" i="31" s="1"/>
  <c r="V85" i="31" s="1"/>
  <c r="S201" i="31"/>
  <c r="T201" i="31" s="1"/>
  <c r="V201" i="31" s="1"/>
  <c r="S211" i="31"/>
  <c r="T211" i="31" s="1"/>
  <c r="V211" i="31" s="1"/>
  <c r="S169" i="31"/>
  <c r="T169" i="31" s="1"/>
  <c r="V169" i="31" s="1"/>
  <c r="S178" i="31"/>
  <c r="T178" i="31" s="1"/>
  <c r="V178" i="31" s="1"/>
  <c r="S48" i="31"/>
  <c r="T48" i="31" s="1"/>
  <c r="V48" i="31" s="1"/>
  <c r="S112" i="31"/>
  <c r="T112" i="31" s="1"/>
  <c r="V112" i="31" s="1"/>
  <c r="S9" i="31"/>
  <c r="T9" i="31" s="1"/>
  <c r="V9" i="31" s="1"/>
  <c r="S73" i="31"/>
  <c r="T73" i="31" s="1"/>
  <c r="V73" i="31" s="1"/>
  <c r="S137" i="31"/>
  <c r="T137" i="31" s="1"/>
  <c r="V137" i="31" s="1"/>
  <c r="S42" i="31"/>
  <c r="T42" i="31" s="1"/>
  <c r="V42" i="31" s="1"/>
  <c r="S106" i="31"/>
  <c r="T106" i="31" s="1"/>
  <c r="V106" i="31" s="1"/>
  <c r="S170" i="31"/>
  <c r="T170" i="31" s="1"/>
  <c r="V170" i="31" s="1"/>
  <c r="S67" i="31"/>
  <c r="T67" i="31" s="1"/>
  <c r="V67" i="31" s="1"/>
  <c r="S131" i="31"/>
  <c r="T131" i="31" s="1"/>
  <c r="V131" i="31" s="1"/>
  <c r="S195" i="31"/>
  <c r="T195" i="31" s="1"/>
  <c r="V195" i="31" s="1"/>
  <c r="S52" i="31"/>
  <c r="T52" i="31" s="1"/>
  <c r="V52" i="31" s="1"/>
  <c r="S116" i="31"/>
  <c r="T116" i="31" s="1"/>
  <c r="V116" i="31" s="1"/>
  <c r="S14" i="31"/>
  <c r="T14" i="31" s="1"/>
  <c r="V14" i="31" s="1"/>
  <c r="S78" i="31"/>
  <c r="T78" i="31" s="1"/>
  <c r="V78" i="31" s="1"/>
  <c r="S142" i="31"/>
  <c r="T142" i="31" s="1"/>
  <c r="V142" i="31" s="1"/>
  <c r="S198" i="31"/>
  <c r="T198" i="31" s="1"/>
  <c r="V198" i="31" s="1"/>
  <c r="S125" i="31"/>
  <c r="T125" i="31" s="1"/>
  <c r="V125" i="31" s="1"/>
  <c r="S205" i="31"/>
  <c r="T205" i="31" s="1"/>
  <c r="V205" i="31" s="1"/>
  <c r="S23" i="31"/>
  <c r="T23" i="31" s="1"/>
  <c r="V23" i="31" s="1"/>
  <c r="S21" i="31"/>
  <c r="T21" i="31" s="1"/>
  <c r="V21" i="31" s="1"/>
  <c r="S77" i="31"/>
  <c r="T77" i="31" s="1"/>
  <c r="V77" i="31" s="1"/>
  <c r="S193" i="31"/>
  <c r="T193" i="31" s="1"/>
  <c r="V193" i="31" s="1"/>
  <c r="S165" i="31"/>
  <c r="T165" i="31" s="1"/>
  <c r="V165" i="31" s="1"/>
  <c r="S56" i="31"/>
  <c r="T56" i="31" s="1"/>
  <c r="V56" i="31" s="1"/>
  <c r="S120" i="31"/>
  <c r="T120" i="31" s="1"/>
  <c r="V120" i="31" s="1"/>
  <c r="S17" i="31"/>
  <c r="S81" i="31"/>
  <c r="T81" i="31" s="1"/>
  <c r="V81" i="31" s="1"/>
  <c r="S145" i="31"/>
  <c r="T145" i="31" s="1"/>
  <c r="V145" i="31" s="1"/>
  <c r="S50" i="31"/>
  <c r="T50" i="31" s="1"/>
  <c r="V50" i="31" s="1"/>
  <c r="S114" i="31"/>
  <c r="T114" i="31" s="1"/>
  <c r="V114" i="31" s="1"/>
  <c r="S11" i="31"/>
  <c r="T11" i="31" s="1"/>
  <c r="V11" i="31" s="1"/>
  <c r="S139" i="31"/>
  <c r="T139" i="31" s="1"/>
  <c r="V139" i="31" s="1"/>
  <c r="S60" i="31"/>
  <c r="T60" i="31" s="1"/>
  <c r="V60" i="31" s="1"/>
  <c r="S124" i="31"/>
  <c r="T124" i="31" s="1"/>
  <c r="V124" i="31" s="1"/>
  <c r="S22" i="31"/>
  <c r="T22" i="31" s="1"/>
  <c r="V22" i="31" s="1"/>
  <c r="S86" i="31"/>
  <c r="T86" i="31" s="1"/>
  <c r="V86" i="31" s="1"/>
  <c r="S150" i="31"/>
  <c r="T150" i="31" s="1"/>
  <c r="V150" i="31" s="1"/>
  <c r="S188" i="31"/>
  <c r="T188" i="31" s="1"/>
  <c r="V188" i="31" s="1"/>
  <c r="S93" i="31"/>
  <c r="T93" i="31" s="1"/>
  <c r="V93" i="31" s="1"/>
  <c r="S196" i="31"/>
  <c r="T196" i="31" s="1"/>
  <c r="V196" i="31" s="1"/>
  <c r="S191" i="31"/>
  <c r="T191" i="31" s="1"/>
  <c r="V191" i="31" s="1"/>
  <c r="F57" i="28"/>
  <c r="AB17" i="31" l="1"/>
  <c r="AC17" i="31" s="1"/>
  <c r="AC227" i="31" s="1"/>
  <c r="AB5" i="31"/>
  <c r="AB225" i="31" s="1"/>
  <c r="AA5" i="31"/>
  <c r="AA225" i="31" s="1"/>
  <c r="AB227" i="31"/>
  <c r="T5" i="31"/>
  <c r="S225" i="31"/>
  <c r="AA7" i="31"/>
  <c r="AA226" i="31" s="1"/>
  <c r="T3" i="31"/>
  <c r="T224" i="31" s="1"/>
  <c r="S224" i="31"/>
  <c r="AB7" i="31"/>
  <c r="Y228" i="31"/>
  <c r="T17" i="31"/>
  <c r="U17" i="31" s="1"/>
  <c r="S227" i="31"/>
  <c r="T7" i="31"/>
  <c r="U7" i="31" s="1"/>
  <c r="S226" i="31"/>
  <c r="AA17" i="31"/>
  <c r="AA227" i="31" s="1"/>
  <c r="Z228" i="31"/>
  <c r="Z216" i="31"/>
  <c r="M53" i="29" s="1"/>
  <c r="Z215" i="31"/>
  <c r="M52" i="29" s="1"/>
  <c r="Z218" i="31"/>
  <c r="M56" i="29" s="1"/>
  <c r="AB3" i="31"/>
  <c r="AC3" i="31" s="1"/>
  <c r="Z219" i="31"/>
  <c r="M57" i="29" s="1"/>
  <c r="Z220" i="31"/>
  <c r="M58" i="29" s="1"/>
  <c r="Z1" i="31"/>
  <c r="AA3" i="31"/>
  <c r="U188" i="31"/>
  <c r="W188" i="31"/>
  <c r="W114" i="31"/>
  <c r="U114" i="31"/>
  <c r="W193" i="31"/>
  <c r="U193" i="31"/>
  <c r="W78" i="31"/>
  <c r="U78" i="31"/>
  <c r="W106" i="31"/>
  <c r="U106" i="31"/>
  <c r="W169" i="31"/>
  <c r="U169" i="31"/>
  <c r="U31" i="31"/>
  <c r="W31" i="31"/>
  <c r="U123" i="31"/>
  <c r="W123" i="31"/>
  <c r="U104" i="31"/>
  <c r="W104" i="31"/>
  <c r="W75" i="31"/>
  <c r="U75" i="31"/>
  <c r="W100" i="31"/>
  <c r="U100" i="31"/>
  <c r="U121" i="31"/>
  <c r="W121" i="31"/>
  <c r="U71" i="31"/>
  <c r="W71" i="31"/>
  <c r="U54" i="31"/>
  <c r="W54" i="31"/>
  <c r="U82" i="31"/>
  <c r="W82" i="31"/>
  <c r="U208" i="31"/>
  <c r="W208" i="31"/>
  <c r="U197" i="31"/>
  <c r="W197" i="31"/>
  <c r="U163" i="31"/>
  <c r="W163" i="31"/>
  <c r="W144" i="31"/>
  <c r="U144" i="31"/>
  <c r="U183" i="31"/>
  <c r="W183" i="31"/>
  <c r="U140" i="31"/>
  <c r="W140" i="31"/>
  <c r="W161" i="31"/>
  <c r="U161" i="31"/>
  <c r="W194" i="31"/>
  <c r="U194" i="31"/>
  <c r="W158" i="31"/>
  <c r="U158" i="31"/>
  <c r="U19" i="31"/>
  <c r="W19" i="31"/>
  <c r="S1" i="31"/>
  <c r="W150" i="31"/>
  <c r="U150" i="31"/>
  <c r="U50" i="31"/>
  <c r="W50" i="31"/>
  <c r="U77" i="31"/>
  <c r="W77" i="31"/>
  <c r="U14" i="31"/>
  <c r="W14" i="31"/>
  <c r="U42" i="31"/>
  <c r="W42" i="31"/>
  <c r="U211" i="31"/>
  <c r="W211" i="31"/>
  <c r="U207" i="31"/>
  <c r="W207" i="31"/>
  <c r="W59" i="31"/>
  <c r="U59" i="31"/>
  <c r="W40" i="31"/>
  <c r="U40" i="31"/>
  <c r="U87" i="31"/>
  <c r="W87" i="31"/>
  <c r="W36" i="31"/>
  <c r="U36" i="31"/>
  <c r="W57" i="31"/>
  <c r="U57" i="31"/>
  <c r="U184" i="31"/>
  <c r="W184" i="31"/>
  <c r="U156" i="31"/>
  <c r="W156" i="31"/>
  <c r="U18" i="31"/>
  <c r="W18" i="31"/>
  <c r="W141" i="31"/>
  <c r="U141" i="31"/>
  <c r="U127" i="31"/>
  <c r="W127" i="31"/>
  <c r="U99" i="31"/>
  <c r="W99" i="31"/>
  <c r="W80" i="31"/>
  <c r="U80" i="31"/>
  <c r="U175" i="31"/>
  <c r="W175" i="31"/>
  <c r="U76" i="31"/>
  <c r="W76" i="31"/>
  <c r="U97" i="31"/>
  <c r="W97" i="31"/>
  <c r="U200" i="31"/>
  <c r="W200" i="31"/>
  <c r="W94" i="31"/>
  <c r="U94" i="31"/>
  <c r="W122" i="31"/>
  <c r="U122" i="31"/>
  <c r="W133" i="31"/>
  <c r="U133" i="31"/>
  <c r="W86" i="31"/>
  <c r="U86" i="31"/>
  <c r="U145" i="31"/>
  <c r="W145" i="31"/>
  <c r="W21" i="31"/>
  <c r="U21" i="31"/>
  <c r="W116" i="31"/>
  <c r="U116" i="31"/>
  <c r="U137" i="31"/>
  <c r="W137" i="31"/>
  <c r="U201" i="31"/>
  <c r="W201" i="31"/>
  <c r="U134" i="31"/>
  <c r="W134" i="31"/>
  <c r="U162" i="31"/>
  <c r="W162" i="31"/>
  <c r="U189" i="31"/>
  <c r="W189" i="31"/>
  <c r="U176" i="31"/>
  <c r="W176" i="31"/>
  <c r="W179" i="31"/>
  <c r="U179" i="31"/>
  <c r="W160" i="31"/>
  <c r="U160" i="31"/>
  <c r="U79" i="31"/>
  <c r="W79" i="31"/>
  <c r="W92" i="31"/>
  <c r="U92" i="31"/>
  <c r="U113" i="31"/>
  <c r="W113" i="31"/>
  <c r="U117" i="31"/>
  <c r="W117" i="31"/>
  <c r="W174" i="31"/>
  <c r="U174" i="31"/>
  <c r="W35" i="31"/>
  <c r="U35" i="31"/>
  <c r="W16" i="31"/>
  <c r="U16" i="31"/>
  <c r="W29" i="31"/>
  <c r="U29" i="31"/>
  <c r="W12" i="31"/>
  <c r="U12" i="31"/>
  <c r="U33" i="31"/>
  <c r="W33" i="31"/>
  <c r="U103" i="31"/>
  <c r="W103" i="31"/>
  <c r="U30" i="31"/>
  <c r="W30" i="31"/>
  <c r="W58" i="31"/>
  <c r="U58" i="31"/>
  <c r="W45" i="31"/>
  <c r="U45" i="31"/>
  <c r="U22" i="31"/>
  <c r="W22" i="31"/>
  <c r="W81" i="31"/>
  <c r="U81" i="31"/>
  <c r="U23" i="31"/>
  <c r="W23" i="31"/>
  <c r="W52" i="31"/>
  <c r="U52" i="31"/>
  <c r="W73" i="31"/>
  <c r="U73" i="31"/>
  <c r="U85" i="31"/>
  <c r="W85" i="31"/>
  <c r="W70" i="31"/>
  <c r="U70" i="31"/>
  <c r="U98" i="31"/>
  <c r="W98" i="31"/>
  <c r="U192" i="31"/>
  <c r="W192" i="31"/>
  <c r="U63" i="31"/>
  <c r="W63" i="31"/>
  <c r="U115" i="31"/>
  <c r="W115" i="31"/>
  <c r="U96" i="31"/>
  <c r="W96" i="31"/>
  <c r="W119" i="31"/>
  <c r="U119" i="31"/>
  <c r="U28" i="31"/>
  <c r="W28" i="31"/>
  <c r="W49" i="31"/>
  <c r="U49" i="31"/>
  <c r="W135" i="31"/>
  <c r="U135" i="31"/>
  <c r="W110" i="31"/>
  <c r="U110" i="31"/>
  <c r="W138" i="31"/>
  <c r="U138" i="31"/>
  <c r="W69" i="31"/>
  <c r="U69" i="31"/>
  <c r="U206" i="31"/>
  <c r="W206" i="31"/>
  <c r="U155" i="31"/>
  <c r="W155" i="31"/>
  <c r="W136" i="31"/>
  <c r="U136" i="31"/>
  <c r="W202" i="31"/>
  <c r="U202" i="31"/>
  <c r="U132" i="31"/>
  <c r="W132" i="31"/>
  <c r="U153" i="31"/>
  <c r="W153" i="31"/>
  <c r="U172" i="31"/>
  <c r="W172" i="31"/>
  <c r="W124" i="31"/>
  <c r="U124" i="31"/>
  <c r="W205" i="31"/>
  <c r="U205" i="31"/>
  <c r="U195" i="31"/>
  <c r="W195" i="31"/>
  <c r="U9" i="31"/>
  <c r="W9" i="31"/>
  <c r="U209" i="31"/>
  <c r="W209" i="31"/>
  <c r="U6" i="31"/>
  <c r="W6" i="31"/>
  <c r="U34" i="31"/>
  <c r="W34" i="31"/>
  <c r="U181" i="31"/>
  <c r="W181" i="31"/>
  <c r="U190" i="31"/>
  <c r="W190" i="31"/>
  <c r="W51" i="31"/>
  <c r="U51" i="31"/>
  <c r="W32" i="31"/>
  <c r="U32" i="31"/>
  <c r="U186" i="31"/>
  <c r="W186" i="31"/>
  <c r="U171" i="31"/>
  <c r="W171" i="31"/>
  <c r="W152" i="31"/>
  <c r="U152" i="31"/>
  <c r="U204" i="31"/>
  <c r="W204" i="31"/>
  <c r="W46" i="31"/>
  <c r="U46" i="31"/>
  <c r="W74" i="31"/>
  <c r="U74" i="31"/>
  <c r="U47" i="31"/>
  <c r="W47" i="31"/>
  <c r="U159" i="31"/>
  <c r="W159" i="31"/>
  <c r="W91" i="31"/>
  <c r="U91" i="31"/>
  <c r="U72" i="31"/>
  <c r="W72" i="31"/>
  <c r="U109" i="31"/>
  <c r="W109" i="31"/>
  <c r="U68" i="31"/>
  <c r="W68" i="31"/>
  <c r="W89" i="31"/>
  <c r="U89" i="31"/>
  <c r="U212" i="31"/>
  <c r="W212" i="31"/>
  <c r="U191" i="31"/>
  <c r="W191" i="31"/>
  <c r="U60" i="31"/>
  <c r="W60" i="31"/>
  <c r="U120" i="31"/>
  <c r="W120" i="31"/>
  <c r="W125" i="31"/>
  <c r="U125" i="31"/>
  <c r="W131" i="31"/>
  <c r="U131" i="31"/>
  <c r="U112" i="31"/>
  <c r="W112" i="31"/>
  <c r="W55" i="31"/>
  <c r="U55" i="31"/>
  <c r="W108" i="31"/>
  <c r="U108" i="31"/>
  <c r="U129" i="31"/>
  <c r="W129" i="31"/>
  <c r="U126" i="31"/>
  <c r="W126" i="31"/>
  <c r="U154" i="31"/>
  <c r="W154" i="31"/>
  <c r="U199" i="31"/>
  <c r="W199" i="31"/>
  <c r="U95" i="31"/>
  <c r="W95" i="31"/>
  <c r="U107" i="31"/>
  <c r="W107" i="31"/>
  <c r="U88" i="31"/>
  <c r="W88" i="31"/>
  <c r="U143" i="31"/>
  <c r="W143" i="31"/>
  <c r="U148" i="31"/>
  <c r="W148" i="31"/>
  <c r="U10" i="31"/>
  <c r="W10" i="31"/>
  <c r="W173" i="31"/>
  <c r="U173" i="31"/>
  <c r="W166" i="31"/>
  <c r="U166" i="31"/>
  <c r="U27" i="31"/>
  <c r="W27" i="31"/>
  <c r="U8" i="31"/>
  <c r="W8" i="31"/>
  <c r="W185" i="31"/>
  <c r="U185" i="31"/>
  <c r="W4" i="31"/>
  <c r="U4" i="31"/>
  <c r="U25" i="31"/>
  <c r="W25" i="31"/>
  <c r="U13" i="31"/>
  <c r="W13" i="31"/>
  <c r="W196" i="31"/>
  <c r="U196" i="31"/>
  <c r="W139" i="31"/>
  <c r="U139" i="31"/>
  <c r="W56" i="31"/>
  <c r="U56" i="31"/>
  <c r="U198" i="31"/>
  <c r="W198" i="31"/>
  <c r="U67" i="31"/>
  <c r="W67" i="31"/>
  <c r="U48" i="31"/>
  <c r="W48" i="31"/>
  <c r="U213" i="31"/>
  <c r="W213" i="31"/>
  <c r="U44" i="31"/>
  <c r="W44" i="31"/>
  <c r="U65" i="31"/>
  <c r="W65" i="31"/>
  <c r="U149" i="31"/>
  <c r="W149" i="31"/>
  <c r="W62" i="31"/>
  <c r="U62" i="31"/>
  <c r="U90" i="31"/>
  <c r="W90" i="31"/>
  <c r="U210" i="31"/>
  <c r="W210" i="31"/>
  <c r="U182" i="31"/>
  <c r="W182" i="31"/>
  <c r="W43" i="31"/>
  <c r="U43" i="31"/>
  <c r="W24" i="31"/>
  <c r="U24" i="31"/>
  <c r="U203" i="31"/>
  <c r="W203" i="31"/>
  <c r="W84" i="31"/>
  <c r="U84" i="31"/>
  <c r="U105" i="31"/>
  <c r="W105" i="31"/>
  <c r="W180" i="31"/>
  <c r="U180" i="31"/>
  <c r="W102" i="31"/>
  <c r="U102" i="31"/>
  <c r="W130" i="31"/>
  <c r="U130" i="31"/>
  <c r="U101" i="31"/>
  <c r="W101" i="31"/>
  <c r="U61" i="31"/>
  <c r="W61" i="31"/>
  <c r="W147" i="31"/>
  <c r="U147" i="31"/>
  <c r="U128" i="31"/>
  <c r="W128" i="31"/>
  <c r="W167" i="31"/>
  <c r="U167" i="31"/>
  <c r="U93" i="31"/>
  <c r="W93" i="31"/>
  <c r="U11" i="31"/>
  <c r="W11" i="31"/>
  <c r="W165" i="31"/>
  <c r="U165" i="31"/>
  <c r="W142" i="31"/>
  <c r="U142" i="31"/>
  <c r="U170" i="31"/>
  <c r="W170" i="31"/>
  <c r="U178" i="31"/>
  <c r="W178" i="31"/>
  <c r="W157" i="31"/>
  <c r="U157" i="31"/>
  <c r="U187" i="31"/>
  <c r="W187" i="31"/>
  <c r="U168" i="31"/>
  <c r="W168" i="31"/>
  <c r="W15" i="31"/>
  <c r="U15" i="31"/>
  <c r="U164" i="31"/>
  <c r="W164" i="31"/>
  <c r="W26" i="31"/>
  <c r="U26" i="31"/>
  <c r="U53" i="31"/>
  <c r="W53" i="31"/>
  <c r="U118" i="31"/>
  <c r="W118" i="31"/>
  <c r="W146" i="31"/>
  <c r="U146" i="31"/>
  <c r="U37" i="31"/>
  <c r="W37" i="31"/>
  <c r="U151" i="31"/>
  <c r="W151" i="31"/>
  <c r="U20" i="31"/>
  <c r="W20" i="31"/>
  <c r="U41" i="31"/>
  <c r="W41" i="31"/>
  <c r="W39" i="31"/>
  <c r="U39" i="31"/>
  <c r="W38" i="31"/>
  <c r="U38" i="31"/>
  <c r="U66" i="31"/>
  <c r="W66" i="31"/>
  <c r="W111" i="31"/>
  <c r="U111" i="31"/>
  <c r="W177" i="31"/>
  <c r="U177" i="31"/>
  <c r="W83" i="31"/>
  <c r="U83" i="31"/>
  <c r="U64" i="31"/>
  <c r="W64" i="31"/>
  <c r="AC5" i="31" l="1"/>
  <c r="AC225" i="31" s="1"/>
  <c r="T219" i="31"/>
  <c r="L57" i="29" s="1"/>
  <c r="U5" i="31"/>
  <c r="U225" i="31" s="1"/>
  <c r="T215" i="31"/>
  <c r="L52" i="29" s="1"/>
  <c r="U226" i="31"/>
  <c r="S228" i="31"/>
  <c r="T218" i="31"/>
  <c r="L56" i="29" s="1"/>
  <c r="V7" i="31"/>
  <c r="T226" i="31"/>
  <c r="U227" i="31"/>
  <c r="V3" i="31"/>
  <c r="V224" i="31" s="1"/>
  <c r="AC224" i="31"/>
  <c r="V17" i="31"/>
  <c r="T227" i="31"/>
  <c r="AA1" i="31"/>
  <c r="AA224" i="31"/>
  <c r="AA228" i="31" s="1"/>
  <c r="V5" i="31"/>
  <c r="T225" i="31"/>
  <c r="AB1" i="31"/>
  <c r="AB224" i="31"/>
  <c r="T216" i="31"/>
  <c r="L53" i="29" s="1"/>
  <c r="T220" i="31"/>
  <c r="L58" i="29" s="1"/>
  <c r="AC7" i="31"/>
  <c r="AC226" i="31" s="1"/>
  <c r="AB226" i="31"/>
  <c r="M54" i="29"/>
  <c r="U3" i="31"/>
  <c r="T1" i="31"/>
  <c r="W3" i="31" l="1"/>
  <c r="W224" i="31" s="1"/>
  <c r="L54" i="29"/>
  <c r="M39" i="29"/>
  <c r="M44" i="29" s="1"/>
  <c r="AB228" i="31"/>
  <c r="T228" i="31"/>
  <c r="AC228" i="31"/>
  <c r="AC1" i="31"/>
  <c r="M40" i="29" s="1"/>
  <c r="M45" i="29" s="1"/>
  <c r="V225" i="31"/>
  <c r="W5" i="31"/>
  <c r="W225" i="31" s="1"/>
  <c r="U1" i="31"/>
  <c r="U224" i="31"/>
  <c r="U228" i="31" s="1"/>
  <c r="V1" i="31"/>
  <c r="V226" i="31"/>
  <c r="W7" i="31"/>
  <c r="W226" i="31" s="1"/>
  <c r="V227" i="31"/>
  <c r="W17" i="31"/>
  <c r="W227" i="31" s="1"/>
  <c r="L39" i="29" l="1"/>
  <c r="L44" i="29" s="1"/>
  <c r="M49" i="29"/>
  <c r="M48" i="29"/>
  <c r="V228" i="31"/>
  <c r="W228" i="31"/>
  <c r="W1" i="31"/>
  <c r="L40" i="29" s="1"/>
  <c r="L45" i="29" s="1"/>
  <c r="L49" i="29" l="1"/>
  <c r="L48" i="29"/>
  <c r="AB69" i="20" l="1"/>
  <c r="AB68" i="20"/>
  <c r="AB67" i="20"/>
  <c r="AB63" i="20"/>
  <c r="Y63" i="20"/>
  <c r="N57" i="20"/>
  <c r="N56" i="20"/>
  <c r="N55" i="20"/>
  <c r="N54" i="20"/>
  <c r="N53" i="20"/>
  <c r="N52" i="20"/>
  <c r="N51" i="20"/>
  <c r="N50" i="20"/>
  <c r="AC46" i="20"/>
  <c r="AB46" i="20"/>
  <c r="Y46" i="20"/>
  <c r="T46" i="20"/>
  <c r="N46" i="20"/>
  <c r="P46" i="20" s="1"/>
  <c r="I46" i="20"/>
  <c r="F46" i="20"/>
  <c r="AC45" i="20"/>
  <c r="AB45" i="20"/>
  <c r="Y45" i="20"/>
  <c r="T45" i="20"/>
  <c r="N45" i="20"/>
  <c r="P45" i="20" s="1"/>
  <c r="I45" i="20"/>
  <c r="F45" i="20"/>
  <c r="AC44" i="20"/>
  <c r="AB44" i="20"/>
  <c r="Y44" i="20"/>
  <c r="T44" i="20"/>
  <c r="N44" i="20"/>
  <c r="P44" i="20" s="1"/>
  <c r="I44" i="20"/>
  <c r="F44" i="20"/>
  <c r="AC43" i="20"/>
  <c r="AB43" i="20"/>
  <c r="Y43" i="20"/>
  <c r="T43" i="20"/>
  <c r="N43" i="20"/>
  <c r="P43" i="20" s="1"/>
  <c r="I43" i="20"/>
  <c r="F43" i="20"/>
  <c r="AC42" i="20"/>
  <c r="AB42" i="20"/>
  <c r="Y42" i="20"/>
  <c r="T42" i="20"/>
  <c r="N42" i="20"/>
  <c r="P42" i="20" s="1"/>
  <c r="I42" i="20"/>
  <c r="F42" i="20"/>
  <c r="AC41" i="20"/>
  <c r="AB41" i="20"/>
  <c r="Y41" i="20"/>
  <c r="T41" i="20"/>
  <c r="N41" i="20"/>
  <c r="P41" i="20" s="1"/>
  <c r="I41" i="20"/>
  <c r="F41" i="20"/>
  <c r="AC40" i="20"/>
  <c r="AB40" i="20"/>
  <c r="AB56" i="20" s="1"/>
  <c r="Y40" i="20"/>
  <c r="T40" i="20"/>
  <c r="N40" i="20"/>
  <c r="P40" i="20" s="1"/>
  <c r="I40" i="20"/>
  <c r="F40" i="20"/>
  <c r="F56" i="20" s="1"/>
  <c r="AC39" i="20"/>
  <c r="AB39" i="20"/>
  <c r="Y39" i="20"/>
  <c r="T39" i="20"/>
  <c r="N39" i="20"/>
  <c r="P39" i="20" s="1"/>
  <c r="I39" i="20"/>
  <c r="F39" i="20"/>
  <c r="AC38" i="20"/>
  <c r="AB38" i="20"/>
  <c r="Y38" i="20"/>
  <c r="T38" i="20"/>
  <c r="N38" i="20"/>
  <c r="P38" i="20" s="1"/>
  <c r="I38" i="20"/>
  <c r="F38" i="20"/>
  <c r="AC37" i="20"/>
  <c r="AB37" i="20"/>
  <c r="Y37" i="20"/>
  <c r="T37" i="20"/>
  <c r="N37" i="20"/>
  <c r="P37" i="20" s="1"/>
  <c r="I37" i="20"/>
  <c r="F37" i="20"/>
  <c r="AC36" i="20"/>
  <c r="AB36" i="20"/>
  <c r="Y36" i="20"/>
  <c r="T36" i="20"/>
  <c r="N36" i="20"/>
  <c r="P36" i="20" s="1"/>
  <c r="I36" i="20"/>
  <c r="F36" i="20"/>
  <c r="AC35" i="20"/>
  <c r="AB35" i="20"/>
  <c r="Y35" i="20"/>
  <c r="T35" i="20"/>
  <c r="N35" i="20"/>
  <c r="P35" i="20" s="1"/>
  <c r="I35" i="20"/>
  <c r="F35" i="20"/>
  <c r="AC34" i="20"/>
  <c r="AC55" i="20" s="1"/>
  <c r="AB34" i="20"/>
  <c r="Y34" i="20"/>
  <c r="T34" i="20"/>
  <c r="N34" i="20"/>
  <c r="P34" i="20" s="1"/>
  <c r="I34" i="20"/>
  <c r="F34" i="20"/>
  <c r="AC33" i="20"/>
  <c r="AB33" i="20"/>
  <c r="Y33" i="20"/>
  <c r="T33" i="20"/>
  <c r="N33" i="20"/>
  <c r="P33" i="20" s="1"/>
  <c r="I33" i="20"/>
  <c r="F33" i="20"/>
  <c r="AC32" i="20"/>
  <c r="AB32" i="20"/>
  <c r="Y32" i="20"/>
  <c r="T32" i="20"/>
  <c r="N32" i="20"/>
  <c r="P32" i="20" s="1"/>
  <c r="I32" i="20"/>
  <c r="F32" i="20"/>
  <c r="AC31" i="20"/>
  <c r="AB31" i="20"/>
  <c r="Y31" i="20"/>
  <c r="T31" i="20"/>
  <c r="N31" i="20"/>
  <c r="P31" i="20" s="1"/>
  <c r="I31" i="20"/>
  <c r="F31" i="20"/>
  <c r="F54" i="20" s="1"/>
  <c r="AC30" i="20"/>
  <c r="AB30" i="20"/>
  <c r="Y30" i="20"/>
  <c r="T30" i="20"/>
  <c r="N30" i="20"/>
  <c r="P30" i="20" s="1"/>
  <c r="I30" i="20"/>
  <c r="F30" i="20"/>
  <c r="AC29" i="20"/>
  <c r="AC54" i="20" s="1"/>
  <c r="AB29" i="20"/>
  <c r="Y29" i="20"/>
  <c r="T29" i="20"/>
  <c r="N29" i="20"/>
  <c r="P29" i="20" s="1"/>
  <c r="I29" i="20"/>
  <c r="F29" i="20"/>
  <c r="AC28" i="20"/>
  <c r="AB28" i="20"/>
  <c r="Y28" i="20"/>
  <c r="T28" i="20"/>
  <c r="N28" i="20"/>
  <c r="P28" i="20" s="1"/>
  <c r="I28" i="20"/>
  <c r="F28" i="20"/>
  <c r="AC27" i="20"/>
  <c r="AB27" i="20"/>
  <c r="Y27" i="20"/>
  <c r="T27" i="20"/>
  <c r="N27" i="20"/>
  <c r="P27" i="20" s="1"/>
  <c r="I27" i="20"/>
  <c r="F27" i="20"/>
  <c r="AC26" i="20"/>
  <c r="AB26" i="20"/>
  <c r="Y26" i="20"/>
  <c r="T26" i="20"/>
  <c r="N26" i="20"/>
  <c r="P26" i="20" s="1"/>
  <c r="I26" i="20"/>
  <c r="F26" i="20"/>
  <c r="AC25" i="20"/>
  <c r="AB25" i="20"/>
  <c r="Y25" i="20"/>
  <c r="T25" i="20"/>
  <c r="N25" i="20"/>
  <c r="P25" i="20" s="1"/>
  <c r="I25" i="20"/>
  <c r="F25" i="20"/>
  <c r="AC24" i="20"/>
  <c r="AB24" i="20"/>
  <c r="Y24" i="20"/>
  <c r="T24" i="20"/>
  <c r="N24" i="20"/>
  <c r="P24" i="20" s="1"/>
  <c r="I24" i="20"/>
  <c r="F24" i="20"/>
  <c r="AC23" i="20"/>
  <c r="AC53" i="20" s="1"/>
  <c r="AB23" i="20"/>
  <c r="Y23" i="20"/>
  <c r="T23" i="20"/>
  <c r="N23" i="20"/>
  <c r="P23" i="20" s="1"/>
  <c r="I23" i="20"/>
  <c r="F23" i="20"/>
  <c r="AC22" i="20"/>
  <c r="AB22" i="20"/>
  <c r="Y22" i="20"/>
  <c r="T22" i="20"/>
  <c r="N22" i="20"/>
  <c r="P22" i="20" s="1"/>
  <c r="I22" i="20"/>
  <c r="F22" i="20"/>
  <c r="AC21" i="20"/>
  <c r="AB21" i="20"/>
  <c r="Y21" i="20"/>
  <c r="T21" i="20"/>
  <c r="N21" i="20"/>
  <c r="P21" i="20" s="1"/>
  <c r="I21" i="20"/>
  <c r="F21" i="20"/>
  <c r="AC20" i="20"/>
  <c r="AB20" i="20"/>
  <c r="Y20" i="20"/>
  <c r="T20" i="20"/>
  <c r="N20" i="20"/>
  <c r="P20" i="20" s="1"/>
  <c r="I20" i="20"/>
  <c r="F20" i="20"/>
  <c r="AC19" i="20"/>
  <c r="AB19" i="20"/>
  <c r="Y19" i="20"/>
  <c r="T19" i="20"/>
  <c r="N19" i="20"/>
  <c r="P19" i="20" s="1"/>
  <c r="I19" i="20"/>
  <c r="F19" i="20"/>
  <c r="AC18" i="20"/>
  <c r="AB18" i="20"/>
  <c r="Y18" i="20"/>
  <c r="T18" i="20"/>
  <c r="N18" i="20"/>
  <c r="P18" i="20" s="1"/>
  <c r="I18" i="20"/>
  <c r="F18" i="20"/>
  <c r="AC17" i="20"/>
  <c r="AB17" i="20"/>
  <c r="Y17" i="20"/>
  <c r="T17" i="20"/>
  <c r="N17" i="20"/>
  <c r="P17" i="20" s="1"/>
  <c r="I17" i="20"/>
  <c r="F17" i="20"/>
  <c r="AC16" i="20"/>
  <c r="AB16" i="20"/>
  <c r="Y16" i="20"/>
  <c r="T16" i="20"/>
  <c r="N16" i="20"/>
  <c r="P16" i="20" s="1"/>
  <c r="I16" i="20"/>
  <c r="F16" i="20"/>
  <c r="AC15" i="20"/>
  <c r="AB15" i="20"/>
  <c r="Y15" i="20"/>
  <c r="T15" i="20"/>
  <c r="N15" i="20"/>
  <c r="P15" i="20" s="1"/>
  <c r="I15" i="20"/>
  <c r="F15" i="20"/>
  <c r="AC14" i="20"/>
  <c r="AB14" i="20"/>
  <c r="Y14" i="20"/>
  <c r="T14" i="20"/>
  <c r="N14" i="20"/>
  <c r="P14" i="20" s="1"/>
  <c r="I14" i="20"/>
  <c r="F14" i="20"/>
  <c r="AC13" i="20"/>
  <c r="AB13" i="20"/>
  <c r="Y13" i="20"/>
  <c r="T13" i="20"/>
  <c r="N13" i="20"/>
  <c r="P13" i="20" s="1"/>
  <c r="I13" i="20"/>
  <c r="F13" i="20"/>
  <c r="AC12" i="20"/>
  <c r="AB12" i="20"/>
  <c r="Y12" i="20"/>
  <c r="T12" i="20"/>
  <c r="N12" i="20"/>
  <c r="P12" i="20" s="1"/>
  <c r="I12" i="20"/>
  <c r="F12" i="20"/>
  <c r="AC11" i="20"/>
  <c r="AB11" i="20"/>
  <c r="Y11" i="20"/>
  <c r="T11" i="20"/>
  <c r="N11" i="20"/>
  <c r="P11" i="20" s="1"/>
  <c r="I11" i="20"/>
  <c r="F11" i="20"/>
  <c r="AC10" i="20"/>
  <c r="AB10" i="20"/>
  <c r="Y10" i="20"/>
  <c r="T10" i="20"/>
  <c r="N10" i="20"/>
  <c r="P10" i="20" s="1"/>
  <c r="I10" i="20"/>
  <c r="F10" i="20"/>
  <c r="AC9" i="20"/>
  <c r="AC51" i="20" s="1"/>
  <c r="AB9" i="20"/>
  <c r="Y9" i="20"/>
  <c r="T9" i="20"/>
  <c r="N9" i="20"/>
  <c r="P9" i="20" s="1"/>
  <c r="I9" i="20"/>
  <c r="F9" i="20"/>
  <c r="F51" i="20" s="1"/>
  <c r="AC8" i="20"/>
  <c r="AB8" i="20"/>
  <c r="Y8" i="20"/>
  <c r="T8" i="20"/>
  <c r="N8" i="20"/>
  <c r="P8" i="20" s="1"/>
  <c r="I8" i="20"/>
  <c r="F8" i="20"/>
  <c r="AC7" i="20"/>
  <c r="AB7" i="20"/>
  <c r="Y7" i="20"/>
  <c r="T7" i="20"/>
  <c r="N7" i="20"/>
  <c r="P7" i="20" s="1"/>
  <c r="I7" i="20"/>
  <c r="F7" i="20"/>
  <c r="AC6" i="20"/>
  <c r="AB6" i="20"/>
  <c r="Y6" i="20"/>
  <c r="T6" i="20"/>
  <c r="N6" i="20"/>
  <c r="P6" i="20" s="1"/>
  <c r="I6" i="20"/>
  <c r="F6" i="20"/>
  <c r="AC5" i="20"/>
  <c r="AB5" i="20"/>
  <c r="Y5" i="20"/>
  <c r="T5" i="20"/>
  <c r="N5" i="20"/>
  <c r="I5" i="20"/>
  <c r="F5" i="20"/>
  <c r="F50" i="20" s="1"/>
  <c r="P23" i="19"/>
  <c r="Q23" i="19"/>
  <c r="AE23" i="19" s="1"/>
  <c r="AT23" i="19" s="1"/>
  <c r="BJ23" i="19" s="1"/>
  <c r="W23" i="19"/>
  <c r="Z23" i="19"/>
  <c r="P35" i="19"/>
  <c r="Q35" i="19"/>
  <c r="W35" i="19"/>
  <c r="Z35" i="19"/>
  <c r="P32" i="19"/>
  <c r="Q32" i="19"/>
  <c r="AE32" i="19" s="1"/>
  <c r="AT32" i="19" s="1"/>
  <c r="BJ32" i="19" s="1"/>
  <c r="W32" i="19"/>
  <c r="Z32" i="19"/>
  <c r="P18" i="19"/>
  <c r="Q18" i="19"/>
  <c r="AE18" i="19" s="1"/>
  <c r="AT18" i="19" s="1"/>
  <c r="BJ18" i="19" s="1"/>
  <c r="W18" i="19"/>
  <c r="Z18" i="19"/>
  <c r="P41" i="19"/>
  <c r="Q41" i="19"/>
  <c r="AE41" i="19" s="1"/>
  <c r="W41" i="19"/>
  <c r="Z41" i="19"/>
  <c r="P26" i="19"/>
  <c r="Q26" i="19"/>
  <c r="AE26" i="19" s="1"/>
  <c r="AT26" i="19" s="1"/>
  <c r="BJ26" i="19" s="1"/>
  <c r="W26" i="19"/>
  <c r="Z26" i="19"/>
  <c r="P43" i="19"/>
  <c r="Q43" i="19"/>
  <c r="AE43" i="19" s="1"/>
  <c r="W43" i="19"/>
  <c r="Z43" i="19"/>
  <c r="P5" i="19"/>
  <c r="Q5" i="19"/>
  <c r="AE5" i="19" s="1"/>
  <c r="W5" i="19"/>
  <c r="Z5" i="19"/>
  <c r="P20" i="19"/>
  <c r="Q20" i="19"/>
  <c r="AE20" i="19" s="1"/>
  <c r="W20" i="19"/>
  <c r="Z20" i="19"/>
  <c r="P12" i="19"/>
  <c r="Q12" i="19"/>
  <c r="AE12" i="19" s="1"/>
  <c r="AT12" i="19" s="1"/>
  <c r="BJ12" i="19" s="1"/>
  <c r="W12" i="19"/>
  <c r="Z12" i="19"/>
  <c r="P33" i="19"/>
  <c r="Q33" i="19"/>
  <c r="AE33" i="19" s="1"/>
  <c r="AT33" i="19" s="1"/>
  <c r="BJ33" i="19" s="1"/>
  <c r="W33" i="19"/>
  <c r="Z33" i="19"/>
  <c r="P34" i="19"/>
  <c r="Q34" i="19"/>
  <c r="AE34" i="19" s="1"/>
  <c r="W34" i="19"/>
  <c r="Z34" i="19"/>
  <c r="P13" i="19"/>
  <c r="Q13" i="19"/>
  <c r="AE13" i="19" s="1"/>
  <c r="W13" i="19"/>
  <c r="Z13" i="19"/>
  <c r="P42" i="19"/>
  <c r="Q42" i="19"/>
  <c r="AE42" i="19" s="1"/>
  <c r="W42" i="19"/>
  <c r="Z42" i="19"/>
  <c r="P22" i="19"/>
  <c r="Q22" i="19"/>
  <c r="AE22" i="19" s="1"/>
  <c r="W22" i="19"/>
  <c r="Z22" i="19"/>
  <c r="P15" i="19"/>
  <c r="Q15" i="19"/>
  <c r="AE15" i="19" s="1"/>
  <c r="W15" i="19"/>
  <c r="Z15" i="19"/>
  <c r="P25" i="19"/>
  <c r="Q25" i="19"/>
  <c r="AE25" i="19" s="1"/>
  <c r="AT25" i="19" s="1"/>
  <c r="BJ25" i="19" s="1"/>
  <c r="W25" i="19"/>
  <c r="Z25" i="19"/>
  <c r="P37" i="19"/>
  <c r="Q37" i="19"/>
  <c r="AE37" i="19" s="1"/>
  <c r="AT37" i="19" s="1"/>
  <c r="BJ37" i="19" s="1"/>
  <c r="W37" i="19"/>
  <c r="Z37" i="19"/>
  <c r="P11" i="19"/>
  <c r="Q11" i="19"/>
  <c r="AE11" i="19" s="1"/>
  <c r="W11" i="19"/>
  <c r="Z11" i="19"/>
  <c r="P29" i="19"/>
  <c r="Q29" i="19"/>
  <c r="AE29" i="19" s="1"/>
  <c r="W29" i="19"/>
  <c r="Z29" i="19"/>
  <c r="P39" i="19"/>
  <c r="Q39" i="19"/>
  <c r="AE39" i="19" s="1"/>
  <c r="AT39" i="19" s="1"/>
  <c r="BJ39" i="19" s="1"/>
  <c r="W39" i="19"/>
  <c r="Z39" i="19"/>
  <c r="P36" i="19"/>
  <c r="Q36" i="19"/>
  <c r="AE36" i="19" s="1"/>
  <c r="W36" i="19"/>
  <c r="Z36" i="19"/>
  <c r="P19" i="19"/>
  <c r="Q19" i="19"/>
  <c r="AE19" i="19" s="1"/>
  <c r="W19" i="19"/>
  <c r="Z19" i="19"/>
  <c r="P9" i="19"/>
  <c r="Q9" i="19"/>
  <c r="AE9" i="19" s="1"/>
  <c r="W9" i="19"/>
  <c r="Z9" i="19"/>
  <c r="P31" i="19"/>
  <c r="Q31" i="19"/>
  <c r="AE31" i="19" s="1"/>
  <c r="AT31" i="19" s="1"/>
  <c r="BJ31" i="19" s="1"/>
  <c r="W31" i="19"/>
  <c r="Z31" i="19"/>
  <c r="P16" i="19"/>
  <c r="Q16" i="19"/>
  <c r="AE16" i="19" s="1"/>
  <c r="AT16" i="19" s="1"/>
  <c r="BJ16" i="19" s="1"/>
  <c r="W16" i="19"/>
  <c r="Z16" i="19"/>
  <c r="P10" i="19"/>
  <c r="Q10" i="19"/>
  <c r="AE10" i="19" s="1"/>
  <c r="W10" i="19"/>
  <c r="Z10" i="19"/>
  <c r="P45" i="19"/>
  <c r="Q45" i="19"/>
  <c r="AE45" i="19" s="1"/>
  <c r="W45" i="19"/>
  <c r="Z45" i="19"/>
  <c r="P38" i="19"/>
  <c r="Q38" i="19"/>
  <c r="W38" i="19"/>
  <c r="Z38" i="19"/>
  <c r="P6" i="19"/>
  <c r="Q6" i="19"/>
  <c r="AE6" i="19" s="1"/>
  <c r="W6" i="19"/>
  <c r="Z6" i="19"/>
  <c r="P27" i="19"/>
  <c r="Q27" i="19"/>
  <c r="AE27" i="19" s="1"/>
  <c r="W27" i="19"/>
  <c r="Z27" i="19"/>
  <c r="P28" i="19"/>
  <c r="Q28" i="19"/>
  <c r="AE28" i="19" s="1"/>
  <c r="W28" i="19"/>
  <c r="Z28" i="19"/>
  <c r="P30" i="19"/>
  <c r="Q30" i="19"/>
  <c r="AE30" i="19" s="1"/>
  <c r="W30" i="19"/>
  <c r="Z30" i="19"/>
  <c r="P46" i="19"/>
  <c r="Q46" i="19"/>
  <c r="AE46" i="19" s="1"/>
  <c r="AT46" i="19" s="1"/>
  <c r="BJ46" i="19" s="1"/>
  <c r="W46" i="19"/>
  <c r="Z46" i="19"/>
  <c r="P44" i="19"/>
  <c r="Q44" i="19"/>
  <c r="AE44" i="19" s="1"/>
  <c r="W44" i="19"/>
  <c r="Z44" i="19"/>
  <c r="P8" i="19"/>
  <c r="Q8" i="19"/>
  <c r="AE8" i="19" s="1"/>
  <c r="W8" i="19"/>
  <c r="Z8" i="19"/>
  <c r="P7" i="19"/>
  <c r="Q7" i="19"/>
  <c r="AE7" i="19" s="1"/>
  <c r="W7" i="19"/>
  <c r="Z7" i="19"/>
  <c r="P21" i="19"/>
  <c r="Q21" i="19"/>
  <c r="AE21" i="19" s="1"/>
  <c r="W21" i="19"/>
  <c r="Z21" i="19"/>
  <c r="P40" i="19"/>
  <c r="Q40" i="19"/>
  <c r="AE40" i="19" s="1"/>
  <c r="AT40" i="19" s="1"/>
  <c r="BJ40" i="19" s="1"/>
  <c r="W40" i="19"/>
  <c r="Z40" i="19"/>
  <c r="P24" i="19"/>
  <c r="Q24" i="19"/>
  <c r="AE24" i="19" s="1"/>
  <c r="W24" i="19"/>
  <c r="Z24" i="19"/>
  <c r="P14" i="19"/>
  <c r="Q14" i="19"/>
  <c r="AE14" i="19" s="1"/>
  <c r="W14" i="19"/>
  <c r="Z14" i="19"/>
  <c r="Z17" i="19"/>
  <c r="W17" i="19"/>
  <c r="Q17" i="19"/>
  <c r="AE17" i="19" s="1"/>
  <c r="AT17" i="19" s="1"/>
  <c r="BJ17" i="19" s="1"/>
  <c r="P17" i="19"/>
  <c r="F35" i="19"/>
  <c r="G35" i="19"/>
  <c r="H35" i="19"/>
  <c r="I35" i="19"/>
  <c r="J35" i="19"/>
  <c r="K35" i="19"/>
  <c r="F32" i="19"/>
  <c r="G32" i="19"/>
  <c r="H32" i="19"/>
  <c r="I32" i="19"/>
  <c r="J32" i="19"/>
  <c r="K32" i="19"/>
  <c r="F18" i="19"/>
  <c r="G18" i="19"/>
  <c r="H18" i="19"/>
  <c r="I18" i="19"/>
  <c r="J18" i="19"/>
  <c r="K18" i="19"/>
  <c r="F41" i="19"/>
  <c r="G41" i="19"/>
  <c r="H41" i="19"/>
  <c r="I41" i="19"/>
  <c r="J41" i="19"/>
  <c r="K41" i="19"/>
  <c r="F26" i="19"/>
  <c r="G26" i="19"/>
  <c r="H26" i="19"/>
  <c r="I26" i="19"/>
  <c r="J26" i="19"/>
  <c r="K26" i="19"/>
  <c r="F43" i="19"/>
  <c r="G43" i="19"/>
  <c r="H43" i="19"/>
  <c r="I43" i="19"/>
  <c r="J43" i="19"/>
  <c r="K43" i="19"/>
  <c r="F5" i="19"/>
  <c r="G5" i="19"/>
  <c r="H5" i="19"/>
  <c r="I5" i="19"/>
  <c r="J5" i="19"/>
  <c r="K5" i="19"/>
  <c r="F20" i="19"/>
  <c r="G20" i="19"/>
  <c r="H20" i="19"/>
  <c r="I20" i="19"/>
  <c r="J20" i="19"/>
  <c r="K20" i="19"/>
  <c r="F12" i="19"/>
  <c r="G12" i="19"/>
  <c r="H12" i="19"/>
  <c r="I12" i="19"/>
  <c r="J12" i="19"/>
  <c r="K12" i="19"/>
  <c r="F33" i="19"/>
  <c r="G33" i="19"/>
  <c r="H33" i="19"/>
  <c r="I33" i="19"/>
  <c r="J33" i="19"/>
  <c r="K33" i="19"/>
  <c r="F34" i="19"/>
  <c r="G34" i="19"/>
  <c r="H34" i="19"/>
  <c r="I34" i="19"/>
  <c r="J34" i="19"/>
  <c r="K34" i="19"/>
  <c r="F13" i="19"/>
  <c r="G13" i="19"/>
  <c r="H13" i="19"/>
  <c r="I13" i="19"/>
  <c r="J13" i="19"/>
  <c r="K13" i="19"/>
  <c r="F42" i="19"/>
  <c r="G42" i="19"/>
  <c r="H42" i="19"/>
  <c r="I42" i="19"/>
  <c r="J42" i="19"/>
  <c r="K42" i="19"/>
  <c r="F22" i="19"/>
  <c r="G22" i="19"/>
  <c r="H22" i="19"/>
  <c r="I22" i="19"/>
  <c r="J22" i="19"/>
  <c r="K22" i="19"/>
  <c r="F15" i="19"/>
  <c r="G15" i="19"/>
  <c r="H15" i="19"/>
  <c r="I15" i="19"/>
  <c r="J15" i="19"/>
  <c r="K15" i="19"/>
  <c r="F25" i="19"/>
  <c r="G25" i="19"/>
  <c r="H25" i="19"/>
  <c r="I25" i="19"/>
  <c r="J25" i="19"/>
  <c r="K25" i="19"/>
  <c r="F37" i="19"/>
  <c r="G37" i="19"/>
  <c r="H37" i="19"/>
  <c r="I37" i="19"/>
  <c r="J37" i="19"/>
  <c r="K37" i="19"/>
  <c r="F11" i="19"/>
  <c r="G11" i="19"/>
  <c r="H11" i="19"/>
  <c r="I11" i="19"/>
  <c r="J11" i="19"/>
  <c r="K11" i="19"/>
  <c r="F29" i="19"/>
  <c r="G29" i="19"/>
  <c r="H29" i="19"/>
  <c r="I29" i="19"/>
  <c r="J29" i="19"/>
  <c r="K29" i="19"/>
  <c r="F39" i="19"/>
  <c r="G39" i="19"/>
  <c r="H39" i="19"/>
  <c r="I39" i="19"/>
  <c r="J39" i="19"/>
  <c r="K39" i="19"/>
  <c r="F36" i="19"/>
  <c r="G36" i="19"/>
  <c r="H36" i="19"/>
  <c r="I36" i="19"/>
  <c r="J36" i="19"/>
  <c r="K36" i="19"/>
  <c r="F19" i="19"/>
  <c r="G19" i="19"/>
  <c r="H19" i="19"/>
  <c r="I19" i="19"/>
  <c r="J19" i="19"/>
  <c r="K19" i="19"/>
  <c r="F9" i="19"/>
  <c r="G9" i="19"/>
  <c r="H9" i="19"/>
  <c r="I9" i="19"/>
  <c r="J9" i="19"/>
  <c r="K9" i="19"/>
  <c r="F31" i="19"/>
  <c r="G31" i="19"/>
  <c r="H31" i="19"/>
  <c r="I31" i="19"/>
  <c r="J31" i="19"/>
  <c r="K31" i="19"/>
  <c r="F16" i="19"/>
  <c r="G16" i="19"/>
  <c r="H16" i="19"/>
  <c r="I16" i="19"/>
  <c r="J16" i="19"/>
  <c r="K16" i="19"/>
  <c r="F10" i="19"/>
  <c r="G10" i="19"/>
  <c r="H10" i="19"/>
  <c r="I10" i="19"/>
  <c r="J10" i="19"/>
  <c r="K10" i="19"/>
  <c r="F45" i="19"/>
  <c r="G45" i="19"/>
  <c r="H45" i="19"/>
  <c r="I45" i="19"/>
  <c r="J45" i="19"/>
  <c r="K45" i="19"/>
  <c r="F38" i="19"/>
  <c r="G38" i="19"/>
  <c r="H38" i="19"/>
  <c r="I38" i="19"/>
  <c r="J38" i="19"/>
  <c r="K38" i="19"/>
  <c r="F6" i="19"/>
  <c r="G6" i="19"/>
  <c r="H6" i="19"/>
  <c r="I6" i="19"/>
  <c r="J6" i="19"/>
  <c r="K6" i="19"/>
  <c r="F27" i="19"/>
  <c r="G27" i="19"/>
  <c r="H27" i="19"/>
  <c r="I27" i="19"/>
  <c r="J27" i="19"/>
  <c r="K27" i="19"/>
  <c r="F28" i="19"/>
  <c r="G28" i="19"/>
  <c r="H28" i="19"/>
  <c r="I28" i="19"/>
  <c r="J28" i="19"/>
  <c r="K28" i="19"/>
  <c r="F30" i="19"/>
  <c r="G30" i="19"/>
  <c r="H30" i="19"/>
  <c r="I30" i="19"/>
  <c r="J30" i="19"/>
  <c r="K30" i="19"/>
  <c r="F46" i="19"/>
  <c r="G46" i="19"/>
  <c r="H46" i="19"/>
  <c r="I46" i="19"/>
  <c r="J46" i="19"/>
  <c r="K46" i="19"/>
  <c r="F44" i="19"/>
  <c r="G44" i="19"/>
  <c r="H44" i="19"/>
  <c r="I44" i="19"/>
  <c r="J44" i="19"/>
  <c r="K44" i="19"/>
  <c r="F8" i="19"/>
  <c r="G8" i="19"/>
  <c r="H8" i="19"/>
  <c r="I8" i="19"/>
  <c r="J8" i="19"/>
  <c r="K8" i="19"/>
  <c r="F7" i="19"/>
  <c r="G7" i="19"/>
  <c r="H7" i="19"/>
  <c r="I7" i="19"/>
  <c r="J7" i="19"/>
  <c r="K7" i="19"/>
  <c r="F21" i="19"/>
  <c r="G21" i="19"/>
  <c r="H21" i="19"/>
  <c r="I21" i="19"/>
  <c r="J21" i="19"/>
  <c r="K21" i="19"/>
  <c r="F40" i="19"/>
  <c r="G40" i="19"/>
  <c r="H40" i="19"/>
  <c r="I40" i="19"/>
  <c r="J40" i="19"/>
  <c r="K40" i="19"/>
  <c r="F24" i="19"/>
  <c r="G24" i="19"/>
  <c r="H24" i="19"/>
  <c r="I24" i="19"/>
  <c r="J24" i="19"/>
  <c r="K24" i="19"/>
  <c r="F14" i="19"/>
  <c r="G14" i="19"/>
  <c r="H14" i="19"/>
  <c r="I14" i="19"/>
  <c r="J14" i="19"/>
  <c r="K14" i="19"/>
  <c r="F23" i="19"/>
  <c r="G23" i="19"/>
  <c r="H23" i="19"/>
  <c r="I23" i="19"/>
  <c r="J23" i="19"/>
  <c r="K23" i="19"/>
  <c r="J17" i="19"/>
  <c r="G17" i="19"/>
  <c r="H17" i="19"/>
  <c r="I17" i="19"/>
  <c r="K17" i="19"/>
  <c r="F17" i="19"/>
  <c r="AB50" i="20" l="1"/>
  <c r="Y53" i="20"/>
  <c r="T54" i="20"/>
  <c r="AB54" i="20"/>
  <c r="T50" i="20"/>
  <c r="T51" i="20"/>
  <c r="Y55" i="20"/>
  <c r="AB55" i="20"/>
  <c r="F53" i="20"/>
  <c r="AC50" i="20"/>
  <c r="P5" i="20"/>
  <c r="N2" i="20"/>
  <c r="F52" i="20"/>
  <c r="F57" i="20" s="1"/>
  <c r="AB53" i="20"/>
  <c r="AC56" i="20"/>
  <c r="T53" i="20"/>
  <c r="Y52" i="20"/>
  <c r="T56" i="20"/>
  <c r="Y50" i="20"/>
  <c r="Y51" i="20"/>
  <c r="AB52" i="20"/>
  <c r="T52" i="20"/>
  <c r="AC52" i="20"/>
  <c r="AB51" i="20"/>
  <c r="Y54" i="20"/>
  <c r="T55" i="20"/>
  <c r="Y56" i="20"/>
  <c r="F55" i="20"/>
  <c r="AF6" i="19"/>
  <c r="AU6" i="19" s="1"/>
  <c r="BK6" i="19" s="1"/>
  <c r="P55" i="19"/>
  <c r="AF21" i="19"/>
  <c r="AU21" i="19" s="1"/>
  <c r="BK21" i="19" s="1"/>
  <c r="AF16" i="19"/>
  <c r="AG16" i="19" s="1"/>
  <c r="AF36" i="19"/>
  <c r="AU36" i="19" s="1"/>
  <c r="BK36" i="19" s="1"/>
  <c r="AF26" i="19"/>
  <c r="AU26" i="19" s="1"/>
  <c r="BK26" i="19" s="1"/>
  <c r="AF32" i="19"/>
  <c r="AG32" i="19" s="1"/>
  <c r="AF44" i="19"/>
  <c r="AU44" i="19" s="1"/>
  <c r="BK44" i="19" s="1"/>
  <c r="AF46" i="19"/>
  <c r="AG46" i="19" s="1"/>
  <c r="AF40" i="19"/>
  <c r="AU40" i="19" s="1"/>
  <c r="BK40" i="19" s="1"/>
  <c r="AF22" i="19"/>
  <c r="AU22" i="19" s="1"/>
  <c r="BK22" i="19" s="1"/>
  <c r="AF10" i="19"/>
  <c r="AU10" i="19" s="1"/>
  <c r="BK10" i="19" s="1"/>
  <c r="AF19" i="19"/>
  <c r="AU19" i="19" s="1"/>
  <c r="BK19" i="19" s="1"/>
  <c r="AF11" i="19"/>
  <c r="AG11" i="19" s="1"/>
  <c r="AF33" i="19"/>
  <c r="AU33" i="19" s="1"/>
  <c r="BK33" i="19" s="1"/>
  <c r="AF43" i="19"/>
  <c r="AU43" i="19" s="1"/>
  <c r="BK43" i="19" s="1"/>
  <c r="AF27" i="19"/>
  <c r="AU27" i="19" s="1"/>
  <c r="BK27" i="19" s="1"/>
  <c r="AF37" i="19"/>
  <c r="AU37" i="19" s="1"/>
  <c r="BK37" i="19" s="1"/>
  <c r="AF12" i="19"/>
  <c r="AG12" i="19" s="1"/>
  <c r="AF35" i="19"/>
  <c r="AU35" i="19" s="1"/>
  <c r="BK35" i="19" s="1"/>
  <c r="AF31" i="19"/>
  <c r="AF34" i="19"/>
  <c r="AU34" i="19" s="1"/>
  <c r="BK34" i="19" s="1"/>
  <c r="AF23" i="19"/>
  <c r="AU23" i="19" s="1"/>
  <c r="BK23" i="19" s="1"/>
  <c r="AF42" i="19"/>
  <c r="AU42" i="19" s="1"/>
  <c r="BK42" i="19" s="1"/>
  <c r="AG21" i="19"/>
  <c r="AT21" i="19"/>
  <c r="BJ21" i="19" s="1"/>
  <c r="AT29" i="19"/>
  <c r="BJ29" i="19" s="1"/>
  <c r="AF41" i="19"/>
  <c r="AG41" i="19" s="1"/>
  <c r="AF14" i="19"/>
  <c r="AU14" i="19" s="1"/>
  <c r="BK14" i="19" s="1"/>
  <c r="AF30" i="19"/>
  <c r="AU30" i="19" s="1"/>
  <c r="BK30" i="19" s="1"/>
  <c r="AF38" i="19"/>
  <c r="AU38" i="19" s="1"/>
  <c r="BK38" i="19" s="1"/>
  <c r="AF39" i="19"/>
  <c r="AU39" i="19" s="1"/>
  <c r="BK39" i="19" s="1"/>
  <c r="AF25" i="19"/>
  <c r="AF13" i="19"/>
  <c r="AU13" i="19" s="1"/>
  <c r="BK13" i="19" s="1"/>
  <c r="AF20" i="19"/>
  <c r="AU20" i="19" s="1"/>
  <c r="BK20" i="19" s="1"/>
  <c r="AT14" i="19"/>
  <c r="BJ14" i="19" s="1"/>
  <c r="AG14" i="19"/>
  <c r="AT7" i="19"/>
  <c r="BJ7" i="19" s="1"/>
  <c r="AT27" i="19"/>
  <c r="BJ27" i="19" s="1"/>
  <c r="AT19" i="19"/>
  <c r="BJ19" i="19" s="1"/>
  <c r="AE53" i="19"/>
  <c r="AT11" i="19"/>
  <c r="BJ11" i="19" s="1"/>
  <c r="AT13" i="19"/>
  <c r="BJ13" i="19" s="1"/>
  <c r="AT20" i="19"/>
  <c r="BJ20" i="19" s="1"/>
  <c r="AT30" i="19"/>
  <c r="BJ30" i="19" s="1"/>
  <c r="AT36" i="19"/>
  <c r="BJ36" i="19" s="1"/>
  <c r="AT28" i="19"/>
  <c r="BJ28" i="19" s="1"/>
  <c r="AT45" i="19"/>
  <c r="BJ45" i="19" s="1"/>
  <c r="AT9" i="19"/>
  <c r="BJ9" i="19" s="1"/>
  <c r="AT42" i="19"/>
  <c r="BJ42" i="19" s="1"/>
  <c r="AE52" i="19"/>
  <c r="AT5" i="19"/>
  <c r="BJ5" i="19" s="1"/>
  <c r="AT41" i="19"/>
  <c r="BJ41" i="19" s="1"/>
  <c r="AE51" i="19"/>
  <c r="AE56" i="19"/>
  <c r="AT8" i="19"/>
  <c r="BJ8" i="19" s="1"/>
  <c r="AG6" i="19"/>
  <c r="AT6" i="19"/>
  <c r="BJ6" i="19" s="1"/>
  <c r="AE55" i="19"/>
  <c r="AT15" i="19"/>
  <c r="BJ15" i="19" s="1"/>
  <c r="AF24" i="19"/>
  <c r="AU24" i="19" s="1"/>
  <c r="BK24" i="19" s="1"/>
  <c r="AF8" i="19"/>
  <c r="AF28" i="19"/>
  <c r="AU28" i="19" s="1"/>
  <c r="AF45" i="19"/>
  <c r="AU45" i="19" s="1"/>
  <c r="BK45" i="19" s="1"/>
  <c r="AF9" i="19"/>
  <c r="AU9" i="19" s="1"/>
  <c r="BK9" i="19" s="1"/>
  <c r="AF29" i="19"/>
  <c r="AU29" i="19" s="1"/>
  <c r="BK29" i="19" s="1"/>
  <c r="AF15" i="19"/>
  <c r="AU15" i="19" s="1"/>
  <c r="BK15" i="19" s="1"/>
  <c r="AF5" i="19"/>
  <c r="AG5" i="19" s="1"/>
  <c r="AF18" i="19"/>
  <c r="AT22" i="19"/>
  <c r="BJ22" i="19" s="1"/>
  <c r="AT24" i="19"/>
  <c r="BJ24" i="19" s="1"/>
  <c r="AT34" i="19"/>
  <c r="BJ34" i="19" s="1"/>
  <c r="AF7" i="19"/>
  <c r="AU7" i="19" s="1"/>
  <c r="BK7" i="19" s="1"/>
  <c r="P50" i="19"/>
  <c r="AE35" i="19"/>
  <c r="AT35" i="19" s="1"/>
  <c r="Q53" i="19"/>
  <c r="AE38" i="19"/>
  <c r="AT44" i="19"/>
  <c r="BJ44" i="19" s="1"/>
  <c r="AT10" i="19"/>
  <c r="BJ10" i="19" s="1"/>
  <c r="AT43" i="19"/>
  <c r="BJ43" i="19" s="1"/>
  <c r="G50" i="19"/>
  <c r="P54" i="19"/>
  <c r="P53" i="19"/>
  <c r="J51" i="19"/>
  <c r="H56" i="19"/>
  <c r="F56" i="19"/>
  <c r="J55" i="19"/>
  <c r="Q50" i="19"/>
  <c r="J56" i="19"/>
  <c r="L20" i="19"/>
  <c r="J53" i="19"/>
  <c r="L25" i="19"/>
  <c r="F51" i="19"/>
  <c r="Q52" i="19"/>
  <c r="K50" i="19"/>
  <c r="I50" i="19"/>
  <c r="K56" i="19"/>
  <c r="Q54" i="19"/>
  <c r="P52" i="19"/>
  <c r="F50" i="19"/>
  <c r="L14" i="19"/>
  <c r="G54" i="19"/>
  <c r="G52" i="19"/>
  <c r="I51" i="19"/>
  <c r="L31" i="19"/>
  <c r="H55" i="19"/>
  <c r="Q55" i="19"/>
  <c r="AF17" i="19"/>
  <c r="H50" i="19"/>
  <c r="H53" i="19"/>
  <c r="Q51" i="19"/>
  <c r="H54" i="19"/>
  <c r="I53" i="19"/>
  <c r="K54" i="19"/>
  <c r="K53" i="19"/>
  <c r="G53" i="19"/>
  <c r="L22" i="19"/>
  <c r="H52" i="19"/>
  <c r="L12" i="19"/>
  <c r="K52" i="19"/>
  <c r="G51" i="19"/>
  <c r="P56" i="19"/>
  <c r="L30" i="19"/>
  <c r="F55" i="19"/>
  <c r="L10" i="19"/>
  <c r="J54" i="19"/>
  <c r="I52" i="19"/>
  <c r="J52" i="19"/>
  <c r="H51" i="19"/>
  <c r="Q56" i="19"/>
  <c r="P51" i="19"/>
  <c r="I56" i="19"/>
  <c r="L8" i="19"/>
  <c r="G55" i="19"/>
  <c r="K55" i="19"/>
  <c r="I54" i="19"/>
  <c r="K51" i="19"/>
  <c r="F54" i="19"/>
  <c r="L7" i="19"/>
  <c r="L6" i="19"/>
  <c r="L9" i="19"/>
  <c r="L34" i="19"/>
  <c r="L32" i="19"/>
  <c r="I55" i="19"/>
  <c r="L24" i="19"/>
  <c r="L11" i="19"/>
  <c r="L35" i="19"/>
  <c r="L33" i="19"/>
  <c r="L45" i="19"/>
  <c r="L28" i="19"/>
  <c r="L38" i="19"/>
  <c r="L13" i="19"/>
  <c r="L18" i="19"/>
  <c r="F53" i="19"/>
  <c r="L40" i="19"/>
  <c r="L46" i="19"/>
  <c r="L19" i="19"/>
  <c r="L39" i="19"/>
  <c r="L42" i="19"/>
  <c r="L5" i="19"/>
  <c r="L41" i="19"/>
  <c r="L15" i="19"/>
  <c r="L21" i="19"/>
  <c r="L29" i="19"/>
  <c r="L17" i="19"/>
  <c r="L16" i="19"/>
  <c r="L26" i="19"/>
  <c r="J50" i="19"/>
  <c r="F52" i="19"/>
  <c r="L23" i="19"/>
  <c r="L27" i="19"/>
  <c r="L36" i="19"/>
  <c r="L44" i="19"/>
  <c r="L37" i="19"/>
  <c r="L43" i="19"/>
  <c r="G56" i="19"/>
  <c r="AB57" i="20" l="1"/>
  <c r="AB59" i="20" s="1"/>
  <c r="AB64" i="20" s="1"/>
  <c r="T57" i="20"/>
  <c r="AC57" i="20"/>
  <c r="Y57" i="20"/>
  <c r="Y59" i="20" s="1"/>
  <c r="Y64" i="20" s="1"/>
  <c r="AG23" i="19"/>
  <c r="AG22" i="19"/>
  <c r="AG39" i="19"/>
  <c r="AG40" i="19"/>
  <c r="AG37" i="19"/>
  <c r="AU12" i="19"/>
  <c r="BK12" i="19" s="1"/>
  <c r="AG43" i="19"/>
  <c r="AG44" i="19"/>
  <c r="AG42" i="19"/>
  <c r="AG19" i="19"/>
  <c r="AU16" i="19"/>
  <c r="BK16" i="19" s="1"/>
  <c r="AE50" i="19"/>
  <c r="AG28" i="19"/>
  <c r="AF54" i="19"/>
  <c r="AG10" i="19"/>
  <c r="AU46" i="19"/>
  <c r="BK46" i="19" s="1"/>
  <c r="AG34" i="19"/>
  <c r="AG27" i="19"/>
  <c r="AG36" i="19"/>
  <c r="AU11" i="19"/>
  <c r="BK11" i="19" s="1"/>
  <c r="BK53" i="19" s="1"/>
  <c r="AU32" i="19"/>
  <c r="BK32" i="19" s="1"/>
  <c r="AG26" i="19"/>
  <c r="AG33" i="19"/>
  <c r="BJ51" i="19"/>
  <c r="BJ53" i="19"/>
  <c r="BJ52" i="19"/>
  <c r="BJ56" i="19"/>
  <c r="AF53" i="19"/>
  <c r="AT50" i="19"/>
  <c r="BJ35" i="19"/>
  <c r="BJ50" i="19" s="1"/>
  <c r="BJ55" i="19"/>
  <c r="AG31" i="19"/>
  <c r="AU55" i="19"/>
  <c r="BK28" i="19"/>
  <c r="BK55" i="19" s="1"/>
  <c r="AG30" i="19"/>
  <c r="AU31" i="19"/>
  <c r="AF55" i="19"/>
  <c r="AG35" i="19"/>
  <c r="AT52" i="19"/>
  <c r="AG45" i="19"/>
  <c r="AT56" i="19"/>
  <c r="AF51" i="19"/>
  <c r="AU41" i="19"/>
  <c r="AU8" i="19"/>
  <c r="AF56" i="19"/>
  <c r="P57" i="19"/>
  <c r="AF52" i="19"/>
  <c r="AU5" i="19"/>
  <c r="BK5" i="19" s="1"/>
  <c r="AU25" i="19"/>
  <c r="BK25" i="19" s="1"/>
  <c r="AG25" i="19"/>
  <c r="J57" i="19"/>
  <c r="AG17" i="19"/>
  <c r="AU17" i="19"/>
  <c r="BK17" i="19" s="1"/>
  <c r="AF50" i="19"/>
  <c r="AG38" i="19"/>
  <c r="AT38" i="19"/>
  <c r="AE54" i="19"/>
  <c r="Q57" i="19"/>
  <c r="AG15" i="19"/>
  <c r="AG29" i="19"/>
  <c r="AG24" i="19"/>
  <c r="AT51" i="19"/>
  <c r="AG9" i="19"/>
  <c r="AG13" i="19"/>
  <c r="AG18" i="19"/>
  <c r="AU18" i="19"/>
  <c r="BK18" i="19" s="1"/>
  <c r="AG8" i="19"/>
  <c r="AG20" i="19"/>
  <c r="AT55" i="19"/>
  <c r="AT53" i="19"/>
  <c r="AG7" i="19"/>
  <c r="H57" i="19"/>
  <c r="F57" i="19"/>
  <c r="L50" i="19"/>
  <c r="K57" i="19"/>
  <c r="G57" i="19"/>
  <c r="L56" i="19"/>
  <c r="L51" i="19"/>
  <c r="I57" i="19"/>
  <c r="L54" i="19"/>
  <c r="L52" i="19"/>
  <c r="L55" i="19"/>
  <c r="L53" i="19"/>
  <c r="AU53" i="19" l="1"/>
  <c r="AE57" i="19"/>
  <c r="AG51" i="19"/>
  <c r="AU56" i="19"/>
  <c r="BK8" i="19"/>
  <c r="BK56" i="19" s="1"/>
  <c r="AU54" i="19"/>
  <c r="BK31" i="19"/>
  <c r="BK54" i="19" s="1"/>
  <c r="AT54" i="19"/>
  <c r="AT57" i="19" s="1"/>
  <c r="BJ38" i="19"/>
  <c r="BJ54" i="19" s="1"/>
  <c r="BJ57" i="19" s="1"/>
  <c r="AU51" i="19"/>
  <c r="BK41" i="19"/>
  <c r="BK51" i="19" s="1"/>
  <c r="BK52" i="19"/>
  <c r="AG55" i="19"/>
  <c r="BK50" i="19"/>
  <c r="AU52" i="19"/>
  <c r="AF57" i="19"/>
  <c r="AG52" i="19"/>
  <c r="AG50" i="19"/>
  <c r="AG53" i="19"/>
  <c r="AU50" i="19"/>
  <c r="AG54" i="19"/>
  <c r="AG56" i="19"/>
  <c r="L57" i="19"/>
  <c r="BK57" i="19" l="1"/>
  <c r="BM20" i="19" s="1"/>
  <c r="AU57" i="19"/>
  <c r="AW14" i="19" s="1"/>
  <c r="AG57" i="19"/>
  <c r="AW27" i="19" l="1"/>
  <c r="AV27" i="19" s="1"/>
  <c r="AW20" i="19"/>
  <c r="AV20" i="19" s="1"/>
  <c r="AW17" i="19"/>
  <c r="AW45" i="19"/>
  <c r="AV45" i="19" s="1"/>
  <c r="AW43" i="19"/>
  <c r="AV43" i="19" s="1"/>
  <c r="AW30" i="19"/>
  <c r="AV30" i="19" s="1"/>
  <c r="AW19" i="19"/>
  <c r="AV19" i="19" s="1"/>
  <c r="AW18" i="19"/>
  <c r="AV18" i="19" s="1"/>
  <c r="AW16" i="19"/>
  <c r="AV16" i="19" s="1"/>
  <c r="BM11" i="19"/>
  <c r="BL11" i="19" s="1"/>
  <c r="AW37" i="19"/>
  <c r="AV37" i="19" s="1"/>
  <c r="AW34" i="19"/>
  <c r="AV34" i="19" s="1"/>
  <c r="AW9" i="19"/>
  <c r="AW10" i="19"/>
  <c r="AW21" i="19"/>
  <c r="AW36" i="19"/>
  <c r="AV36" i="19" s="1"/>
  <c r="AW25" i="19"/>
  <c r="AV25" i="19" s="1"/>
  <c r="AW24" i="19"/>
  <c r="AV24" i="19" s="1"/>
  <c r="AW11" i="19"/>
  <c r="AW38" i="19"/>
  <c r="AV38" i="19" s="1"/>
  <c r="AW42" i="19"/>
  <c r="AV42" i="19" s="1"/>
  <c r="AW23" i="19"/>
  <c r="AW13" i="19"/>
  <c r="AV13" i="19" s="1"/>
  <c r="AW6" i="19"/>
  <c r="AW12" i="19"/>
  <c r="AV12" i="19" s="1"/>
  <c r="AW35" i="19"/>
  <c r="AV35" i="19" s="1"/>
  <c r="BM5" i="19"/>
  <c r="BM21" i="19"/>
  <c r="BM12" i="19"/>
  <c r="BM29" i="19"/>
  <c r="BL20" i="19"/>
  <c r="BM40" i="19"/>
  <c r="BM6" i="19"/>
  <c r="BM34" i="19"/>
  <c r="BM33" i="19"/>
  <c r="BM35" i="19"/>
  <c r="BM24" i="19"/>
  <c r="BM42" i="19"/>
  <c r="BM7" i="19"/>
  <c r="BM38" i="19"/>
  <c r="BM14" i="19"/>
  <c r="BM28" i="19"/>
  <c r="BM36" i="19"/>
  <c r="BM18" i="19"/>
  <c r="BM32" i="19"/>
  <c r="BM41" i="19"/>
  <c r="BM43" i="19"/>
  <c r="BM26" i="19"/>
  <c r="BM39" i="19"/>
  <c r="BM23" i="19"/>
  <c r="BM30" i="19"/>
  <c r="BM27" i="19"/>
  <c r="BM13" i="19"/>
  <c r="BM17" i="19"/>
  <c r="BM46" i="19"/>
  <c r="BM31" i="19"/>
  <c r="BM15" i="19"/>
  <c r="BM9" i="19"/>
  <c r="BM8" i="19"/>
  <c r="BM44" i="19"/>
  <c r="BM16" i="19"/>
  <c r="BM25" i="19"/>
  <c r="BM22" i="19"/>
  <c r="BM19" i="19"/>
  <c r="BM45" i="19"/>
  <c r="BM10" i="19"/>
  <c r="BM37" i="19"/>
  <c r="AW40" i="19"/>
  <c r="AV40" i="19" s="1"/>
  <c r="AW46" i="19"/>
  <c r="AV46" i="19" s="1"/>
  <c r="AW29" i="19"/>
  <c r="AV29" i="19" s="1"/>
  <c r="AW41" i="19"/>
  <c r="AW15" i="19"/>
  <c r="AV15" i="19" s="1"/>
  <c r="AW31" i="19"/>
  <c r="AW26" i="19"/>
  <c r="AV26" i="19" s="1"/>
  <c r="AW32" i="19"/>
  <c r="AV32" i="19" s="1"/>
  <c r="AW22" i="19"/>
  <c r="AV22" i="19" s="1"/>
  <c r="AW7" i="19"/>
  <c r="AV7" i="19" s="1"/>
  <c r="AW28" i="19"/>
  <c r="AW33" i="19"/>
  <c r="AW5" i="19"/>
  <c r="AW39" i="19"/>
  <c r="AV39" i="19" s="1"/>
  <c r="AW8" i="19"/>
  <c r="AW44" i="19"/>
  <c r="AV44" i="19" s="1"/>
  <c r="AV9" i="19"/>
  <c r="AV14" i="19"/>
  <c r="AV17" i="19" l="1"/>
  <c r="AV50" i="19" s="1"/>
  <c r="BL12" i="19"/>
  <c r="AV10" i="19"/>
  <c r="AV23" i="19"/>
  <c r="AV21" i="19"/>
  <c r="BL21" i="19"/>
  <c r="AW55" i="19"/>
  <c r="AW54" i="19"/>
  <c r="BL29" i="19"/>
  <c r="BL5" i="19"/>
  <c r="AV41" i="19"/>
  <c r="AV51" i="19" s="1"/>
  <c r="AV33" i="19"/>
  <c r="AV11" i="19"/>
  <c r="AV53" i="19" s="1"/>
  <c r="AV6" i="19"/>
  <c r="BL27" i="19"/>
  <c r="BL18" i="19"/>
  <c r="AV8" i="19"/>
  <c r="AW52" i="19"/>
  <c r="BL25" i="19"/>
  <c r="BL30" i="19"/>
  <c r="BL36" i="19"/>
  <c r="BL35" i="19"/>
  <c r="AW56" i="19"/>
  <c r="AV5" i="19"/>
  <c r="BL16" i="19"/>
  <c r="BL23" i="19"/>
  <c r="BL28" i="19"/>
  <c r="BL33" i="19"/>
  <c r="BM52" i="19"/>
  <c r="BL22" i="19"/>
  <c r="BL32" i="19"/>
  <c r="BL24" i="19"/>
  <c r="BL37" i="19"/>
  <c r="BL44" i="19"/>
  <c r="BM54" i="19"/>
  <c r="BL31" i="19"/>
  <c r="BL39" i="19"/>
  <c r="BL14" i="19"/>
  <c r="BL34" i="19"/>
  <c r="BM53" i="19"/>
  <c r="BL10" i="19"/>
  <c r="BM56" i="19"/>
  <c r="BL8" i="19"/>
  <c r="BL46" i="19"/>
  <c r="BL26" i="19"/>
  <c r="BL38" i="19"/>
  <c r="BM55" i="19"/>
  <c r="BL6" i="19"/>
  <c r="BL45" i="19"/>
  <c r="BL9" i="19"/>
  <c r="BL17" i="19"/>
  <c r="BM50" i="19"/>
  <c r="BL43" i="19"/>
  <c r="BL7" i="19"/>
  <c r="BL40" i="19"/>
  <c r="AW51" i="19"/>
  <c r="BL19" i="19"/>
  <c r="BL15" i="19"/>
  <c r="BL13" i="19"/>
  <c r="BL41" i="19"/>
  <c r="BM51" i="19"/>
  <c r="BL42" i="19"/>
  <c r="AW53" i="19"/>
  <c r="AV31" i="19"/>
  <c r="AV54" i="19" s="1"/>
  <c r="AV28" i="19"/>
  <c r="AW50" i="19"/>
  <c r="AI27" i="42" l="1"/>
  <c r="AH27" i="36"/>
  <c r="AH27" i="38"/>
  <c r="AH27" i="34"/>
  <c r="AD27" i="20"/>
  <c r="AV52" i="19"/>
  <c r="AV56" i="19"/>
  <c r="AV55" i="19"/>
  <c r="AW57" i="19"/>
  <c r="BL52" i="19"/>
  <c r="BM57" i="19"/>
  <c r="BL50" i="19"/>
  <c r="BL53" i="19"/>
  <c r="BL55" i="19"/>
  <c r="BL56" i="19"/>
  <c r="BL54" i="19"/>
  <c r="BL51" i="19"/>
  <c r="AI40" i="42" l="1"/>
  <c r="AH40" i="36"/>
  <c r="AH40" i="38"/>
  <c r="AH40" i="34"/>
  <c r="AD40" i="20"/>
  <c r="AI18" i="42"/>
  <c r="AH18" i="36"/>
  <c r="AH18" i="38"/>
  <c r="AH18" i="34"/>
  <c r="AD18" i="20"/>
  <c r="AI28" i="42"/>
  <c r="AH28" i="36"/>
  <c r="AH28" i="38"/>
  <c r="AH28" i="34"/>
  <c r="AD28" i="20"/>
  <c r="AI36" i="42"/>
  <c r="AH36" i="36"/>
  <c r="AH36" i="38"/>
  <c r="AH36" i="34"/>
  <c r="AD36" i="20"/>
  <c r="AI5" i="42"/>
  <c r="AH5" i="38"/>
  <c r="AH5" i="36"/>
  <c r="AH5" i="34"/>
  <c r="AD5" i="20"/>
  <c r="AI15" i="42"/>
  <c r="AH15" i="38"/>
  <c r="AH15" i="36"/>
  <c r="AH15" i="34"/>
  <c r="AD15" i="20"/>
  <c r="AI23" i="42"/>
  <c r="AH23" i="38"/>
  <c r="AH23" i="36"/>
  <c r="AH23" i="34"/>
  <c r="AD23" i="20"/>
  <c r="AI12" i="42"/>
  <c r="AH12" i="38"/>
  <c r="AH12" i="36"/>
  <c r="AH12" i="34"/>
  <c r="AD12" i="20"/>
  <c r="AI37" i="42"/>
  <c r="AH37" i="36"/>
  <c r="AH37" i="38"/>
  <c r="AH37" i="34"/>
  <c r="AD37" i="20"/>
  <c r="AI8" i="42"/>
  <c r="AH8" i="36"/>
  <c r="AH8" i="38"/>
  <c r="AH8" i="34"/>
  <c r="AD8" i="20"/>
  <c r="AI17" i="42"/>
  <c r="AH17" i="38"/>
  <c r="AH17" i="36"/>
  <c r="AH17" i="34"/>
  <c r="AD17" i="20"/>
  <c r="AI6" i="42"/>
  <c r="AH6" i="36"/>
  <c r="AH6" i="38"/>
  <c r="AH6" i="34"/>
  <c r="AD6" i="20"/>
  <c r="AI29" i="42"/>
  <c r="AH29" i="36"/>
  <c r="AH29" i="38"/>
  <c r="AH29" i="34"/>
  <c r="AD29" i="20"/>
  <c r="AI10" i="42"/>
  <c r="AH10" i="38"/>
  <c r="AH10" i="36"/>
  <c r="AH10" i="34"/>
  <c r="AD10" i="20"/>
  <c r="AI20" i="42"/>
  <c r="AH20" i="38"/>
  <c r="AH20" i="36"/>
  <c r="AH20" i="34"/>
  <c r="AD20" i="20"/>
  <c r="AI21" i="42"/>
  <c r="AH21" i="38"/>
  <c r="AH21" i="36"/>
  <c r="AH21" i="34"/>
  <c r="AD21" i="20"/>
  <c r="AI34" i="42"/>
  <c r="AH34" i="38"/>
  <c r="AH34" i="36"/>
  <c r="AH34" i="34"/>
  <c r="AD34" i="20"/>
  <c r="AI39" i="42"/>
  <c r="AH39" i="36"/>
  <c r="AH39" i="38"/>
  <c r="AH39" i="34"/>
  <c r="AD39" i="20"/>
  <c r="AI33" i="42"/>
  <c r="AH33" i="38"/>
  <c r="AH33" i="36"/>
  <c r="AH33" i="34"/>
  <c r="AD33" i="20"/>
  <c r="AI26" i="42"/>
  <c r="AH26" i="38"/>
  <c r="AH26" i="36"/>
  <c r="AH26" i="34"/>
  <c r="AD26" i="20"/>
  <c r="AI16" i="42"/>
  <c r="AH16" i="36"/>
  <c r="AH16" i="38"/>
  <c r="AH16" i="34"/>
  <c r="AD16" i="20"/>
  <c r="AI44" i="42"/>
  <c r="AH44" i="38"/>
  <c r="AH44" i="36"/>
  <c r="AH44" i="34"/>
  <c r="AD44" i="20"/>
  <c r="AI35" i="42"/>
  <c r="AH35" i="38"/>
  <c r="AH35" i="36"/>
  <c r="AH35" i="34"/>
  <c r="AD35" i="20"/>
  <c r="AI7" i="42"/>
  <c r="AH7" i="38"/>
  <c r="AH7" i="36"/>
  <c r="AH7" i="34"/>
  <c r="AD7" i="20"/>
  <c r="AI31" i="42"/>
  <c r="AH31" i="36"/>
  <c r="AH31" i="38"/>
  <c r="AH31" i="34"/>
  <c r="AD31" i="20"/>
  <c r="AI42" i="42"/>
  <c r="AH42" i="38"/>
  <c r="AH42" i="36"/>
  <c r="AH42" i="34"/>
  <c r="AD42" i="20"/>
  <c r="AI24" i="42"/>
  <c r="AH24" i="38"/>
  <c r="AH24" i="36"/>
  <c r="AH24" i="34"/>
  <c r="AD24" i="20"/>
  <c r="AI45" i="42"/>
  <c r="AH45" i="36"/>
  <c r="AH45" i="38"/>
  <c r="AH45" i="34"/>
  <c r="AD45" i="20"/>
  <c r="AI46" i="42"/>
  <c r="AH46" i="36"/>
  <c r="AH46" i="38"/>
  <c r="AH46" i="34"/>
  <c r="AD46" i="20"/>
  <c r="AI9" i="42"/>
  <c r="AH9" i="38"/>
  <c r="AH9" i="36"/>
  <c r="AH9" i="34"/>
  <c r="AD9" i="20"/>
  <c r="AI13" i="42"/>
  <c r="AH13" i="38"/>
  <c r="AH13" i="36"/>
  <c r="AH13" i="34"/>
  <c r="AD13" i="20"/>
  <c r="AI30" i="42"/>
  <c r="AH30" i="38"/>
  <c r="AH30" i="36"/>
  <c r="AH30" i="34"/>
  <c r="AD30" i="20"/>
  <c r="AI43" i="42"/>
  <c r="AH43" i="38"/>
  <c r="AH43" i="36"/>
  <c r="AH43" i="34"/>
  <c r="AD43" i="20"/>
  <c r="AI41" i="42"/>
  <c r="AH41" i="38"/>
  <c r="AH41" i="36"/>
  <c r="AH41" i="34"/>
  <c r="AD41" i="20"/>
  <c r="AI32" i="42"/>
  <c r="AH32" i="36"/>
  <c r="AH32" i="38"/>
  <c r="AH32" i="34"/>
  <c r="AD32" i="20"/>
  <c r="AI14" i="42"/>
  <c r="AH14" i="38"/>
  <c r="AH14" i="36"/>
  <c r="AH14" i="34"/>
  <c r="AD14" i="20"/>
  <c r="AI38" i="42"/>
  <c r="AH38" i="38"/>
  <c r="AH38" i="36"/>
  <c r="AH38" i="34"/>
  <c r="AD38" i="20"/>
  <c r="AI11" i="42"/>
  <c r="AH11" i="36"/>
  <c r="AH11" i="38"/>
  <c r="AH11" i="34"/>
  <c r="AD11" i="20"/>
  <c r="AI19" i="42"/>
  <c r="AH19" i="38"/>
  <c r="AH19" i="36"/>
  <c r="AH19" i="34"/>
  <c r="AD19" i="20"/>
  <c r="AI25" i="42"/>
  <c r="AH25" i="36"/>
  <c r="AH25" i="38"/>
  <c r="AH25" i="34"/>
  <c r="AD25" i="20"/>
  <c r="AI22" i="42"/>
  <c r="AH22" i="38"/>
  <c r="AH22" i="36"/>
  <c r="AH22" i="34"/>
  <c r="AD22" i="20"/>
  <c r="AV57" i="19"/>
  <c r="BL57" i="19"/>
  <c r="AH53" i="34" l="1"/>
  <c r="AD53" i="20"/>
  <c r="AH50" i="34"/>
  <c r="AH53" i="36"/>
  <c r="AI53" i="42"/>
  <c r="AH53" i="38"/>
  <c r="AH54" i="38"/>
  <c r="AH51" i="36"/>
  <c r="AD55" i="20"/>
  <c r="AH54" i="36"/>
  <c r="AD52" i="20"/>
  <c r="AH50" i="36"/>
  <c r="AH51" i="38"/>
  <c r="AI54" i="42"/>
  <c r="AH50" i="38"/>
  <c r="AD56" i="20"/>
  <c r="AI51" i="42"/>
  <c r="AH55" i="34"/>
  <c r="AH52" i="34"/>
  <c r="AI50" i="42"/>
  <c r="AH51" i="34"/>
  <c r="AH55" i="36"/>
  <c r="AH52" i="36"/>
  <c r="AH56" i="34"/>
  <c r="AH55" i="38"/>
  <c r="AD54" i="20"/>
  <c r="AH52" i="38"/>
  <c r="AH56" i="38"/>
  <c r="AD51" i="20"/>
  <c r="AI55" i="42"/>
  <c r="AI52" i="42"/>
  <c r="AD50" i="20"/>
  <c r="AH56" i="36"/>
  <c r="AH54" i="34"/>
  <c r="AI56" i="42"/>
  <c r="AH57" i="38" l="1"/>
  <c r="AQ31" i="38" s="1"/>
  <c r="CF31" i="38" s="1"/>
  <c r="CG31" i="38" s="1"/>
  <c r="AH57" i="36"/>
  <c r="AQ37" i="36" s="1"/>
  <c r="CF37" i="36" s="1"/>
  <c r="CG37" i="36" s="1"/>
  <c r="AI57" i="42"/>
  <c r="AR23" i="42" s="1"/>
  <c r="AH57" i="34"/>
  <c r="AQ10" i="34" s="1"/>
  <c r="AD57" i="20"/>
  <c r="AQ27" i="34"/>
  <c r="CF27" i="34" s="1"/>
  <c r="CG27" i="34" s="1"/>
  <c r="CH27" i="34" s="1"/>
  <c r="AQ42" i="34"/>
  <c r="CF42" i="34" s="1"/>
  <c r="CG42" i="34" s="1"/>
  <c r="AQ9" i="34"/>
  <c r="CF9" i="34" s="1"/>
  <c r="AR14" i="42"/>
  <c r="CG14" i="42" s="1"/>
  <c r="AR29" i="42"/>
  <c r="CG29" i="42" s="1"/>
  <c r="AR44" i="42"/>
  <c r="CG44" i="42" s="1"/>
  <c r="CH44" i="42" s="1"/>
  <c r="AR20" i="42"/>
  <c r="CG20" i="42" s="1"/>
  <c r="CH20" i="42" s="1"/>
  <c r="AR45" i="42"/>
  <c r="CG45" i="42" s="1"/>
  <c r="CH45" i="42" s="1"/>
  <c r="AR5" i="42"/>
  <c r="CG5" i="42" s="1"/>
  <c r="AR35" i="42"/>
  <c r="CG35" i="42" s="1"/>
  <c r="CH35" i="42" s="1"/>
  <c r="AR6" i="42"/>
  <c r="CG6" i="42" s="1"/>
  <c r="CH6" i="42" s="1"/>
  <c r="AR22" i="42"/>
  <c r="CG22" i="42" s="1"/>
  <c r="CH22" i="42" s="1"/>
  <c r="AR21" i="42"/>
  <c r="CG21" i="42" s="1"/>
  <c r="CH21" i="42" s="1"/>
  <c r="AR25" i="42"/>
  <c r="CG25" i="42" s="1"/>
  <c r="CH25" i="42" s="1"/>
  <c r="AR16" i="42"/>
  <c r="CG16" i="42" s="1"/>
  <c r="CH16" i="42" s="1"/>
  <c r="AR34" i="42"/>
  <c r="CG34" i="42" s="1"/>
  <c r="AR46" i="42"/>
  <c r="CG46" i="42" s="1"/>
  <c r="CH46" i="42" s="1"/>
  <c r="AR13" i="42"/>
  <c r="CG13" i="42" s="1"/>
  <c r="CH13" i="42" s="1"/>
  <c r="AR33" i="42"/>
  <c r="CG33" i="42" s="1"/>
  <c r="CH33" i="42" s="1"/>
  <c r="AR39" i="42"/>
  <c r="CG39" i="42" s="1"/>
  <c r="CH39" i="42" s="1"/>
  <c r="AR19" i="42"/>
  <c r="CG19" i="42" s="1"/>
  <c r="CH19" i="42" s="1"/>
  <c r="AR36" i="42"/>
  <c r="CG36" i="42" s="1"/>
  <c r="CH36" i="42" s="1"/>
  <c r="AR11" i="42"/>
  <c r="CG11" i="42" s="1"/>
  <c r="CH11" i="42" s="1"/>
  <c r="AR9" i="42"/>
  <c r="CG9" i="42" s="1"/>
  <c r="AR17" i="42"/>
  <c r="CG17" i="42" s="1"/>
  <c r="CH17" i="42" s="1"/>
  <c r="AR15" i="42"/>
  <c r="CG15" i="42" s="1"/>
  <c r="CH15" i="42" s="1"/>
  <c r="AR32" i="42"/>
  <c r="CG32" i="42" s="1"/>
  <c r="CH32" i="42" s="1"/>
  <c r="AR7" i="42"/>
  <c r="CG7" i="42" s="1"/>
  <c r="AR41" i="42"/>
  <c r="CG41" i="42" s="1"/>
  <c r="CH41" i="42" s="1"/>
  <c r="AR28" i="42"/>
  <c r="CG28" i="42" s="1"/>
  <c r="AR38" i="42"/>
  <c r="CG38" i="42" s="1"/>
  <c r="CH38" i="42" s="1"/>
  <c r="AQ19" i="38"/>
  <c r="CF19" i="38" s="1"/>
  <c r="CG19" i="38" s="1"/>
  <c r="AQ23" i="38"/>
  <c r="CF23" i="38" s="1"/>
  <c r="AQ20" i="38"/>
  <c r="CF20" i="38" s="1"/>
  <c r="CG20" i="38" s="1"/>
  <c r="AQ34" i="38"/>
  <c r="CF34" i="38" s="1"/>
  <c r="AQ24" i="38"/>
  <c r="CF24" i="38" s="1"/>
  <c r="CG24" i="38" s="1"/>
  <c r="AQ43" i="36"/>
  <c r="CF43" i="36" s="1"/>
  <c r="CG43" i="36" s="1"/>
  <c r="AQ40" i="36"/>
  <c r="CF40" i="36" s="1"/>
  <c r="AQ5" i="36"/>
  <c r="CF5" i="36" s="1"/>
  <c r="AQ9" i="36"/>
  <c r="AQ15" i="36"/>
  <c r="CF15" i="36" s="1"/>
  <c r="CG15" i="36" s="1"/>
  <c r="AQ8" i="36"/>
  <c r="CF8" i="36" s="1"/>
  <c r="CG8" i="36" s="1"/>
  <c r="AQ17" i="36"/>
  <c r="CF17" i="36" s="1"/>
  <c r="CG17" i="36" s="1"/>
  <c r="AQ6" i="36"/>
  <c r="CF6" i="36" s="1"/>
  <c r="CG6" i="36" s="1"/>
  <c r="AQ14" i="36"/>
  <c r="CF14" i="36" s="1"/>
  <c r="CG14" i="36" s="1"/>
  <c r="AQ26" i="36"/>
  <c r="CF26" i="36" s="1"/>
  <c r="CG26" i="36" s="1"/>
  <c r="AQ44" i="36"/>
  <c r="CF44" i="36" s="1"/>
  <c r="CG44" i="36" s="1"/>
  <c r="AQ22" i="36"/>
  <c r="CF22" i="36" s="1"/>
  <c r="CG22" i="36" s="1"/>
  <c r="AQ13" i="36"/>
  <c r="CF13" i="36" s="1"/>
  <c r="CG13" i="36" s="1"/>
  <c r="AQ25" i="36"/>
  <c r="CF25" i="36" s="1"/>
  <c r="CG25" i="36" s="1"/>
  <c r="AQ38" i="36"/>
  <c r="CF38" i="36" s="1"/>
  <c r="CG38" i="36" s="1"/>
  <c r="AQ34" i="36"/>
  <c r="CH7" i="42"/>
  <c r="CH28" i="42"/>
  <c r="CH14" i="42"/>
  <c r="AR18" i="42" l="1"/>
  <c r="CG18" i="42" s="1"/>
  <c r="CH18" i="42" s="1"/>
  <c r="AR43" i="42"/>
  <c r="CG43" i="42" s="1"/>
  <c r="CH43" i="42" s="1"/>
  <c r="AR30" i="42"/>
  <c r="CG30" i="42" s="1"/>
  <c r="CH30" i="42" s="1"/>
  <c r="AR37" i="42"/>
  <c r="CG37" i="42" s="1"/>
  <c r="CH37" i="42" s="1"/>
  <c r="AR24" i="42"/>
  <c r="CG24" i="42" s="1"/>
  <c r="CH24" i="42" s="1"/>
  <c r="AR12" i="42"/>
  <c r="CG12" i="42" s="1"/>
  <c r="AR10" i="42"/>
  <c r="CG10" i="42" s="1"/>
  <c r="CH10" i="42" s="1"/>
  <c r="AR42" i="42"/>
  <c r="CG42" i="42" s="1"/>
  <c r="CH42" i="42" s="1"/>
  <c r="CJ42" i="42" s="1"/>
  <c r="CK42" i="42" s="1"/>
  <c r="AR31" i="42"/>
  <c r="CG31" i="42" s="1"/>
  <c r="CH31" i="42" s="1"/>
  <c r="AR8" i="42"/>
  <c r="CG8" i="42" s="1"/>
  <c r="CH8" i="42" s="1"/>
  <c r="CI8" i="42" s="1"/>
  <c r="AR26" i="42"/>
  <c r="CG26" i="42" s="1"/>
  <c r="CH26" i="42" s="1"/>
  <c r="CK26" i="42" s="1"/>
  <c r="AR27" i="42"/>
  <c r="CG27" i="42" s="1"/>
  <c r="CH27" i="42" s="1"/>
  <c r="AQ12" i="34"/>
  <c r="CF12" i="34" s="1"/>
  <c r="AQ44" i="34"/>
  <c r="CF44" i="34" s="1"/>
  <c r="CG44" i="34" s="1"/>
  <c r="AQ7" i="34"/>
  <c r="CF7" i="34" s="1"/>
  <c r="CG7" i="34" s="1"/>
  <c r="CI7" i="34" s="1"/>
  <c r="AQ15" i="34"/>
  <c r="CF15" i="34" s="1"/>
  <c r="CG15" i="34" s="1"/>
  <c r="CI15" i="34" s="1"/>
  <c r="AQ5" i="34"/>
  <c r="CF5" i="34" s="1"/>
  <c r="AR40" i="42"/>
  <c r="CG40" i="42" s="1"/>
  <c r="CG56" i="42" s="1"/>
  <c r="AQ37" i="34"/>
  <c r="CF37" i="34" s="1"/>
  <c r="CG37" i="34" s="1"/>
  <c r="CJ37" i="34" s="1"/>
  <c r="AQ8" i="38"/>
  <c r="CF8" i="38" s="1"/>
  <c r="CG8" i="38" s="1"/>
  <c r="CH8" i="38" s="1"/>
  <c r="AQ17" i="38"/>
  <c r="CF17" i="38" s="1"/>
  <c r="CG17" i="38" s="1"/>
  <c r="AQ43" i="38"/>
  <c r="CF43" i="38" s="1"/>
  <c r="CG43" i="38" s="1"/>
  <c r="CH43" i="38" s="1"/>
  <c r="AQ11" i="38"/>
  <c r="CF11" i="38" s="1"/>
  <c r="CG11" i="38" s="1"/>
  <c r="CH11" i="38" s="1"/>
  <c r="AQ15" i="38"/>
  <c r="CF15" i="38" s="1"/>
  <c r="CG15" i="38" s="1"/>
  <c r="CH15" i="38" s="1"/>
  <c r="AQ46" i="38"/>
  <c r="CF46" i="38" s="1"/>
  <c r="CG46" i="38" s="1"/>
  <c r="CH46" i="38" s="1"/>
  <c r="AQ44" i="38"/>
  <c r="CF44" i="38" s="1"/>
  <c r="CG44" i="38" s="1"/>
  <c r="CI44" i="38" s="1"/>
  <c r="CJ44" i="38" s="1"/>
  <c r="AQ45" i="38"/>
  <c r="CF45" i="38" s="1"/>
  <c r="CG45" i="38" s="1"/>
  <c r="CI45" i="38" s="1"/>
  <c r="CJ45" i="38" s="1"/>
  <c r="AQ28" i="38"/>
  <c r="CF28" i="38" s="1"/>
  <c r="CG28" i="38" s="1"/>
  <c r="CI28" i="38" s="1"/>
  <c r="CJ28" i="38" s="1"/>
  <c r="AQ32" i="38"/>
  <c r="CF32" i="38" s="1"/>
  <c r="CG32" i="38" s="1"/>
  <c r="AQ33" i="34"/>
  <c r="CF33" i="34" s="1"/>
  <c r="CG33" i="34" s="1"/>
  <c r="CI33" i="34" s="1"/>
  <c r="AQ25" i="34"/>
  <c r="CF25" i="34" s="1"/>
  <c r="CG25" i="34" s="1"/>
  <c r="CH25" i="34" s="1"/>
  <c r="AQ21" i="38"/>
  <c r="CF21" i="38" s="1"/>
  <c r="CG21" i="38" s="1"/>
  <c r="CI21" i="38" s="1"/>
  <c r="AQ9" i="38"/>
  <c r="AQ51" i="38" s="1"/>
  <c r="AQ26" i="38"/>
  <c r="CF26" i="38" s="1"/>
  <c r="CG26" i="38" s="1"/>
  <c r="CJ26" i="38" s="1"/>
  <c r="AQ35" i="38"/>
  <c r="CF35" i="38" s="1"/>
  <c r="CG35" i="38" s="1"/>
  <c r="CH35" i="38" s="1"/>
  <c r="AQ30" i="38"/>
  <c r="CF30" i="38" s="1"/>
  <c r="CG30" i="38" s="1"/>
  <c r="CJ30" i="38" s="1"/>
  <c r="AQ16" i="38"/>
  <c r="CF16" i="38" s="1"/>
  <c r="CG16" i="38" s="1"/>
  <c r="AQ18" i="38"/>
  <c r="CF18" i="38" s="1"/>
  <c r="CG18" i="38" s="1"/>
  <c r="CJ18" i="38" s="1"/>
  <c r="AQ37" i="38"/>
  <c r="CF37" i="38" s="1"/>
  <c r="CG37" i="38" s="1"/>
  <c r="CH37" i="38" s="1"/>
  <c r="AQ25" i="38"/>
  <c r="CF25" i="38" s="1"/>
  <c r="CG25" i="38" s="1"/>
  <c r="CI25" i="38" s="1"/>
  <c r="CJ25" i="38" s="1"/>
  <c r="AQ33" i="38"/>
  <c r="CF33" i="38" s="1"/>
  <c r="CG33" i="38" s="1"/>
  <c r="CJ33" i="38" s="1"/>
  <c r="AQ10" i="38"/>
  <c r="CF10" i="38" s="1"/>
  <c r="CG10" i="38" s="1"/>
  <c r="CJ10" i="38" s="1"/>
  <c r="AQ20" i="34"/>
  <c r="CF20" i="34" s="1"/>
  <c r="CG20" i="34" s="1"/>
  <c r="CH20" i="34" s="1"/>
  <c r="AQ46" i="34"/>
  <c r="CF46" i="34" s="1"/>
  <c r="CG46" i="34" s="1"/>
  <c r="CH46" i="34" s="1"/>
  <c r="AQ39" i="38"/>
  <c r="CF39" i="38" s="1"/>
  <c r="CG39" i="38" s="1"/>
  <c r="AQ40" i="38"/>
  <c r="CF40" i="38" s="1"/>
  <c r="CG40" i="38" s="1"/>
  <c r="AQ41" i="38"/>
  <c r="CF41" i="38" s="1"/>
  <c r="CG41" i="38" s="1"/>
  <c r="CI41" i="38" s="1"/>
  <c r="CJ41" i="38" s="1"/>
  <c r="AQ12" i="38"/>
  <c r="CF12" i="38" s="1"/>
  <c r="CG12" i="38" s="1"/>
  <c r="AQ6" i="38"/>
  <c r="CF6" i="38" s="1"/>
  <c r="CG6" i="38" s="1"/>
  <c r="CH6" i="38" s="1"/>
  <c r="AQ5" i="38"/>
  <c r="CF5" i="38" s="1"/>
  <c r="CG5" i="38" s="1"/>
  <c r="AQ22" i="38"/>
  <c r="CF22" i="38" s="1"/>
  <c r="CG22" i="38" s="1"/>
  <c r="CJ22" i="38" s="1"/>
  <c r="AQ13" i="38"/>
  <c r="CF13" i="38" s="1"/>
  <c r="CG13" i="38" s="1"/>
  <c r="CJ13" i="38" s="1"/>
  <c r="AQ13" i="34"/>
  <c r="CF13" i="34" s="1"/>
  <c r="CG13" i="34" s="1"/>
  <c r="AQ41" i="34"/>
  <c r="CF41" i="34" s="1"/>
  <c r="CG41" i="34" s="1"/>
  <c r="CH41" i="34" s="1"/>
  <c r="AQ36" i="38"/>
  <c r="CF36" i="38" s="1"/>
  <c r="CG36" i="38" s="1"/>
  <c r="CI36" i="38" s="1"/>
  <c r="AQ14" i="38"/>
  <c r="CF14" i="38" s="1"/>
  <c r="CG14" i="38" s="1"/>
  <c r="CH14" i="38" s="1"/>
  <c r="AQ38" i="38"/>
  <c r="CF38" i="38" s="1"/>
  <c r="CG38" i="38" s="1"/>
  <c r="CH38" i="38" s="1"/>
  <c r="AQ29" i="38"/>
  <c r="CF29" i="38" s="1"/>
  <c r="CG29" i="38" s="1"/>
  <c r="AQ7" i="38"/>
  <c r="CF7" i="38" s="1"/>
  <c r="CG7" i="38" s="1"/>
  <c r="CJ7" i="38" s="1"/>
  <c r="AQ18" i="34"/>
  <c r="CF18" i="34" s="1"/>
  <c r="CG18" i="34" s="1"/>
  <c r="CJ18" i="34" s="1"/>
  <c r="AQ28" i="34"/>
  <c r="CF28" i="34" s="1"/>
  <c r="CG28" i="34" s="1"/>
  <c r="AQ27" i="38"/>
  <c r="CF27" i="38" s="1"/>
  <c r="CG27" i="38" s="1"/>
  <c r="CI27" i="38" s="1"/>
  <c r="CJ27" i="38" s="1"/>
  <c r="AQ42" i="38"/>
  <c r="CF42" i="38" s="1"/>
  <c r="CG42" i="38" s="1"/>
  <c r="CH42" i="38" s="1"/>
  <c r="AQ24" i="34"/>
  <c r="CF24" i="34" s="1"/>
  <c r="CG24" i="34" s="1"/>
  <c r="CI24" i="34" s="1"/>
  <c r="CJ24" i="34" s="1"/>
  <c r="AQ26" i="34"/>
  <c r="CF26" i="34" s="1"/>
  <c r="CG26" i="34" s="1"/>
  <c r="CH26" i="34" s="1"/>
  <c r="AQ14" i="34"/>
  <c r="CF14" i="34" s="1"/>
  <c r="CG14" i="34" s="1"/>
  <c r="CH14" i="34" s="1"/>
  <c r="AQ22" i="34"/>
  <c r="CF22" i="34" s="1"/>
  <c r="CG22" i="34" s="1"/>
  <c r="CH22" i="34" s="1"/>
  <c r="AQ11" i="34"/>
  <c r="CF11" i="34" s="1"/>
  <c r="CG11" i="34" s="1"/>
  <c r="CI11" i="34" s="1"/>
  <c r="AQ39" i="34"/>
  <c r="CF39" i="34" s="1"/>
  <c r="CG39" i="34" s="1"/>
  <c r="AQ40" i="34"/>
  <c r="CF40" i="34" s="1"/>
  <c r="CG40" i="34" s="1"/>
  <c r="AQ19" i="34"/>
  <c r="CF19" i="34" s="1"/>
  <c r="CG19" i="34" s="1"/>
  <c r="CI19" i="34" s="1"/>
  <c r="AR53" i="42"/>
  <c r="AQ38" i="34"/>
  <c r="CF38" i="34" s="1"/>
  <c r="CG38" i="34" s="1"/>
  <c r="CH38" i="34" s="1"/>
  <c r="AQ8" i="34"/>
  <c r="CF8" i="34" s="1"/>
  <c r="CG8" i="34" s="1"/>
  <c r="CI8" i="34" s="1"/>
  <c r="CJ8" i="34" s="1"/>
  <c r="AQ31" i="34"/>
  <c r="CF31" i="34" s="1"/>
  <c r="CG31" i="34" s="1"/>
  <c r="CI31" i="34" s="1"/>
  <c r="CJ31" i="34" s="1"/>
  <c r="AQ45" i="34"/>
  <c r="CF45" i="34" s="1"/>
  <c r="CG45" i="34" s="1"/>
  <c r="CH45" i="34" s="1"/>
  <c r="AQ35" i="34"/>
  <c r="CF35" i="34" s="1"/>
  <c r="CG35" i="34" s="1"/>
  <c r="CJ35" i="34" s="1"/>
  <c r="AQ30" i="34"/>
  <c r="CF30" i="34" s="1"/>
  <c r="CG30" i="34" s="1"/>
  <c r="CI30" i="34" s="1"/>
  <c r="AQ32" i="34"/>
  <c r="CF32" i="34" s="1"/>
  <c r="CG32" i="34" s="1"/>
  <c r="CI32" i="34" s="1"/>
  <c r="CJ32" i="34" s="1"/>
  <c r="AQ36" i="34"/>
  <c r="CF36" i="34" s="1"/>
  <c r="CG36" i="34" s="1"/>
  <c r="CH36" i="34" s="1"/>
  <c r="AQ6" i="34"/>
  <c r="CF6" i="34" s="1"/>
  <c r="CG6" i="34" s="1"/>
  <c r="CH6" i="34" s="1"/>
  <c r="AQ34" i="34"/>
  <c r="CF34" i="34" s="1"/>
  <c r="AQ21" i="34"/>
  <c r="CF21" i="34" s="1"/>
  <c r="CG21" i="34" s="1"/>
  <c r="CJ21" i="34" s="1"/>
  <c r="AQ43" i="34"/>
  <c r="CF43" i="34" s="1"/>
  <c r="CG43" i="34" s="1"/>
  <c r="CH43" i="34" s="1"/>
  <c r="AR52" i="42"/>
  <c r="AQ17" i="34"/>
  <c r="CF17" i="34" s="1"/>
  <c r="CG17" i="34" s="1"/>
  <c r="CJ17" i="34" s="1"/>
  <c r="AQ23" i="34"/>
  <c r="CF23" i="34" s="1"/>
  <c r="CF53" i="34" s="1"/>
  <c r="CF10" i="34"/>
  <c r="CG10" i="34" s="1"/>
  <c r="CJ10" i="34" s="1"/>
  <c r="AQ45" i="36"/>
  <c r="CF45" i="36" s="1"/>
  <c r="CG45" i="36" s="1"/>
  <c r="CH45" i="36" s="1"/>
  <c r="AQ29" i="36"/>
  <c r="AQ46" i="36"/>
  <c r="CF46" i="36" s="1"/>
  <c r="CG46" i="36" s="1"/>
  <c r="CH46" i="36" s="1"/>
  <c r="AQ28" i="36"/>
  <c r="CF28" i="36" s="1"/>
  <c r="CG28" i="36" s="1"/>
  <c r="CH28" i="36" s="1"/>
  <c r="AQ24" i="36"/>
  <c r="CF24" i="36" s="1"/>
  <c r="CG24" i="36" s="1"/>
  <c r="AQ32" i="36"/>
  <c r="CF32" i="36" s="1"/>
  <c r="CG32" i="36" s="1"/>
  <c r="AR55" i="42"/>
  <c r="AQ27" i="36"/>
  <c r="CF27" i="36" s="1"/>
  <c r="CG27" i="36" s="1"/>
  <c r="CH27" i="36" s="1"/>
  <c r="AQ41" i="36"/>
  <c r="CF41" i="36" s="1"/>
  <c r="CG41" i="36" s="1"/>
  <c r="CI41" i="36" s="1"/>
  <c r="CJ41" i="36" s="1"/>
  <c r="AQ11" i="36"/>
  <c r="CF11" i="36" s="1"/>
  <c r="CG11" i="36" s="1"/>
  <c r="CH11" i="36" s="1"/>
  <c r="AQ39" i="36"/>
  <c r="CF39" i="36" s="1"/>
  <c r="CG39" i="36" s="1"/>
  <c r="CJ39" i="36" s="1"/>
  <c r="AQ23" i="36"/>
  <c r="CF23" i="36" s="1"/>
  <c r="CG23" i="36" s="1"/>
  <c r="CI27" i="34"/>
  <c r="CJ27" i="34" s="1"/>
  <c r="AQ7" i="36"/>
  <c r="CF7" i="36" s="1"/>
  <c r="CG7" i="36" s="1"/>
  <c r="AQ12" i="36"/>
  <c r="CF12" i="36" s="1"/>
  <c r="CG12" i="36" s="1"/>
  <c r="AQ18" i="36"/>
  <c r="CF18" i="36" s="1"/>
  <c r="CG18" i="36" s="1"/>
  <c r="CH18" i="36" s="1"/>
  <c r="AQ31" i="36"/>
  <c r="CF31" i="36" s="1"/>
  <c r="CG31" i="36" s="1"/>
  <c r="CI31" i="36" s="1"/>
  <c r="CJ31" i="36" s="1"/>
  <c r="AQ42" i="36"/>
  <c r="CF42" i="36" s="1"/>
  <c r="CG42" i="36" s="1"/>
  <c r="CI42" i="36" s="1"/>
  <c r="CJ42" i="36" s="1"/>
  <c r="CG23" i="42"/>
  <c r="CG53" i="42" s="1"/>
  <c r="AQ30" i="36"/>
  <c r="CF30" i="36" s="1"/>
  <c r="CG30" i="36" s="1"/>
  <c r="CI30" i="36" s="1"/>
  <c r="AQ10" i="36"/>
  <c r="CF10" i="36" s="1"/>
  <c r="CG10" i="36" s="1"/>
  <c r="AQ20" i="36"/>
  <c r="CF20" i="36" s="1"/>
  <c r="CG20" i="36" s="1"/>
  <c r="CH20" i="36" s="1"/>
  <c r="AQ33" i="36"/>
  <c r="CF33" i="36" s="1"/>
  <c r="CG33" i="36" s="1"/>
  <c r="CI33" i="36" s="1"/>
  <c r="AQ16" i="36"/>
  <c r="CF16" i="36" s="1"/>
  <c r="CG16" i="36" s="1"/>
  <c r="CJ16" i="36" s="1"/>
  <c r="AQ16" i="34"/>
  <c r="CF16" i="34" s="1"/>
  <c r="CG16" i="34" s="1"/>
  <c r="CH16" i="34" s="1"/>
  <c r="AR51" i="42"/>
  <c r="AQ21" i="36"/>
  <c r="CF21" i="36" s="1"/>
  <c r="CG21" i="36" s="1"/>
  <c r="CH21" i="36" s="1"/>
  <c r="AQ19" i="36"/>
  <c r="CF19" i="36" s="1"/>
  <c r="CG19" i="36" s="1"/>
  <c r="CJ19" i="36" s="1"/>
  <c r="AQ36" i="36"/>
  <c r="CF36" i="36" s="1"/>
  <c r="CG36" i="36" s="1"/>
  <c r="CI36" i="36" s="1"/>
  <c r="AQ35" i="36"/>
  <c r="CF35" i="36" s="1"/>
  <c r="CG35" i="36" s="1"/>
  <c r="CH35" i="36" s="1"/>
  <c r="AQ29" i="34"/>
  <c r="AR50" i="42"/>
  <c r="CF34" i="36"/>
  <c r="CG34" i="36" s="1"/>
  <c r="AR54" i="42"/>
  <c r="CF9" i="36"/>
  <c r="CJ31" i="42"/>
  <c r="CK31" i="42" s="1"/>
  <c r="CI31" i="42"/>
  <c r="CJ30" i="34"/>
  <c r="CJ17" i="38"/>
  <c r="CI17" i="38"/>
  <c r="CH17" i="38"/>
  <c r="CH14" i="36"/>
  <c r="CI14" i="36"/>
  <c r="CJ14" i="36" s="1"/>
  <c r="CJ6" i="36"/>
  <c r="CI6" i="36"/>
  <c r="CH6" i="36"/>
  <c r="CK33" i="42"/>
  <c r="CI33" i="42"/>
  <c r="CJ33" i="42"/>
  <c r="CJ16" i="42"/>
  <c r="CI16" i="42"/>
  <c r="CK16" i="42"/>
  <c r="CH24" i="36"/>
  <c r="CI24" i="36"/>
  <c r="CJ24" i="36" s="1"/>
  <c r="CJ10" i="42"/>
  <c r="CK10" i="42"/>
  <c r="CI10" i="42"/>
  <c r="CI32" i="38"/>
  <c r="CJ32" i="38" s="1"/>
  <c r="CH32" i="38"/>
  <c r="CG12" i="34"/>
  <c r="CH12" i="42"/>
  <c r="CG52" i="42"/>
  <c r="CJ30" i="36"/>
  <c r="CI38" i="38"/>
  <c r="CJ38" i="38" s="1"/>
  <c r="CH26" i="36"/>
  <c r="CJ26" i="36"/>
  <c r="CI26" i="36"/>
  <c r="CK11" i="42"/>
  <c r="CI11" i="42"/>
  <c r="CJ11" i="42"/>
  <c r="CI22" i="36"/>
  <c r="CJ22" i="36"/>
  <c r="CH22" i="36"/>
  <c r="CI28" i="34"/>
  <c r="CJ28" i="34" s="1"/>
  <c r="CH28" i="34"/>
  <c r="CI41" i="42"/>
  <c r="CJ41" i="42"/>
  <c r="CK41" i="42" s="1"/>
  <c r="CH39" i="34"/>
  <c r="CJ39" i="34"/>
  <c r="CI39" i="34"/>
  <c r="CK17" i="42"/>
  <c r="CI17" i="42"/>
  <c r="CJ17" i="42"/>
  <c r="CK6" i="42"/>
  <c r="CJ6" i="42"/>
  <c r="CI6" i="42"/>
  <c r="CI42" i="42"/>
  <c r="CJ10" i="36"/>
  <c r="CH10" i="36"/>
  <c r="CI10" i="36"/>
  <c r="CI26" i="34"/>
  <c r="CI37" i="42"/>
  <c r="CK37" i="42"/>
  <c r="CJ37" i="42"/>
  <c r="CH38" i="36"/>
  <c r="CI38" i="36"/>
  <c r="CJ38" i="36" s="1"/>
  <c r="CJ22" i="42"/>
  <c r="CI22" i="42"/>
  <c r="CK22" i="42"/>
  <c r="CH20" i="38"/>
  <c r="CJ20" i="38"/>
  <c r="CI20" i="38"/>
  <c r="CH17" i="36"/>
  <c r="CJ17" i="36"/>
  <c r="CI17" i="36"/>
  <c r="CJ20" i="42"/>
  <c r="CK20" i="42"/>
  <c r="CI20" i="42"/>
  <c r="CG55" i="42"/>
  <c r="CH34" i="42"/>
  <c r="CI37" i="36"/>
  <c r="CJ37" i="36"/>
  <c r="CH37" i="36"/>
  <c r="CJ15" i="42"/>
  <c r="CI15" i="42"/>
  <c r="CK15" i="42"/>
  <c r="CI39" i="42"/>
  <c r="CK39" i="42"/>
  <c r="CJ39" i="42"/>
  <c r="CH19" i="38"/>
  <c r="CI19" i="38"/>
  <c r="CJ19" i="38"/>
  <c r="CJ28" i="42"/>
  <c r="CK28" i="42" s="1"/>
  <c r="CI28" i="42"/>
  <c r="CJ33" i="34"/>
  <c r="CI36" i="42"/>
  <c r="CJ36" i="42"/>
  <c r="CK36" i="42"/>
  <c r="CH42" i="34"/>
  <c r="CI42" i="34"/>
  <c r="CJ42" i="34" s="1"/>
  <c r="CJ7" i="36"/>
  <c r="CI7" i="36"/>
  <c r="CH7" i="36"/>
  <c r="CH17" i="34"/>
  <c r="CJ14" i="42"/>
  <c r="CK14" i="42" s="1"/>
  <c r="CI14" i="42"/>
  <c r="CK21" i="42"/>
  <c r="CJ21" i="42"/>
  <c r="CI21" i="42"/>
  <c r="CG5" i="36"/>
  <c r="CF50" i="36"/>
  <c r="CK13" i="42"/>
  <c r="CI13" i="42"/>
  <c r="CJ13" i="42"/>
  <c r="CH32" i="36"/>
  <c r="CI32" i="36"/>
  <c r="CJ32" i="36" s="1"/>
  <c r="CI44" i="34"/>
  <c r="CJ44" i="34" s="1"/>
  <c r="CH44" i="34"/>
  <c r="CI46" i="42"/>
  <c r="CJ46" i="42"/>
  <c r="CK46" i="42" s="1"/>
  <c r="CH13" i="36"/>
  <c r="CJ13" i="36"/>
  <c r="CI13" i="36"/>
  <c r="CI32" i="42"/>
  <c r="CJ32" i="42"/>
  <c r="CK32" i="42" s="1"/>
  <c r="CI39" i="38"/>
  <c r="CH39" i="38"/>
  <c r="CJ39" i="38"/>
  <c r="CJ15" i="36"/>
  <c r="CI15" i="36"/>
  <c r="CH15" i="36"/>
  <c r="CI18" i="42"/>
  <c r="CK18" i="42"/>
  <c r="CJ18" i="42"/>
  <c r="CG9" i="34"/>
  <c r="CH31" i="36"/>
  <c r="CG34" i="38"/>
  <c r="CI38" i="42"/>
  <c r="CJ38" i="42"/>
  <c r="CK38" i="42" s="1"/>
  <c r="CH9" i="42"/>
  <c r="CG51" i="42"/>
  <c r="CG5" i="34"/>
  <c r="CG23" i="38"/>
  <c r="CG23" i="34"/>
  <c r="CG54" i="42"/>
  <c r="CH29" i="42"/>
  <c r="CG40" i="36"/>
  <c r="CG50" i="42"/>
  <c r="CH5" i="42"/>
  <c r="CJ43" i="42"/>
  <c r="CI43" i="42"/>
  <c r="CK43" i="42"/>
  <c r="CI24" i="42"/>
  <c r="CJ24" i="42"/>
  <c r="CK24" i="42" s="1"/>
  <c r="CK30" i="42"/>
  <c r="CJ30" i="42"/>
  <c r="CI30" i="42"/>
  <c r="CH8" i="36"/>
  <c r="CI8" i="36"/>
  <c r="CJ8" i="36" s="1"/>
  <c r="CJ6" i="34"/>
  <c r="CI6" i="34"/>
  <c r="CI25" i="36"/>
  <c r="CJ25" i="36" s="1"/>
  <c r="CH25" i="36"/>
  <c r="CH24" i="38"/>
  <c r="CI24" i="38"/>
  <c r="CJ24" i="38" s="1"/>
  <c r="CH44" i="36"/>
  <c r="CI44" i="36"/>
  <c r="CJ44" i="36"/>
  <c r="CJ25" i="42"/>
  <c r="CK25" i="42" s="1"/>
  <c r="CI25" i="42"/>
  <c r="CK35" i="42"/>
  <c r="CI35" i="42"/>
  <c r="CJ35" i="42"/>
  <c r="CJ19" i="42"/>
  <c r="CK19" i="42"/>
  <c r="CI19" i="42"/>
  <c r="CJ16" i="38"/>
  <c r="CH16" i="38"/>
  <c r="CI16" i="38"/>
  <c r="CH43" i="36"/>
  <c r="CI43" i="36"/>
  <c r="CJ43" i="36"/>
  <c r="CH13" i="34"/>
  <c r="CJ13" i="34"/>
  <c r="CI13" i="34"/>
  <c r="CJ45" i="42"/>
  <c r="CK45" i="42" s="1"/>
  <c r="CI45" i="42"/>
  <c r="CI31" i="38"/>
  <c r="CJ31" i="38" s="1"/>
  <c r="CH31" i="38"/>
  <c r="CH33" i="38"/>
  <c r="CJ7" i="42"/>
  <c r="CK7" i="42"/>
  <c r="CI7" i="42"/>
  <c r="CK44" i="42"/>
  <c r="CJ44" i="42"/>
  <c r="CI44" i="42"/>
  <c r="AE44" i="20"/>
  <c r="AE20" i="20"/>
  <c r="AE17" i="20"/>
  <c r="AE37" i="20"/>
  <c r="AE31" i="20"/>
  <c r="AE42" i="20"/>
  <c r="AE11" i="20"/>
  <c r="AE25" i="20"/>
  <c r="AE15" i="20"/>
  <c r="AE36" i="20"/>
  <c r="AE43" i="20"/>
  <c r="AE39" i="20"/>
  <c r="AE33" i="20"/>
  <c r="AE38" i="20"/>
  <c r="AE30" i="20"/>
  <c r="AE21" i="20"/>
  <c r="AE27" i="20"/>
  <c r="AE22" i="20"/>
  <c r="AE32" i="20"/>
  <c r="AE24" i="20"/>
  <c r="AE13" i="20"/>
  <c r="AE26" i="20"/>
  <c r="AE16" i="20"/>
  <c r="AE18" i="20"/>
  <c r="AE10" i="20"/>
  <c r="AE28" i="20"/>
  <c r="AE6" i="20"/>
  <c r="AE41" i="20"/>
  <c r="AE35" i="20"/>
  <c r="AE19" i="20"/>
  <c r="AE7" i="20"/>
  <c r="AE46" i="20"/>
  <c r="AE8" i="20"/>
  <c r="AE14" i="20"/>
  <c r="AE45" i="20"/>
  <c r="CJ26" i="42" l="1"/>
  <c r="CI26" i="42"/>
  <c r="CH30" i="36"/>
  <c r="CH40" i="42"/>
  <c r="CI19" i="36"/>
  <c r="CJ8" i="42"/>
  <c r="CK8" i="42" s="1"/>
  <c r="CI10" i="38"/>
  <c r="CH44" i="38"/>
  <c r="AR56" i="42"/>
  <c r="CI26" i="38"/>
  <c r="CH10" i="38"/>
  <c r="CH26" i="38"/>
  <c r="CI14" i="34"/>
  <c r="CJ14" i="34" s="1"/>
  <c r="CH18" i="34"/>
  <c r="CJ21" i="38"/>
  <c r="CH7" i="34"/>
  <c r="CH16" i="36"/>
  <c r="CH15" i="34"/>
  <c r="CI16" i="36"/>
  <c r="CI25" i="34"/>
  <c r="CJ25" i="34" s="1"/>
  <c r="CH36" i="38"/>
  <c r="CJ11" i="38"/>
  <c r="CH41" i="38"/>
  <c r="CJ7" i="34"/>
  <c r="CI11" i="38"/>
  <c r="CI37" i="38"/>
  <c r="CJ37" i="38"/>
  <c r="CJ36" i="38"/>
  <c r="CH32" i="34"/>
  <c r="CH19" i="36"/>
  <c r="CH10" i="34"/>
  <c r="CI15" i="38"/>
  <c r="CJ19" i="34"/>
  <c r="CI10" i="34"/>
  <c r="CH21" i="38"/>
  <c r="CI14" i="38"/>
  <c r="CJ14" i="38" s="1"/>
  <c r="CJ36" i="34"/>
  <c r="CH25" i="38"/>
  <c r="CJ15" i="34"/>
  <c r="CI36" i="34"/>
  <c r="CH24" i="34"/>
  <c r="CI42" i="38"/>
  <c r="CJ42" i="38" s="1"/>
  <c r="CJ15" i="38"/>
  <c r="CH19" i="34"/>
  <c r="AQ53" i="34"/>
  <c r="CH41" i="36"/>
  <c r="CI33" i="38"/>
  <c r="CI6" i="38"/>
  <c r="CH31" i="34"/>
  <c r="CI46" i="38"/>
  <c r="CJ46" i="38" s="1"/>
  <c r="CJ6" i="38"/>
  <c r="CI38" i="34"/>
  <c r="CJ38" i="34" s="1"/>
  <c r="CJ26" i="34"/>
  <c r="CI27" i="42"/>
  <c r="CJ27" i="42"/>
  <c r="CK27" i="42" s="1"/>
  <c r="CH21" i="34"/>
  <c r="CI21" i="34"/>
  <c r="CH37" i="34"/>
  <c r="CJ20" i="34"/>
  <c r="CI39" i="36"/>
  <c r="CI46" i="34"/>
  <c r="CJ46" i="34" s="1"/>
  <c r="CI37" i="34"/>
  <c r="CH11" i="34"/>
  <c r="CH39" i="36"/>
  <c r="CI22" i="34"/>
  <c r="CI18" i="34"/>
  <c r="CF50" i="38"/>
  <c r="CI8" i="38"/>
  <c r="CJ8" i="38" s="1"/>
  <c r="CH23" i="42"/>
  <c r="CJ23" i="42" s="1"/>
  <c r="CJ53" i="42" s="1"/>
  <c r="CI45" i="34"/>
  <c r="CJ45" i="34" s="1"/>
  <c r="CF51" i="34"/>
  <c r="CH28" i="38"/>
  <c r="CI13" i="38"/>
  <c r="CI30" i="38"/>
  <c r="CH13" i="38"/>
  <c r="CH30" i="38"/>
  <c r="CJ11" i="34"/>
  <c r="CF54" i="38"/>
  <c r="CI28" i="36"/>
  <c r="CJ28" i="36" s="1"/>
  <c r="CJ21" i="36"/>
  <c r="CI41" i="34"/>
  <c r="CJ41" i="34" s="1"/>
  <c r="CH35" i="34"/>
  <c r="AQ54" i="38"/>
  <c r="CH33" i="34"/>
  <c r="CI18" i="38"/>
  <c r="CI43" i="38"/>
  <c r="CH18" i="38"/>
  <c r="CJ43" i="38"/>
  <c r="CF53" i="38"/>
  <c r="AQ53" i="38"/>
  <c r="CF55" i="34"/>
  <c r="CI21" i="36"/>
  <c r="CI35" i="34"/>
  <c r="CF9" i="38"/>
  <c r="CH27" i="38"/>
  <c r="CJ22" i="34"/>
  <c r="CH22" i="38"/>
  <c r="CH7" i="38"/>
  <c r="AQ52" i="38"/>
  <c r="AQ56" i="38"/>
  <c r="CJ35" i="38"/>
  <c r="CI22" i="38"/>
  <c r="CI7" i="38"/>
  <c r="CI35" i="38"/>
  <c r="CF50" i="34"/>
  <c r="CF55" i="38"/>
  <c r="CH8" i="34"/>
  <c r="CF56" i="38"/>
  <c r="AQ50" i="38"/>
  <c r="CF52" i="38"/>
  <c r="AQ50" i="34"/>
  <c r="CG34" i="34"/>
  <c r="CG55" i="34" s="1"/>
  <c r="CH45" i="38"/>
  <c r="CI20" i="34"/>
  <c r="AQ55" i="38"/>
  <c r="AQ55" i="34"/>
  <c r="AQ51" i="34"/>
  <c r="CJ16" i="34"/>
  <c r="CH30" i="34"/>
  <c r="CI16" i="34"/>
  <c r="CF52" i="34"/>
  <c r="AQ52" i="34"/>
  <c r="CF51" i="36"/>
  <c r="CI46" i="36"/>
  <c r="CJ46" i="36" s="1"/>
  <c r="CI17" i="34"/>
  <c r="AQ50" i="36"/>
  <c r="CF56" i="34"/>
  <c r="CJ43" i="34"/>
  <c r="CI43" i="34"/>
  <c r="AQ56" i="34"/>
  <c r="AR57" i="42"/>
  <c r="CF53" i="36"/>
  <c r="CJ20" i="36"/>
  <c r="CI18" i="36"/>
  <c r="CI27" i="36"/>
  <c r="CJ27" i="36" s="1"/>
  <c r="AQ53" i="36"/>
  <c r="CI45" i="36"/>
  <c r="CJ45" i="36" s="1"/>
  <c r="CJ18" i="36"/>
  <c r="CJ36" i="36"/>
  <c r="AQ54" i="36"/>
  <c r="CF29" i="36"/>
  <c r="CI35" i="36"/>
  <c r="CF56" i="36"/>
  <c r="CJ11" i="36"/>
  <c r="CH42" i="36"/>
  <c r="CJ35" i="36"/>
  <c r="CH33" i="36"/>
  <c r="CI11" i="36"/>
  <c r="CG9" i="36"/>
  <c r="CG51" i="36" s="1"/>
  <c r="CJ33" i="36"/>
  <c r="AQ52" i="36"/>
  <c r="CF55" i="36"/>
  <c r="AQ55" i="36"/>
  <c r="CH36" i="36"/>
  <c r="CI20" i="36"/>
  <c r="AQ51" i="36"/>
  <c r="AQ56" i="36"/>
  <c r="CF52" i="36"/>
  <c r="CF29" i="34"/>
  <c r="AQ54" i="34"/>
  <c r="CI23" i="38"/>
  <c r="CI53" i="38" s="1"/>
  <c r="CH23" i="38"/>
  <c r="CH53" i="38" s="1"/>
  <c r="CG53" i="38"/>
  <c r="CI23" i="42"/>
  <c r="CI53" i="42" s="1"/>
  <c r="CI5" i="42"/>
  <c r="CI50" i="42" s="1"/>
  <c r="CK5" i="42"/>
  <c r="CK50" i="42" s="1"/>
  <c r="CJ5" i="42"/>
  <c r="CJ50" i="42" s="1"/>
  <c r="CH50" i="42"/>
  <c r="CH65" i="42"/>
  <c r="CH52" i="42"/>
  <c r="CJ12" i="42"/>
  <c r="CJ52" i="42" s="1"/>
  <c r="CI12" i="42"/>
  <c r="CI52" i="42" s="1"/>
  <c r="CG57" i="42"/>
  <c r="CR52" i="42" s="1"/>
  <c r="CG54" i="38"/>
  <c r="CH29" i="38"/>
  <c r="CH54" i="38" s="1"/>
  <c r="CI29" i="38"/>
  <c r="CI54" i="38" s="1"/>
  <c r="CI34" i="38"/>
  <c r="CI55" i="38" s="1"/>
  <c r="CG55" i="38"/>
  <c r="CH34" i="38"/>
  <c r="CH55" i="38" s="1"/>
  <c r="CJ34" i="38"/>
  <c r="CJ55" i="38" s="1"/>
  <c r="CH51" i="42"/>
  <c r="CI9" i="42"/>
  <c r="CI51" i="42" s="1"/>
  <c r="CK9" i="42"/>
  <c r="CK51" i="42" s="1"/>
  <c r="CJ9" i="42"/>
  <c r="CJ51" i="42" s="1"/>
  <c r="CH56" i="42"/>
  <c r="CJ40" i="42"/>
  <c r="CJ56" i="42" s="1"/>
  <c r="CI40" i="42"/>
  <c r="CI56" i="42" s="1"/>
  <c r="CG50" i="34"/>
  <c r="CI5" i="34"/>
  <c r="CI50" i="34" s="1"/>
  <c r="CH5" i="34"/>
  <c r="CH50" i="34" s="1"/>
  <c r="CJ5" i="34"/>
  <c r="CJ50" i="34" s="1"/>
  <c r="CH12" i="34"/>
  <c r="CH52" i="34" s="1"/>
  <c r="CG52" i="34"/>
  <c r="CI12" i="34"/>
  <c r="CI12" i="38"/>
  <c r="CG52" i="38"/>
  <c r="CH12" i="38"/>
  <c r="CH40" i="38"/>
  <c r="CH56" i="38" s="1"/>
  <c r="CI40" i="38"/>
  <c r="CG56" i="38"/>
  <c r="CI40" i="36"/>
  <c r="CH40" i="36"/>
  <c r="CG56" i="36"/>
  <c r="CH23" i="34"/>
  <c r="CH53" i="34" s="1"/>
  <c r="CI23" i="34"/>
  <c r="CI53" i="34" s="1"/>
  <c r="CG53" i="34"/>
  <c r="CH5" i="36"/>
  <c r="CH50" i="36" s="1"/>
  <c r="CI5" i="36"/>
  <c r="CI50" i="36" s="1"/>
  <c r="CJ5" i="36"/>
  <c r="CJ50" i="36" s="1"/>
  <c r="CG50" i="36"/>
  <c r="CJ34" i="42"/>
  <c r="CJ55" i="42" s="1"/>
  <c r="CI34" i="42"/>
  <c r="CI55" i="42" s="1"/>
  <c r="CH55" i="42"/>
  <c r="CK34" i="42"/>
  <c r="CK55" i="42" s="1"/>
  <c r="CI40" i="34"/>
  <c r="CH40" i="34"/>
  <c r="CH56" i="34" s="1"/>
  <c r="CG56" i="34"/>
  <c r="CG55" i="36"/>
  <c r="CJ34" i="36"/>
  <c r="CI34" i="36"/>
  <c r="CI55" i="36" s="1"/>
  <c r="CH34" i="36"/>
  <c r="CJ29" i="42"/>
  <c r="CJ54" i="42" s="1"/>
  <c r="CH54" i="42"/>
  <c r="CI29" i="42"/>
  <c r="CI54" i="42" s="1"/>
  <c r="CG50" i="38"/>
  <c r="CJ5" i="38"/>
  <c r="CJ50" i="38" s="1"/>
  <c r="CH5" i="38"/>
  <c r="CH50" i="38" s="1"/>
  <c r="CI5" i="38"/>
  <c r="CG52" i="36"/>
  <c r="CI12" i="36"/>
  <c r="CH12" i="36"/>
  <c r="CH52" i="36" s="1"/>
  <c r="CJ9" i="34"/>
  <c r="CJ51" i="34" s="1"/>
  <c r="CI9" i="34"/>
  <c r="CI51" i="34" s="1"/>
  <c r="CH9" i="34"/>
  <c r="CH51" i="34" s="1"/>
  <c r="CG51" i="34"/>
  <c r="CI23" i="36"/>
  <c r="CG53" i="36"/>
  <c r="CH23" i="36"/>
  <c r="CH53" i="36" s="1"/>
  <c r="AE5" i="20"/>
  <c r="AE50" i="20" s="1"/>
  <c r="AE9" i="20"/>
  <c r="AE51" i="20" s="1"/>
  <c r="AE23" i="20"/>
  <c r="AE53" i="20" s="1"/>
  <c r="AE40" i="20"/>
  <c r="AE56" i="20" s="1"/>
  <c r="AE34" i="20"/>
  <c r="AE55" i="20" s="1"/>
  <c r="AE29" i="20"/>
  <c r="AE54" i="20" s="1"/>
  <c r="AE12" i="20"/>
  <c r="AE52" i="20" s="1"/>
  <c r="CJ34" i="34" l="1"/>
  <c r="CJ55" i="34" s="1"/>
  <c r="CI34" i="34"/>
  <c r="CI55" i="34" s="1"/>
  <c r="CH34" i="34"/>
  <c r="CH55" i="34" s="1"/>
  <c r="CH63" i="42"/>
  <c r="CH53" i="42"/>
  <c r="CJ9" i="36"/>
  <c r="CJ51" i="36" s="1"/>
  <c r="CH9" i="36"/>
  <c r="CH51" i="36" s="1"/>
  <c r="CI9" i="36"/>
  <c r="CI51" i="36" s="1"/>
  <c r="CH59" i="42"/>
  <c r="CH64" i="42"/>
  <c r="CH60" i="42"/>
  <c r="CI56" i="34"/>
  <c r="CH52" i="38"/>
  <c r="CI56" i="36"/>
  <c r="CG9" i="38"/>
  <c r="CF51" i="38"/>
  <c r="CF57" i="38" s="1"/>
  <c r="CQ55" i="38" s="1"/>
  <c r="CI56" i="38"/>
  <c r="CI52" i="38"/>
  <c r="AQ57" i="38"/>
  <c r="CI50" i="38"/>
  <c r="CH55" i="36"/>
  <c r="AQ57" i="34"/>
  <c r="CI52" i="36"/>
  <c r="CI53" i="36"/>
  <c r="CH56" i="36"/>
  <c r="CJ55" i="36"/>
  <c r="CG29" i="36"/>
  <c r="CF54" i="36"/>
  <c r="CF57" i="36" s="1"/>
  <c r="AQ57" i="36"/>
  <c r="CJ12" i="36"/>
  <c r="CJ52" i="36" s="1"/>
  <c r="CF54" i="34"/>
  <c r="CF57" i="34" s="1"/>
  <c r="CQ45" i="34" s="1"/>
  <c r="CG29" i="34"/>
  <c r="P5" i="29"/>
  <c r="P15" i="29" s="1"/>
  <c r="CK29" i="42"/>
  <c r="CK54" i="42" s="1"/>
  <c r="CJ40" i="34"/>
  <c r="CJ56" i="34" s="1"/>
  <c r="CI57" i="42"/>
  <c r="CJ12" i="38"/>
  <c r="CJ52" i="38" s="1"/>
  <c r="CJ40" i="36"/>
  <c r="CJ56" i="36" s="1"/>
  <c r="CK40" i="42"/>
  <c r="CK56" i="42" s="1"/>
  <c r="CJ23" i="36"/>
  <c r="CJ53" i="36" s="1"/>
  <c r="CR54" i="42"/>
  <c r="CR56" i="42"/>
  <c r="CR53" i="42"/>
  <c r="CR50" i="42"/>
  <c r="CR27" i="42"/>
  <c r="CR18" i="42"/>
  <c r="CR32" i="42"/>
  <c r="CR46" i="42"/>
  <c r="CR13" i="42"/>
  <c r="CR30" i="42"/>
  <c r="CR41" i="42"/>
  <c r="CR33" i="42"/>
  <c r="CR11" i="42"/>
  <c r="CR44" i="42"/>
  <c r="CR7" i="42"/>
  <c r="CR45" i="42"/>
  <c r="CR19" i="42"/>
  <c r="CR35" i="42"/>
  <c r="CR25" i="42"/>
  <c r="CR8" i="42"/>
  <c r="CR21" i="42"/>
  <c r="CR14" i="42"/>
  <c r="CR43" i="42"/>
  <c r="CR36" i="42"/>
  <c r="CR17" i="42"/>
  <c r="CR24" i="42"/>
  <c r="CR38" i="42"/>
  <c r="CR31" i="42"/>
  <c r="CR28" i="42"/>
  <c r="CR39" i="42"/>
  <c r="CR15" i="42"/>
  <c r="CR26" i="42"/>
  <c r="CR20" i="42"/>
  <c r="CR22" i="42"/>
  <c r="CR37" i="42"/>
  <c r="CR42" i="42"/>
  <c r="CR6" i="42"/>
  <c r="CR10" i="42"/>
  <c r="CR16" i="42"/>
  <c r="CR23" i="42"/>
  <c r="CR29" i="42"/>
  <c r="CR9" i="42"/>
  <c r="CR34" i="42"/>
  <c r="CR40" i="42"/>
  <c r="CR5" i="42"/>
  <c r="CR12" i="42"/>
  <c r="CR51" i="42"/>
  <c r="CJ23" i="34"/>
  <c r="CJ53" i="34" s="1"/>
  <c r="CJ40" i="38"/>
  <c r="CJ56" i="38" s="1"/>
  <c r="CJ12" i="34"/>
  <c r="CJ52" i="34" s="1"/>
  <c r="CI52" i="34"/>
  <c r="CK12" i="42"/>
  <c r="CK52" i="42" s="1"/>
  <c r="CK23" i="42"/>
  <c r="CK53" i="42" s="1"/>
  <c r="CJ29" i="38"/>
  <c r="CJ54" i="38" s="1"/>
  <c r="CH57" i="42"/>
  <c r="CR55" i="42"/>
  <c r="CQ38" i="38"/>
  <c r="CJ57" i="42"/>
  <c r="CJ23" i="38"/>
  <c r="CJ53" i="38" s="1"/>
  <c r="AE57" i="20"/>
  <c r="CQ40" i="38" l="1"/>
  <c r="CQ18" i="38"/>
  <c r="CQ46" i="38"/>
  <c r="CQ22" i="38"/>
  <c r="CQ26" i="38"/>
  <c r="CQ32" i="38"/>
  <c r="CQ39" i="38"/>
  <c r="CQ52" i="38"/>
  <c r="CQ51" i="38"/>
  <c r="CQ13" i="38"/>
  <c r="CQ24" i="38"/>
  <c r="CQ27" i="38"/>
  <c r="CQ54" i="38"/>
  <c r="CQ15" i="38"/>
  <c r="CQ42" i="38"/>
  <c r="CQ19" i="38"/>
  <c r="CQ5" i="38"/>
  <c r="CQ28" i="38"/>
  <c r="CQ16" i="38"/>
  <c r="CQ41" i="38"/>
  <c r="CQ50" i="38"/>
  <c r="CQ23" i="38"/>
  <c r="CQ37" i="38"/>
  <c r="CQ29" i="38"/>
  <c r="CQ6" i="38"/>
  <c r="CQ8" i="38"/>
  <c r="CQ9" i="38"/>
  <c r="CQ43" i="38"/>
  <c r="CQ25" i="38"/>
  <c r="CQ31" i="38"/>
  <c r="CQ11" i="38"/>
  <c r="CQ45" i="38"/>
  <c r="CQ17" i="38"/>
  <c r="CQ35" i="38"/>
  <c r="CQ7" i="38"/>
  <c r="CQ34" i="38"/>
  <c r="CQ21" i="38"/>
  <c r="CQ36" i="38"/>
  <c r="CQ33" i="38"/>
  <c r="CQ10" i="38"/>
  <c r="CQ12" i="38"/>
  <c r="CQ20" i="38"/>
  <c r="CQ14" i="38"/>
  <c r="CQ44" i="38"/>
  <c r="CQ30" i="38"/>
  <c r="CH61" i="42"/>
  <c r="CQ53" i="38"/>
  <c r="CQ56" i="38"/>
  <c r="CI9" i="38"/>
  <c r="CI51" i="38" s="1"/>
  <c r="CI57" i="38" s="1"/>
  <c r="CG59" i="38"/>
  <c r="CG60" i="38"/>
  <c r="CJ9" i="38"/>
  <c r="CJ51" i="38" s="1"/>
  <c r="CG65" i="38"/>
  <c r="CH9" i="38"/>
  <c r="CH51" i="38" s="1"/>
  <c r="CH57" i="38" s="1"/>
  <c r="CG51" i="38"/>
  <c r="CG57" i="38" s="1"/>
  <c r="CG63" i="38"/>
  <c r="CG64" i="38"/>
  <c r="CQ51" i="36"/>
  <c r="CQ55" i="36"/>
  <c r="CQ52" i="36"/>
  <c r="CQ36" i="36"/>
  <c r="CQ43" i="36"/>
  <c r="CQ45" i="36"/>
  <c r="CQ18" i="36"/>
  <c r="CQ31" i="36"/>
  <c r="CQ26" i="36"/>
  <c r="CQ56" i="36"/>
  <c r="CQ7" i="36"/>
  <c r="CQ44" i="36"/>
  <c r="CQ28" i="36"/>
  <c r="CQ38" i="36"/>
  <c r="CQ23" i="36"/>
  <c r="CQ24" i="36"/>
  <c r="CQ50" i="36"/>
  <c r="CQ33" i="36"/>
  <c r="CQ46" i="36"/>
  <c r="CQ22" i="36"/>
  <c r="CQ10" i="36"/>
  <c r="CQ29" i="36"/>
  <c r="CQ35" i="36"/>
  <c r="CQ40" i="36"/>
  <c r="CQ54" i="36"/>
  <c r="CQ20" i="36"/>
  <c r="CQ25" i="36"/>
  <c r="CQ11" i="36"/>
  <c r="CQ39" i="36"/>
  <c r="CQ12" i="36"/>
  <c r="CQ53" i="36"/>
  <c r="CQ21" i="36"/>
  <c r="CQ41" i="36"/>
  <c r="CQ14" i="36"/>
  <c r="CQ27" i="36"/>
  <c r="CQ34" i="36"/>
  <c r="CQ42" i="36"/>
  <c r="CQ8" i="36"/>
  <c r="CQ30" i="36"/>
  <c r="CQ15" i="36"/>
  <c r="CQ37" i="36"/>
  <c r="CQ6" i="36"/>
  <c r="CQ5" i="36"/>
  <c r="CQ16" i="36"/>
  <c r="CQ13" i="36"/>
  <c r="CQ32" i="36"/>
  <c r="CQ17" i="36"/>
  <c r="CQ19" i="36"/>
  <c r="CQ9" i="36"/>
  <c r="CQ56" i="34"/>
  <c r="CQ40" i="34"/>
  <c r="CQ37" i="34"/>
  <c r="CQ22" i="34"/>
  <c r="CQ41" i="34"/>
  <c r="CQ36" i="34"/>
  <c r="CQ19" i="34"/>
  <c r="CQ30" i="34"/>
  <c r="CQ46" i="34"/>
  <c r="CQ28" i="34"/>
  <c r="CQ8" i="34"/>
  <c r="CI29" i="34"/>
  <c r="CG54" i="34"/>
  <c r="CG57" i="34" s="1"/>
  <c r="CG65" i="34"/>
  <c r="CG64" i="34"/>
  <c r="CH29" i="34"/>
  <c r="CH54" i="34" s="1"/>
  <c r="CH57" i="34" s="1"/>
  <c r="CG63" i="34"/>
  <c r="CG60" i="34"/>
  <c r="CG59" i="34"/>
  <c r="CQ53" i="34"/>
  <c r="CQ12" i="34"/>
  <c r="CQ26" i="34"/>
  <c r="CQ44" i="34"/>
  <c r="CQ18" i="34"/>
  <c r="CQ39" i="34"/>
  <c r="CQ27" i="34"/>
  <c r="CQ32" i="34"/>
  <c r="CQ42" i="34"/>
  <c r="CQ25" i="34"/>
  <c r="CQ38" i="34"/>
  <c r="CQ55" i="34"/>
  <c r="CQ23" i="34"/>
  <c r="CQ11" i="34"/>
  <c r="CQ35" i="34"/>
  <c r="CQ13" i="34"/>
  <c r="CQ20" i="34"/>
  <c r="CQ51" i="34"/>
  <c r="CQ5" i="34"/>
  <c r="CQ34" i="34"/>
  <c r="CQ24" i="34"/>
  <c r="CQ17" i="34"/>
  <c r="CQ7" i="34"/>
  <c r="CQ43" i="34"/>
  <c r="CQ21" i="34"/>
  <c r="CQ50" i="34"/>
  <c r="CQ54" i="34"/>
  <c r="CQ9" i="34"/>
  <c r="CQ15" i="34"/>
  <c r="CQ16" i="34"/>
  <c r="CQ10" i="34"/>
  <c r="CQ33" i="34"/>
  <c r="CG64" i="36"/>
  <c r="CG63" i="36"/>
  <c r="CG54" i="36"/>
  <c r="CG57" i="36" s="1"/>
  <c r="CG59" i="36"/>
  <c r="CI29" i="36"/>
  <c r="CI54" i="36" s="1"/>
  <c r="CI57" i="36" s="1"/>
  <c r="CG60" i="36"/>
  <c r="CH29" i="36"/>
  <c r="CH54" i="36" s="1"/>
  <c r="CH57" i="36" s="1"/>
  <c r="CG65" i="36"/>
  <c r="CQ52" i="34"/>
  <c r="CQ29" i="34"/>
  <c r="CQ14" i="34"/>
  <c r="CQ6" i="34"/>
  <c r="CQ31" i="34"/>
  <c r="CJ57" i="38"/>
  <c r="P33" i="29"/>
  <c r="P35" i="29"/>
  <c r="P30" i="29"/>
  <c r="P34" i="29"/>
  <c r="CK57" i="42"/>
  <c r="CG61" i="38" l="1"/>
  <c r="CG61" i="34"/>
  <c r="CJ29" i="36"/>
  <c r="CJ54" i="36" s="1"/>
  <c r="CJ57" i="36" s="1"/>
  <c r="CI54" i="34"/>
  <c r="CI57" i="34" s="1"/>
  <c r="CJ29" i="34"/>
  <c r="CJ54" i="34" s="1"/>
  <c r="CJ57" i="34" s="1"/>
  <c r="CG61" i="36"/>
  <c r="P31" i="29"/>
  <c r="P29" i="29"/>
  <c r="P17" i="29" l="1"/>
  <c r="P22" i="29" s="1"/>
  <c r="P16" i="29"/>
  <c r="P21" i="29" s="1"/>
  <c r="P25" i="29" l="1"/>
  <c r="P26" i="29"/>
  <c r="K46" i="28" l="1"/>
  <c r="K6" i="28"/>
  <c r="K8" i="28"/>
  <c r="K30" i="28"/>
  <c r="K7" i="28"/>
  <c r="K43" i="28"/>
  <c r="K20" i="28"/>
  <c r="K38" i="28"/>
  <c r="K10" i="28"/>
  <c r="K15" i="28"/>
  <c r="K35" i="28"/>
  <c r="K18" i="28"/>
  <c r="K14" i="28"/>
  <c r="K27" i="28"/>
  <c r="K31" i="28"/>
  <c r="K45" i="28"/>
  <c r="K17" i="28"/>
  <c r="K36" i="28"/>
  <c r="K42" i="28"/>
  <c r="K12" i="28"/>
  <c r="K16" i="28"/>
  <c r="K32" i="28"/>
  <c r="K37" i="28"/>
  <c r="K39" i="28"/>
  <c r="K26" i="28"/>
  <c r="K33" i="28"/>
  <c r="K25" i="28"/>
  <c r="K41" i="28"/>
  <c r="K21" i="28"/>
  <c r="K19" i="28"/>
  <c r="K24" i="28"/>
  <c r="K22" i="28"/>
  <c r="K28" i="28" l="1"/>
  <c r="K44" i="28"/>
  <c r="K5" i="28"/>
  <c r="K50" i="28" s="1"/>
  <c r="K11" i="28"/>
  <c r="K13" i="28"/>
  <c r="K52" i="28" s="1"/>
  <c r="K23" i="28" l="1"/>
  <c r="K53" i="28" s="1"/>
  <c r="K40" i="28"/>
  <c r="K56" i="28" s="1"/>
  <c r="K34" i="28"/>
  <c r="K55" i="28" s="1"/>
  <c r="K29" i="28"/>
  <c r="K54" i="28" s="1"/>
  <c r="K9" i="28"/>
  <c r="K51" i="28" s="1"/>
  <c r="K57" i="28" l="1"/>
  <c r="AD59" i="20" l="1"/>
  <c r="AI59" i="42"/>
  <c r="AH59" i="34"/>
  <c r="AH59" i="38"/>
  <c r="AH59" i="36"/>
  <c r="E46" i="42" l="1"/>
  <c r="E45" i="42"/>
  <c r="E44" i="42"/>
  <c r="E43" i="42"/>
  <c r="E42" i="42"/>
  <c r="E41" i="42"/>
  <c r="E40" i="42"/>
  <c r="E39" i="42"/>
  <c r="E38" i="42"/>
  <c r="E37" i="42"/>
  <c r="E36" i="42"/>
  <c r="E35" i="42"/>
  <c r="E34" i="42"/>
  <c r="E33" i="42"/>
  <c r="E32" i="42"/>
  <c r="E31" i="42"/>
  <c r="E30" i="42"/>
  <c r="E29" i="42"/>
  <c r="E28" i="42"/>
  <c r="E27" i="42"/>
  <c r="E26" i="42"/>
  <c r="E25" i="42"/>
  <c r="E24" i="42"/>
  <c r="E23" i="42"/>
  <c r="E22" i="42"/>
  <c r="E21" i="42"/>
  <c r="E20" i="42"/>
  <c r="E19" i="42"/>
  <c r="E18" i="42"/>
  <c r="E17" i="42"/>
  <c r="E16" i="42"/>
  <c r="E15" i="42"/>
  <c r="E14" i="42"/>
  <c r="E13" i="42"/>
  <c r="E12" i="42"/>
  <c r="E11" i="42"/>
  <c r="E10" i="42"/>
  <c r="E9" i="42"/>
  <c r="E8" i="42"/>
  <c r="E7" i="42"/>
  <c r="E6" i="42"/>
  <c r="E5" i="42"/>
  <c r="K16" i="41" l="1"/>
  <c r="S14" i="42"/>
  <c r="S22" i="42"/>
  <c r="K24" i="41"/>
  <c r="K32" i="41"/>
  <c r="S30" i="42"/>
  <c r="K40" i="41"/>
  <c r="S38" i="42"/>
  <c r="K48" i="41"/>
  <c r="S46" i="42"/>
  <c r="K9" i="41"/>
  <c r="S7" i="42"/>
  <c r="S15" i="42"/>
  <c r="K17" i="41"/>
  <c r="K25" i="41"/>
  <c r="E53" i="42"/>
  <c r="S23" i="42"/>
  <c r="S31" i="42"/>
  <c r="K33" i="41"/>
  <c r="K41" i="41"/>
  <c r="S39" i="42"/>
  <c r="K8" i="41"/>
  <c r="S6" i="42"/>
  <c r="K18" i="41"/>
  <c r="S16" i="42"/>
  <c r="K26" i="41"/>
  <c r="S24" i="42"/>
  <c r="S32" i="42"/>
  <c r="K34" i="41"/>
  <c r="K42" i="41"/>
  <c r="E56" i="42"/>
  <c r="S40" i="42"/>
  <c r="K10" i="41"/>
  <c r="S8" i="42"/>
  <c r="E51" i="42"/>
  <c r="S9" i="42"/>
  <c r="K11" i="41"/>
  <c r="S17" i="42"/>
  <c r="K19" i="41"/>
  <c r="K27" i="41"/>
  <c r="S25" i="42"/>
  <c r="K35" i="41"/>
  <c r="S33" i="42"/>
  <c r="K43" i="41"/>
  <c r="S41" i="42"/>
  <c r="S10" i="42"/>
  <c r="K12" i="41"/>
  <c r="S18" i="42"/>
  <c r="K20" i="41"/>
  <c r="K28" i="41"/>
  <c r="S26" i="42"/>
  <c r="K36" i="41"/>
  <c r="S34" i="42"/>
  <c r="E55" i="42"/>
  <c r="S42" i="42"/>
  <c r="K44" i="41"/>
  <c r="K13" i="41"/>
  <c r="S11" i="42"/>
  <c r="K21" i="41"/>
  <c r="S19" i="42"/>
  <c r="K29" i="41"/>
  <c r="S27" i="42"/>
  <c r="K37" i="41"/>
  <c r="S35" i="42"/>
  <c r="K45" i="41"/>
  <c r="S43" i="42"/>
  <c r="K14" i="41"/>
  <c r="S12" i="42"/>
  <c r="E52" i="42"/>
  <c r="K22" i="41"/>
  <c r="S20" i="42"/>
  <c r="K30" i="41"/>
  <c r="S28" i="42"/>
  <c r="K38" i="41"/>
  <c r="S36" i="42"/>
  <c r="K46" i="41"/>
  <c r="S44" i="42"/>
  <c r="K7" i="41"/>
  <c r="H51" i="42" a="1"/>
  <c r="H51" i="42" s="1"/>
  <c r="H54" i="42" a="1"/>
  <c r="H54" i="42" s="1"/>
  <c r="E50" i="42"/>
  <c r="H52" i="42" a="1"/>
  <c r="H52" i="42" s="1"/>
  <c r="S5" i="42"/>
  <c r="H50" i="42" a="1"/>
  <c r="H50" i="42" s="1"/>
  <c r="H56" i="42" a="1"/>
  <c r="H56" i="42" s="1"/>
  <c r="H55" i="42" a="1"/>
  <c r="H55" i="42" s="1"/>
  <c r="H53" i="42" a="1"/>
  <c r="H53" i="42" s="1"/>
  <c r="K15" i="41"/>
  <c r="S13" i="42"/>
  <c r="S21" i="42"/>
  <c r="K23" i="41"/>
  <c r="K31" i="41"/>
  <c r="S29" i="42"/>
  <c r="E54" i="42"/>
  <c r="S37" i="42"/>
  <c r="K39" i="41"/>
  <c r="K47" i="41"/>
  <c r="S45" i="42"/>
  <c r="E21" i="36"/>
  <c r="E21" i="38"/>
  <c r="E21" i="34"/>
  <c r="E45" i="36"/>
  <c r="E45" i="38"/>
  <c r="E45" i="34"/>
  <c r="E22" i="38"/>
  <c r="E22" i="36"/>
  <c r="E22" i="34"/>
  <c r="E46" i="38"/>
  <c r="E46" i="36"/>
  <c r="E46" i="34"/>
  <c r="E7" i="38"/>
  <c r="E7" i="36"/>
  <c r="E7" i="34"/>
  <c r="E15" i="36"/>
  <c r="E15" i="38"/>
  <c r="E15" i="34"/>
  <c r="E23" i="38"/>
  <c r="E23" i="36"/>
  <c r="E23" i="34"/>
  <c r="E31" i="36"/>
  <c r="E31" i="38"/>
  <c r="E31" i="34"/>
  <c r="E39" i="36"/>
  <c r="E39" i="38"/>
  <c r="E39" i="34"/>
  <c r="E8" i="38"/>
  <c r="E8" i="36"/>
  <c r="E8" i="34"/>
  <c r="E32" i="36"/>
  <c r="E32" i="38"/>
  <c r="E32" i="34"/>
  <c r="E9" i="38"/>
  <c r="E9" i="36"/>
  <c r="E9" i="34"/>
  <c r="E17" i="38"/>
  <c r="E17" i="36"/>
  <c r="E17" i="34"/>
  <c r="E25" i="36"/>
  <c r="E25" i="38"/>
  <c r="E25" i="34"/>
  <c r="E33" i="38"/>
  <c r="E33" i="36"/>
  <c r="E33" i="34"/>
  <c r="E41" i="38"/>
  <c r="E41" i="36"/>
  <c r="E41" i="34"/>
  <c r="E5" i="38"/>
  <c r="E5" i="36"/>
  <c r="E5" i="34"/>
  <c r="E29" i="38"/>
  <c r="E29" i="36"/>
  <c r="E29" i="34"/>
  <c r="E24" i="38"/>
  <c r="E24" i="36"/>
  <c r="E24" i="34"/>
  <c r="E40" i="38"/>
  <c r="E40" i="36"/>
  <c r="E40" i="34"/>
  <c r="E10" i="38"/>
  <c r="E10" i="36"/>
  <c r="E10" i="34"/>
  <c r="E18" i="36"/>
  <c r="E18" i="38"/>
  <c r="E18" i="34"/>
  <c r="E26" i="38"/>
  <c r="E26" i="36"/>
  <c r="E26" i="34"/>
  <c r="E34" i="36"/>
  <c r="E34" i="38"/>
  <c r="E34" i="34"/>
  <c r="E42" i="38"/>
  <c r="E42" i="36"/>
  <c r="E42" i="34"/>
  <c r="E14" i="36"/>
  <c r="E14" i="38"/>
  <c r="E14" i="34"/>
  <c r="E30" i="36"/>
  <c r="E30" i="38"/>
  <c r="E30" i="34"/>
  <c r="E16" i="38"/>
  <c r="E16" i="36"/>
  <c r="E16" i="34"/>
  <c r="E11" i="38"/>
  <c r="E11" i="36"/>
  <c r="E11" i="34"/>
  <c r="E19" i="36"/>
  <c r="E19" i="38"/>
  <c r="E19" i="34"/>
  <c r="E27" i="38"/>
  <c r="E27" i="36"/>
  <c r="E27" i="34"/>
  <c r="E35" i="36"/>
  <c r="E35" i="38"/>
  <c r="E35" i="34"/>
  <c r="E43" i="38"/>
  <c r="E43" i="36"/>
  <c r="E43" i="34"/>
  <c r="E13" i="38"/>
  <c r="E13" i="36"/>
  <c r="E13" i="34"/>
  <c r="E37" i="38"/>
  <c r="E37" i="36"/>
  <c r="E37" i="34"/>
  <c r="E6" i="38"/>
  <c r="E6" i="36"/>
  <c r="E6" i="34"/>
  <c r="E38" i="36"/>
  <c r="E38" i="38"/>
  <c r="E38" i="34"/>
  <c r="E12" i="36"/>
  <c r="E12" i="38"/>
  <c r="E12" i="34"/>
  <c r="E20" i="36"/>
  <c r="E20" i="38"/>
  <c r="E20" i="34"/>
  <c r="E28" i="38"/>
  <c r="E28" i="36"/>
  <c r="E28" i="34"/>
  <c r="E36" i="38"/>
  <c r="E36" i="36"/>
  <c r="E36" i="34"/>
  <c r="E44" i="38"/>
  <c r="E44" i="36"/>
  <c r="E44" i="34"/>
  <c r="N40" i="19"/>
  <c r="O40" i="19" s="1"/>
  <c r="F43" i="25"/>
  <c r="N27" i="19"/>
  <c r="BN27" i="19" s="1"/>
  <c r="F35" i="25"/>
  <c r="N19" i="19"/>
  <c r="AH19" i="19" s="1"/>
  <c r="F27" i="25"/>
  <c r="N22" i="19"/>
  <c r="AX22" i="19" s="1"/>
  <c r="F19" i="25"/>
  <c r="N43" i="19"/>
  <c r="BN43" i="19" s="1"/>
  <c r="F11" i="25"/>
  <c r="AC47" i="37"/>
  <c r="J45" i="25"/>
  <c r="AC39" i="37"/>
  <c r="J37" i="25"/>
  <c r="AC31" i="37"/>
  <c r="J29" i="25"/>
  <c r="AC23" i="37"/>
  <c r="J21" i="25"/>
  <c r="AC15" i="37"/>
  <c r="J13" i="25"/>
  <c r="N21" i="19"/>
  <c r="R21" i="19" s="1"/>
  <c r="F42" i="25"/>
  <c r="N6" i="19"/>
  <c r="BN6" i="19" s="1"/>
  <c r="F34" i="25"/>
  <c r="N36" i="19"/>
  <c r="BN36" i="19" s="1"/>
  <c r="F26" i="25"/>
  <c r="N42" i="19"/>
  <c r="O42" i="19" s="1"/>
  <c r="F18" i="25"/>
  <c r="N26" i="19"/>
  <c r="BN26" i="19" s="1"/>
  <c r="F10" i="25"/>
  <c r="AC46" i="37"/>
  <c r="J44" i="25"/>
  <c r="AC38" i="37"/>
  <c r="J36" i="25"/>
  <c r="AC30" i="37"/>
  <c r="J28" i="25"/>
  <c r="AC22" i="37"/>
  <c r="J20" i="25"/>
  <c r="AC14" i="37"/>
  <c r="J12" i="25"/>
  <c r="N7" i="19"/>
  <c r="R7" i="19" s="1"/>
  <c r="F41" i="25"/>
  <c r="N38" i="19"/>
  <c r="O38" i="19" s="1"/>
  <c r="F33" i="25"/>
  <c r="N39" i="19"/>
  <c r="AX39" i="19" s="1"/>
  <c r="F25" i="25"/>
  <c r="N13" i="19"/>
  <c r="R13" i="19" s="1"/>
  <c r="F17" i="25"/>
  <c r="N41" i="19"/>
  <c r="R41" i="19" s="1"/>
  <c r="F9" i="25"/>
  <c r="AC45" i="37"/>
  <c r="J43" i="25"/>
  <c r="AC37" i="37"/>
  <c r="J35" i="25"/>
  <c r="AC29" i="37"/>
  <c r="J27" i="25"/>
  <c r="AC21" i="37"/>
  <c r="J19" i="25"/>
  <c r="AC13" i="37"/>
  <c r="J11" i="25"/>
  <c r="N8" i="19"/>
  <c r="R8" i="19" s="1"/>
  <c r="F40" i="25"/>
  <c r="N45" i="19"/>
  <c r="S45" i="19" s="1"/>
  <c r="F32" i="25"/>
  <c r="N29" i="19"/>
  <c r="AH29" i="19" s="1"/>
  <c r="F24" i="25"/>
  <c r="N34" i="19"/>
  <c r="AX34" i="19" s="1"/>
  <c r="F16" i="25"/>
  <c r="N18" i="19"/>
  <c r="R18" i="19" s="1"/>
  <c r="F8" i="25"/>
  <c r="AC44" i="37"/>
  <c r="J42" i="25"/>
  <c r="AC36" i="37"/>
  <c r="J34" i="25"/>
  <c r="AC28" i="37"/>
  <c r="J26" i="25"/>
  <c r="AC20" i="37"/>
  <c r="J18" i="25"/>
  <c r="AC12" i="37"/>
  <c r="J10" i="25"/>
  <c r="N17" i="19"/>
  <c r="AH17" i="19" s="1"/>
  <c r="F5" i="25"/>
  <c r="N44" i="19"/>
  <c r="O44" i="19" s="1"/>
  <c r="F39" i="25"/>
  <c r="N10" i="19"/>
  <c r="R10" i="19" s="1"/>
  <c r="F31" i="25"/>
  <c r="N11" i="19"/>
  <c r="BN11" i="19" s="1"/>
  <c r="F23" i="25"/>
  <c r="N33" i="19"/>
  <c r="BN33" i="19" s="1"/>
  <c r="F15" i="25"/>
  <c r="N32" i="19"/>
  <c r="AX32" i="19" s="1"/>
  <c r="F7" i="25"/>
  <c r="AC43" i="37"/>
  <c r="J41" i="25"/>
  <c r="AC35" i="37"/>
  <c r="J33" i="25"/>
  <c r="AC27" i="37"/>
  <c r="J25" i="25"/>
  <c r="AC19" i="37"/>
  <c r="J17" i="25"/>
  <c r="AC11" i="37"/>
  <c r="J9" i="25"/>
  <c r="N23" i="19"/>
  <c r="R23" i="19" s="1"/>
  <c r="F46" i="25"/>
  <c r="N46" i="19"/>
  <c r="R46" i="19" s="1"/>
  <c r="F38" i="25"/>
  <c r="N16" i="19"/>
  <c r="AX16" i="19" s="1"/>
  <c r="F30" i="25"/>
  <c r="N37" i="19"/>
  <c r="AH37" i="19" s="1"/>
  <c r="F22" i="25"/>
  <c r="N12" i="19"/>
  <c r="R12" i="19" s="1"/>
  <c r="F14" i="25"/>
  <c r="N35" i="19"/>
  <c r="AI35" i="19" s="1"/>
  <c r="F6" i="25"/>
  <c r="AC42" i="37"/>
  <c r="J40" i="25"/>
  <c r="AC34" i="37"/>
  <c r="J32" i="25"/>
  <c r="AC26" i="37"/>
  <c r="J24" i="25"/>
  <c r="AC18" i="37"/>
  <c r="J16" i="25"/>
  <c r="AC10" i="37"/>
  <c r="J8" i="25"/>
  <c r="N14" i="19"/>
  <c r="S14" i="19" s="1"/>
  <c r="F45" i="25"/>
  <c r="N30" i="19"/>
  <c r="R30" i="19" s="1"/>
  <c r="F37" i="25"/>
  <c r="N31" i="19"/>
  <c r="AH31" i="19" s="1"/>
  <c r="F29" i="25"/>
  <c r="N25" i="19"/>
  <c r="R25" i="19" s="1"/>
  <c r="F21" i="25"/>
  <c r="N20" i="19"/>
  <c r="R20" i="19" s="1"/>
  <c r="F13" i="25"/>
  <c r="AC7" i="37"/>
  <c r="J5" i="25"/>
  <c r="AC41" i="37"/>
  <c r="J39" i="25"/>
  <c r="AC33" i="37"/>
  <c r="J31" i="25"/>
  <c r="AC25" i="37"/>
  <c r="J23" i="25"/>
  <c r="AC17" i="37"/>
  <c r="J15" i="25"/>
  <c r="J7" i="25"/>
  <c r="N24" i="19"/>
  <c r="AI24" i="19" s="1"/>
  <c r="F44" i="25"/>
  <c r="N28" i="19"/>
  <c r="AH28" i="19" s="1"/>
  <c r="F36" i="25"/>
  <c r="N9" i="19"/>
  <c r="S9" i="19" s="1"/>
  <c r="F28" i="25"/>
  <c r="N15" i="19"/>
  <c r="O15" i="19" s="1"/>
  <c r="F20" i="25"/>
  <c r="N5" i="19"/>
  <c r="BN5" i="19" s="1"/>
  <c r="F12" i="25"/>
  <c r="AC48" i="37"/>
  <c r="J46" i="25"/>
  <c r="AC40" i="37"/>
  <c r="J38" i="25"/>
  <c r="AC32" i="37"/>
  <c r="J30" i="25"/>
  <c r="AC24" i="37"/>
  <c r="J22" i="25"/>
  <c r="AC16" i="37"/>
  <c r="J14" i="25"/>
  <c r="AC8" i="37"/>
  <c r="J6" i="25"/>
  <c r="E23" i="20"/>
  <c r="G23" i="20" s="1"/>
  <c r="E39" i="20"/>
  <c r="G39" i="20" s="1"/>
  <c r="E42" i="20"/>
  <c r="G42" i="20" s="1"/>
  <c r="E9" i="20"/>
  <c r="G9" i="20" s="1"/>
  <c r="E16" i="20"/>
  <c r="G16" i="20" s="1"/>
  <c r="E32" i="20"/>
  <c r="G32" i="20" s="1"/>
  <c r="E17" i="20"/>
  <c r="G17" i="20" s="1"/>
  <c r="E25" i="20"/>
  <c r="G25" i="20" s="1"/>
  <c r="E33" i="20"/>
  <c r="G33" i="20" s="1"/>
  <c r="E41" i="20"/>
  <c r="G41" i="20" s="1"/>
  <c r="E22" i="20"/>
  <c r="G22" i="20" s="1"/>
  <c r="E14" i="20"/>
  <c r="G14" i="20" s="1"/>
  <c r="E30" i="20"/>
  <c r="G30" i="20" s="1"/>
  <c r="E46" i="20"/>
  <c r="G46" i="20" s="1"/>
  <c r="E8" i="20"/>
  <c r="G8" i="20" s="1"/>
  <c r="E24" i="20"/>
  <c r="G24" i="20" s="1"/>
  <c r="E40" i="20"/>
  <c r="E18" i="20"/>
  <c r="G18" i="20" s="1"/>
  <c r="E34" i="20"/>
  <c r="E11" i="20"/>
  <c r="G11" i="20" s="1"/>
  <c r="E19" i="20"/>
  <c r="G19" i="20" s="1"/>
  <c r="E27" i="20"/>
  <c r="G27" i="20" s="1"/>
  <c r="E35" i="20"/>
  <c r="G35" i="20" s="1"/>
  <c r="E43" i="20"/>
  <c r="G43" i="20" s="1"/>
  <c r="E6" i="20"/>
  <c r="G6" i="20" s="1"/>
  <c r="E38" i="20"/>
  <c r="G38" i="20" s="1"/>
  <c r="E7" i="20"/>
  <c r="G7" i="20" s="1"/>
  <c r="E10" i="20"/>
  <c r="G10" i="20" s="1"/>
  <c r="E26" i="20"/>
  <c r="G26" i="20" s="1"/>
  <c r="E12" i="20"/>
  <c r="E20" i="20"/>
  <c r="G20" i="20" s="1"/>
  <c r="E28" i="20"/>
  <c r="G28" i="20" s="1"/>
  <c r="E36" i="20"/>
  <c r="G36" i="20" s="1"/>
  <c r="E44" i="20"/>
  <c r="G44" i="20" s="1"/>
  <c r="E15" i="20"/>
  <c r="G15" i="20" s="1"/>
  <c r="E31" i="20"/>
  <c r="G31" i="20" s="1"/>
  <c r="E13" i="20"/>
  <c r="G13" i="20" s="1"/>
  <c r="E21" i="20"/>
  <c r="G21" i="20" s="1"/>
  <c r="E29" i="20"/>
  <c r="E37" i="20"/>
  <c r="G37" i="20" s="1"/>
  <c r="E45" i="20"/>
  <c r="G45" i="20" s="1"/>
  <c r="E5" i="20"/>
  <c r="S34" i="19"/>
  <c r="S42" i="19" l="1"/>
  <c r="N21" i="41"/>
  <c r="N9" i="41"/>
  <c r="AH15" i="19"/>
  <c r="S15" i="19"/>
  <c r="R15" i="19"/>
  <c r="AI15" i="19"/>
  <c r="AY15" i="19" s="1"/>
  <c r="AZ15" i="19" s="1"/>
  <c r="AX15" i="19"/>
  <c r="BN15" i="19"/>
  <c r="N34" i="41"/>
  <c r="P34" i="41" s="1"/>
  <c r="N8" i="41"/>
  <c r="P8" i="41" s="1"/>
  <c r="N31" i="41"/>
  <c r="AO31" i="41" s="1"/>
  <c r="N36" i="41"/>
  <c r="P36" i="41" s="1"/>
  <c r="N41" i="41"/>
  <c r="AO41" i="41" s="1"/>
  <c r="N28" i="41"/>
  <c r="AO28" i="41" s="1"/>
  <c r="N48" i="41"/>
  <c r="P48" i="41" s="1"/>
  <c r="N25" i="41"/>
  <c r="P25" i="41" s="1"/>
  <c r="N15" i="41"/>
  <c r="N46" i="41"/>
  <c r="N38" i="41"/>
  <c r="N30" i="41"/>
  <c r="M30" i="41"/>
  <c r="M22" i="41"/>
  <c r="M37" i="41"/>
  <c r="M11" i="41"/>
  <c r="K53" i="41"/>
  <c r="N11" i="41"/>
  <c r="N10" i="41"/>
  <c r="AO9" i="41"/>
  <c r="P9" i="41"/>
  <c r="M40" i="41"/>
  <c r="N39" i="41"/>
  <c r="M39" i="41"/>
  <c r="M23" i="41"/>
  <c r="N23" i="41"/>
  <c r="M15" i="41"/>
  <c r="M46" i="41"/>
  <c r="M38" i="41"/>
  <c r="M14" i="41"/>
  <c r="N14" i="41"/>
  <c r="N45" i="41"/>
  <c r="M45" i="41"/>
  <c r="K54" i="41"/>
  <c r="M19" i="41"/>
  <c r="N19" i="41"/>
  <c r="M10" i="41"/>
  <c r="K58" i="41"/>
  <c r="M42" i="41"/>
  <c r="N17" i="41"/>
  <c r="M17" i="41"/>
  <c r="M9" i="41"/>
  <c r="M48" i="41"/>
  <c r="N47" i="41"/>
  <c r="K56" i="41"/>
  <c r="M31" i="41"/>
  <c r="M7" i="41"/>
  <c r="N7" i="41"/>
  <c r="K52" i="41"/>
  <c r="K61" i="41"/>
  <c r="N43" i="41"/>
  <c r="N35" i="41"/>
  <c r="N27" i="41"/>
  <c r="N33" i="41"/>
  <c r="M33" i="41"/>
  <c r="M47" i="41"/>
  <c r="N12" i="41"/>
  <c r="M12" i="41"/>
  <c r="M43" i="41"/>
  <c r="M35" i="41"/>
  <c r="M27" i="41"/>
  <c r="K55" i="41"/>
  <c r="M25" i="41"/>
  <c r="N44" i="41"/>
  <c r="M44" i="41"/>
  <c r="M20" i="41"/>
  <c r="N20" i="41"/>
  <c r="M41" i="41"/>
  <c r="P21" i="41"/>
  <c r="AO21" i="41"/>
  <c r="M13" i="41"/>
  <c r="N13" i="41"/>
  <c r="K57" i="41"/>
  <c r="M36" i="41"/>
  <c r="M28" i="41"/>
  <c r="N18" i="41"/>
  <c r="M8" i="41"/>
  <c r="N29" i="41"/>
  <c r="M21" i="41"/>
  <c r="N26" i="41"/>
  <c r="M18" i="41"/>
  <c r="N32" i="41"/>
  <c r="N24" i="41"/>
  <c r="M24" i="41"/>
  <c r="N16" i="41"/>
  <c r="E57" i="42"/>
  <c r="N22" i="41"/>
  <c r="N37" i="41"/>
  <c r="M29" i="41"/>
  <c r="N42" i="41"/>
  <c r="M34" i="41"/>
  <c r="M26" i="41"/>
  <c r="N40" i="41"/>
  <c r="M32" i="41"/>
  <c r="M16" i="41"/>
  <c r="AH33" i="19"/>
  <c r="AH43" i="19"/>
  <c r="O17" i="19"/>
  <c r="X17" i="19" s="1"/>
  <c r="O31" i="19"/>
  <c r="X31" i="19" s="1"/>
  <c r="Y31" i="19" s="1"/>
  <c r="AI40" i="19"/>
  <c r="AY40" i="19" s="1"/>
  <c r="AI29" i="19"/>
  <c r="AJ29" i="19" s="1"/>
  <c r="R35" i="19"/>
  <c r="S46" i="19"/>
  <c r="T46" i="19" s="1"/>
  <c r="AX7" i="19"/>
  <c r="AX56" i="19" s="1"/>
  <c r="AX36" i="19"/>
  <c r="E55" i="34"/>
  <c r="AI43" i="19"/>
  <c r="AI31" i="19"/>
  <c r="AY31" i="19" s="1"/>
  <c r="S40" i="19"/>
  <c r="S35" i="19"/>
  <c r="BN41" i="19"/>
  <c r="BN7" i="19"/>
  <c r="AH36" i="19"/>
  <c r="O33" i="19"/>
  <c r="X33" i="19" s="1"/>
  <c r="Y33" i="19" s="1"/>
  <c r="AI17" i="19"/>
  <c r="AI50" i="19" s="1"/>
  <c r="O29" i="19"/>
  <c r="X29" i="19" s="1"/>
  <c r="Y29" i="19" s="1"/>
  <c r="E55" i="38"/>
  <c r="E52" i="36"/>
  <c r="O43" i="19"/>
  <c r="X43" i="19" s="1"/>
  <c r="Y43" i="19" s="1"/>
  <c r="R31" i="19"/>
  <c r="R40" i="19"/>
  <c r="AX46" i="19"/>
  <c r="AX41" i="19"/>
  <c r="AH7" i="19"/>
  <c r="AH56" i="19" s="1"/>
  <c r="AI36" i="19"/>
  <c r="AY36" i="19" s="1"/>
  <c r="AI33" i="19"/>
  <c r="AY33" i="19" s="1"/>
  <c r="S17" i="19"/>
  <c r="S29" i="19"/>
  <c r="E55" i="36"/>
  <c r="E54" i="34"/>
  <c r="E54" i="36"/>
  <c r="E53" i="34"/>
  <c r="R43" i="19"/>
  <c r="AX40" i="19"/>
  <c r="AX35" i="19"/>
  <c r="O46" i="19"/>
  <c r="AI41" i="19"/>
  <c r="AY41" i="19" s="1"/>
  <c r="O7" i="19"/>
  <c r="X7" i="19" s="1"/>
  <c r="S36" i="19"/>
  <c r="S33" i="19"/>
  <c r="E56" i="34"/>
  <c r="E54" i="38"/>
  <c r="E51" i="34"/>
  <c r="E53" i="36"/>
  <c r="AH41" i="19"/>
  <c r="BN31" i="19"/>
  <c r="BN40" i="19"/>
  <c r="AH35" i="19"/>
  <c r="AJ35" i="19" s="1"/>
  <c r="AH46" i="19"/>
  <c r="O41" i="19"/>
  <c r="X41" i="19" s="1"/>
  <c r="Y41" i="19" s="1"/>
  <c r="S7" i="19"/>
  <c r="T7" i="19" s="1"/>
  <c r="R36" i="19"/>
  <c r="BN17" i="19"/>
  <c r="BN50" i="19" s="1"/>
  <c r="AX29" i="19"/>
  <c r="E56" i="36"/>
  <c r="H56" i="34" a="1"/>
  <c r="H56" i="34" s="1"/>
  <c r="H50" i="34" a="1"/>
  <c r="H50" i="34" s="1"/>
  <c r="H55" i="34" a="1"/>
  <c r="H55" i="34" s="1"/>
  <c r="H53" i="34" a="1"/>
  <c r="H53" i="34" s="1"/>
  <c r="H52" i="34" a="1"/>
  <c r="H52" i="34" s="1"/>
  <c r="E50" i="34"/>
  <c r="H51" i="34" a="1"/>
  <c r="H51" i="34" s="1"/>
  <c r="H54" i="34" a="1"/>
  <c r="H54" i="34" s="1"/>
  <c r="E51" i="36"/>
  <c r="E53" i="38"/>
  <c r="S43" i="19"/>
  <c r="S31" i="19"/>
  <c r="BN46" i="19"/>
  <c r="AI7" i="19"/>
  <c r="AY7" i="19" s="1"/>
  <c r="O36" i="19"/>
  <c r="X36" i="19" s="1"/>
  <c r="Y36" i="19" s="1"/>
  <c r="R33" i="19"/>
  <c r="R29" i="19"/>
  <c r="AX43" i="19"/>
  <c r="AX31" i="19"/>
  <c r="AH40" i="19"/>
  <c r="O35" i="19"/>
  <c r="X35" i="19" s="1"/>
  <c r="Y35" i="19" s="1"/>
  <c r="AI46" i="19"/>
  <c r="AY46" i="19" s="1"/>
  <c r="S41" i="19"/>
  <c r="T41" i="19" s="1"/>
  <c r="AX33" i="19"/>
  <c r="AX17" i="19"/>
  <c r="AX50" i="19" s="1"/>
  <c r="BN29" i="19"/>
  <c r="E52" i="34"/>
  <c r="E56" i="38"/>
  <c r="E50" i="36"/>
  <c r="H54" i="36" a="1"/>
  <c r="H54" i="36" s="1"/>
  <c r="H56" i="36" a="1"/>
  <c r="H56" i="36" s="1"/>
  <c r="H55" i="36" a="1"/>
  <c r="H55" i="36" s="1"/>
  <c r="H51" i="36" a="1"/>
  <c r="H51" i="36" s="1"/>
  <c r="H50" i="36" a="1"/>
  <c r="H50" i="36" s="1"/>
  <c r="H53" i="36" a="1"/>
  <c r="H53" i="36" s="1"/>
  <c r="H52" i="36" a="1"/>
  <c r="H52" i="36" s="1"/>
  <c r="E51" i="38"/>
  <c r="BN35" i="19"/>
  <c r="R17" i="19"/>
  <c r="E52" i="38"/>
  <c r="H51" i="38" a="1"/>
  <c r="H51" i="38" s="1"/>
  <c r="H50" i="38" a="1"/>
  <c r="H50" i="38" s="1"/>
  <c r="E50" i="38"/>
  <c r="H52" i="38" a="1"/>
  <c r="H52" i="38" s="1"/>
  <c r="H56" i="38" a="1"/>
  <c r="H56" i="38" s="1"/>
  <c r="H54" i="38" a="1"/>
  <c r="H54" i="38" s="1"/>
  <c r="H53" i="38" a="1"/>
  <c r="H53" i="38" s="1"/>
  <c r="H55" i="38" a="1"/>
  <c r="H55" i="38" s="1"/>
  <c r="K27" i="37"/>
  <c r="BM40" i="45" s="1"/>
  <c r="K36" i="37"/>
  <c r="BM22" i="45" s="1"/>
  <c r="K41" i="37"/>
  <c r="BM31" i="45" s="1"/>
  <c r="K24" i="37"/>
  <c r="BM13" i="45" s="1"/>
  <c r="K19" i="37"/>
  <c r="BM19" i="45" s="1"/>
  <c r="K17" i="37"/>
  <c r="BM18" i="45" s="1"/>
  <c r="K7" i="37"/>
  <c r="BM27" i="45" s="1"/>
  <c r="K23" i="37"/>
  <c r="BM10" i="45" s="1"/>
  <c r="K46" i="37"/>
  <c r="BM25" i="45" s="1"/>
  <c r="K14" i="37"/>
  <c r="BM36" i="45" s="1"/>
  <c r="K40" i="37"/>
  <c r="BM30" i="45" s="1"/>
  <c r="K29" i="37"/>
  <c r="BM34" i="45" s="1"/>
  <c r="K20" i="37"/>
  <c r="BM28" i="45" s="1"/>
  <c r="K22" i="37"/>
  <c r="BM12" i="45" s="1"/>
  <c r="K11" i="37"/>
  <c r="BM33" i="45" s="1"/>
  <c r="K44" i="37"/>
  <c r="BM44" i="45" s="1"/>
  <c r="K48" i="37"/>
  <c r="BM46" i="45" s="1"/>
  <c r="K43" i="37"/>
  <c r="BM43" i="45" s="1"/>
  <c r="K34" i="37"/>
  <c r="BM48" i="45" s="1"/>
  <c r="K25" i="37"/>
  <c r="BM38" i="45" s="1"/>
  <c r="K9" i="37"/>
  <c r="K47" i="37"/>
  <c r="BM45" i="45" s="1"/>
  <c r="K15" i="37"/>
  <c r="BM16" i="45" s="1"/>
  <c r="K38" i="37"/>
  <c r="BM9" i="45" s="1"/>
  <c r="K28" i="37"/>
  <c r="BM20" i="45" s="1"/>
  <c r="K8" i="37"/>
  <c r="BM24" i="45" s="1"/>
  <c r="K21" i="37"/>
  <c r="BM23" i="45" s="1"/>
  <c r="K42" i="37"/>
  <c r="BM32" i="45" s="1"/>
  <c r="K37" i="37"/>
  <c r="BM29" i="45" s="1"/>
  <c r="K32" i="37"/>
  <c r="BM26" i="45" s="1"/>
  <c r="K35" i="37"/>
  <c r="BM15" i="45" s="1"/>
  <c r="K18" i="37"/>
  <c r="BM17" i="45" s="1"/>
  <c r="K16" i="37"/>
  <c r="BM37" i="45" s="1"/>
  <c r="K31" i="37"/>
  <c r="K10" i="37"/>
  <c r="BM35" i="45" s="1"/>
  <c r="K39" i="37"/>
  <c r="BM11" i="45" s="1"/>
  <c r="K33" i="37"/>
  <c r="BM42" i="45" s="1"/>
  <c r="K30" i="37"/>
  <c r="BM41" i="45" s="1"/>
  <c r="K12" i="37"/>
  <c r="BM7" i="45" s="1"/>
  <c r="K45" i="37"/>
  <c r="BM14" i="45" s="1"/>
  <c r="K13" i="37"/>
  <c r="BM8" i="45" s="1"/>
  <c r="K26" i="37"/>
  <c r="BM39" i="45" s="1"/>
  <c r="AX8" i="19"/>
  <c r="O32" i="19"/>
  <c r="X32" i="19" s="1"/>
  <c r="Y32" i="19" s="1"/>
  <c r="O37" i="19"/>
  <c r="X37" i="19" s="1"/>
  <c r="Y37" i="19" s="1"/>
  <c r="BN9" i="19"/>
  <c r="BN53" i="19" s="1"/>
  <c r="BN21" i="19"/>
  <c r="AX11" i="19"/>
  <c r="BN8" i="19"/>
  <c r="BN39" i="19"/>
  <c r="AH39" i="19"/>
  <c r="AH26" i="19"/>
  <c r="AH51" i="19" s="1"/>
  <c r="BN20" i="19"/>
  <c r="AI26" i="19"/>
  <c r="AY26" i="19" s="1"/>
  <c r="AX20" i="19"/>
  <c r="BN14" i="19"/>
  <c r="S10" i="19"/>
  <c r="T10" i="19" s="1"/>
  <c r="BN18" i="19"/>
  <c r="AI19" i="19"/>
  <c r="AK19" i="19" s="1"/>
  <c r="AX14" i="19"/>
  <c r="AI37" i="19"/>
  <c r="AK37" i="19" s="1"/>
  <c r="AX18" i="19"/>
  <c r="O19" i="19"/>
  <c r="X19" i="19" s="1"/>
  <c r="Y19" i="19" s="1"/>
  <c r="AH25" i="19"/>
  <c r="BN44" i="19"/>
  <c r="AI25" i="19"/>
  <c r="AY25" i="19" s="1"/>
  <c r="S44" i="19"/>
  <c r="AX13" i="19"/>
  <c r="AX6" i="19"/>
  <c r="AX55" i="19" s="1"/>
  <c r="AH22" i="19"/>
  <c r="BN32" i="19"/>
  <c r="R38" i="19"/>
  <c r="S12" i="19"/>
  <c r="T12" i="19" s="1"/>
  <c r="S23" i="19"/>
  <c r="T23" i="19" s="1"/>
  <c r="AH32" i="19"/>
  <c r="O34" i="19"/>
  <c r="X34" i="19" s="1"/>
  <c r="Y34" i="19" s="1"/>
  <c r="AH6" i="19"/>
  <c r="AH55" i="19" s="1"/>
  <c r="BN12" i="19"/>
  <c r="AI11" i="19"/>
  <c r="AY11" i="19" s="1"/>
  <c r="AH13" i="19"/>
  <c r="AI6" i="19"/>
  <c r="AI55" i="19" s="1"/>
  <c r="BN45" i="19"/>
  <c r="AX45" i="19"/>
  <c r="BN30" i="19"/>
  <c r="BN13" i="19"/>
  <c r="AX30" i="19"/>
  <c r="BN23" i="19"/>
  <c r="AH30" i="19"/>
  <c r="S22" i="19"/>
  <c r="O11" i="19"/>
  <c r="X11" i="19" s="1"/>
  <c r="Y11" i="19" s="1"/>
  <c r="AI13" i="19"/>
  <c r="O6" i="19"/>
  <c r="X6" i="19" s="1"/>
  <c r="AH45" i="19"/>
  <c r="AI30" i="19"/>
  <c r="AY30" i="19" s="1"/>
  <c r="AI12" i="19"/>
  <c r="AH23" i="19"/>
  <c r="R22" i="19"/>
  <c r="R11" i="19"/>
  <c r="O13" i="19"/>
  <c r="X13" i="19" s="1"/>
  <c r="Y13" i="19" s="1"/>
  <c r="R6" i="19"/>
  <c r="O45" i="19"/>
  <c r="X45" i="19" s="1"/>
  <c r="Y45" i="19" s="1"/>
  <c r="O30" i="19"/>
  <c r="X30" i="19" s="1"/>
  <c r="Y30" i="19" s="1"/>
  <c r="O12" i="19"/>
  <c r="X12" i="19" s="1"/>
  <c r="Y12" i="19" s="1"/>
  <c r="AI23" i="19"/>
  <c r="S11" i="19"/>
  <c r="S13" i="19"/>
  <c r="T13" i="19" s="1"/>
  <c r="S6" i="19"/>
  <c r="AI45" i="19"/>
  <c r="AY45" i="19" s="1"/>
  <c r="AI22" i="19"/>
  <c r="AY22" i="19" s="1"/>
  <c r="AX23" i="19"/>
  <c r="S30" i="19"/>
  <c r="T30" i="19" s="1"/>
  <c r="AH12" i="19"/>
  <c r="O23" i="19"/>
  <c r="X23" i="19" s="1"/>
  <c r="Y23" i="19" s="1"/>
  <c r="BN22" i="19"/>
  <c r="R45" i="19"/>
  <c r="T45" i="19" s="1"/>
  <c r="O22" i="19"/>
  <c r="X22" i="19" s="1"/>
  <c r="Y22" i="19" s="1"/>
  <c r="AH11" i="19"/>
  <c r="AX12" i="19"/>
  <c r="AI14" i="19"/>
  <c r="AY14" i="19" s="1"/>
  <c r="AX21" i="19"/>
  <c r="R37" i="19"/>
  <c r="BN10" i="19"/>
  <c r="BN54" i="19" s="1"/>
  <c r="AH18" i="19"/>
  <c r="AH8" i="19"/>
  <c r="AI39" i="19"/>
  <c r="O26" i="19"/>
  <c r="X26" i="19" s="1"/>
  <c r="S19" i="19"/>
  <c r="AH14" i="19"/>
  <c r="S37" i="19"/>
  <c r="AX10" i="19"/>
  <c r="AX54" i="19" s="1"/>
  <c r="AI8" i="19"/>
  <c r="AY8" i="19" s="1"/>
  <c r="O39" i="19"/>
  <c r="X39" i="19" s="1"/>
  <c r="Y39" i="19" s="1"/>
  <c r="R26" i="19"/>
  <c r="R19" i="19"/>
  <c r="O20" i="19"/>
  <c r="X20" i="19" s="1"/>
  <c r="Y20" i="19" s="1"/>
  <c r="O14" i="19"/>
  <c r="X14" i="19" s="1"/>
  <c r="Y14" i="19" s="1"/>
  <c r="O21" i="19"/>
  <c r="X21" i="19" s="1"/>
  <c r="Y21" i="19" s="1"/>
  <c r="O16" i="19"/>
  <c r="X16" i="19" s="1"/>
  <c r="Y16" i="19" s="1"/>
  <c r="AH10" i="19"/>
  <c r="AH54" i="19" s="1"/>
  <c r="AI18" i="19"/>
  <c r="O8" i="19"/>
  <c r="X8" i="19" s="1"/>
  <c r="Y8" i="19" s="1"/>
  <c r="S39" i="19"/>
  <c r="S26" i="19"/>
  <c r="AX27" i="19"/>
  <c r="AH16" i="19"/>
  <c r="AI20" i="19"/>
  <c r="AY20" i="19" s="1"/>
  <c r="R14" i="19"/>
  <c r="S20" i="19"/>
  <c r="T20" i="19" s="1"/>
  <c r="S21" i="19"/>
  <c r="T21" i="19" s="1"/>
  <c r="AX37" i="19"/>
  <c r="R16" i="19"/>
  <c r="O10" i="19"/>
  <c r="X10" i="19" s="1"/>
  <c r="S18" i="19"/>
  <c r="T18" i="19" s="1"/>
  <c r="S8" i="19"/>
  <c r="T8" i="19" s="1"/>
  <c r="AX26" i="19"/>
  <c r="AX51" i="19" s="1"/>
  <c r="BN19" i="19"/>
  <c r="O27" i="19"/>
  <c r="X27" i="19" s="1"/>
  <c r="Y27" i="19" s="1"/>
  <c r="AH20" i="19"/>
  <c r="AI21" i="19"/>
  <c r="AY21" i="19" s="1"/>
  <c r="O18" i="19"/>
  <c r="X18" i="19" s="1"/>
  <c r="Y18" i="19" s="1"/>
  <c r="AH21" i="19"/>
  <c r="BN37" i="19"/>
  <c r="AI10" i="19"/>
  <c r="AK10" i="19" s="1"/>
  <c r="R39" i="19"/>
  <c r="AX19" i="19"/>
  <c r="AI27" i="19"/>
  <c r="AY27" i="19" s="1"/>
  <c r="BN42" i="19"/>
  <c r="BN25" i="19"/>
  <c r="AI38" i="19"/>
  <c r="AY38" i="19" s="1"/>
  <c r="AH34" i="19"/>
  <c r="AH5" i="19"/>
  <c r="AH52" i="19" s="1"/>
  <c r="O5" i="19"/>
  <c r="X5" i="19" s="1"/>
  <c r="O24" i="19"/>
  <c r="X24" i="19" s="1"/>
  <c r="Y24" i="19" s="1"/>
  <c r="S24" i="19"/>
  <c r="AI28" i="19"/>
  <c r="AY28" i="19" s="1"/>
  <c r="S28" i="19"/>
  <c r="R28" i="19"/>
  <c r="AI5" i="19"/>
  <c r="AI52" i="19" s="1"/>
  <c r="O28" i="19"/>
  <c r="X28" i="19" s="1"/>
  <c r="Y28" i="19" s="1"/>
  <c r="R24" i="19"/>
  <c r="R42" i="19"/>
  <c r="T42" i="19" s="1"/>
  <c r="U42" i="19" s="1"/>
  <c r="V42" i="19" s="1"/>
  <c r="AX25" i="19"/>
  <c r="S38" i="19"/>
  <c r="AI16" i="19"/>
  <c r="AY16" i="19" s="1"/>
  <c r="AZ16" i="19" s="1"/>
  <c r="AI32" i="19"/>
  <c r="AY32" i="19" s="1"/>
  <c r="BA32" i="19" s="1"/>
  <c r="R44" i="19"/>
  <c r="AI34" i="19"/>
  <c r="AY34" i="19" s="1"/>
  <c r="AZ34" i="19" s="1"/>
  <c r="AH27" i="19"/>
  <c r="AX42" i="19"/>
  <c r="O25" i="19"/>
  <c r="X25" i="19" s="1"/>
  <c r="Y25" i="19" s="1"/>
  <c r="AX44" i="19"/>
  <c r="R34" i="19"/>
  <c r="T34" i="19" s="1"/>
  <c r="R27" i="19"/>
  <c r="S5" i="19"/>
  <c r="BN24" i="19"/>
  <c r="BN38" i="19"/>
  <c r="S16" i="19"/>
  <c r="S32" i="19"/>
  <c r="AX28" i="19"/>
  <c r="AX24" i="19"/>
  <c r="AH42" i="19"/>
  <c r="S25" i="19"/>
  <c r="T25" i="19" s="1"/>
  <c r="AX38" i="19"/>
  <c r="R32" i="19"/>
  <c r="AH44" i="19"/>
  <c r="S27" i="19"/>
  <c r="AX5" i="19"/>
  <c r="AX52" i="19" s="1"/>
  <c r="BN28" i="19"/>
  <c r="AH24" i="19"/>
  <c r="AK24" i="19" s="1"/>
  <c r="AI42" i="19"/>
  <c r="AY42" i="19" s="1"/>
  <c r="AH38" i="19"/>
  <c r="BN16" i="19"/>
  <c r="AI44" i="19"/>
  <c r="AY44" i="19" s="1"/>
  <c r="BN34" i="19"/>
  <c r="R5" i="19"/>
  <c r="AX9" i="19"/>
  <c r="AX53" i="19" s="1"/>
  <c r="AH9" i="19"/>
  <c r="AH53" i="19" s="1"/>
  <c r="O9" i="19"/>
  <c r="O53" i="19" s="1"/>
  <c r="AI9" i="19"/>
  <c r="AY9" i="19" s="1"/>
  <c r="R9" i="19"/>
  <c r="T9" i="19" s="1"/>
  <c r="K6" i="25"/>
  <c r="L6" i="25" s="1"/>
  <c r="K38" i="25"/>
  <c r="L38" i="25" s="1"/>
  <c r="K15" i="25"/>
  <c r="L15" i="25" s="1"/>
  <c r="K5" i="25"/>
  <c r="L5" i="25" s="1"/>
  <c r="K24" i="25"/>
  <c r="L24" i="25" s="1"/>
  <c r="K33" i="25"/>
  <c r="L33" i="25" s="1"/>
  <c r="K10" i="25"/>
  <c r="L10" i="25" s="1"/>
  <c r="K42" i="25"/>
  <c r="L42" i="25" s="1"/>
  <c r="K27" i="25"/>
  <c r="L27" i="25" s="1"/>
  <c r="K12" i="25"/>
  <c r="L12" i="25" s="1"/>
  <c r="K44" i="25"/>
  <c r="L44" i="25" s="1"/>
  <c r="K29" i="25"/>
  <c r="L29" i="25" s="1"/>
  <c r="K14" i="25"/>
  <c r="L14" i="25" s="1"/>
  <c r="K46" i="25"/>
  <c r="L46" i="25" s="1"/>
  <c r="K23" i="25"/>
  <c r="L23" i="25" s="1"/>
  <c r="K32" i="25"/>
  <c r="L32" i="25" s="1"/>
  <c r="K9" i="25"/>
  <c r="L9" i="25" s="1"/>
  <c r="K41" i="25"/>
  <c r="L41" i="25" s="1"/>
  <c r="K18" i="25"/>
  <c r="L18" i="25" s="1"/>
  <c r="K35" i="25"/>
  <c r="L35" i="25" s="1"/>
  <c r="K20" i="25"/>
  <c r="L20" i="25" s="1"/>
  <c r="K37" i="25"/>
  <c r="L37" i="25" s="1"/>
  <c r="K22" i="25"/>
  <c r="L22" i="25" s="1"/>
  <c r="K31" i="25"/>
  <c r="L31" i="25" s="1"/>
  <c r="K8" i="25"/>
  <c r="L8" i="25" s="1"/>
  <c r="K40" i="25"/>
  <c r="L40" i="25" s="1"/>
  <c r="K17" i="25"/>
  <c r="L17" i="25" s="1"/>
  <c r="K26" i="25"/>
  <c r="L26" i="25" s="1"/>
  <c r="K11" i="25"/>
  <c r="L11" i="25" s="1"/>
  <c r="K43" i="25"/>
  <c r="L43" i="25" s="1"/>
  <c r="K28" i="25"/>
  <c r="L28" i="25" s="1"/>
  <c r="K13" i="25"/>
  <c r="L13" i="25" s="1"/>
  <c r="K45" i="25"/>
  <c r="L45" i="25" s="1"/>
  <c r="K30" i="25"/>
  <c r="L30" i="25" s="1"/>
  <c r="K7" i="25"/>
  <c r="L7" i="25" s="1"/>
  <c r="K39" i="25"/>
  <c r="L39" i="25" s="1"/>
  <c r="K16" i="25"/>
  <c r="L16" i="25" s="1"/>
  <c r="K25" i="25"/>
  <c r="L25" i="25" s="1"/>
  <c r="K34" i="25"/>
  <c r="L34" i="25" s="1"/>
  <c r="K19" i="25"/>
  <c r="L19" i="25" s="1"/>
  <c r="K36" i="25"/>
  <c r="L36" i="25" s="1"/>
  <c r="K21" i="25"/>
  <c r="L21" i="25" s="1"/>
  <c r="E53" i="20"/>
  <c r="G53" i="20" s="1"/>
  <c r="E56" i="20"/>
  <c r="G56" i="20" s="1"/>
  <c r="G40" i="20"/>
  <c r="E51" i="20"/>
  <c r="G51" i="20" s="1"/>
  <c r="E54" i="20"/>
  <c r="G54" i="20" s="1"/>
  <c r="G29" i="20"/>
  <c r="E55" i="20"/>
  <c r="G55" i="20" s="1"/>
  <c r="G34" i="20"/>
  <c r="G12" i="20"/>
  <c r="E52" i="20"/>
  <c r="G52" i="20" s="1"/>
  <c r="I55" i="20" a="1"/>
  <c r="I55" i="20" s="1"/>
  <c r="I52" i="20" a="1"/>
  <c r="I52" i="20" s="1"/>
  <c r="E50" i="20"/>
  <c r="I53" i="20" a="1"/>
  <c r="I53" i="20" s="1"/>
  <c r="I54" i="20" a="1"/>
  <c r="I54" i="20" s="1"/>
  <c r="I50" i="20" a="1"/>
  <c r="I50" i="20" s="1"/>
  <c r="I51" i="20" a="1"/>
  <c r="I51" i="20" s="1"/>
  <c r="G5" i="20"/>
  <c r="I56" i="20" a="1"/>
  <c r="I56" i="20" s="1"/>
  <c r="AY24" i="19"/>
  <c r="X42" i="19"/>
  <c r="Y42" i="19" s="1"/>
  <c r="X38" i="19"/>
  <c r="Y38" i="19" s="1"/>
  <c r="X46" i="19"/>
  <c r="Y46" i="19" s="1"/>
  <c r="X44" i="19"/>
  <c r="Y44" i="19" s="1"/>
  <c r="BN55" i="19"/>
  <c r="AY29" i="19"/>
  <c r="BN52" i="19"/>
  <c r="BN51" i="19"/>
  <c r="BN56" i="19"/>
  <c r="X15" i="19"/>
  <c r="Y15" i="19" s="1"/>
  <c r="AH50" i="19"/>
  <c r="T15" i="19"/>
  <c r="U15" i="19" s="1"/>
  <c r="V15" i="19" s="1"/>
  <c r="X40" i="19"/>
  <c r="Y40" i="19" s="1"/>
  <c r="AY35" i="19"/>
  <c r="AO36" i="41" l="1"/>
  <c r="AJ15" i="19"/>
  <c r="AK15" i="19"/>
  <c r="P31" i="41"/>
  <c r="U46" i="19"/>
  <c r="V46" i="19" s="1"/>
  <c r="T29" i="19"/>
  <c r="T31" i="19"/>
  <c r="AK29" i="19"/>
  <c r="AM29" i="19" s="1"/>
  <c r="U29" i="19"/>
  <c r="V29" i="19" s="1"/>
  <c r="BA7" i="19"/>
  <c r="AJ31" i="19"/>
  <c r="T40" i="19"/>
  <c r="U40" i="19" s="1"/>
  <c r="V40" i="19" s="1"/>
  <c r="AK36" i="19"/>
  <c r="T44" i="19"/>
  <c r="U44" i="19" s="1"/>
  <c r="V44" i="19" s="1"/>
  <c r="AZ40" i="19"/>
  <c r="T33" i="19"/>
  <c r="U33" i="19" s="1"/>
  <c r="V33" i="19" s="1"/>
  <c r="AO8" i="41"/>
  <c r="AK31" i="19"/>
  <c r="AJ40" i="19"/>
  <c r="AK35" i="19"/>
  <c r="AY6" i="19"/>
  <c r="BA6" i="19" s="1"/>
  <c r="AK40" i="19"/>
  <c r="T22" i="19"/>
  <c r="U22" i="19" s="1"/>
  <c r="V22" i="19" s="1"/>
  <c r="T38" i="19"/>
  <c r="U38" i="19" s="1"/>
  <c r="V38" i="19" s="1"/>
  <c r="AZ46" i="19"/>
  <c r="BD46" i="19" s="1"/>
  <c r="BE46" i="19" s="1"/>
  <c r="BF46" i="19" s="1"/>
  <c r="AO34" i="41"/>
  <c r="AK46" i="19"/>
  <c r="AJ41" i="19"/>
  <c r="AN41" i="19" s="1"/>
  <c r="AO41" i="19" s="1"/>
  <c r="AP41" i="19" s="1"/>
  <c r="AK7" i="19"/>
  <c r="AK41" i="19"/>
  <c r="AI56" i="19"/>
  <c r="AJ56" i="19" s="1"/>
  <c r="AJ7" i="19"/>
  <c r="AL7" i="19" s="1"/>
  <c r="T17" i="19"/>
  <c r="U17" i="19" s="1"/>
  <c r="V17" i="19" s="1"/>
  <c r="U41" i="19"/>
  <c r="V41" i="19" s="1"/>
  <c r="P41" i="41"/>
  <c r="P28" i="41"/>
  <c r="AQ28" i="41" s="1"/>
  <c r="Q28" i="41" s="1"/>
  <c r="AO48" i="41"/>
  <c r="AO25" i="41"/>
  <c r="T36" i="19"/>
  <c r="U36" i="19" s="1"/>
  <c r="V36" i="19" s="1"/>
  <c r="AJ43" i="19"/>
  <c r="AN43" i="19" s="1"/>
  <c r="AO43" i="19" s="1"/>
  <c r="AP43" i="19" s="1"/>
  <c r="O50" i="19"/>
  <c r="O57" i="19" s="1"/>
  <c r="O56" i="19"/>
  <c r="U7" i="19"/>
  <c r="V7" i="19" s="1"/>
  <c r="BC7" i="19" s="1"/>
  <c r="AK43" i="19"/>
  <c r="AK17" i="19"/>
  <c r="AY43" i="19"/>
  <c r="BO43" i="19" s="1"/>
  <c r="AY17" i="19"/>
  <c r="BA17" i="19" s="1"/>
  <c r="U31" i="19"/>
  <c r="V31" i="19" s="1"/>
  <c r="AZ41" i="19"/>
  <c r="BB41" i="19" s="1"/>
  <c r="AJ17" i="19"/>
  <c r="BM47" i="45"/>
  <c r="AC9" i="37"/>
  <c r="AC61" i="37" s="1"/>
  <c r="BM21" i="45"/>
  <c r="AO24" i="41"/>
  <c r="P24" i="41"/>
  <c r="AQ24" i="41" s="1"/>
  <c r="Q24" i="41" s="1"/>
  <c r="AO44" i="41"/>
  <c r="P44" i="41"/>
  <c r="AQ44" i="41" s="1"/>
  <c r="Q44" i="41" s="1"/>
  <c r="AO39" i="41"/>
  <c r="P39" i="41"/>
  <c r="AQ39" i="41" s="1"/>
  <c r="Q39" i="41" s="1"/>
  <c r="AQ9" i="41"/>
  <c r="Q9" i="41" s="1"/>
  <c r="P11" i="41"/>
  <c r="N53" i="41"/>
  <c r="AO53" i="41" s="1"/>
  <c r="AO11" i="41"/>
  <c r="AO37" i="41"/>
  <c r="P37" i="41"/>
  <c r="AQ37" i="41" s="1"/>
  <c r="Q37" i="41" s="1"/>
  <c r="AO32" i="41"/>
  <c r="P32" i="41"/>
  <c r="AQ32" i="41" s="1"/>
  <c r="Q32" i="41" s="1"/>
  <c r="P29" i="41"/>
  <c r="AQ29" i="41" s="1"/>
  <c r="Q29" i="41" s="1"/>
  <c r="AO29" i="41"/>
  <c r="AQ8" i="41"/>
  <c r="Q8" i="41" s="1"/>
  <c r="P47" i="41"/>
  <c r="AQ47" i="41" s="1"/>
  <c r="Q47" i="41" s="1"/>
  <c r="AO47" i="41"/>
  <c r="P19" i="41"/>
  <c r="AQ19" i="41" s="1"/>
  <c r="Q19" i="41" s="1"/>
  <c r="AO19" i="41"/>
  <c r="K59" i="41"/>
  <c r="AJ46" i="19"/>
  <c r="AL46" i="19" s="1"/>
  <c r="AO22" i="41"/>
  <c r="P22" i="41"/>
  <c r="AQ22" i="41" s="1"/>
  <c r="Q22" i="41" s="1"/>
  <c r="AQ36" i="41"/>
  <c r="Q36" i="41" s="1"/>
  <c r="M58" i="41"/>
  <c r="P14" i="41"/>
  <c r="AO14" i="41"/>
  <c r="N54" i="41"/>
  <c r="AO54" i="41" s="1"/>
  <c r="AQ31" i="41"/>
  <c r="Q31" i="41" s="1"/>
  <c r="M61" i="41"/>
  <c r="AK29" i="41" s="1"/>
  <c r="M53" i="41"/>
  <c r="E59" i="42"/>
  <c r="H57" i="42"/>
  <c r="M57" i="41"/>
  <c r="AQ21" i="41"/>
  <c r="Q21" i="41" s="1"/>
  <c r="M55" i="41"/>
  <c r="AO33" i="41"/>
  <c r="P33" i="41"/>
  <c r="AQ33" i="41" s="1"/>
  <c r="Q33" i="41" s="1"/>
  <c r="N52" i="41"/>
  <c r="P7" i="41"/>
  <c r="AO7" i="41"/>
  <c r="N61" i="41"/>
  <c r="AO61" i="41" s="1"/>
  <c r="AO17" i="41"/>
  <c r="P17" i="41"/>
  <c r="AQ17" i="41" s="1"/>
  <c r="Q17" i="41" s="1"/>
  <c r="M54" i="41"/>
  <c r="AK30" i="41"/>
  <c r="P16" i="41"/>
  <c r="AQ16" i="41" s="1"/>
  <c r="Q16" i="41" s="1"/>
  <c r="AO16" i="41"/>
  <c r="P20" i="41"/>
  <c r="AQ20" i="41" s="1"/>
  <c r="Q20" i="41" s="1"/>
  <c r="AO20" i="41"/>
  <c r="N57" i="41"/>
  <c r="AO57" i="41" s="1"/>
  <c r="AO12" i="41"/>
  <c r="P12" i="41"/>
  <c r="AQ12" i="41" s="1"/>
  <c r="Q12" i="41" s="1"/>
  <c r="P27" i="41"/>
  <c r="AQ27" i="41" s="1"/>
  <c r="Q27" i="41" s="1"/>
  <c r="AO27" i="41"/>
  <c r="M52" i="41"/>
  <c r="N56" i="41"/>
  <c r="AO56" i="41" s="1"/>
  <c r="AQ34" i="41"/>
  <c r="Q34" i="41" s="1"/>
  <c r="AO30" i="41"/>
  <c r="P30" i="41"/>
  <c r="AQ30" i="41" s="1"/>
  <c r="Q30" i="41" s="1"/>
  <c r="N58" i="41"/>
  <c r="AO58" i="41" s="1"/>
  <c r="AO42" i="41"/>
  <c r="P42" i="41"/>
  <c r="AO26" i="41"/>
  <c r="P26" i="41"/>
  <c r="AQ26" i="41" s="1"/>
  <c r="Q26" i="41" s="1"/>
  <c r="AO18" i="41"/>
  <c r="P18" i="41"/>
  <c r="AQ18" i="41" s="1"/>
  <c r="Q18" i="41" s="1"/>
  <c r="P35" i="41"/>
  <c r="AQ35" i="41" s="1"/>
  <c r="Q35" i="41" s="1"/>
  <c r="AO35" i="41"/>
  <c r="N55" i="41"/>
  <c r="AO55" i="41" s="1"/>
  <c r="AO10" i="41"/>
  <c r="P10" i="41"/>
  <c r="AQ10" i="41" s="1"/>
  <c r="Q10" i="41" s="1"/>
  <c r="P38" i="41"/>
  <c r="AQ38" i="41" s="1"/>
  <c r="Q38" i="41" s="1"/>
  <c r="AO38" i="41"/>
  <c r="AO40" i="41"/>
  <c r="P40" i="41"/>
  <c r="AQ40" i="41" s="1"/>
  <c r="Q40" i="41" s="1"/>
  <c r="AQ41" i="41"/>
  <c r="Q41" i="41" s="1"/>
  <c r="P43" i="41"/>
  <c r="AQ43" i="41" s="1"/>
  <c r="Q43" i="41" s="1"/>
  <c r="AO43" i="41"/>
  <c r="AQ25" i="41"/>
  <c r="Q25" i="41" s="1"/>
  <c r="AQ48" i="41"/>
  <c r="Q48" i="41" s="1"/>
  <c r="AO46" i="41"/>
  <c r="P46" i="41"/>
  <c r="AQ46" i="41" s="1"/>
  <c r="Q46" i="41" s="1"/>
  <c r="P13" i="41"/>
  <c r="AQ13" i="41" s="1"/>
  <c r="Q13" i="41" s="1"/>
  <c r="AO13" i="41"/>
  <c r="M56" i="41"/>
  <c r="AO45" i="41"/>
  <c r="P45" i="41"/>
  <c r="AQ45" i="41" s="1"/>
  <c r="Q45" i="41" s="1"/>
  <c r="P23" i="41"/>
  <c r="AQ23" i="41" s="1"/>
  <c r="Q23" i="41" s="1"/>
  <c r="AO23" i="41"/>
  <c r="P15" i="41"/>
  <c r="AQ15" i="41" s="1"/>
  <c r="Q15" i="41" s="1"/>
  <c r="AO15" i="41"/>
  <c r="S51" i="19"/>
  <c r="T35" i="19"/>
  <c r="AL35" i="19" s="1"/>
  <c r="T43" i="19"/>
  <c r="U43" i="19" s="1"/>
  <c r="V43" i="19" s="1"/>
  <c r="BA31" i="19"/>
  <c r="R51" i="19"/>
  <c r="AK23" i="19"/>
  <c r="R50" i="19"/>
  <c r="AK33" i="19"/>
  <c r="AJ36" i="19"/>
  <c r="AN36" i="19" s="1"/>
  <c r="AO36" i="19" s="1"/>
  <c r="AP36" i="19" s="1"/>
  <c r="AJ33" i="19"/>
  <c r="AL33" i="19" s="1"/>
  <c r="AK26" i="19"/>
  <c r="AK51" i="19" s="1"/>
  <c r="U10" i="19"/>
  <c r="V10" i="19" s="1"/>
  <c r="AM10" i="19" s="1"/>
  <c r="AM54" i="19" s="1"/>
  <c r="N16" i="37"/>
  <c r="BP37" i="45" s="1"/>
  <c r="N48" i="37"/>
  <c r="BP46" i="45" s="1"/>
  <c r="N46" i="37"/>
  <c r="BP25" i="45" s="1"/>
  <c r="E57" i="38"/>
  <c r="O54" i="19"/>
  <c r="N54" i="19" s="1"/>
  <c r="E57" i="34"/>
  <c r="E57" i="36"/>
  <c r="N38" i="37"/>
  <c r="BP9" i="45" s="1"/>
  <c r="N24" i="37"/>
  <c r="BP13" i="45" s="1"/>
  <c r="K58" i="37"/>
  <c r="N10" i="37"/>
  <c r="BP35" i="45" s="1"/>
  <c r="N35" i="37"/>
  <c r="BP15" i="45" s="1"/>
  <c r="N34" i="37"/>
  <c r="BP48" i="45" s="1"/>
  <c r="N11" i="37"/>
  <c r="BP33" i="45" s="1"/>
  <c r="K52" i="37"/>
  <c r="K57" i="37"/>
  <c r="K53" i="37"/>
  <c r="K56" i="37"/>
  <c r="K54" i="37"/>
  <c r="K55" i="37"/>
  <c r="K61" i="37"/>
  <c r="M42" i="37"/>
  <c r="BO32" i="45" s="1"/>
  <c r="T42" i="37"/>
  <c r="G32" i="44" s="1"/>
  <c r="T39" i="37"/>
  <c r="G10" i="44" s="1"/>
  <c r="M38" i="37"/>
  <c r="BO9" i="45" s="1"/>
  <c r="T38" i="37"/>
  <c r="G8" i="44" s="1"/>
  <c r="T25" i="37"/>
  <c r="G36" i="44" s="1"/>
  <c r="T23" i="37"/>
  <c r="G9" i="44" s="1"/>
  <c r="M24" i="37"/>
  <c r="BO13" i="45" s="1"/>
  <c r="T24" i="37"/>
  <c r="G11" i="44" s="1"/>
  <c r="T12" i="37"/>
  <c r="G7" i="44" s="1"/>
  <c r="M10" i="37"/>
  <c r="BO35" i="45" s="1"/>
  <c r="T10" i="37"/>
  <c r="G33" i="44" s="1"/>
  <c r="M35" i="37"/>
  <c r="BO15" i="45" s="1"/>
  <c r="T35" i="37"/>
  <c r="G13" i="44" s="1"/>
  <c r="T21" i="37"/>
  <c r="G22" i="44" s="1"/>
  <c r="M34" i="37"/>
  <c r="BO48" i="45" s="1"/>
  <c r="T34" i="37"/>
  <c r="G42" i="44" s="1"/>
  <c r="M11" i="37"/>
  <c r="BO33" i="45" s="1"/>
  <c r="T11" i="37"/>
  <c r="G16" i="44" s="1"/>
  <c r="T29" i="37"/>
  <c r="G30" i="44" s="1"/>
  <c r="T15" i="37"/>
  <c r="G15" i="44" s="1"/>
  <c r="M40" i="37"/>
  <c r="BO30" i="45" s="1"/>
  <c r="T40" i="37"/>
  <c r="G43" i="44" s="1"/>
  <c r="T7" i="37"/>
  <c r="G23" i="44" s="1"/>
  <c r="T41" i="37"/>
  <c r="G20" i="44" s="1"/>
  <c r="T45" i="37"/>
  <c r="G14" i="44" s="1"/>
  <c r="T44" i="37"/>
  <c r="G45" i="44" s="1"/>
  <c r="M26" i="37"/>
  <c r="BO39" i="45" s="1"/>
  <c r="T26" i="37"/>
  <c r="G37" i="44" s="1"/>
  <c r="N30" i="37"/>
  <c r="BP41" i="45" s="1"/>
  <c r="N32" i="37"/>
  <c r="BP26" i="45" s="1"/>
  <c r="N8" i="37"/>
  <c r="BP24" i="45" s="1"/>
  <c r="T43" i="37"/>
  <c r="G44" i="44" s="1"/>
  <c r="N22" i="37"/>
  <c r="BP12" i="45" s="1"/>
  <c r="N14" i="37"/>
  <c r="BP36" i="45" s="1"/>
  <c r="T36" i="37"/>
  <c r="G26" i="44" s="1"/>
  <c r="M30" i="37"/>
  <c r="BO41" i="45" s="1"/>
  <c r="T30" i="37"/>
  <c r="G39" i="44" s="1"/>
  <c r="T31" i="37"/>
  <c r="G40" i="44" s="1"/>
  <c r="M32" i="37"/>
  <c r="BO26" i="45" s="1"/>
  <c r="T32" i="37"/>
  <c r="G25" i="44" s="1"/>
  <c r="M8" i="37"/>
  <c r="BO24" i="45" s="1"/>
  <c r="T8" i="37"/>
  <c r="G21" i="44" s="1"/>
  <c r="T47" i="37"/>
  <c r="G46" i="44" s="1"/>
  <c r="M22" i="37"/>
  <c r="BO12" i="45" s="1"/>
  <c r="T22" i="37"/>
  <c r="G12" i="44" s="1"/>
  <c r="M14" i="37"/>
  <c r="BO36" i="45" s="1"/>
  <c r="T14" i="37"/>
  <c r="G34" i="44" s="1"/>
  <c r="T17" i="37"/>
  <c r="G24" i="44" s="1"/>
  <c r="M18" i="37"/>
  <c r="BO17" i="45" s="1"/>
  <c r="T18" i="37"/>
  <c r="G28" i="44" s="1"/>
  <c r="T37" i="37"/>
  <c r="G31" i="44" s="1"/>
  <c r="T28" i="37"/>
  <c r="G17" i="44" s="1"/>
  <c r="T20" i="37"/>
  <c r="G29" i="44" s="1"/>
  <c r="M19" i="37"/>
  <c r="BO19" i="45" s="1"/>
  <c r="T19" i="37"/>
  <c r="G19" i="44" s="1"/>
  <c r="M27" i="37"/>
  <c r="BO40" i="45" s="1"/>
  <c r="T27" i="37"/>
  <c r="G38" i="44" s="1"/>
  <c r="T13" i="37"/>
  <c r="G6" i="44" s="1"/>
  <c r="T33" i="37"/>
  <c r="G41" i="44" s="1"/>
  <c r="M16" i="37"/>
  <c r="BO37" i="45" s="1"/>
  <c r="T16" i="37"/>
  <c r="G35" i="44" s="1"/>
  <c r="T9" i="37"/>
  <c r="G18" i="44" s="1"/>
  <c r="M48" i="37"/>
  <c r="BO46" i="45" s="1"/>
  <c r="T48" i="37"/>
  <c r="G47" i="44" s="1"/>
  <c r="M46" i="37"/>
  <c r="BO25" i="45" s="1"/>
  <c r="T46" i="37"/>
  <c r="G27" i="44" s="1"/>
  <c r="N44" i="37"/>
  <c r="BP44" i="45" s="1"/>
  <c r="M44" i="37"/>
  <c r="BO44" i="45" s="1"/>
  <c r="N39" i="37"/>
  <c r="BP11" i="45" s="1"/>
  <c r="M39" i="37"/>
  <c r="BO11" i="45" s="1"/>
  <c r="N18" i="37"/>
  <c r="BP17" i="45" s="1"/>
  <c r="N42" i="37"/>
  <c r="BP32" i="45" s="1"/>
  <c r="N25" i="37"/>
  <c r="BP38" i="45" s="1"/>
  <c r="M25" i="37"/>
  <c r="BO38" i="45" s="1"/>
  <c r="N23" i="37"/>
  <c r="BP10" i="45" s="1"/>
  <c r="M23" i="37"/>
  <c r="BO10" i="45" s="1"/>
  <c r="N12" i="37"/>
  <c r="BP7" i="45" s="1"/>
  <c r="M12" i="37"/>
  <c r="BO7" i="45" s="1"/>
  <c r="N21" i="37"/>
  <c r="BP23" i="45" s="1"/>
  <c r="M21" i="37"/>
  <c r="BO23" i="45" s="1"/>
  <c r="N40" i="37"/>
  <c r="BP30" i="45" s="1"/>
  <c r="N15" i="37"/>
  <c r="BP16" i="45" s="1"/>
  <c r="M15" i="37"/>
  <c r="BO16" i="45" s="1"/>
  <c r="N7" i="37"/>
  <c r="BP27" i="45" s="1"/>
  <c r="M7" i="37"/>
  <c r="BO27" i="45" s="1"/>
  <c r="N41" i="37"/>
  <c r="BP31" i="45" s="1"/>
  <c r="M41" i="37"/>
  <c r="BO31" i="45" s="1"/>
  <c r="N43" i="37"/>
  <c r="BP43" i="45" s="1"/>
  <c r="M43" i="37"/>
  <c r="BO43" i="45" s="1"/>
  <c r="N36" i="37"/>
  <c r="BP22" i="45" s="1"/>
  <c r="M36" i="37"/>
  <c r="BO22" i="45" s="1"/>
  <c r="N26" i="37"/>
  <c r="BP39" i="45" s="1"/>
  <c r="N31" i="37"/>
  <c r="BP47" i="45" s="1"/>
  <c r="M31" i="37"/>
  <c r="BO47" i="45" s="1"/>
  <c r="N47" i="37"/>
  <c r="BP45" i="45" s="1"/>
  <c r="M47" i="37"/>
  <c r="BO45" i="45" s="1"/>
  <c r="N17" i="37"/>
  <c r="BP18" i="45" s="1"/>
  <c r="M17" i="37"/>
  <c r="BO18" i="45" s="1"/>
  <c r="N45" i="37"/>
  <c r="BP14" i="45" s="1"/>
  <c r="M45" i="37"/>
  <c r="BO14" i="45" s="1"/>
  <c r="N29" i="37"/>
  <c r="BP34" i="45" s="1"/>
  <c r="M29" i="37"/>
  <c r="BO34" i="45" s="1"/>
  <c r="AI53" i="19"/>
  <c r="AJ53" i="19" s="1"/>
  <c r="N13" i="37"/>
  <c r="BP8" i="45" s="1"/>
  <c r="M13" i="37"/>
  <c r="BO8" i="45" s="1"/>
  <c r="N37" i="37"/>
  <c r="BP29" i="45" s="1"/>
  <c r="M37" i="37"/>
  <c r="BO29" i="45" s="1"/>
  <c r="N28" i="37"/>
  <c r="BP20" i="45" s="1"/>
  <c r="M28" i="37"/>
  <c r="BO20" i="45" s="1"/>
  <c r="N20" i="37"/>
  <c r="BP28" i="45" s="1"/>
  <c r="M20" i="37"/>
  <c r="BO28" i="45" s="1"/>
  <c r="N33" i="37"/>
  <c r="BP42" i="45" s="1"/>
  <c r="M33" i="37"/>
  <c r="BO42" i="45" s="1"/>
  <c r="N9" i="37"/>
  <c r="BP21" i="45" s="1"/>
  <c r="M9" i="37"/>
  <c r="BO21" i="45" s="1"/>
  <c r="N19" i="37"/>
  <c r="BP19" i="45" s="1"/>
  <c r="N27" i="37"/>
  <c r="BP40" i="45" s="1"/>
  <c r="U23" i="19"/>
  <c r="V23" i="19" s="1"/>
  <c r="AK6" i="19"/>
  <c r="AK55" i="19" s="1"/>
  <c r="AK14" i="19"/>
  <c r="BA11" i="19"/>
  <c r="BA8" i="19"/>
  <c r="AK13" i="19"/>
  <c r="AJ19" i="19"/>
  <c r="AN19" i="19" s="1"/>
  <c r="AO19" i="19" s="1"/>
  <c r="AP19" i="19" s="1"/>
  <c r="R54" i="19"/>
  <c r="AY19" i="19"/>
  <c r="BO19" i="19" s="1"/>
  <c r="AY13" i="19"/>
  <c r="BA13" i="19" s="1"/>
  <c r="AJ38" i="19"/>
  <c r="AN38" i="19" s="1"/>
  <c r="AO38" i="19" s="1"/>
  <c r="AP38" i="19" s="1"/>
  <c r="BA26" i="19"/>
  <c r="BA51" i="19" s="1"/>
  <c r="AK38" i="19"/>
  <c r="U21" i="19"/>
  <c r="V21" i="19" s="1"/>
  <c r="U34" i="19"/>
  <c r="V34" i="19" s="1"/>
  <c r="AJ39" i="19"/>
  <c r="AN39" i="19" s="1"/>
  <c r="AO39" i="19" s="1"/>
  <c r="AP39" i="19" s="1"/>
  <c r="AJ26" i="19"/>
  <c r="AN26" i="19" s="1"/>
  <c r="AO26" i="19" s="1"/>
  <c r="AK45" i="19"/>
  <c r="AJ6" i="19"/>
  <c r="AN6" i="19" s="1"/>
  <c r="AO6" i="19" s="1"/>
  <c r="AJ37" i="19"/>
  <c r="AN37" i="19" s="1"/>
  <c r="AO37" i="19" s="1"/>
  <c r="AP37" i="19" s="1"/>
  <c r="AY37" i="19"/>
  <c r="AZ37" i="19" s="1"/>
  <c r="AK22" i="19"/>
  <c r="U8" i="19"/>
  <c r="V8" i="19" s="1"/>
  <c r="AK39" i="19"/>
  <c r="AI51" i="19"/>
  <c r="AJ51" i="19" s="1"/>
  <c r="AK44" i="19"/>
  <c r="AM44" i="19" s="1"/>
  <c r="U12" i="19"/>
  <c r="V12" i="19" s="1"/>
  <c r="AZ28" i="19"/>
  <c r="BD28" i="19" s="1"/>
  <c r="BE28" i="19" s="1"/>
  <c r="BF28" i="19" s="1"/>
  <c r="AJ12" i="19"/>
  <c r="AN12" i="19" s="1"/>
  <c r="AO12" i="19" s="1"/>
  <c r="AP12" i="19" s="1"/>
  <c r="AJ13" i="19"/>
  <c r="AL13" i="19" s="1"/>
  <c r="AK25" i="19"/>
  <c r="AJ14" i="19"/>
  <c r="AN14" i="19" s="1"/>
  <c r="AO14" i="19" s="1"/>
  <c r="AP14" i="19" s="1"/>
  <c r="S53" i="19"/>
  <c r="T19" i="19"/>
  <c r="U19" i="19" s="1"/>
  <c r="V19" i="19" s="1"/>
  <c r="AM19" i="19" s="1"/>
  <c r="U30" i="19"/>
  <c r="V30" i="19" s="1"/>
  <c r="AK12" i="19"/>
  <c r="AJ11" i="19"/>
  <c r="T16" i="19"/>
  <c r="U16" i="19" s="1"/>
  <c r="V16" i="19" s="1"/>
  <c r="T26" i="19"/>
  <c r="U26" i="19" s="1"/>
  <c r="V26" i="19" s="1"/>
  <c r="AJ30" i="19"/>
  <c r="AN30" i="19" s="1"/>
  <c r="AO30" i="19" s="1"/>
  <c r="AP30" i="19" s="1"/>
  <c r="AJ22" i="19"/>
  <c r="AN22" i="19" s="1"/>
  <c r="AO22" i="19" s="1"/>
  <c r="AP22" i="19" s="1"/>
  <c r="AY23" i="19"/>
  <c r="AZ23" i="19" s="1"/>
  <c r="AJ25" i="19"/>
  <c r="AL25" i="19" s="1"/>
  <c r="AK28" i="19"/>
  <c r="AJ23" i="19"/>
  <c r="AN23" i="19" s="1"/>
  <c r="AO23" i="19" s="1"/>
  <c r="AP23" i="19" s="1"/>
  <c r="AQ23" i="19" s="1"/>
  <c r="S54" i="19"/>
  <c r="AJ28" i="19"/>
  <c r="AN28" i="19" s="1"/>
  <c r="AO28" i="19" s="1"/>
  <c r="AP28" i="19" s="1"/>
  <c r="U45" i="19"/>
  <c r="V45" i="19" s="1"/>
  <c r="AJ21" i="19"/>
  <c r="AN21" i="19" s="1"/>
  <c r="AO21" i="19" s="1"/>
  <c r="AP21" i="19" s="1"/>
  <c r="U18" i="19"/>
  <c r="V18" i="19" s="1"/>
  <c r="T11" i="19"/>
  <c r="U11" i="19" s="1"/>
  <c r="V11" i="19" s="1"/>
  <c r="AY12" i="19"/>
  <c r="AZ12" i="19" s="1"/>
  <c r="AK30" i="19"/>
  <c r="AJ44" i="19"/>
  <c r="AL44" i="19" s="1"/>
  <c r="AY39" i="19"/>
  <c r="BO39" i="19" s="1"/>
  <c r="AK34" i="19"/>
  <c r="AZ45" i="19"/>
  <c r="BB45" i="19" s="1"/>
  <c r="AK11" i="19"/>
  <c r="T6" i="19"/>
  <c r="U6" i="19" s="1"/>
  <c r="V6" i="19" s="1"/>
  <c r="BA38" i="19"/>
  <c r="T37" i="19"/>
  <c r="U37" i="19" s="1"/>
  <c r="V37" i="19" s="1"/>
  <c r="AM37" i="19" s="1"/>
  <c r="U13" i="19"/>
  <c r="V13" i="19" s="1"/>
  <c r="AJ45" i="19"/>
  <c r="AN45" i="19" s="1"/>
  <c r="AO45" i="19" s="1"/>
  <c r="AP45" i="19" s="1"/>
  <c r="AJ24" i="19"/>
  <c r="AN24" i="19" s="1"/>
  <c r="AO24" i="19" s="1"/>
  <c r="AP24" i="19" s="1"/>
  <c r="AJ10" i="19"/>
  <c r="AL10" i="19" s="1"/>
  <c r="O55" i="19"/>
  <c r="N55" i="19" s="1"/>
  <c r="AY10" i="19"/>
  <c r="BO10" i="19" s="1"/>
  <c r="S50" i="19"/>
  <c r="R55" i="19"/>
  <c r="AK21" i="19"/>
  <c r="U20" i="19"/>
  <c r="V20" i="19" s="1"/>
  <c r="AJ18" i="19"/>
  <c r="AN18" i="19" s="1"/>
  <c r="AO18" i="19" s="1"/>
  <c r="AP18" i="19" s="1"/>
  <c r="AJ34" i="19"/>
  <c r="AN34" i="19" s="1"/>
  <c r="AO34" i="19" s="1"/>
  <c r="AP34" i="19" s="1"/>
  <c r="AK18" i="19"/>
  <c r="S52" i="19"/>
  <c r="S56" i="19"/>
  <c r="AK20" i="19"/>
  <c r="R53" i="19"/>
  <c r="T24" i="19"/>
  <c r="U24" i="19" s="1"/>
  <c r="V24" i="19" s="1"/>
  <c r="AM24" i="19" s="1"/>
  <c r="T39" i="19"/>
  <c r="U39" i="19" s="1"/>
  <c r="V39" i="19" s="1"/>
  <c r="R56" i="19"/>
  <c r="AJ20" i="19"/>
  <c r="AN20" i="19" s="1"/>
  <c r="AO20" i="19" s="1"/>
  <c r="AP20" i="19" s="1"/>
  <c r="AK27" i="19"/>
  <c r="AK8" i="19"/>
  <c r="O51" i="19"/>
  <c r="N51" i="19" s="1"/>
  <c r="AY18" i="19"/>
  <c r="BA18" i="19" s="1"/>
  <c r="AJ8" i="19"/>
  <c r="AL8" i="19" s="1"/>
  <c r="T14" i="19"/>
  <c r="U14" i="19" s="1"/>
  <c r="V14" i="19" s="1"/>
  <c r="AJ52" i="19"/>
  <c r="AJ27" i="19"/>
  <c r="AN27" i="19" s="1"/>
  <c r="AO27" i="19" s="1"/>
  <c r="AP27" i="19" s="1"/>
  <c r="AI54" i="19"/>
  <c r="AJ54" i="19" s="1"/>
  <c r="O52" i="19"/>
  <c r="N52" i="19" s="1"/>
  <c r="T28" i="19"/>
  <c r="U28" i="19" s="1"/>
  <c r="V28" i="19" s="1"/>
  <c r="X9" i="19"/>
  <c r="Y9" i="19" s="1"/>
  <c r="AJ9" i="19"/>
  <c r="AL9" i="19" s="1"/>
  <c r="AJ32" i="19"/>
  <c r="AJ5" i="19"/>
  <c r="AK32" i="19"/>
  <c r="AK5" i="19"/>
  <c r="AK52" i="19" s="1"/>
  <c r="AK42" i="19"/>
  <c r="AM42" i="19" s="1"/>
  <c r="AJ42" i="19"/>
  <c r="AN42" i="19" s="1"/>
  <c r="AO42" i="19" s="1"/>
  <c r="AP42" i="19" s="1"/>
  <c r="T5" i="19"/>
  <c r="U5" i="19" s="1"/>
  <c r="V5" i="19" s="1"/>
  <c r="AY5" i="19"/>
  <c r="AZ5" i="19" s="1"/>
  <c r="S55" i="19"/>
  <c r="AJ16" i="19"/>
  <c r="U9" i="19"/>
  <c r="V9" i="19" s="1"/>
  <c r="AK16" i="19"/>
  <c r="U25" i="19"/>
  <c r="V25" i="19" s="1"/>
  <c r="T32" i="19"/>
  <c r="U32" i="19" s="1"/>
  <c r="V32" i="19" s="1"/>
  <c r="BC32" i="19" s="1"/>
  <c r="T27" i="19"/>
  <c r="U27" i="19" s="1"/>
  <c r="V27" i="19" s="1"/>
  <c r="R52" i="19"/>
  <c r="AK9" i="19"/>
  <c r="AK53" i="19" s="1"/>
  <c r="BA44" i="19"/>
  <c r="BC44" i="19" s="1"/>
  <c r="E57" i="20"/>
  <c r="G50" i="20"/>
  <c r="AM46" i="19"/>
  <c r="AA13" i="19"/>
  <c r="AB13" i="19" s="1"/>
  <c r="AC13" i="19" s="1"/>
  <c r="BO35" i="19"/>
  <c r="BA35" i="19"/>
  <c r="AA20" i="19"/>
  <c r="AB20" i="19" s="1"/>
  <c r="AC20" i="19" s="1"/>
  <c r="AA37" i="19"/>
  <c r="AB37" i="19" s="1"/>
  <c r="AC37" i="19" s="1"/>
  <c r="AH57" i="19"/>
  <c r="BO36" i="19"/>
  <c r="BA36" i="19"/>
  <c r="AA23" i="19"/>
  <c r="AB23" i="19" s="1"/>
  <c r="AC23" i="19" s="1"/>
  <c r="AX57" i="19"/>
  <c r="BO42" i="19"/>
  <c r="BA42" i="19"/>
  <c r="BC42" i="19" s="1"/>
  <c r="AZ42" i="19"/>
  <c r="AA14" i="19"/>
  <c r="AB14" i="19" s="1"/>
  <c r="AC14" i="19" s="1"/>
  <c r="AA28" i="19"/>
  <c r="AB28" i="19" s="1"/>
  <c r="AC28" i="19" s="1"/>
  <c r="BO45" i="19"/>
  <c r="BA45" i="19"/>
  <c r="Y10" i="19"/>
  <c r="X54" i="19"/>
  <c r="Y7" i="19"/>
  <c r="X56" i="19"/>
  <c r="W56" i="19" s="1"/>
  <c r="BD34" i="19"/>
  <c r="BE34" i="19" s="1"/>
  <c r="BF34" i="19" s="1"/>
  <c r="BB34" i="19"/>
  <c r="BO14" i="19"/>
  <c r="AZ14" i="19"/>
  <c r="BA14" i="19"/>
  <c r="BD15" i="19"/>
  <c r="BE15" i="19" s="1"/>
  <c r="BF15" i="19" s="1"/>
  <c r="BB15" i="19"/>
  <c r="AN31" i="19"/>
  <c r="AO31" i="19" s="1"/>
  <c r="AP31" i="19" s="1"/>
  <c r="AL31" i="19"/>
  <c r="BO20" i="19"/>
  <c r="AZ20" i="19"/>
  <c r="BA20" i="19"/>
  <c r="AA27" i="19"/>
  <c r="AB27" i="19" s="1"/>
  <c r="AC27" i="19" s="1"/>
  <c r="AA18" i="19"/>
  <c r="AB18" i="19" s="1"/>
  <c r="AC18" i="19" s="1"/>
  <c r="AA33" i="19"/>
  <c r="AB33" i="19" s="1"/>
  <c r="AC33" i="19" s="1"/>
  <c r="BO46" i="19"/>
  <c r="BA46" i="19"/>
  <c r="BC46" i="19" s="1"/>
  <c r="AN29" i="19"/>
  <c r="AO29" i="19" s="1"/>
  <c r="AP29" i="19" s="1"/>
  <c r="AL29" i="19"/>
  <c r="AN17" i="19"/>
  <c r="AO17" i="19" s="1"/>
  <c r="AA40" i="19"/>
  <c r="AB40" i="19" s="1"/>
  <c r="AC40" i="19" s="1"/>
  <c r="AZ36" i="19"/>
  <c r="AA19" i="19"/>
  <c r="AB19" i="19" s="1"/>
  <c r="AC19" i="19" s="1"/>
  <c r="BO25" i="19"/>
  <c r="AZ25" i="19"/>
  <c r="AA16" i="19"/>
  <c r="AB16" i="19" s="1"/>
  <c r="AC16" i="19" s="1"/>
  <c r="AA32" i="19"/>
  <c r="AB32" i="19" s="1"/>
  <c r="AC32" i="19" s="1"/>
  <c r="N53" i="19"/>
  <c r="AA24" i="19"/>
  <c r="AB24" i="19" s="1"/>
  <c r="AC24" i="19" s="1"/>
  <c r="AA21" i="19"/>
  <c r="AB21" i="19" s="1"/>
  <c r="AC21" i="19" s="1"/>
  <c r="AA46" i="19"/>
  <c r="AB46" i="19" s="1"/>
  <c r="AC46" i="19" s="1"/>
  <c r="AK50" i="19"/>
  <c r="Y17" i="19"/>
  <c r="X50" i="19"/>
  <c r="BO7" i="19"/>
  <c r="AY56" i="19"/>
  <c r="AZ56" i="19" s="1"/>
  <c r="AZ7" i="19"/>
  <c r="BO31" i="19"/>
  <c r="AZ31" i="19"/>
  <c r="AA35" i="19"/>
  <c r="AB35" i="19" s="1"/>
  <c r="AC35" i="19" s="1"/>
  <c r="AN15" i="19"/>
  <c r="AO15" i="19" s="1"/>
  <c r="AP15" i="19" s="1"/>
  <c r="AL15" i="19"/>
  <c r="BO27" i="19"/>
  <c r="BA27" i="19"/>
  <c r="AZ27" i="19"/>
  <c r="BN57" i="19"/>
  <c r="BO30" i="19"/>
  <c r="AZ30" i="19"/>
  <c r="BA30" i="19"/>
  <c r="BO29" i="19"/>
  <c r="BA29" i="19"/>
  <c r="BD16" i="19"/>
  <c r="BE16" i="19" s="1"/>
  <c r="BF16" i="19" s="1"/>
  <c r="AA42" i="19"/>
  <c r="AB42" i="19" s="1"/>
  <c r="AC42" i="19" s="1"/>
  <c r="AI57" i="19"/>
  <c r="AJ50" i="19"/>
  <c r="AZ29" i="19"/>
  <c r="BO22" i="19"/>
  <c r="BA22" i="19"/>
  <c r="AM15" i="19"/>
  <c r="BO11" i="19"/>
  <c r="AZ11" i="19"/>
  <c r="AJ55" i="19"/>
  <c r="AA22" i="19"/>
  <c r="AB22" i="19" s="1"/>
  <c r="AC22" i="19" s="1"/>
  <c r="AZ35" i="19"/>
  <c r="BO9" i="19"/>
  <c r="AY53" i="19"/>
  <c r="AZ53" i="19" s="1"/>
  <c r="BA9" i="19"/>
  <c r="AZ9" i="19"/>
  <c r="AA29" i="19"/>
  <c r="AB29" i="19" s="1"/>
  <c r="AC29" i="19" s="1"/>
  <c r="BO32" i="19"/>
  <c r="AZ32" i="19"/>
  <c r="BO16" i="19"/>
  <c r="BA16" i="19"/>
  <c r="BA25" i="19"/>
  <c r="AA44" i="19"/>
  <c r="AB44" i="19" s="1"/>
  <c r="AC44" i="19" s="1"/>
  <c r="AA38" i="19"/>
  <c r="AB38" i="19" s="1"/>
  <c r="AC38" i="19" s="1"/>
  <c r="AA39" i="19"/>
  <c r="AB39" i="19" s="1"/>
  <c r="AC39" i="19" s="1"/>
  <c r="BO41" i="19"/>
  <c r="BA41" i="19"/>
  <c r="BO21" i="19"/>
  <c r="BA21" i="19"/>
  <c r="AZ21" i="19"/>
  <c r="Y6" i="19"/>
  <c r="X55" i="19"/>
  <c r="Y5" i="19"/>
  <c r="X52" i="19"/>
  <c r="BO15" i="19"/>
  <c r="BA15" i="19"/>
  <c r="BC15" i="19" s="1"/>
  <c r="BO38" i="19"/>
  <c r="AZ38" i="19"/>
  <c r="AZ22" i="19"/>
  <c r="AA8" i="19"/>
  <c r="AB8" i="19" s="1"/>
  <c r="AC8" i="19" s="1"/>
  <c r="AA41" i="19"/>
  <c r="AB41" i="19" s="1"/>
  <c r="AC41" i="19" s="1"/>
  <c r="AN40" i="19"/>
  <c r="AO40" i="19" s="1"/>
  <c r="AP40" i="19" s="1"/>
  <c r="BD40" i="19"/>
  <c r="BE40" i="19" s="1"/>
  <c r="BF40" i="19" s="1"/>
  <c r="AA25" i="19"/>
  <c r="AB25" i="19" s="1"/>
  <c r="AC25" i="19" s="1"/>
  <c r="BO33" i="19"/>
  <c r="AZ33" i="19"/>
  <c r="BA33" i="19"/>
  <c r="AA30" i="19"/>
  <c r="AB30" i="19" s="1"/>
  <c r="AC30" i="19" s="1"/>
  <c r="N56" i="19"/>
  <c r="BO24" i="19"/>
  <c r="AZ24" i="19"/>
  <c r="BA24" i="19"/>
  <c r="Y26" i="19"/>
  <c r="X51" i="19"/>
  <c r="AA36" i="19"/>
  <c r="AB36" i="19" s="1"/>
  <c r="AC36" i="19" s="1"/>
  <c r="AN35" i="19"/>
  <c r="AO35" i="19" s="1"/>
  <c r="AP35" i="19" s="1"/>
  <c r="AA43" i="19"/>
  <c r="AB43" i="19" s="1"/>
  <c r="AC43" i="19" s="1"/>
  <c r="BO26" i="19"/>
  <c r="AY51" i="19"/>
  <c r="AZ51" i="19" s="1"/>
  <c r="AZ26" i="19"/>
  <c r="AA12" i="19"/>
  <c r="AB12" i="19" s="1"/>
  <c r="AC12" i="19" s="1"/>
  <c r="AA15" i="19"/>
  <c r="AB15" i="19" s="1"/>
  <c r="AC15" i="19" s="1"/>
  <c r="AA34" i="19"/>
  <c r="AB34" i="19" s="1"/>
  <c r="AC34" i="19" s="1"/>
  <c r="AA31" i="19"/>
  <c r="AB31" i="19" s="1"/>
  <c r="AC31" i="19" s="1"/>
  <c r="BO28" i="19"/>
  <c r="BA28" i="19"/>
  <c r="BO34" i="19"/>
  <c r="BA34" i="19"/>
  <c r="AA11" i="19"/>
  <c r="AB11" i="19" s="1"/>
  <c r="AC11" i="19" s="1"/>
  <c r="AA45" i="19"/>
  <c r="AB45" i="19" s="1"/>
  <c r="AC45" i="19" s="1"/>
  <c r="AK54" i="19"/>
  <c r="BO8" i="19"/>
  <c r="AZ8" i="19"/>
  <c r="BO44" i="19"/>
  <c r="AZ44" i="19"/>
  <c r="BO40" i="19"/>
  <c r="BA40" i="19"/>
  <c r="AK9" i="41" l="1"/>
  <c r="AK24" i="41"/>
  <c r="AK20" i="41"/>
  <c r="BC29" i="19"/>
  <c r="T51" i="19"/>
  <c r="AM40" i="19"/>
  <c r="AL17" i="19"/>
  <c r="AM38" i="19"/>
  <c r="BO13" i="19"/>
  <c r="BC38" i="19"/>
  <c r="AL41" i="19"/>
  <c r="BC40" i="19"/>
  <c r="AL40" i="19"/>
  <c r="BB40" i="19"/>
  <c r="AM7" i="19"/>
  <c r="AY55" i="19"/>
  <c r="AZ55" i="19" s="1"/>
  <c r="AZ6" i="19"/>
  <c r="BD6" i="19" s="1"/>
  <c r="BE6" i="19" s="1"/>
  <c r="BO6" i="19"/>
  <c r="BO55" i="19" s="1"/>
  <c r="BP55" i="19" s="1"/>
  <c r="AK56" i="19"/>
  <c r="AN46" i="19"/>
  <c r="AO46" i="19" s="1"/>
  <c r="AP46" i="19" s="1"/>
  <c r="AM43" i="19"/>
  <c r="AM17" i="19"/>
  <c r="AM50" i="19" s="1"/>
  <c r="AM36" i="19"/>
  <c r="BB46" i="19"/>
  <c r="AM31" i="19"/>
  <c r="BA43" i="19"/>
  <c r="BC43" i="19" s="1"/>
  <c r="AZ43" i="19"/>
  <c r="BD43" i="19" s="1"/>
  <c r="BE43" i="19" s="1"/>
  <c r="BF43" i="19" s="1"/>
  <c r="BC33" i="19"/>
  <c r="AM33" i="19"/>
  <c r="AK44" i="41"/>
  <c r="AM16" i="19"/>
  <c r="AZ17" i="19"/>
  <c r="BD17" i="19" s="1"/>
  <c r="BE17" i="19" s="1"/>
  <c r="AN7" i="19"/>
  <c r="AO7" i="19" s="1"/>
  <c r="AO56" i="19" s="1"/>
  <c r="AN56" i="19" s="1"/>
  <c r="AK31" i="41"/>
  <c r="AK37" i="41"/>
  <c r="AM41" i="19"/>
  <c r="N50" i="19"/>
  <c r="BD41" i="19"/>
  <c r="BE41" i="19" s="1"/>
  <c r="BF41" i="19" s="1"/>
  <c r="BH41" i="19" s="1"/>
  <c r="BC41" i="19"/>
  <c r="AN33" i="19"/>
  <c r="AO33" i="19" s="1"/>
  <c r="AP33" i="19" s="1"/>
  <c r="AR33" i="19" s="1"/>
  <c r="AK39" i="41"/>
  <c r="AK47" i="41"/>
  <c r="AK38" i="41"/>
  <c r="AK32" i="41"/>
  <c r="AK41" i="41"/>
  <c r="AK15" i="41"/>
  <c r="AK8" i="41"/>
  <c r="AK10" i="41"/>
  <c r="AK35" i="41"/>
  <c r="AY50" i="19"/>
  <c r="AZ50" i="19" s="1"/>
  <c r="AL43" i="19"/>
  <c r="BC31" i="19"/>
  <c r="BO17" i="19"/>
  <c r="BO50" i="19" s="1"/>
  <c r="BC36" i="19"/>
  <c r="AM14" i="19"/>
  <c r="E17" i="37"/>
  <c r="E14" i="37"/>
  <c r="E11" i="37"/>
  <c r="U15" i="37" s="1"/>
  <c r="H15" i="44" s="1"/>
  <c r="AM23" i="19"/>
  <c r="BM50" i="45"/>
  <c r="AL42" i="19"/>
  <c r="AM6" i="19"/>
  <c r="AM55" i="19" s="1"/>
  <c r="AK45" i="41"/>
  <c r="AK48" i="41"/>
  <c r="AK7" i="41"/>
  <c r="BY45" i="45"/>
  <c r="BV45" i="45"/>
  <c r="CB45" i="45"/>
  <c r="BV23" i="45"/>
  <c r="CB23" i="45"/>
  <c r="BY23" i="45"/>
  <c r="CB40" i="45"/>
  <c r="BY40" i="45"/>
  <c r="BV40" i="45"/>
  <c r="BV32" i="45"/>
  <c r="BY32" i="45"/>
  <c r="CB32" i="45"/>
  <c r="BV28" i="45"/>
  <c r="BY28" i="45"/>
  <c r="CB28" i="45"/>
  <c r="BY31" i="45"/>
  <c r="CB31" i="45"/>
  <c r="BV31" i="45"/>
  <c r="CB46" i="45"/>
  <c r="BY46" i="45"/>
  <c r="BV46" i="45"/>
  <c r="CB26" i="45"/>
  <c r="BV26" i="45"/>
  <c r="BY26" i="45"/>
  <c r="BV48" i="45"/>
  <c r="BY48" i="45"/>
  <c r="CB48" i="45"/>
  <c r="CB13" i="45"/>
  <c r="BY13" i="45"/>
  <c r="BV13" i="45"/>
  <c r="AL11" i="19"/>
  <c r="CB34" i="45"/>
  <c r="BV34" i="45"/>
  <c r="BY34" i="45"/>
  <c r="CB47" i="45"/>
  <c r="BY47" i="45"/>
  <c r="BV47" i="45"/>
  <c r="BY11" i="45"/>
  <c r="BV11" i="45"/>
  <c r="CB11" i="45"/>
  <c r="CB19" i="45"/>
  <c r="BY19" i="45"/>
  <c r="BV19" i="45"/>
  <c r="BY36" i="45"/>
  <c r="CB36" i="45"/>
  <c r="BV36" i="45"/>
  <c r="BV20" i="45"/>
  <c r="CB20" i="45"/>
  <c r="BY20" i="45"/>
  <c r="BV27" i="45"/>
  <c r="CB27" i="45"/>
  <c r="BY27" i="45"/>
  <c r="BY30" i="45"/>
  <c r="BV30" i="45"/>
  <c r="CB30" i="45"/>
  <c r="BY14" i="45"/>
  <c r="BV14" i="45"/>
  <c r="CB14" i="45"/>
  <c r="CB10" i="45"/>
  <c r="BY10" i="45"/>
  <c r="BV10" i="45"/>
  <c r="BV44" i="45"/>
  <c r="BY44" i="45"/>
  <c r="CB44" i="45"/>
  <c r="CB37" i="45"/>
  <c r="BV37" i="45"/>
  <c r="BY37" i="45"/>
  <c r="BY12" i="45"/>
  <c r="CB12" i="45"/>
  <c r="BV12" i="45"/>
  <c r="BY41" i="45"/>
  <c r="CB41" i="45"/>
  <c r="BV41" i="45"/>
  <c r="BV15" i="45"/>
  <c r="BY15" i="45"/>
  <c r="CB15" i="45"/>
  <c r="BV29" i="45"/>
  <c r="CB29" i="45"/>
  <c r="BY29" i="45"/>
  <c r="BV22" i="45"/>
  <c r="CB22" i="45"/>
  <c r="BY22" i="45"/>
  <c r="BY16" i="45"/>
  <c r="BV16" i="45"/>
  <c r="CB16" i="45"/>
  <c r="CB39" i="45"/>
  <c r="BY39" i="45"/>
  <c r="BV39" i="45"/>
  <c r="CB9" i="45"/>
  <c r="BV9" i="45"/>
  <c r="BY9" i="45"/>
  <c r="BY18" i="45"/>
  <c r="BV18" i="45"/>
  <c r="CB18" i="45"/>
  <c r="BV38" i="45"/>
  <c r="BY38" i="45"/>
  <c r="CB38" i="45"/>
  <c r="CB35" i="45"/>
  <c r="BY35" i="45"/>
  <c r="BV35" i="45"/>
  <c r="CB42" i="45"/>
  <c r="BY42" i="45"/>
  <c r="BV42" i="45"/>
  <c r="CB8" i="45"/>
  <c r="BV8" i="45"/>
  <c r="BY8" i="45"/>
  <c r="BV43" i="45"/>
  <c r="BY43" i="45"/>
  <c r="CB43" i="45"/>
  <c r="BV25" i="45"/>
  <c r="BY25" i="45"/>
  <c r="CB25" i="45"/>
  <c r="BY17" i="45"/>
  <c r="BV17" i="45"/>
  <c r="CB17" i="45"/>
  <c r="CB24" i="45"/>
  <c r="BV24" i="45"/>
  <c r="BY24" i="45"/>
  <c r="CB7" i="45"/>
  <c r="BV7" i="45"/>
  <c r="BY7" i="45"/>
  <c r="BY21" i="45"/>
  <c r="BV21" i="45"/>
  <c r="CB21" i="45"/>
  <c r="BP50" i="45"/>
  <c r="BO50" i="45"/>
  <c r="BV33" i="45"/>
  <c r="BY33" i="45"/>
  <c r="CB33" i="45"/>
  <c r="G60" i="44"/>
  <c r="AR40" i="37"/>
  <c r="AR33" i="37"/>
  <c r="AR13" i="37"/>
  <c r="AR43" i="37"/>
  <c r="AR47" i="37"/>
  <c r="AR21" i="37"/>
  <c r="AR18" i="37"/>
  <c r="AR8" i="37"/>
  <c r="AR34" i="37"/>
  <c r="AR20" i="37"/>
  <c r="AR41" i="37"/>
  <c r="AR32" i="37"/>
  <c r="AR35" i="37"/>
  <c r="AR12" i="37"/>
  <c r="AR39" i="37"/>
  <c r="AR30" i="37"/>
  <c r="AR10" i="37"/>
  <c r="AR46" i="37"/>
  <c r="AR27" i="37"/>
  <c r="AR19" i="37"/>
  <c r="AR28" i="37"/>
  <c r="AR26" i="37"/>
  <c r="AR48" i="37"/>
  <c r="AR17" i="37"/>
  <c r="AR22" i="37"/>
  <c r="AR29" i="37"/>
  <c r="AR45" i="37"/>
  <c r="AR23" i="37"/>
  <c r="AR44" i="37"/>
  <c r="AR24" i="37"/>
  <c r="AR16" i="37"/>
  <c r="AR9" i="37"/>
  <c r="AR37" i="37"/>
  <c r="AR15" i="37"/>
  <c r="AR38" i="37"/>
  <c r="AN11" i="19"/>
  <c r="AO11" i="19" s="1"/>
  <c r="AP11" i="19" s="1"/>
  <c r="AQ11" i="19" s="1"/>
  <c r="AL23" i="19"/>
  <c r="AZ19" i="19"/>
  <c r="BD19" i="19" s="1"/>
  <c r="BE19" i="19" s="1"/>
  <c r="BF19" i="19" s="1"/>
  <c r="AM25" i="19"/>
  <c r="U35" i="19"/>
  <c r="V35" i="19" s="1"/>
  <c r="AM35" i="19" s="1"/>
  <c r="BA19" i="19"/>
  <c r="AM39" i="19"/>
  <c r="AL36" i="19"/>
  <c r="P16" i="37"/>
  <c r="BR37" i="45" s="1"/>
  <c r="AK40" i="41"/>
  <c r="P55" i="41"/>
  <c r="AQ55" i="41" s="1"/>
  <c r="AK36" i="41"/>
  <c r="AK14" i="41"/>
  <c r="AK12" i="41"/>
  <c r="AK18" i="41"/>
  <c r="AK25" i="41"/>
  <c r="AK27" i="41"/>
  <c r="P57" i="41"/>
  <c r="AQ57" i="41" s="1"/>
  <c r="AK46" i="41"/>
  <c r="AK13" i="41"/>
  <c r="AK11" i="41"/>
  <c r="AQ14" i="41"/>
  <c r="Q14" i="41" s="1"/>
  <c r="P54" i="41"/>
  <c r="AQ54" i="41" s="1"/>
  <c r="AK26" i="41"/>
  <c r="AK28" i="41"/>
  <c r="E11" i="41"/>
  <c r="E14" i="41"/>
  <c r="P58" i="41"/>
  <c r="AQ58" i="41" s="1"/>
  <c r="AQ42" i="41"/>
  <c r="Q42" i="41" s="1"/>
  <c r="P52" i="41"/>
  <c r="AQ7" i="41"/>
  <c r="Q7" i="41" s="1"/>
  <c r="P61" i="41"/>
  <c r="AQ61" i="41" s="1"/>
  <c r="Q61" i="41" s="1"/>
  <c r="M59" i="41"/>
  <c r="AK19" i="41"/>
  <c r="AK22" i="41"/>
  <c r="AK21" i="41"/>
  <c r="AO52" i="41"/>
  <c r="N59" i="41"/>
  <c r="AO59" i="41" s="1"/>
  <c r="AK42" i="41"/>
  <c r="AK23" i="41"/>
  <c r="AK43" i="41"/>
  <c r="I43" i="42"/>
  <c r="I41" i="42"/>
  <c r="I6" i="42"/>
  <c r="I15" i="42"/>
  <c r="I29" i="42"/>
  <c r="I8" i="42"/>
  <c r="I46" i="42"/>
  <c r="I28" i="42"/>
  <c r="I39" i="42"/>
  <c r="I22" i="42"/>
  <c r="I21" i="42"/>
  <c r="I23" i="42"/>
  <c r="I12" i="42"/>
  <c r="I27" i="42"/>
  <c r="I40" i="42"/>
  <c r="I31" i="42"/>
  <c r="I45" i="42"/>
  <c r="I24" i="42"/>
  <c r="I18" i="42"/>
  <c r="I32" i="42"/>
  <c r="I16" i="42"/>
  <c r="I57" i="42"/>
  <c r="I14" i="42"/>
  <c r="I13" i="42"/>
  <c r="I5" i="42"/>
  <c r="I34" i="42"/>
  <c r="I26" i="42"/>
  <c r="I35" i="42"/>
  <c r="I36" i="42"/>
  <c r="I25" i="42"/>
  <c r="I7" i="42"/>
  <c r="I42" i="42"/>
  <c r="I38" i="42"/>
  <c r="I19" i="42"/>
  <c r="I11" i="42"/>
  <c r="I30" i="42"/>
  <c r="I37" i="42"/>
  <c r="H2" i="42"/>
  <c r="I44" i="42"/>
  <c r="I33" i="42"/>
  <c r="I10" i="42"/>
  <c r="I17" i="42"/>
  <c r="I9" i="42"/>
  <c r="I20" i="42"/>
  <c r="P56" i="41"/>
  <c r="AQ56" i="41" s="1"/>
  <c r="AK17" i="41"/>
  <c r="AK16" i="41"/>
  <c r="AK34" i="41"/>
  <c r="AK33" i="41"/>
  <c r="AQ11" i="41"/>
  <c r="Q11" i="41" s="1"/>
  <c r="P53" i="41"/>
  <c r="AQ53" i="41" s="1"/>
  <c r="T50" i="19"/>
  <c r="U50" i="19" s="1"/>
  <c r="V50" i="19" s="1"/>
  <c r="BB16" i="19"/>
  <c r="BC34" i="19"/>
  <c r="W54" i="19"/>
  <c r="P46" i="37"/>
  <c r="BC30" i="19"/>
  <c r="P48" i="37"/>
  <c r="P10" i="37"/>
  <c r="E59" i="38"/>
  <c r="H57" i="38"/>
  <c r="L1" i="36"/>
  <c r="L2" i="36"/>
  <c r="E59" i="36"/>
  <c r="H57" i="36"/>
  <c r="E59" i="34"/>
  <c r="H57" i="34"/>
  <c r="T56" i="37"/>
  <c r="M52" i="37"/>
  <c r="T54" i="37"/>
  <c r="T52" i="37"/>
  <c r="AR7" i="37"/>
  <c r="N52" i="37"/>
  <c r="AR11" i="37"/>
  <c r="N53" i="37"/>
  <c r="AR53" i="37" s="1"/>
  <c r="M57" i="37"/>
  <c r="T57" i="37"/>
  <c r="K59" i="37"/>
  <c r="T55" i="37"/>
  <c r="AR36" i="37"/>
  <c r="N57" i="37"/>
  <c r="AR57" i="37" s="1"/>
  <c r="M55" i="37"/>
  <c r="AR14" i="37"/>
  <c r="N54" i="37"/>
  <c r="AR54" i="37" s="1"/>
  <c r="T53" i="37"/>
  <c r="M56" i="37"/>
  <c r="M54" i="37"/>
  <c r="AR31" i="37"/>
  <c r="N56" i="37"/>
  <c r="AR56" i="37" s="1"/>
  <c r="AR25" i="37"/>
  <c r="N55" i="37"/>
  <c r="AR55" i="37" s="1"/>
  <c r="M53" i="37"/>
  <c r="T58" i="37"/>
  <c r="AR42" i="37"/>
  <c r="N58" i="37"/>
  <c r="AR58" i="37" s="1"/>
  <c r="M58" i="37"/>
  <c r="P28" i="37"/>
  <c r="P23" i="37"/>
  <c r="P44" i="37"/>
  <c r="P37" i="37"/>
  <c r="P17" i="37"/>
  <c r="P40" i="37"/>
  <c r="P25" i="37"/>
  <c r="BR38" i="45" s="1"/>
  <c r="P7" i="37"/>
  <c r="BR27" i="45" s="1"/>
  <c r="N61" i="37"/>
  <c r="AR61" i="37" s="1"/>
  <c r="P42" i="37"/>
  <c r="BR32" i="45" s="1"/>
  <c r="P33" i="37"/>
  <c r="P21" i="37"/>
  <c r="P18" i="37"/>
  <c r="P8" i="37"/>
  <c r="T61" i="37"/>
  <c r="T66" i="37" s="1"/>
  <c r="P13" i="37"/>
  <c r="P20" i="37"/>
  <c r="P27" i="37"/>
  <c r="P29" i="37"/>
  <c r="M61" i="37"/>
  <c r="AN20" i="37" s="1"/>
  <c r="P39" i="37"/>
  <c r="P30" i="37"/>
  <c r="AL38" i="19"/>
  <c r="AM21" i="19"/>
  <c r="BO12" i="19"/>
  <c r="BQ12" i="19" s="1"/>
  <c r="BS12" i="19" s="1"/>
  <c r="T54" i="19"/>
  <c r="U54" i="19" s="1"/>
  <c r="V54" i="19" s="1"/>
  <c r="AL37" i="19"/>
  <c r="AM13" i="19"/>
  <c r="AM45" i="19"/>
  <c r="BO37" i="19"/>
  <c r="BQ37" i="19" s="1"/>
  <c r="BS37" i="19" s="1"/>
  <c r="AZ13" i="19"/>
  <c r="BB13" i="19" s="1"/>
  <c r="AL21" i="19"/>
  <c r="BC26" i="19"/>
  <c r="BC51" i="19" s="1"/>
  <c r="AL16" i="19"/>
  <c r="AM8" i="19"/>
  <c r="BA37" i="19"/>
  <c r="BC37" i="19" s="1"/>
  <c r="BC21" i="19"/>
  <c r="BA12" i="19"/>
  <c r="BC12" i="19" s="1"/>
  <c r="BC8" i="19"/>
  <c r="AM34" i="19"/>
  <c r="AM22" i="19"/>
  <c r="BC13" i="19"/>
  <c r="AN44" i="19"/>
  <c r="AO44" i="19" s="1"/>
  <c r="AP44" i="19" s="1"/>
  <c r="AR44" i="19" s="1"/>
  <c r="AN13" i="19"/>
  <c r="AO13" i="19" s="1"/>
  <c r="AP13" i="19" s="1"/>
  <c r="AR13" i="19" s="1"/>
  <c r="AS13" i="19" s="1"/>
  <c r="BC16" i="19"/>
  <c r="AM12" i="19"/>
  <c r="AM28" i="19"/>
  <c r="BO23" i="19"/>
  <c r="BQ23" i="19" s="1"/>
  <c r="BS23" i="19" s="1"/>
  <c r="AM18" i="19"/>
  <c r="AM11" i="19"/>
  <c r="AM30" i="19"/>
  <c r="AL14" i="19"/>
  <c r="AN10" i="19"/>
  <c r="AO10" i="19" s="1"/>
  <c r="AP10" i="19" s="1"/>
  <c r="AL22" i="19"/>
  <c r="AM20" i="19"/>
  <c r="AL18" i="19"/>
  <c r="T53" i="19"/>
  <c r="U53" i="19" s="1"/>
  <c r="V53" i="19" s="1"/>
  <c r="BA23" i="19"/>
  <c r="BC23" i="19" s="1"/>
  <c r="AL12" i="19"/>
  <c r="AL6" i="19"/>
  <c r="AL19" i="19"/>
  <c r="BC19" i="19"/>
  <c r="BC18" i="19"/>
  <c r="BC11" i="19"/>
  <c r="AN25" i="19"/>
  <c r="AO25" i="19" s="1"/>
  <c r="AP25" i="19" s="1"/>
  <c r="AR25" i="19" s="1"/>
  <c r="BA5" i="19"/>
  <c r="BA52" i="19" s="1"/>
  <c r="AL34" i="19"/>
  <c r="AL30" i="19"/>
  <c r="BB28" i="19"/>
  <c r="BC20" i="19"/>
  <c r="BC45" i="19"/>
  <c r="T56" i="19"/>
  <c r="U56" i="19" s="1"/>
  <c r="V56" i="19" s="1"/>
  <c r="AM27" i="19"/>
  <c r="BC22" i="19"/>
  <c r="AZ39" i="19"/>
  <c r="BB39" i="19" s="1"/>
  <c r="AL26" i="19"/>
  <c r="BA39" i="19"/>
  <c r="BC39" i="19" s="1"/>
  <c r="AL45" i="19"/>
  <c r="AL39" i="19"/>
  <c r="BC6" i="19"/>
  <c r="BC55" i="19" s="1"/>
  <c r="BD45" i="19"/>
  <c r="BE45" i="19" s="1"/>
  <c r="BF45" i="19" s="1"/>
  <c r="BG45" i="19" s="1"/>
  <c r="AM26" i="19"/>
  <c r="AM51" i="19" s="1"/>
  <c r="AM57" i="19" s="1"/>
  <c r="BC24" i="19"/>
  <c r="W52" i="19"/>
  <c r="W55" i="19"/>
  <c r="AZ18" i="19"/>
  <c r="BB18" i="19" s="1"/>
  <c r="AZ10" i="19"/>
  <c r="BD10" i="19" s="1"/>
  <c r="BE10" i="19" s="1"/>
  <c r="BC28" i="19"/>
  <c r="AN8" i="19"/>
  <c r="AO8" i="19" s="1"/>
  <c r="AP8" i="19" s="1"/>
  <c r="AR8" i="19" s="1"/>
  <c r="BA10" i="19"/>
  <c r="BA54" i="19" s="1"/>
  <c r="AM32" i="19"/>
  <c r="AL20" i="19"/>
  <c r="AL24" i="19"/>
  <c r="BO18" i="19"/>
  <c r="BQ18" i="19" s="1"/>
  <c r="BS18" i="19" s="1"/>
  <c r="AY54" i="19"/>
  <c r="AZ54" i="19" s="1"/>
  <c r="AL28" i="19"/>
  <c r="T55" i="19"/>
  <c r="U55" i="19" s="1"/>
  <c r="V55" i="19" s="1"/>
  <c r="AL32" i="19"/>
  <c r="AL27" i="19"/>
  <c r="W51" i="19"/>
  <c r="U51" i="19"/>
  <c r="V51" i="19" s="1"/>
  <c r="AN32" i="19"/>
  <c r="AO32" i="19" s="1"/>
  <c r="AP32" i="19" s="1"/>
  <c r="AR32" i="19" s="1"/>
  <c r="S57" i="19"/>
  <c r="BC56" i="19"/>
  <c r="R57" i="19"/>
  <c r="AL5" i="19"/>
  <c r="BC14" i="19"/>
  <c r="AN5" i="19"/>
  <c r="AO5" i="19" s="1"/>
  <c r="AP5" i="19" s="1"/>
  <c r="AN9" i="19"/>
  <c r="AO9" i="19" s="1"/>
  <c r="AP9" i="19" s="1"/>
  <c r="AY52" i="19"/>
  <c r="AZ52" i="19" s="1"/>
  <c r="AN16" i="19"/>
  <c r="AO16" i="19" s="1"/>
  <c r="AP16" i="19" s="1"/>
  <c r="AQ16" i="19" s="1"/>
  <c r="BO5" i="19"/>
  <c r="BO52" i="19" s="1"/>
  <c r="BP52" i="19" s="1"/>
  <c r="BC27" i="19"/>
  <c r="X53" i="19"/>
  <c r="W53" i="19" s="1"/>
  <c r="AM5" i="19"/>
  <c r="AM52" i="19" s="1"/>
  <c r="T52" i="19"/>
  <c r="AL52" i="19" s="1"/>
  <c r="BC25" i="19"/>
  <c r="AM9" i="19"/>
  <c r="AM53" i="19" s="1"/>
  <c r="BB51" i="19"/>
  <c r="AL51" i="19"/>
  <c r="E59" i="20"/>
  <c r="G57" i="20"/>
  <c r="I57" i="20"/>
  <c r="AR23" i="19"/>
  <c r="AR36" i="19"/>
  <c r="AQ36" i="19"/>
  <c r="AR45" i="19"/>
  <c r="AQ45" i="19"/>
  <c r="BH40" i="19"/>
  <c r="BG40" i="19"/>
  <c r="BD12" i="19"/>
  <c r="BE12" i="19" s="1"/>
  <c r="BF12" i="19" s="1"/>
  <c r="BB12" i="19"/>
  <c r="BP22" i="19"/>
  <c r="BQ22" i="19"/>
  <c r="BS22" i="19" s="1"/>
  <c r="AO50" i="19"/>
  <c r="AP17" i="19"/>
  <c r="BP46" i="19"/>
  <c r="BQ46" i="19"/>
  <c r="BS46" i="19" s="1"/>
  <c r="BB20" i="19"/>
  <c r="BD20" i="19"/>
  <c r="BE20" i="19" s="1"/>
  <c r="BF20" i="19" s="1"/>
  <c r="AA10" i="19"/>
  <c r="Y54" i="19"/>
  <c r="AR46" i="19"/>
  <c r="AQ46" i="19"/>
  <c r="BP28" i="19"/>
  <c r="BQ28" i="19"/>
  <c r="BS28" i="19" s="1"/>
  <c r="BB33" i="19"/>
  <c r="BD33" i="19"/>
  <c r="BE33" i="19" s="1"/>
  <c r="BF33" i="19" s="1"/>
  <c r="AP6" i="19"/>
  <c r="AO55" i="19"/>
  <c r="AN55" i="19" s="1"/>
  <c r="AA5" i="19"/>
  <c r="Y52" i="19"/>
  <c r="AR24" i="19"/>
  <c r="AQ24" i="19"/>
  <c r="BD9" i="19"/>
  <c r="BE9" i="19" s="1"/>
  <c r="BB9" i="19"/>
  <c r="BH46" i="19"/>
  <c r="BG46" i="19"/>
  <c r="BH16" i="19"/>
  <c r="BG16" i="19"/>
  <c r="BD37" i="19"/>
  <c r="BE37" i="19" s="1"/>
  <c r="BF37" i="19" s="1"/>
  <c r="BB37" i="19"/>
  <c r="AR15" i="19"/>
  <c r="AS15" i="19" s="1"/>
  <c r="AQ15" i="19"/>
  <c r="BD31" i="19"/>
  <c r="BE31" i="19" s="1"/>
  <c r="BF31" i="19" s="1"/>
  <c r="BB31" i="19"/>
  <c r="BO56" i="19"/>
  <c r="BP56" i="19" s="1"/>
  <c r="BQ7" i="19"/>
  <c r="BP7" i="19"/>
  <c r="BP19" i="19"/>
  <c r="BQ19" i="19"/>
  <c r="BS19" i="19" s="1"/>
  <c r="BD36" i="19"/>
  <c r="BE36" i="19" s="1"/>
  <c r="BF36" i="19" s="1"/>
  <c r="BB36" i="19"/>
  <c r="AQ27" i="19"/>
  <c r="AR27" i="19"/>
  <c r="BQ20" i="19"/>
  <c r="BS20" i="19" s="1"/>
  <c r="BP20" i="19"/>
  <c r="AR31" i="19"/>
  <c r="AQ31" i="19"/>
  <c r="BP36" i="19"/>
  <c r="BQ36" i="19"/>
  <c r="BS36" i="19" s="1"/>
  <c r="BQ39" i="19"/>
  <c r="BS39" i="19" s="1"/>
  <c r="BP39" i="19"/>
  <c r="BB24" i="19"/>
  <c r="BD24" i="19"/>
  <c r="BE24" i="19" s="1"/>
  <c r="BF24" i="19" s="1"/>
  <c r="AR21" i="19"/>
  <c r="AQ21" i="19"/>
  <c r="AR14" i="19"/>
  <c r="AS14" i="19" s="1"/>
  <c r="AQ14" i="19"/>
  <c r="BD23" i="19"/>
  <c r="BE23" i="19" s="1"/>
  <c r="BF23" i="19" s="1"/>
  <c r="BB23" i="19"/>
  <c r="BC9" i="19"/>
  <c r="BC53" i="19" s="1"/>
  <c r="BA53" i="19"/>
  <c r="W50" i="19"/>
  <c r="X57" i="19"/>
  <c r="W57" i="19" s="1"/>
  <c r="BP10" i="19"/>
  <c r="BQ10" i="19"/>
  <c r="BP45" i="19"/>
  <c r="BQ45" i="19"/>
  <c r="BS45" i="19" s="1"/>
  <c r="BP13" i="19"/>
  <c r="BQ13" i="19"/>
  <c r="BS13" i="19" s="1"/>
  <c r="BD38" i="19"/>
  <c r="BE38" i="19" s="1"/>
  <c r="BF38" i="19" s="1"/>
  <c r="BB38" i="19"/>
  <c r="AA17" i="19"/>
  <c r="Y50" i="19"/>
  <c r="AR37" i="19"/>
  <c r="AQ37" i="19"/>
  <c r="AR43" i="19"/>
  <c r="AQ43" i="19"/>
  <c r="BP35" i="19"/>
  <c r="BQ35" i="19"/>
  <c r="BB44" i="19"/>
  <c r="BD44" i="19"/>
  <c r="BE44" i="19" s="1"/>
  <c r="BF44" i="19" s="1"/>
  <c r="BD26" i="19"/>
  <c r="BE26" i="19" s="1"/>
  <c r="BB26" i="19"/>
  <c r="AM56" i="19"/>
  <c r="BB6" i="19"/>
  <c r="AR40" i="19"/>
  <c r="AQ40" i="19"/>
  <c r="BO54" i="19"/>
  <c r="BP54" i="19" s="1"/>
  <c r="BP38" i="19"/>
  <c r="BQ38" i="19"/>
  <c r="BS38" i="19" s="1"/>
  <c r="BC17" i="19"/>
  <c r="BC50" i="19" s="1"/>
  <c r="BA50" i="19"/>
  <c r="BA57" i="19" s="1"/>
  <c r="BP16" i="19"/>
  <c r="BQ16" i="19"/>
  <c r="BS16" i="19" s="1"/>
  <c r="BO53" i="19"/>
  <c r="BP53" i="19" s="1"/>
  <c r="BP9" i="19"/>
  <c r="BQ9" i="19"/>
  <c r="BD11" i="19"/>
  <c r="BE11" i="19" s="1"/>
  <c r="BF11" i="19" s="1"/>
  <c r="BB11" i="19"/>
  <c r="AR41" i="19"/>
  <c r="AQ41" i="19"/>
  <c r="BD25" i="19"/>
  <c r="BE25" i="19" s="1"/>
  <c r="BF25" i="19" s="1"/>
  <c r="BB25" i="19"/>
  <c r="BH34" i="19"/>
  <c r="BG34" i="19"/>
  <c r="BA55" i="19"/>
  <c r="BD8" i="19"/>
  <c r="BE8" i="19" s="1"/>
  <c r="BF8" i="19" s="1"/>
  <c r="BB8" i="19"/>
  <c r="BO51" i="19"/>
  <c r="BP51" i="19" s="1"/>
  <c r="BR51" i="19" s="1"/>
  <c r="BQ26" i="19"/>
  <c r="BP26" i="19"/>
  <c r="AA26" i="19"/>
  <c r="Y51" i="19"/>
  <c r="AR34" i="19"/>
  <c r="AQ34" i="19"/>
  <c r="BQ33" i="19"/>
  <c r="BS33" i="19" s="1"/>
  <c r="BP33" i="19"/>
  <c r="BP41" i="19"/>
  <c r="BQ41" i="19"/>
  <c r="BS41" i="19" s="1"/>
  <c r="AR12" i="19"/>
  <c r="AS12" i="19" s="1"/>
  <c r="AQ12" i="19"/>
  <c r="BP31" i="19"/>
  <c r="BQ31" i="19"/>
  <c r="BS31" i="19" s="1"/>
  <c r="AR18" i="19"/>
  <c r="AS18" i="19" s="1"/>
  <c r="AQ18" i="19"/>
  <c r="BA56" i="19"/>
  <c r="BQ40" i="19"/>
  <c r="BS40" i="19" s="1"/>
  <c r="BP40" i="19"/>
  <c r="AR35" i="19"/>
  <c r="AQ35" i="19"/>
  <c r="BD22" i="19"/>
  <c r="BE22" i="19" s="1"/>
  <c r="BF22" i="19" s="1"/>
  <c r="BB22" i="19"/>
  <c r="AR22" i="19"/>
  <c r="AQ22" i="19"/>
  <c r="BB21" i="19"/>
  <c r="BD21" i="19"/>
  <c r="BE21" i="19" s="1"/>
  <c r="BF21" i="19" s="1"/>
  <c r="BD29" i="19"/>
  <c r="BE29" i="19" s="1"/>
  <c r="BF29" i="19" s="1"/>
  <c r="BB29" i="19"/>
  <c r="BP29" i="19"/>
  <c r="BQ29" i="19"/>
  <c r="BS29" i="19" s="1"/>
  <c r="AQ19" i="19"/>
  <c r="AR19" i="19"/>
  <c r="AR30" i="19"/>
  <c r="AQ30" i="19"/>
  <c r="AR29" i="19"/>
  <c r="AQ29" i="19"/>
  <c r="BH15" i="19"/>
  <c r="BG15" i="19"/>
  <c r="BB42" i="19"/>
  <c r="BD42" i="19"/>
  <c r="BE42" i="19" s="1"/>
  <c r="BF42" i="19" s="1"/>
  <c r="BP44" i="19"/>
  <c r="BQ44" i="19"/>
  <c r="BS44" i="19" s="1"/>
  <c r="AR28" i="19"/>
  <c r="AQ28" i="19"/>
  <c r="AP26" i="19"/>
  <c r="AO51" i="19"/>
  <c r="AN51" i="19" s="1"/>
  <c r="Y55" i="19"/>
  <c r="AA6" i="19"/>
  <c r="BQ21" i="19"/>
  <c r="BS21" i="19" s="1"/>
  <c r="BP21" i="19"/>
  <c r="BD32" i="19"/>
  <c r="BE32" i="19" s="1"/>
  <c r="BF32" i="19" s="1"/>
  <c r="BB32" i="19"/>
  <c r="BD35" i="19"/>
  <c r="BE35" i="19" s="1"/>
  <c r="BF35" i="19" s="1"/>
  <c r="BB35" i="19"/>
  <c r="BQ11" i="19"/>
  <c r="BS11" i="19" s="1"/>
  <c r="BP11" i="19"/>
  <c r="BH28" i="19"/>
  <c r="BG28" i="19"/>
  <c r="AJ57" i="19"/>
  <c r="BB30" i="19"/>
  <c r="BD30" i="19"/>
  <c r="BE30" i="19" s="1"/>
  <c r="BF30" i="19" s="1"/>
  <c r="BD27" i="19"/>
  <c r="BE27" i="19" s="1"/>
  <c r="BF27" i="19" s="1"/>
  <c r="BB27" i="19"/>
  <c r="AR38" i="19"/>
  <c r="AQ38" i="19"/>
  <c r="BP43" i="19"/>
  <c r="BQ43" i="19"/>
  <c r="BS43" i="19" s="1"/>
  <c r="BP25" i="19"/>
  <c r="BQ25" i="19"/>
  <c r="BS25" i="19" s="1"/>
  <c r="AA9" i="19"/>
  <c r="Y53" i="19"/>
  <c r="BD5" i="19"/>
  <c r="BE5" i="19" s="1"/>
  <c r="BB5" i="19"/>
  <c r="BD14" i="19"/>
  <c r="BE14" i="19" s="1"/>
  <c r="BF14" i="19" s="1"/>
  <c r="BB14" i="19"/>
  <c r="BQ42" i="19"/>
  <c r="BS42" i="19" s="1"/>
  <c r="BP42" i="19"/>
  <c r="BP32" i="19"/>
  <c r="BQ32" i="19"/>
  <c r="BS32" i="19" s="1"/>
  <c r="BQ30" i="19"/>
  <c r="BS30" i="19" s="1"/>
  <c r="BP30" i="19"/>
  <c r="AR39" i="19"/>
  <c r="AQ39" i="19"/>
  <c r="N57" i="19"/>
  <c r="BP14" i="19"/>
  <c r="BQ14" i="19"/>
  <c r="BS14" i="19" s="1"/>
  <c r="AA7" i="19"/>
  <c r="Y56" i="19"/>
  <c r="BP8" i="19"/>
  <c r="BQ8" i="19"/>
  <c r="BS8" i="19" s="1"/>
  <c r="BP34" i="19"/>
  <c r="BQ34" i="19"/>
  <c r="BS34" i="19" s="1"/>
  <c r="AR42" i="19"/>
  <c r="AQ42" i="19"/>
  <c r="AR20" i="19"/>
  <c r="AQ20" i="19"/>
  <c r="BQ24" i="19"/>
  <c r="BS24" i="19" s="1"/>
  <c r="BP24" i="19"/>
  <c r="BQ15" i="19"/>
  <c r="BS15" i="19" s="1"/>
  <c r="BP15" i="19"/>
  <c r="BP27" i="19"/>
  <c r="BQ27" i="19"/>
  <c r="BS27" i="19" s="1"/>
  <c r="BD7" i="19"/>
  <c r="BE7" i="19" s="1"/>
  <c r="BB7" i="19"/>
  <c r="AK57" i="19"/>
  <c r="BB43" i="19" l="1"/>
  <c r="BP6" i="19"/>
  <c r="BQ6" i="19"/>
  <c r="AP7" i="19"/>
  <c r="BB17" i="19"/>
  <c r="AQ33" i="19"/>
  <c r="AR11" i="19"/>
  <c r="AS11" i="19" s="1"/>
  <c r="AO54" i="19"/>
  <c r="AN54" i="19" s="1"/>
  <c r="AY57" i="19"/>
  <c r="AZ57" i="19" s="1"/>
  <c r="BG41" i="19"/>
  <c r="U41" i="37"/>
  <c r="H20" i="44" s="1"/>
  <c r="BP37" i="19"/>
  <c r="BR37" i="19" s="1"/>
  <c r="BP17" i="19"/>
  <c r="BQ17" i="19"/>
  <c r="BS17" i="19" s="1"/>
  <c r="BS50" i="19" s="1"/>
  <c r="BB50" i="19"/>
  <c r="AL50" i="19"/>
  <c r="BS35" i="19"/>
  <c r="U18" i="37"/>
  <c r="H28" i="44" s="1"/>
  <c r="U31" i="37"/>
  <c r="H40" i="44" s="1"/>
  <c r="AT16" i="37"/>
  <c r="Q16" i="37" s="1"/>
  <c r="BB19" i="19"/>
  <c r="J2" i="42"/>
  <c r="J5" i="42" s="1"/>
  <c r="BC35" i="19"/>
  <c r="BS32" i="45"/>
  <c r="AY32" i="45"/>
  <c r="AT23" i="37"/>
  <c r="Q23" i="37" s="1"/>
  <c r="BR10" i="45"/>
  <c r="AT10" i="37"/>
  <c r="Q10" i="37" s="1"/>
  <c r="BR35" i="45"/>
  <c r="AT20" i="37"/>
  <c r="Q20" i="37" s="1"/>
  <c r="BR28" i="45"/>
  <c r="AT28" i="37"/>
  <c r="Q28" i="37" s="1"/>
  <c r="BR20" i="45"/>
  <c r="AT48" i="37"/>
  <c r="Q48" i="37" s="1"/>
  <c r="BR46" i="45"/>
  <c r="AT13" i="37"/>
  <c r="Q13" i="37" s="1"/>
  <c r="BR8" i="45"/>
  <c r="AY27" i="45"/>
  <c r="BS27" i="45"/>
  <c r="AT27" i="37"/>
  <c r="Q27" i="37" s="1"/>
  <c r="BR40" i="45"/>
  <c r="AY38" i="45"/>
  <c r="BS38" i="45"/>
  <c r="AT46" i="37"/>
  <c r="Q46" i="37" s="1"/>
  <c r="BR25" i="45"/>
  <c r="AY37" i="45"/>
  <c r="BS37" i="45"/>
  <c r="AT8" i="37"/>
  <c r="Q8" i="37" s="1"/>
  <c r="BR24" i="45"/>
  <c r="AT39" i="37"/>
  <c r="Q39" i="37" s="1"/>
  <c r="BR11" i="45"/>
  <c r="AT18" i="37"/>
  <c r="Q18" i="37" s="1"/>
  <c r="BR17" i="45"/>
  <c r="AT17" i="37"/>
  <c r="Q17" i="37" s="1"/>
  <c r="BR18" i="45"/>
  <c r="AT40" i="37"/>
  <c r="Q40" i="37" s="1"/>
  <c r="BR30" i="45"/>
  <c r="AT21" i="37"/>
  <c r="Q21" i="37" s="1"/>
  <c r="BR23" i="45"/>
  <c r="AT37" i="37"/>
  <c r="Q37" i="37" s="1"/>
  <c r="BR29" i="45"/>
  <c r="AT30" i="37"/>
  <c r="Q30" i="37" s="1"/>
  <c r="BR41" i="45"/>
  <c r="AT29" i="37"/>
  <c r="Q29" i="37" s="1"/>
  <c r="BR34" i="45"/>
  <c r="AT33" i="37"/>
  <c r="Q33" i="37" s="1"/>
  <c r="BR42" i="45"/>
  <c r="AT44" i="37"/>
  <c r="Q44" i="37" s="1"/>
  <c r="BR44" i="45"/>
  <c r="BV50" i="45"/>
  <c r="CB50" i="45"/>
  <c r="BY50" i="45"/>
  <c r="Y29" i="44"/>
  <c r="AV28" i="45"/>
  <c r="AK61" i="41"/>
  <c r="AQ52" i="41"/>
  <c r="P59" i="41"/>
  <c r="AQ59" i="41" s="1"/>
  <c r="I54" i="42" a="1"/>
  <c r="I54" i="42" s="1"/>
  <c r="I52" i="42" a="1"/>
  <c r="I52" i="42" s="1"/>
  <c r="I50" i="42" a="1"/>
  <c r="I50" i="42" s="1"/>
  <c r="I56" i="42" a="1"/>
  <c r="I56" i="42" s="1"/>
  <c r="I55" i="42" a="1"/>
  <c r="I55" i="42" s="1"/>
  <c r="I53" i="42" a="1"/>
  <c r="I53" i="42" s="1"/>
  <c r="I51" i="42" a="1"/>
  <c r="I51" i="42" s="1"/>
  <c r="V22" i="41"/>
  <c r="Q12" i="44" s="1"/>
  <c r="V19" i="41"/>
  <c r="Q19" i="44" s="1"/>
  <c r="V28" i="41"/>
  <c r="Q17" i="44" s="1"/>
  <c r="V21" i="41"/>
  <c r="Q22" i="44" s="1"/>
  <c r="V11" i="41"/>
  <c r="Q16" i="44" s="1"/>
  <c r="V9" i="41"/>
  <c r="Q18" i="44" s="1"/>
  <c r="V47" i="41"/>
  <c r="Q46" i="44" s="1"/>
  <c r="V43" i="41"/>
  <c r="Q44" i="44" s="1"/>
  <c r="V44" i="41"/>
  <c r="Q45" i="44" s="1"/>
  <c r="V13" i="41"/>
  <c r="Q6" i="44" s="1"/>
  <c r="V29" i="41"/>
  <c r="Q30" i="44" s="1"/>
  <c r="V39" i="41"/>
  <c r="Q10" i="44" s="1"/>
  <c r="V23" i="41"/>
  <c r="Q9" i="44" s="1"/>
  <c r="V45" i="41"/>
  <c r="Q14" i="44" s="1"/>
  <c r="V31" i="41"/>
  <c r="Q40" i="44" s="1"/>
  <c r="V41" i="41"/>
  <c r="Q20" i="44" s="1"/>
  <c r="V24" i="41"/>
  <c r="Q11" i="44" s="1"/>
  <c r="V38" i="41"/>
  <c r="Q8" i="44" s="1"/>
  <c r="V10" i="41"/>
  <c r="Q33" i="44" s="1"/>
  <c r="V37" i="41"/>
  <c r="Q31" i="44" s="1"/>
  <c r="V48" i="41"/>
  <c r="Q47" i="44" s="1"/>
  <c r="V35" i="41"/>
  <c r="Q13" i="44" s="1"/>
  <c r="V8" i="41"/>
  <c r="Q21" i="44" s="1"/>
  <c r="V18" i="41"/>
  <c r="Q28" i="44" s="1"/>
  <c r="V34" i="41"/>
  <c r="Q42" i="44" s="1"/>
  <c r="V32" i="41"/>
  <c r="Q25" i="44" s="1"/>
  <c r="V15" i="41"/>
  <c r="Q15" i="44" s="1"/>
  <c r="V12" i="41"/>
  <c r="Q7" i="44" s="1"/>
  <c r="V25" i="41"/>
  <c r="Q36" i="44" s="1"/>
  <c r="V20" i="41"/>
  <c r="Q29" i="44" s="1"/>
  <c r="V30" i="41"/>
  <c r="Q39" i="44" s="1"/>
  <c r="V40" i="41"/>
  <c r="Q43" i="44" s="1"/>
  <c r="V14" i="41"/>
  <c r="Q34" i="44" s="1"/>
  <c r="V42" i="41"/>
  <c r="Q32" i="44" s="1"/>
  <c r="V36" i="41"/>
  <c r="Q26" i="44" s="1"/>
  <c r="V16" i="41"/>
  <c r="Q35" i="44" s="1"/>
  <c r="V46" i="41"/>
  <c r="Q27" i="44" s="1"/>
  <c r="V17" i="41"/>
  <c r="Q24" i="44" s="1"/>
  <c r="V7" i="41"/>
  <c r="Q23" i="44" s="1"/>
  <c r="V33" i="41"/>
  <c r="Q41" i="44" s="1"/>
  <c r="V27" i="41"/>
  <c r="Q38" i="44" s="1"/>
  <c r="V26" i="41"/>
  <c r="Q37" i="44" s="1"/>
  <c r="U11" i="41"/>
  <c r="P16" i="44" s="1"/>
  <c r="U46" i="41"/>
  <c r="P27" i="44" s="1"/>
  <c r="U7" i="41"/>
  <c r="P23" i="44" s="1"/>
  <c r="U43" i="41"/>
  <c r="P44" i="44" s="1"/>
  <c r="U29" i="41"/>
  <c r="P30" i="44" s="1"/>
  <c r="U26" i="41"/>
  <c r="P37" i="44" s="1"/>
  <c r="U22" i="41"/>
  <c r="P12" i="44" s="1"/>
  <c r="U39" i="41"/>
  <c r="P10" i="44" s="1"/>
  <c r="U23" i="41"/>
  <c r="P9" i="44" s="1"/>
  <c r="U31" i="41"/>
  <c r="P40" i="44" s="1"/>
  <c r="U28" i="41"/>
  <c r="P17" i="44" s="1"/>
  <c r="U21" i="41"/>
  <c r="P22" i="44" s="1"/>
  <c r="U24" i="41"/>
  <c r="P11" i="44" s="1"/>
  <c r="U38" i="41"/>
  <c r="P8" i="44" s="1"/>
  <c r="U10" i="41"/>
  <c r="P33" i="44" s="1"/>
  <c r="U9" i="41"/>
  <c r="P18" i="44" s="1"/>
  <c r="U47" i="41"/>
  <c r="P46" i="44" s="1"/>
  <c r="U44" i="41"/>
  <c r="P45" i="44" s="1"/>
  <c r="U13" i="41"/>
  <c r="P6" i="44" s="1"/>
  <c r="U37" i="41"/>
  <c r="P31" i="44" s="1"/>
  <c r="U45" i="41"/>
  <c r="P14" i="44" s="1"/>
  <c r="U35" i="41"/>
  <c r="P13" i="44" s="1"/>
  <c r="U41" i="41"/>
  <c r="P20" i="44" s="1"/>
  <c r="U32" i="41"/>
  <c r="P25" i="44" s="1"/>
  <c r="U15" i="41"/>
  <c r="P15" i="44" s="1"/>
  <c r="U20" i="41"/>
  <c r="P29" i="44" s="1"/>
  <c r="U30" i="41"/>
  <c r="P39" i="44" s="1"/>
  <c r="U40" i="41"/>
  <c r="P43" i="44" s="1"/>
  <c r="U48" i="41"/>
  <c r="P47" i="44" s="1"/>
  <c r="U36" i="41"/>
  <c r="P26" i="44" s="1"/>
  <c r="U8" i="41"/>
  <c r="P21" i="44" s="1"/>
  <c r="U18" i="41"/>
  <c r="P28" i="44" s="1"/>
  <c r="U34" i="41"/>
  <c r="P42" i="44" s="1"/>
  <c r="U17" i="41"/>
  <c r="P24" i="44" s="1"/>
  <c r="U33" i="41"/>
  <c r="P41" i="44" s="1"/>
  <c r="U12" i="41"/>
  <c r="P7" i="44" s="1"/>
  <c r="U27" i="41"/>
  <c r="P38" i="44" s="1"/>
  <c r="U25" i="41"/>
  <c r="P36" i="44" s="1"/>
  <c r="U14" i="41"/>
  <c r="P34" i="44" s="1"/>
  <c r="U19" i="41"/>
  <c r="P19" i="44" s="1"/>
  <c r="U42" i="41"/>
  <c r="P32" i="44" s="1"/>
  <c r="U16" i="41"/>
  <c r="P35" i="44" s="1"/>
  <c r="AQ13" i="19"/>
  <c r="BB54" i="19"/>
  <c r="BR53" i="19"/>
  <c r="BD39" i="19"/>
  <c r="BE39" i="19" s="1"/>
  <c r="BF39" i="19" s="1"/>
  <c r="BH39" i="19" s="1"/>
  <c r="I6" i="38"/>
  <c r="I8" i="38"/>
  <c r="I35" i="38"/>
  <c r="I12" i="38"/>
  <c r="I21" i="38"/>
  <c r="I30" i="38"/>
  <c r="I33" i="38"/>
  <c r="I15" i="38"/>
  <c r="I17" i="38"/>
  <c r="I43" i="38"/>
  <c r="I13" i="38"/>
  <c r="I41" i="38"/>
  <c r="I36" i="38"/>
  <c r="I34" i="38"/>
  <c r="I5" i="38"/>
  <c r="I26" i="38"/>
  <c r="I16" i="38"/>
  <c r="I11" i="38"/>
  <c r="I45" i="38"/>
  <c r="I24" i="38"/>
  <c r="I25" i="38"/>
  <c r="I10" i="38"/>
  <c r="I23" i="38"/>
  <c r="I38" i="38"/>
  <c r="J2" i="38"/>
  <c r="I42" i="38"/>
  <c r="I19" i="38"/>
  <c r="I46" i="38"/>
  <c r="I27" i="38"/>
  <c r="I31" i="38"/>
  <c r="I32" i="38"/>
  <c r="I40" i="38"/>
  <c r="I39" i="38"/>
  <c r="I44" i="38"/>
  <c r="H2" i="38"/>
  <c r="I20" i="38"/>
  <c r="I14" i="38"/>
  <c r="I37" i="38"/>
  <c r="I18" i="38"/>
  <c r="I22" i="38"/>
  <c r="I9" i="38"/>
  <c r="I29" i="38"/>
  <c r="I28" i="38"/>
  <c r="I57" i="38"/>
  <c r="I7" i="38"/>
  <c r="BP12" i="19"/>
  <c r="BR12" i="19" s="1"/>
  <c r="AL53" i="19"/>
  <c r="I37" i="36"/>
  <c r="I18" i="36"/>
  <c r="I10" i="36"/>
  <c r="I12" i="36"/>
  <c r="I46" i="36"/>
  <c r="I13" i="36"/>
  <c r="I36" i="36"/>
  <c r="I14" i="36"/>
  <c r="I22" i="36"/>
  <c r="I29" i="36"/>
  <c r="I20" i="36"/>
  <c r="J2" i="36"/>
  <c r="I26" i="36"/>
  <c r="I25" i="36"/>
  <c r="I24" i="36"/>
  <c r="I30" i="36"/>
  <c r="I38" i="36"/>
  <c r="I44" i="36"/>
  <c r="I19" i="36"/>
  <c r="I57" i="36"/>
  <c r="I23" i="36"/>
  <c r="I8" i="36"/>
  <c r="I40" i="36"/>
  <c r="I31" i="36"/>
  <c r="I17" i="36"/>
  <c r="I21" i="36"/>
  <c r="I45" i="36"/>
  <c r="I27" i="36"/>
  <c r="H2" i="36"/>
  <c r="I16" i="36"/>
  <c r="I5" i="36"/>
  <c r="I35" i="36"/>
  <c r="I43" i="36"/>
  <c r="I28" i="36"/>
  <c r="I11" i="36"/>
  <c r="I42" i="36"/>
  <c r="I39" i="36"/>
  <c r="I32" i="36"/>
  <c r="I6" i="36"/>
  <c r="I41" i="36"/>
  <c r="I15" i="36"/>
  <c r="I9" i="36"/>
  <c r="I7" i="36"/>
  <c r="I33" i="36"/>
  <c r="I34" i="36"/>
  <c r="BB53" i="19"/>
  <c r="J2" i="34"/>
  <c r="I32" i="34"/>
  <c r="I43" i="34"/>
  <c r="I8" i="34"/>
  <c r="I20" i="34"/>
  <c r="I6" i="34"/>
  <c r="I22" i="34"/>
  <c r="I40" i="34"/>
  <c r="H2" i="34"/>
  <c r="I15" i="34"/>
  <c r="I31" i="34"/>
  <c r="I19" i="34"/>
  <c r="I33" i="34"/>
  <c r="I26" i="34"/>
  <c r="I29" i="34"/>
  <c r="I30" i="34"/>
  <c r="I11" i="34"/>
  <c r="I14" i="34"/>
  <c r="I34" i="34"/>
  <c r="I46" i="34"/>
  <c r="I17" i="34"/>
  <c r="I39" i="34"/>
  <c r="I21" i="34"/>
  <c r="I35" i="34"/>
  <c r="I9" i="34"/>
  <c r="I28" i="34"/>
  <c r="I27" i="34"/>
  <c r="I24" i="34"/>
  <c r="I38" i="34"/>
  <c r="I37" i="34"/>
  <c r="I45" i="34"/>
  <c r="I42" i="34"/>
  <c r="I41" i="34"/>
  <c r="I44" i="34"/>
  <c r="I23" i="34"/>
  <c r="I36" i="34"/>
  <c r="I25" i="34"/>
  <c r="I18" i="34"/>
  <c r="I12" i="34"/>
  <c r="I10" i="34"/>
  <c r="I57" i="34"/>
  <c r="I16" i="34"/>
  <c r="I7" i="34"/>
  <c r="I5" i="34"/>
  <c r="I13" i="34"/>
  <c r="AN35" i="37"/>
  <c r="AN47" i="37"/>
  <c r="AN9" i="37"/>
  <c r="AN15" i="37"/>
  <c r="AN14" i="37"/>
  <c r="AN30" i="37"/>
  <c r="AN11" i="37"/>
  <c r="AN45" i="37"/>
  <c r="AN36" i="37"/>
  <c r="AN19" i="37"/>
  <c r="AN16" i="37"/>
  <c r="AN8" i="37"/>
  <c r="AN10" i="37"/>
  <c r="AN37" i="37"/>
  <c r="AN39" i="37"/>
  <c r="AN44" i="37"/>
  <c r="AN18" i="37"/>
  <c r="AN25" i="37"/>
  <c r="AN40" i="37"/>
  <c r="AN12" i="37"/>
  <c r="AN23" i="37"/>
  <c r="AN46" i="37"/>
  <c r="AN17" i="37"/>
  <c r="AN7" i="37"/>
  <c r="AN31" i="37"/>
  <c r="AN24" i="37"/>
  <c r="AN42" i="37"/>
  <c r="AN43" i="37"/>
  <c r="AN22" i="37"/>
  <c r="AN28" i="37"/>
  <c r="AN29" i="37"/>
  <c r="AN34" i="37"/>
  <c r="AN27" i="37"/>
  <c r="AN13" i="37"/>
  <c r="AN38" i="37"/>
  <c r="AN41" i="37"/>
  <c r="AN48" i="37"/>
  <c r="AN32" i="37"/>
  <c r="AN21" i="37"/>
  <c r="AN33" i="37"/>
  <c r="AN26" i="37"/>
  <c r="AT7" i="37"/>
  <c r="Q7" i="37" s="1"/>
  <c r="M59" i="37"/>
  <c r="T59" i="37"/>
  <c r="AT25" i="37"/>
  <c r="Q25" i="37" s="1"/>
  <c r="AT42" i="37"/>
  <c r="Q42" i="37" s="1"/>
  <c r="AR52" i="37"/>
  <c r="N59" i="37"/>
  <c r="AR59" i="37" s="1"/>
  <c r="U23" i="37"/>
  <c r="U20" i="37"/>
  <c r="U27" i="37"/>
  <c r="U21" i="37"/>
  <c r="U11" i="37"/>
  <c r="U43" i="37"/>
  <c r="U32" i="37"/>
  <c r="U47" i="37"/>
  <c r="U14" i="37"/>
  <c r="U48" i="37"/>
  <c r="U42" i="37"/>
  <c r="U38" i="37"/>
  <c r="U10" i="37"/>
  <c r="U30" i="37"/>
  <c r="U17" i="37"/>
  <c r="U37" i="37"/>
  <c r="U16" i="37"/>
  <c r="U25" i="37"/>
  <c r="U24" i="37"/>
  <c r="U40" i="37"/>
  <c r="U26" i="37"/>
  <c r="U13" i="37"/>
  <c r="U29" i="37"/>
  <c r="U45" i="37"/>
  <c r="U19" i="37"/>
  <c r="U9" i="37"/>
  <c r="U44" i="37"/>
  <c r="U34" i="37"/>
  <c r="U7" i="37"/>
  <c r="U8" i="37"/>
  <c r="U22" i="37"/>
  <c r="U28" i="37"/>
  <c r="U33" i="37"/>
  <c r="U46" i="37"/>
  <c r="U39" i="37"/>
  <c r="U12" i="37"/>
  <c r="U35" i="37"/>
  <c r="U36" i="37"/>
  <c r="V38" i="37"/>
  <c r="I8" i="44" s="1"/>
  <c r="V21" i="37"/>
  <c r="I22" i="44" s="1"/>
  <c r="V11" i="37"/>
  <c r="I16" i="44" s="1"/>
  <c r="V43" i="37"/>
  <c r="I44" i="44" s="1"/>
  <c r="V47" i="37"/>
  <c r="I46" i="44" s="1"/>
  <c r="V42" i="37"/>
  <c r="I32" i="44" s="1"/>
  <c r="V10" i="37"/>
  <c r="I33" i="44" s="1"/>
  <c r="V30" i="37"/>
  <c r="I39" i="44" s="1"/>
  <c r="V37" i="37"/>
  <c r="I31" i="44" s="1"/>
  <c r="V41" i="37"/>
  <c r="I20" i="44" s="1"/>
  <c r="V26" i="37"/>
  <c r="I37" i="44" s="1"/>
  <c r="V32" i="37"/>
  <c r="I25" i="44" s="1"/>
  <c r="V13" i="37"/>
  <c r="I6" i="44" s="1"/>
  <c r="V48" i="37"/>
  <c r="I47" i="44" s="1"/>
  <c r="V7" i="37"/>
  <c r="I23" i="44" s="1"/>
  <c r="V14" i="37"/>
  <c r="I34" i="44" s="1"/>
  <c r="V20" i="37"/>
  <c r="I29" i="44" s="1"/>
  <c r="V27" i="37"/>
  <c r="I38" i="44" s="1"/>
  <c r="V33" i="37"/>
  <c r="I41" i="44" s="1"/>
  <c r="V29" i="37"/>
  <c r="I30" i="44" s="1"/>
  <c r="V45" i="37"/>
  <c r="I14" i="44" s="1"/>
  <c r="V22" i="37"/>
  <c r="I12" i="44" s="1"/>
  <c r="V19" i="37"/>
  <c r="I19" i="44" s="1"/>
  <c r="V16" i="37"/>
  <c r="I35" i="44" s="1"/>
  <c r="V24" i="37"/>
  <c r="I11" i="44" s="1"/>
  <c r="V34" i="37"/>
  <c r="I42" i="44" s="1"/>
  <c r="V40" i="37"/>
  <c r="I43" i="44" s="1"/>
  <c r="V17" i="37"/>
  <c r="I24" i="44" s="1"/>
  <c r="V28" i="37"/>
  <c r="I17" i="44" s="1"/>
  <c r="V46" i="37"/>
  <c r="I27" i="44" s="1"/>
  <c r="V23" i="37"/>
  <c r="I9" i="44" s="1"/>
  <c r="V39" i="37"/>
  <c r="I10" i="44" s="1"/>
  <c r="V25" i="37"/>
  <c r="I36" i="44" s="1"/>
  <c r="V12" i="37"/>
  <c r="I7" i="44" s="1"/>
  <c r="V35" i="37"/>
  <c r="I13" i="44" s="1"/>
  <c r="V36" i="37"/>
  <c r="I26" i="44" s="1"/>
  <c r="V31" i="37"/>
  <c r="I40" i="44" s="1"/>
  <c r="V44" i="37"/>
  <c r="I45" i="44" s="1"/>
  <c r="V8" i="37"/>
  <c r="I21" i="44" s="1"/>
  <c r="V18" i="37"/>
  <c r="I28" i="44" s="1"/>
  <c r="V9" i="37"/>
  <c r="I18" i="44" s="1"/>
  <c r="V15" i="37"/>
  <c r="I15" i="44" s="1"/>
  <c r="AL54" i="19"/>
  <c r="BR54" i="19"/>
  <c r="BD13" i="19"/>
  <c r="BE13" i="19" s="1"/>
  <c r="BF13" i="19" s="1"/>
  <c r="BG13" i="19" s="1"/>
  <c r="BC5" i="19"/>
  <c r="BC52" i="19" s="1"/>
  <c r="BP23" i="19"/>
  <c r="BT23" i="19" s="1"/>
  <c r="BU23" i="19" s="1"/>
  <c r="BV23" i="19" s="1"/>
  <c r="AQ44" i="19"/>
  <c r="BC10" i="19"/>
  <c r="BC54" i="19" s="1"/>
  <c r="BR56" i="19"/>
  <c r="AL56" i="19"/>
  <c r="AQ25" i="19"/>
  <c r="BB10" i="19"/>
  <c r="AR16" i="19"/>
  <c r="AS16" i="19" s="1"/>
  <c r="BD18" i="19"/>
  <c r="BE18" i="19" s="1"/>
  <c r="BF18" i="19" s="1"/>
  <c r="BG18" i="19" s="1"/>
  <c r="BB56" i="19"/>
  <c r="BH45" i="19"/>
  <c r="T57" i="19"/>
  <c r="U57" i="19" s="1"/>
  <c r="V57" i="19" s="1"/>
  <c r="BB55" i="19"/>
  <c r="AQ8" i="19"/>
  <c r="BR55" i="19"/>
  <c r="AL55" i="19"/>
  <c r="U52" i="19"/>
  <c r="V52" i="19" s="1"/>
  <c r="BP18" i="19"/>
  <c r="BR18" i="19" s="1"/>
  <c r="AQ32" i="19"/>
  <c r="AO53" i="19"/>
  <c r="AN53" i="19" s="1"/>
  <c r="BR52" i="19"/>
  <c r="AO52" i="19"/>
  <c r="AN52" i="19" s="1"/>
  <c r="BB52" i="19"/>
  <c r="BQ5" i="19"/>
  <c r="BS5" i="19" s="1"/>
  <c r="BS52" i="19" s="1"/>
  <c r="BP5" i="19"/>
  <c r="BR5" i="19" s="1"/>
  <c r="K2" i="20"/>
  <c r="J46" i="20"/>
  <c r="J10" i="20"/>
  <c r="J45" i="20"/>
  <c r="J17" i="20"/>
  <c r="J8" i="20"/>
  <c r="J57" i="20"/>
  <c r="J19" i="20"/>
  <c r="J7" i="20"/>
  <c r="J25" i="20"/>
  <c r="J44" i="20"/>
  <c r="J42" i="20"/>
  <c r="J21" i="20"/>
  <c r="J35" i="20"/>
  <c r="J23" i="20"/>
  <c r="J6" i="20"/>
  <c r="J12" i="20"/>
  <c r="J22" i="20"/>
  <c r="J32" i="20"/>
  <c r="J30" i="20"/>
  <c r="J40" i="20"/>
  <c r="J26" i="20"/>
  <c r="J9" i="20"/>
  <c r="J41" i="20"/>
  <c r="J31" i="20"/>
  <c r="J34" i="20"/>
  <c r="J16" i="20"/>
  <c r="J27" i="20"/>
  <c r="J18" i="20"/>
  <c r="J43" i="20"/>
  <c r="J20" i="20"/>
  <c r="J36" i="20"/>
  <c r="J14" i="20"/>
  <c r="J38" i="20"/>
  <c r="J11" i="20"/>
  <c r="J39" i="20"/>
  <c r="J5" i="20"/>
  <c r="J15" i="20"/>
  <c r="J37" i="20"/>
  <c r="J29" i="20"/>
  <c r="J33" i="20"/>
  <c r="J13" i="20"/>
  <c r="J28" i="20"/>
  <c r="J24" i="20"/>
  <c r="BC57" i="19"/>
  <c r="BH24" i="19"/>
  <c r="BG24" i="19"/>
  <c r="BF9" i="19"/>
  <c r="BE53" i="19"/>
  <c r="BD53" i="19" s="1"/>
  <c r="AR17" i="19"/>
  <c r="AQ17" i="19"/>
  <c r="AP50" i="19"/>
  <c r="BR27" i="19"/>
  <c r="BT27" i="19"/>
  <c r="BU27" i="19" s="1"/>
  <c r="BV27" i="19" s="1"/>
  <c r="BR24" i="19"/>
  <c r="BT24" i="19"/>
  <c r="BU24" i="19" s="1"/>
  <c r="BV24" i="19" s="1"/>
  <c r="BQ50" i="19"/>
  <c r="BF5" i="19"/>
  <c r="BE52" i="19"/>
  <c r="BD52" i="19" s="1"/>
  <c r="BT43" i="19"/>
  <c r="BU43" i="19" s="1"/>
  <c r="BV43" i="19" s="1"/>
  <c r="BR43" i="19"/>
  <c r="BH43" i="19"/>
  <c r="BG43" i="19"/>
  <c r="BR16" i="19"/>
  <c r="BT16" i="19"/>
  <c r="BU16" i="19" s="1"/>
  <c r="BV16" i="19" s="1"/>
  <c r="BH44" i="19"/>
  <c r="BG44" i="19"/>
  <c r="BT19" i="19"/>
  <c r="BU19" i="19" s="1"/>
  <c r="BV19" i="19" s="1"/>
  <c r="BR19" i="19"/>
  <c r="AR6" i="19"/>
  <c r="AR55" i="19" s="1"/>
  <c r="AQ6" i="19"/>
  <c r="AP55" i="19"/>
  <c r="AQ55" i="19" s="1"/>
  <c r="BT28" i="19"/>
  <c r="BU28" i="19" s="1"/>
  <c r="BV28" i="19" s="1"/>
  <c r="BR28" i="19"/>
  <c r="AB10" i="19"/>
  <c r="AA54" i="19"/>
  <c r="Z54" i="19" s="1"/>
  <c r="AN50" i="19"/>
  <c r="AO57" i="19"/>
  <c r="AN57" i="19" s="1"/>
  <c r="BG12" i="19"/>
  <c r="BH12" i="19"/>
  <c r="BH35" i="19"/>
  <c r="BG35" i="19"/>
  <c r="BT44" i="19"/>
  <c r="BU44" i="19" s="1"/>
  <c r="BV44" i="19" s="1"/>
  <c r="BR44" i="19"/>
  <c r="BT29" i="19"/>
  <c r="BU29" i="19" s="1"/>
  <c r="BV29" i="19" s="1"/>
  <c r="BR29" i="19"/>
  <c r="BR34" i="19"/>
  <c r="BT34" i="19"/>
  <c r="BU34" i="19" s="1"/>
  <c r="BV34" i="19" s="1"/>
  <c r="BT17" i="19"/>
  <c r="BU17" i="19" s="1"/>
  <c r="BR17" i="19"/>
  <c r="BH29" i="19"/>
  <c r="BG29" i="19"/>
  <c r="BT14" i="19"/>
  <c r="BU14" i="19" s="1"/>
  <c r="BV14" i="19" s="1"/>
  <c r="BR14" i="19"/>
  <c r="AR26" i="19"/>
  <c r="AR51" i="19" s="1"/>
  <c r="AQ26" i="19"/>
  <c r="AP51" i="19"/>
  <c r="AQ51" i="19" s="1"/>
  <c r="BF17" i="19"/>
  <c r="BE50" i="19"/>
  <c r="BH23" i="19"/>
  <c r="BG23" i="19"/>
  <c r="BH37" i="19"/>
  <c r="BG37" i="19"/>
  <c r="BR11" i="19"/>
  <c r="BT11" i="19"/>
  <c r="BU11" i="19" s="1"/>
  <c r="BV11" i="19" s="1"/>
  <c r="BH21" i="19"/>
  <c r="BG21" i="19"/>
  <c r="BR31" i="19"/>
  <c r="BT31" i="19"/>
  <c r="BU31" i="19" s="1"/>
  <c r="BV31" i="19" s="1"/>
  <c r="BH8" i="19"/>
  <c r="BG8" i="19"/>
  <c r="BH25" i="19"/>
  <c r="BG25" i="19"/>
  <c r="BH19" i="19"/>
  <c r="BG19" i="19"/>
  <c r="BT30" i="19"/>
  <c r="BU30" i="19" s="1"/>
  <c r="BV30" i="19" s="1"/>
  <c r="BR30" i="19"/>
  <c r="BT42" i="19"/>
  <c r="BU42" i="19" s="1"/>
  <c r="BV42" i="19" s="1"/>
  <c r="BR42" i="19"/>
  <c r="AB9" i="19"/>
  <c r="AA53" i="19"/>
  <c r="Z53" i="19" s="1"/>
  <c r="AA55" i="19"/>
  <c r="Z55" i="19" s="1"/>
  <c r="AB6" i="19"/>
  <c r="AR9" i="19"/>
  <c r="AR53" i="19" s="1"/>
  <c r="AQ9" i="19"/>
  <c r="AP53" i="19"/>
  <c r="AQ53" i="19" s="1"/>
  <c r="BR6" i="19"/>
  <c r="BT6" i="19"/>
  <c r="BU6" i="19" s="1"/>
  <c r="BH11" i="19"/>
  <c r="BG11" i="19"/>
  <c r="AR10" i="19"/>
  <c r="AR54" i="19" s="1"/>
  <c r="AQ10" i="19"/>
  <c r="AP54" i="19"/>
  <c r="AQ54" i="19" s="1"/>
  <c r="BR35" i="19"/>
  <c r="BT35" i="19"/>
  <c r="BU35" i="19" s="1"/>
  <c r="BV35" i="19" s="1"/>
  <c r="AB17" i="19"/>
  <c r="AA50" i="19"/>
  <c r="AA57" i="19" s="1"/>
  <c r="BH20" i="19"/>
  <c r="BG20" i="19"/>
  <c r="BF10" i="19"/>
  <c r="BE54" i="19"/>
  <c r="BD54" i="19" s="1"/>
  <c r="BH30" i="19"/>
  <c r="BG30" i="19"/>
  <c r="BH32" i="19"/>
  <c r="BG32" i="19"/>
  <c r="BH22" i="19"/>
  <c r="BG22" i="19"/>
  <c r="BT33" i="19"/>
  <c r="BU33" i="19" s="1"/>
  <c r="BV33" i="19" s="1"/>
  <c r="BR33" i="19"/>
  <c r="BS26" i="19"/>
  <c r="BS51" i="19" s="1"/>
  <c r="BQ51" i="19"/>
  <c r="BT10" i="19"/>
  <c r="BU10" i="19" s="1"/>
  <c r="BR10" i="19"/>
  <c r="BT8" i="19"/>
  <c r="BU8" i="19" s="1"/>
  <c r="BV8" i="19" s="1"/>
  <c r="BR8" i="19"/>
  <c r="BO57" i="19"/>
  <c r="BP57" i="19" s="1"/>
  <c r="BP50" i="19"/>
  <c r="BR50" i="19" s="1"/>
  <c r="BR21" i="19"/>
  <c r="BT21" i="19"/>
  <c r="BU21" i="19" s="1"/>
  <c r="BV21" i="19" s="1"/>
  <c r="BF6" i="19"/>
  <c r="BE55" i="19"/>
  <c r="BD55" i="19" s="1"/>
  <c r="BT20" i="19"/>
  <c r="BU20" i="19" s="1"/>
  <c r="BV20" i="19" s="1"/>
  <c r="BR20" i="19"/>
  <c r="BT7" i="19"/>
  <c r="BU7" i="19" s="1"/>
  <c r="BR7" i="19"/>
  <c r="BT15" i="19"/>
  <c r="BU15" i="19" s="1"/>
  <c r="BV15" i="19" s="1"/>
  <c r="BR15" i="19"/>
  <c r="BT37" i="19"/>
  <c r="BU37" i="19" s="1"/>
  <c r="BV37" i="19" s="1"/>
  <c r="AB26" i="19"/>
  <c r="AA51" i="19"/>
  <c r="Z51" i="19" s="1"/>
  <c r="Y57" i="19"/>
  <c r="BT13" i="19"/>
  <c r="BU13" i="19" s="1"/>
  <c r="BV13" i="19" s="1"/>
  <c r="BR13" i="19"/>
  <c r="BT39" i="19"/>
  <c r="BU39" i="19" s="1"/>
  <c r="BV39" i="19" s="1"/>
  <c r="BR39" i="19"/>
  <c r="BS7" i="19"/>
  <c r="BS56" i="19" s="1"/>
  <c r="BQ56" i="19"/>
  <c r="BH27" i="19"/>
  <c r="BG27" i="19"/>
  <c r="BR40" i="19"/>
  <c r="BT40" i="19"/>
  <c r="BU40" i="19" s="1"/>
  <c r="BV40" i="19" s="1"/>
  <c r="BS6" i="19"/>
  <c r="BS55" i="19" s="1"/>
  <c r="BQ55" i="19"/>
  <c r="BS9" i="19"/>
  <c r="BS53" i="19" s="1"/>
  <c r="BQ53" i="19"/>
  <c r="BR38" i="19"/>
  <c r="BT38" i="19"/>
  <c r="BU38" i="19" s="1"/>
  <c r="BV38" i="19" s="1"/>
  <c r="AR5" i="19"/>
  <c r="AR52" i="19" s="1"/>
  <c r="AQ5" i="19"/>
  <c r="AP52" i="19"/>
  <c r="AQ52" i="19" s="1"/>
  <c r="BT22" i="19"/>
  <c r="BU22" i="19" s="1"/>
  <c r="BV22" i="19" s="1"/>
  <c r="BR22" i="19"/>
  <c r="AR7" i="19"/>
  <c r="AR56" i="19" s="1"/>
  <c r="AQ7" i="19"/>
  <c r="AP56" i="19"/>
  <c r="AQ56" i="19" s="1"/>
  <c r="BT9" i="19"/>
  <c r="BU9" i="19" s="1"/>
  <c r="BR9" i="19"/>
  <c r="BT45" i="19"/>
  <c r="BU45" i="19" s="1"/>
  <c r="BV45" i="19" s="1"/>
  <c r="BR45" i="19"/>
  <c r="BT36" i="19"/>
  <c r="BU36" i="19" s="1"/>
  <c r="BV36" i="19" s="1"/>
  <c r="BR36" i="19"/>
  <c r="BH31" i="19"/>
  <c r="BG31" i="19"/>
  <c r="AB5" i="19"/>
  <c r="AA52" i="19"/>
  <c r="Z52" i="19" s="1"/>
  <c r="BH33" i="19"/>
  <c r="BG33" i="19"/>
  <c r="BF7" i="19"/>
  <c r="BE56" i="19"/>
  <c r="BD56" i="19" s="1"/>
  <c r="AB7" i="19"/>
  <c r="AA56" i="19"/>
  <c r="Z56" i="19" s="1"/>
  <c r="BT32" i="19"/>
  <c r="BU32" i="19" s="1"/>
  <c r="BV32" i="19" s="1"/>
  <c r="BR32" i="19"/>
  <c r="BH14" i="19"/>
  <c r="BG14" i="19"/>
  <c r="BR25" i="19"/>
  <c r="BT25" i="19"/>
  <c r="BU25" i="19" s="1"/>
  <c r="BV25" i="19" s="1"/>
  <c r="BH42" i="19"/>
  <c r="BG42" i="19"/>
  <c r="BR41" i="19"/>
  <c r="BT41" i="19"/>
  <c r="BU41" i="19" s="1"/>
  <c r="BV41" i="19" s="1"/>
  <c r="BR26" i="19"/>
  <c r="BT26" i="19"/>
  <c r="BU26" i="19" s="1"/>
  <c r="BE51" i="19"/>
  <c r="BD51" i="19" s="1"/>
  <c r="BF26" i="19"/>
  <c r="BG38" i="19"/>
  <c r="BH38" i="19"/>
  <c r="BS10" i="19"/>
  <c r="BS54" i="19" s="1"/>
  <c r="BQ54" i="19"/>
  <c r="BH36" i="19"/>
  <c r="BG36" i="19"/>
  <c r="BT46" i="19"/>
  <c r="BU46" i="19" s="1"/>
  <c r="BV46" i="19" s="1"/>
  <c r="BR46" i="19"/>
  <c r="J42" i="42" l="1"/>
  <c r="J34" i="42"/>
  <c r="BR23" i="19"/>
  <c r="BG39" i="19"/>
  <c r="J57" i="42"/>
  <c r="J14" i="42"/>
  <c r="J22" i="42"/>
  <c r="W22" i="42" s="1"/>
  <c r="J24" i="42"/>
  <c r="K24" i="42" s="1"/>
  <c r="J7" i="42"/>
  <c r="K7" i="42" s="1"/>
  <c r="J33" i="42"/>
  <c r="J8" i="42"/>
  <c r="L8" i="42" s="1"/>
  <c r="J31" i="42"/>
  <c r="J29" i="42"/>
  <c r="R29" i="42" s="1"/>
  <c r="J26" i="42"/>
  <c r="K26" i="42" s="1"/>
  <c r="J23" i="42"/>
  <c r="R23" i="42" s="1"/>
  <c r="J37" i="42"/>
  <c r="R37" i="42" s="1"/>
  <c r="J1" i="34"/>
  <c r="J9" i="42"/>
  <c r="J44" i="42"/>
  <c r="K44" i="42" s="1"/>
  <c r="J39" i="42"/>
  <c r="J17" i="42"/>
  <c r="R17" i="42" s="1"/>
  <c r="J28" i="42"/>
  <c r="J18" i="42"/>
  <c r="R18" i="42" s="1"/>
  <c r="J15" i="42"/>
  <c r="K15" i="42" s="1"/>
  <c r="J30" i="42"/>
  <c r="K30" i="42" s="1"/>
  <c r="J35" i="42"/>
  <c r="R35" i="42" s="1"/>
  <c r="J36" i="42"/>
  <c r="K36" i="42" s="1"/>
  <c r="J13" i="42"/>
  <c r="AO13" i="42" s="1"/>
  <c r="J16" i="42"/>
  <c r="AO16" i="42" s="1"/>
  <c r="J19" i="42"/>
  <c r="L19" i="42" s="1"/>
  <c r="J43" i="42"/>
  <c r="AO43" i="42" s="1"/>
  <c r="J32" i="42"/>
  <c r="R32" i="42" s="1"/>
  <c r="J6" i="42"/>
  <c r="R6" i="42" s="1"/>
  <c r="J46" i="42"/>
  <c r="L46" i="42" s="1"/>
  <c r="J38" i="42"/>
  <c r="AO38" i="42" s="1"/>
  <c r="J45" i="42"/>
  <c r="R45" i="42" s="1"/>
  <c r="J41" i="42"/>
  <c r="K41" i="42" s="1"/>
  <c r="J40" i="42"/>
  <c r="W40" i="42" s="1"/>
  <c r="J10" i="42"/>
  <c r="AO10" i="42" s="1"/>
  <c r="J11" i="42"/>
  <c r="W11" i="42" s="1"/>
  <c r="J12" i="42"/>
  <c r="L12" i="42" s="1"/>
  <c r="J27" i="42"/>
  <c r="AO27" i="42" s="1"/>
  <c r="J21" i="42"/>
  <c r="L21" i="42" s="1"/>
  <c r="J25" i="42"/>
  <c r="K25" i="42" s="1"/>
  <c r="J20" i="42"/>
  <c r="AO20" i="42" s="1"/>
  <c r="BS44" i="45"/>
  <c r="AY44" i="45"/>
  <c r="AY29" i="45"/>
  <c r="BS29" i="45"/>
  <c r="AY17" i="45"/>
  <c r="BS17" i="45"/>
  <c r="BS25" i="45"/>
  <c r="AY25" i="45"/>
  <c r="BS8" i="45"/>
  <c r="AY8" i="45"/>
  <c r="AY35" i="45"/>
  <c r="BS35" i="45"/>
  <c r="BS41" i="45"/>
  <c r="AY41" i="45"/>
  <c r="AY42" i="45"/>
  <c r="BS42" i="45"/>
  <c r="AY23" i="45"/>
  <c r="BS23" i="45"/>
  <c r="BS11" i="45"/>
  <c r="AY11" i="45"/>
  <c r="BS46" i="45"/>
  <c r="AY46" i="45"/>
  <c r="BS10" i="45"/>
  <c r="AY10" i="45"/>
  <c r="BS18" i="45"/>
  <c r="AY18" i="45"/>
  <c r="AY34" i="45"/>
  <c r="BS34" i="45"/>
  <c r="BS30" i="45"/>
  <c r="AY30" i="45"/>
  <c r="BS24" i="45"/>
  <c r="AY24" i="45"/>
  <c r="BS40" i="45"/>
  <c r="AY40" i="45"/>
  <c r="BS20" i="45"/>
  <c r="AY20" i="45"/>
  <c r="BS28" i="45"/>
  <c r="AY28" i="45"/>
  <c r="P60" i="44"/>
  <c r="Q60" i="44"/>
  <c r="H12" i="44"/>
  <c r="H30" i="44"/>
  <c r="H24" i="44"/>
  <c r="H25" i="44"/>
  <c r="Y22" i="44"/>
  <c r="AV23" i="45"/>
  <c r="Y30" i="44"/>
  <c r="AV34" i="45"/>
  <c r="Y24" i="44"/>
  <c r="AV18" i="45"/>
  <c r="Y10" i="44"/>
  <c r="AV11" i="45"/>
  <c r="Y16" i="44"/>
  <c r="AV33" i="45"/>
  <c r="H26" i="44"/>
  <c r="H21" i="44"/>
  <c r="H6" i="44"/>
  <c r="H39" i="44"/>
  <c r="H44" i="44"/>
  <c r="Y25" i="44"/>
  <c r="AV26" i="45"/>
  <c r="Y17" i="44"/>
  <c r="AV20" i="45"/>
  <c r="Y27" i="44"/>
  <c r="AV25" i="45"/>
  <c r="Y31" i="44"/>
  <c r="AV29" i="45"/>
  <c r="Y39" i="44"/>
  <c r="AV41" i="45"/>
  <c r="H13" i="44"/>
  <c r="H23" i="44"/>
  <c r="H37" i="44"/>
  <c r="H33" i="44"/>
  <c r="H16" i="44"/>
  <c r="Y47" i="44"/>
  <c r="AV46" i="45"/>
  <c r="Y12" i="44"/>
  <c r="AV12" i="45"/>
  <c r="Y9" i="44"/>
  <c r="AV10" i="45"/>
  <c r="Y33" i="44"/>
  <c r="AV35" i="45"/>
  <c r="Y34" i="44"/>
  <c r="AV36" i="45"/>
  <c r="H7" i="44"/>
  <c r="H42" i="44"/>
  <c r="H43" i="44"/>
  <c r="H8" i="44"/>
  <c r="H22" i="44"/>
  <c r="Y20" i="44"/>
  <c r="AV31" i="45"/>
  <c r="Y44" i="44"/>
  <c r="AV43" i="45"/>
  <c r="Y7" i="44"/>
  <c r="AV7" i="45"/>
  <c r="Y21" i="44"/>
  <c r="AV24" i="45"/>
  <c r="Y15" i="44"/>
  <c r="AV16" i="45"/>
  <c r="H10" i="44"/>
  <c r="H45" i="44"/>
  <c r="H11" i="44"/>
  <c r="H32" i="44"/>
  <c r="H38" i="44"/>
  <c r="Y8" i="44"/>
  <c r="AV9" i="45"/>
  <c r="Y32" i="44"/>
  <c r="AV32" i="45"/>
  <c r="Y43" i="44"/>
  <c r="AV30" i="45"/>
  <c r="Y35" i="44"/>
  <c r="AV37" i="45"/>
  <c r="Y18" i="44"/>
  <c r="AV21" i="45"/>
  <c r="H27" i="44"/>
  <c r="H18" i="44"/>
  <c r="H36" i="44"/>
  <c r="H47" i="44"/>
  <c r="H29" i="44"/>
  <c r="Y6" i="44"/>
  <c r="AV8" i="45"/>
  <c r="Y11" i="44"/>
  <c r="AV13" i="45"/>
  <c r="Y36" i="44"/>
  <c r="AV38" i="45"/>
  <c r="Y19" i="44"/>
  <c r="AV19" i="45"/>
  <c r="Y46" i="44"/>
  <c r="AV45" i="45"/>
  <c r="H41" i="44"/>
  <c r="H19" i="44"/>
  <c r="H35" i="44"/>
  <c r="H34" i="44"/>
  <c r="H9" i="44"/>
  <c r="Y37" i="44"/>
  <c r="AV39" i="45"/>
  <c r="Y38" i="44"/>
  <c r="AV40" i="45"/>
  <c r="Y40" i="44"/>
  <c r="AV47" i="45"/>
  <c r="Y28" i="44"/>
  <c r="AV17" i="45"/>
  <c r="Y26" i="44"/>
  <c r="AV22" i="45"/>
  <c r="Y13" i="44"/>
  <c r="AV15" i="45"/>
  <c r="BB28" i="45"/>
  <c r="BC28" i="45" s="1"/>
  <c r="BJ28" i="45"/>
  <c r="BK28" i="45" s="1"/>
  <c r="BF28" i="45"/>
  <c r="BG28" i="45" s="1"/>
  <c r="H17" i="44"/>
  <c r="H14" i="44"/>
  <c r="H31" i="44"/>
  <c r="H46" i="44"/>
  <c r="Y41" i="44"/>
  <c r="AV42" i="45"/>
  <c r="Y42" i="44"/>
  <c r="AV48" i="45"/>
  <c r="Y23" i="44"/>
  <c r="AV27" i="45"/>
  <c r="Y45" i="44"/>
  <c r="AV44" i="45"/>
  <c r="Y14" i="44"/>
  <c r="AV14" i="45"/>
  <c r="I60" i="44"/>
  <c r="BT12" i="19"/>
  <c r="BU12" i="19" s="1"/>
  <c r="BV12" i="19" s="1"/>
  <c r="BX12" i="19" s="1"/>
  <c r="U56" i="41"/>
  <c r="L41" i="42"/>
  <c r="L40" i="42"/>
  <c r="K40" i="42"/>
  <c r="R40" i="42"/>
  <c r="AO40" i="42"/>
  <c r="U58" i="41"/>
  <c r="U53" i="41"/>
  <c r="V57" i="41"/>
  <c r="R25" i="42"/>
  <c r="AU25" i="42" s="1"/>
  <c r="CA25" i="42" s="1"/>
  <c r="W5" i="42"/>
  <c r="K5" i="42"/>
  <c r="R5" i="42"/>
  <c r="AU5" i="42" s="1"/>
  <c r="AO5" i="42"/>
  <c r="L5" i="42"/>
  <c r="V58" i="41"/>
  <c r="W44" i="42"/>
  <c r="W31" i="42"/>
  <c r="AO31" i="42"/>
  <c r="K31" i="42"/>
  <c r="R31" i="42"/>
  <c r="L31" i="42"/>
  <c r="U54" i="41"/>
  <c r="V54" i="41"/>
  <c r="W8" i="42"/>
  <c r="W17" i="42"/>
  <c r="K17" i="42"/>
  <c r="W34" i="42"/>
  <c r="R34" i="42"/>
  <c r="L34" i="42"/>
  <c r="K34" i="42"/>
  <c r="AO34" i="42"/>
  <c r="R39" i="42"/>
  <c r="W39" i="42"/>
  <c r="AO39" i="42"/>
  <c r="L39" i="42"/>
  <c r="K39" i="42"/>
  <c r="L26" i="42"/>
  <c r="AO26" i="42"/>
  <c r="W26" i="42"/>
  <c r="R26" i="42"/>
  <c r="AU26" i="42" s="1"/>
  <c r="CA26" i="42" s="1"/>
  <c r="L42" i="42"/>
  <c r="W42" i="42"/>
  <c r="AO42" i="42"/>
  <c r="K42" i="42"/>
  <c r="R42" i="42"/>
  <c r="AU42" i="42" s="1"/>
  <c r="CA42" i="42" s="1"/>
  <c r="U55" i="41"/>
  <c r="U57" i="41"/>
  <c r="AO9" i="42"/>
  <c r="R9" i="42"/>
  <c r="W9" i="42"/>
  <c r="L9" i="42"/>
  <c r="K9" i="42"/>
  <c r="V52" i="41"/>
  <c r="V61" i="41"/>
  <c r="V56" i="41"/>
  <c r="K35" i="42"/>
  <c r="W36" i="42"/>
  <c r="R19" i="42"/>
  <c r="W19" i="42"/>
  <c r="K19" i="42"/>
  <c r="AO19" i="42"/>
  <c r="K29" i="42"/>
  <c r="W33" i="42"/>
  <c r="K33" i="42"/>
  <c r="AO33" i="42"/>
  <c r="R33" i="42"/>
  <c r="L33" i="42"/>
  <c r="W28" i="42"/>
  <c r="AO28" i="42"/>
  <c r="K28" i="42"/>
  <c r="L28" i="42"/>
  <c r="R28" i="42"/>
  <c r="AO14" i="42"/>
  <c r="K14" i="42"/>
  <c r="W14" i="42"/>
  <c r="R14" i="42"/>
  <c r="AU14" i="42" s="1"/>
  <c r="CA14" i="42" s="1"/>
  <c r="L14" i="42"/>
  <c r="U52" i="41"/>
  <c r="U61" i="41"/>
  <c r="V55" i="41"/>
  <c r="V53" i="41"/>
  <c r="K46" i="42"/>
  <c r="BH13" i="19"/>
  <c r="I50" i="38" a="1"/>
  <c r="I50" i="38" s="1"/>
  <c r="I55" i="38" a="1"/>
  <c r="I55" i="38" s="1"/>
  <c r="I53" i="38" a="1"/>
  <c r="I53" i="38" s="1"/>
  <c r="I51" i="38" a="1"/>
  <c r="I51" i="38" s="1"/>
  <c r="I56" i="38" a="1"/>
  <c r="I56" i="38" s="1"/>
  <c r="I54" i="38" a="1"/>
  <c r="I54" i="38" s="1"/>
  <c r="I52" i="38" a="1"/>
  <c r="I52" i="38" s="1"/>
  <c r="J31" i="38"/>
  <c r="J8" i="38"/>
  <c r="J15" i="38"/>
  <c r="J35" i="38"/>
  <c r="J42" i="38"/>
  <c r="J6" i="38"/>
  <c r="J18" i="38"/>
  <c r="J38" i="38"/>
  <c r="J7" i="38"/>
  <c r="J46" i="38"/>
  <c r="J33" i="38"/>
  <c r="J9" i="38"/>
  <c r="J22" i="38"/>
  <c r="J10" i="38"/>
  <c r="J36" i="38"/>
  <c r="J20" i="38"/>
  <c r="J32" i="38"/>
  <c r="J27" i="38"/>
  <c r="J37" i="38"/>
  <c r="J28" i="38"/>
  <c r="J14" i="38"/>
  <c r="J44" i="38"/>
  <c r="J13" i="38"/>
  <c r="J29" i="38"/>
  <c r="J25" i="38"/>
  <c r="J12" i="38"/>
  <c r="J40" i="38"/>
  <c r="J43" i="38"/>
  <c r="J21" i="38"/>
  <c r="J16" i="38"/>
  <c r="J57" i="38"/>
  <c r="J39" i="38"/>
  <c r="J30" i="38"/>
  <c r="J34" i="38"/>
  <c r="J11" i="38"/>
  <c r="J17" i="38"/>
  <c r="J24" i="38"/>
  <c r="J41" i="38"/>
  <c r="J23" i="38"/>
  <c r="J26" i="38"/>
  <c r="J5" i="38"/>
  <c r="J45" i="38"/>
  <c r="J19" i="38"/>
  <c r="J39" i="36"/>
  <c r="J35" i="36"/>
  <c r="J27" i="36"/>
  <c r="J15" i="36"/>
  <c r="J7" i="36"/>
  <c r="J40" i="36"/>
  <c r="J34" i="36"/>
  <c r="J22" i="36"/>
  <c r="J14" i="36"/>
  <c r="J6" i="36"/>
  <c r="J38" i="36"/>
  <c r="J32" i="36"/>
  <c r="J21" i="36"/>
  <c r="J13" i="36"/>
  <c r="J5" i="36"/>
  <c r="J44" i="36"/>
  <c r="J33" i="36"/>
  <c r="J28" i="36"/>
  <c r="J25" i="36"/>
  <c r="J1" i="36"/>
  <c r="K1" i="36" s="1"/>
  <c r="J57" i="36"/>
  <c r="J43" i="36"/>
  <c r="J31" i="36"/>
  <c r="J19" i="36"/>
  <c r="J24" i="36"/>
  <c r="J17" i="36"/>
  <c r="J46" i="36"/>
  <c r="J41" i="36"/>
  <c r="J30" i="36"/>
  <c r="J18" i="36"/>
  <c r="J12" i="36"/>
  <c r="J10" i="36"/>
  <c r="J45" i="36"/>
  <c r="J37" i="36"/>
  <c r="J29" i="36"/>
  <c r="J20" i="36"/>
  <c r="J26" i="36"/>
  <c r="J9" i="36"/>
  <c r="J42" i="36"/>
  <c r="J36" i="36"/>
  <c r="J23" i="36"/>
  <c r="J16" i="36"/>
  <c r="J11" i="36"/>
  <c r="J8" i="36"/>
  <c r="J43" i="34"/>
  <c r="J45" i="34"/>
  <c r="J34" i="34"/>
  <c r="J11" i="34"/>
  <c r="J7" i="34"/>
  <c r="J12" i="34"/>
  <c r="J57" i="34"/>
  <c r="J14" i="34"/>
  <c r="J46" i="34"/>
  <c r="J42" i="34"/>
  <c r="J33" i="34"/>
  <c r="J24" i="34"/>
  <c r="J6" i="34"/>
  <c r="J36" i="34"/>
  <c r="J25" i="34"/>
  <c r="J17" i="34"/>
  <c r="J21" i="34"/>
  <c r="J9" i="34"/>
  <c r="J37" i="34"/>
  <c r="J18" i="34"/>
  <c r="J22" i="34"/>
  <c r="J41" i="34"/>
  <c r="J39" i="34"/>
  <c r="J28" i="34"/>
  <c r="J44" i="34"/>
  <c r="J13" i="34"/>
  <c r="J40" i="34"/>
  <c r="J10" i="34"/>
  <c r="J31" i="34"/>
  <c r="J26" i="34"/>
  <c r="J5" i="34"/>
  <c r="J38" i="34"/>
  <c r="J35" i="34"/>
  <c r="J32" i="34"/>
  <c r="J16" i="34"/>
  <c r="J23" i="34"/>
  <c r="J30" i="34"/>
  <c r="J27" i="34"/>
  <c r="J19" i="34"/>
  <c r="J15" i="34"/>
  <c r="J20" i="34"/>
  <c r="J29" i="34"/>
  <c r="J8" i="34"/>
  <c r="I54" i="34" a="1"/>
  <c r="I54" i="34" s="1"/>
  <c r="I50" i="34" a="1"/>
  <c r="I50" i="34" s="1"/>
  <c r="I55" i="34" a="1"/>
  <c r="I55" i="34" s="1"/>
  <c r="I53" i="34" a="1"/>
  <c r="I53" i="34" s="1"/>
  <c r="I51" i="34" a="1"/>
  <c r="I51" i="34" s="1"/>
  <c r="I52" i="34" a="1"/>
  <c r="I52" i="34" s="1"/>
  <c r="I56" i="34" a="1"/>
  <c r="I56" i="34" s="1"/>
  <c r="I55" i="36" a="1"/>
  <c r="I55" i="36" s="1"/>
  <c r="I53" i="36" a="1"/>
  <c r="I53" i="36" s="1"/>
  <c r="I51" i="36" a="1"/>
  <c r="I51" i="36" s="1"/>
  <c r="I56" i="36" a="1"/>
  <c r="I56" i="36" s="1"/>
  <c r="I54" i="36" a="1"/>
  <c r="I54" i="36" s="1"/>
  <c r="I52" i="36" a="1"/>
  <c r="I52" i="36" s="1"/>
  <c r="I50" i="36" a="1"/>
  <c r="I50" i="36" s="1"/>
  <c r="AN61" i="37"/>
  <c r="V53" i="37"/>
  <c r="V52" i="37"/>
  <c r="U57" i="37"/>
  <c r="V55" i="37"/>
  <c r="U54" i="37"/>
  <c r="V58" i="37"/>
  <c r="U52" i="37"/>
  <c r="U55" i="37"/>
  <c r="V54" i="37"/>
  <c r="V56" i="37"/>
  <c r="U53" i="37"/>
  <c r="U58" i="37"/>
  <c r="U56" i="37"/>
  <c r="V57" i="37"/>
  <c r="V61" i="37"/>
  <c r="V10" i="29" s="1"/>
  <c r="U61" i="37"/>
  <c r="AB47" i="37" s="1"/>
  <c r="BQ52" i="19"/>
  <c r="BT18" i="19"/>
  <c r="BU18" i="19" s="1"/>
  <c r="BV18" i="19" s="1"/>
  <c r="BX18" i="19" s="1"/>
  <c r="BH18" i="19"/>
  <c r="BB57" i="19"/>
  <c r="BR57" i="19"/>
  <c r="AL57" i="19"/>
  <c r="BT5" i="19"/>
  <c r="BU5" i="19" s="1"/>
  <c r="BV5" i="19" s="1"/>
  <c r="J53" i="20" a="1"/>
  <c r="J53" i="20" s="1"/>
  <c r="J54" i="20" a="1"/>
  <c r="J54" i="20" s="1"/>
  <c r="J50" i="20" a="1"/>
  <c r="J50" i="20" s="1"/>
  <c r="J55" i="20" a="1"/>
  <c r="J55" i="20" s="1"/>
  <c r="J51" i="20" a="1"/>
  <c r="J51" i="20" s="1"/>
  <c r="J52" i="20" a="1"/>
  <c r="J52" i="20" s="1"/>
  <c r="J56" i="20" a="1"/>
  <c r="J56" i="20" s="1"/>
  <c r="K44" i="20"/>
  <c r="K42" i="20"/>
  <c r="K28" i="20"/>
  <c r="K33" i="20"/>
  <c r="K20" i="20"/>
  <c r="K6" i="20"/>
  <c r="K40" i="20"/>
  <c r="K38" i="20"/>
  <c r="K21" i="20"/>
  <c r="K16" i="20"/>
  <c r="K19" i="20"/>
  <c r="K45" i="20"/>
  <c r="K36" i="20"/>
  <c r="K34" i="20"/>
  <c r="K17" i="20"/>
  <c r="K12" i="20"/>
  <c r="K15" i="20"/>
  <c r="K43" i="20"/>
  <c r="K30" i="20"/>
  <c r="K13" i="20"/>
  <c r="K8" i="20"/>
  <c r="K11" i="20"/>
  <c r="K32" i="20"/>
  <c r="K23" i="20"/>
  <c r="K10" i="20"/>
  <c r="K39" i="20"/>
  <c r="K26" i="20"/>
  <c r="K9" i="20"/>
  <c r="K7" i="20"/>
  <c r="K24" i="20"/>
  <c r="K29" i="20"/>
  <c r="K35" i="20"/>
  <c r="K22" i="20"/>
  <c r="K5" i="20"/>
  <c r="K27" i="20"/>
  <c r="K18" i="20"/>
  <c r="K57" i="20"/>
  <c r="K31" i="20"/>
  <c r="K41" i="20"/>
  <c r="K37" i="20"/>
  <c r="K25" i="20"/>
  <c r="K14" i="20"/>
  <c r="K46" i="20"/>
  <c r="Z57" i="19"/>
  <c r="Z50" i="19"/>
  <c r="BW34" i="19"/>
  <c r="BX34" i="19"/>
  <c r="AP57" i="19"/>
  <c r="AQ57" i="19" s="1"/>
  <c r="AQ50" i="19"/>
  <c r="BX36" i="19"/>
  <c r="BW36" i="19"/>
  <c r="BW30" i="19"/>
  <c r="BX30" i="19"/>
  <c r="BH5" i="19"/>
  <c r="BH52" i="19" s="1"/>
  <c r="BG5" i="19"/>
  <c r="BF52" i="19"/>
  <c r="BG52" i="19" s="1"/>
  <c r="BW25" i="19"/>
  <c r="BX25" i="19"/>
  <c r="BX41" i="19"/>
  <c r="BW41" i="19"/>
  <c r="AC26" i="19"/>
  <c r="AC51" i="19" s="1"/>
  <c r="AB51" i="19"/>
  <c r="BW33" i="19"/>
  <c r="BX33" i="19"/>
  <c r="BW31" i="19"/>
  <c r="BX31" i="19"/>
  <c r="AS17" i="19"/>
  <c r="AR50" i="19"/>
  <c r="AR57" i="19" s="1"/>
  <c r="BX45" i="19"/>
  <c r="BW45" i="19"/>
  <c r="BX29" i="19"/>
  <c r="BW29" i="19"/>
  <c r="BS57" i="19"/>
  <c r="BW39" i="19"/>
  <c r="BX39" i="19"/>
  <c r="BX37" i="19"/>
  <c r="BW37" i="19"/>
  <c r="BW20" i="19"/>
  <c r="BX20" i="19"/>
  <c r="BW8" i="19"/>
  <c r="BX8" i="19"/>
  <c r="BH10" i="19"/>
  <c r="BH54" i="19" s="1"/>
  <c r="BF54" i="19"/>
  <c r="BG54" i="19" s="1"/>
  <c r="BG10" i="19"/>
  <c r="BX35" i="19"/>
  <c r="BW35" i="19"/>
  <c r="BD50" i="19"/>
  <c r="BE57" i="19"/>
  <c r="BD57" i="19" s="1"/>
  <c r="BW19" i="19"/>
  <c r="BX19" i="19"/>
  <c r="BX23" i="19"/>
  <c r="BW23" i="19"/>
  <c r="BW24" i="19"/>
  <c r="BX24" i="19"/>
  <c r="BH9" i="19"/>
  <c r="BH53" i="19" s="1"/>
  <c r="BF53" i="19"/>
  <c r="BG53" i="19" s="1"/>
  <c r="BG9" i="19"/>
  <c r="BV26" i="19"/>
  <c r="BU51" i="19"/>
  <c r="BT51" i="19" s="1"/>
  <c r="BX22" i="19"/>
  <c r="BW22" i="19"/>
  <c r="BV7" i="19"/>
  <c r="BU56" i="19"/>
  <c r="BT56" i="19" s="1"/>
  <c r="AB55" i="19"/>
  <c r="AC6" i="19"/>
  <c r="AC55" i="19" s="1"/>
  <c r="BQ57" i="19"/>
  <c r="BW32" i="19"/>
  <c r="BX32" i="19"/>
  <c r="AB50" i="19"/>
  <c r="AC17" i="19"/>
  <c r="AC50" i="19" s="1"/>
  <c r="BW14" i="19"/>
  <c r="BX14" i="19"/>
  <c r="BH26" i="19"/>
  <c r="BH51" i="19" s="1"/>
  <c r="BG26" i="19"/>
  <c r="BF51" i="19"/>
  <c r="BG51" i="19" s="1"/>
  <c r="BW46" i="19"/>
  <c r="BX46" i="19"/>
  <c r="AC7" i="19"/>
  <c r="AC56" i="19" s="1"/>
  <c r="AB56" i="19"/>
  <c r="AC5" i="19"/>
  <c r="AC52" i="19" s="1"/>
  <c r="AB52" i="19"/>
  <c r="BV9" i="19"/>
  <c r="BU53" i="19"/>
  <c r="BT53" i="19" s="1"/>
  <c r="BX40" i="19"/>
  <c r="BW40" i="19"/>
  <c r="BV6" i="19"/>
  <c r="BU55" i="19"/>
  <c r="BT55" i="19" s="1"/>
  <c r="AC9" i="19"/>
  <c r="AC53" i="19" s="1"/>
  <c r="AB53" i="19"/>
  <c r="BF50" i="19"/>
  <c r="BH17" i="19"/>
  <c r="BH50" i="19" s="1"/>
  <c r="BG17" i="19"/>
  <c r="BW44" i="19"/>
  <c r="BX44" i="19"/>
  <c r="AC10" i="19"/>
  <c r="AC54" i="19" s="1"/>
  <c r="AB54" i="19"/>
  <c r="BX13" i="19"/>
  <c r="BW13" i="19"/>
  <c r="BW15" i="19"/>
  <c r="BX15" i="19"/>
  <c r="BH6" i="19"/>
  <c r="BH55" i="19" s="1"/>
  <c r="BF55" i="19"/>
  <c r="BG55" i="19" s="1"/>
  <c r="BG6" i="19"/>
  <c r="BV10" i="19"/>
  <c r="BU54" i="19"/>
  <c r="BT54" i="19" s="1"/>
  <c r="BW11" i="19"/>
  <c r="BX11" i="19"/>
  <c r="BX27" i="19"/>
  <c r="BW27" i="19"/>
  <c r="BG7" i="19"/>
  <c r="BH7" i="19"/>
  <c r="BH56" i="19" s="1"/>
  <c r="BF56" i="19"/>
  <c r="BG56" i="19" s="1"/>
  <c r="BW38" i="19"/>
  <c r="BX38" i="19"/>
  <c r="BW21" i="19"/>
  <c r="BX21" i="19"/>
  <c r="BW42" i="19"/>
  <c r="BX42" i="19"/>
  <c r="BV17" i="19"/>
  <c r="BU50" i="19"/>
  <c r="BX28" i="19"/>
  <c r="BW28" i="19"/>
  <c r="BX16" i="19"/>
  <c r="BW16" i="19"/>
  <c r="BW43" i="19"/>
  <c r="BX43" i="19"/>
  <c r="AO37" i="42" l="1"/>
  <c r="AP37" i="42" s="1"/>
  <c r="K32" i="42"/>
  <c r="R22" i="42"/>
  <c r="AU22" i="42" s="1"/>
  <c r="CA22" i="42" s="1"/>
  <c r="W7" i="42"/>
  <c r="L18" i="42"/>
  <c r="L22" i="42"/>
  <c r="P22" i="42" s="1"/>
  <c r="AO23" i="42"/>
  <c r="AO22" i="42"/>
  <c r="AP22" i="42" s="1"/>
  <c r="R43" i="42"/>
  <c r="AU43" i="42" s="1"/>
  <c r="CA43" i="42" s="1"/>
  <c r="CB43" i="42" s="1"/>
  <c r="K22" i="42"/>
  <c r="R10" i="42"/>
  <c r="W43" i="42"/>
  <c r="K18" i="42"/>
  <c r="K23" i="42"/>
  <c r="K10" i="42"/>
  <c r="L43" i="42"/>
  <c r="N43" i="42" s="1"/>
  <c r="AO18" i="42"/>
  <c r="AP18" i="42" s="1"/>
  <c r="W23" i="42"/>
  <c r="X23" i="42" s="1"/>
  <c r="W10" i="42"/>
  <c r="K43" i="42"/>
  <c r="W18" i="42"/>
  <c r="L23" i="42"/>
  <c r="P23" i="42" s="1"/>
  <c r="L10" i="42"/>
  <c r="L7" i="42"/>
  <c r="N7" i="42" s="1"/>
  <c r="R7" i="42"/>
  <c r="AU7" i="42" s="1"/>
  <c r="CA7" i="42" s="1"/>
  <c r="AO7" i="42"/>
  <c r="W37" i="42"/>
  <c r="R24" i="42"/>
  <c r="L37" i="42"/>
  <c r="P37" i="42" s="1"/>
  <c r="L24" i="42"/>
  <c r="N24" i="42" s="1"/>
  <c r="W24" i="42"/>
  <c r="K37" i="42"/>
  <c r="AO24" i="42"/>
  <c r="L17" i="42"/>
  <c r="N17" i="42" s="1"/>
  <c r="AO44" i="42"/>
  <c r="AO41" i="42"/>
  <c r="K16" i="42"/>
  <c r="AO17" i="42"/>
  <c r="AP17" i="42" s="1"/>
  <c r="W20" i="42"/>
  <c r="R20" i="42"/>
  <c r="AU20" i="42" s="1"/>
  <c r="CA20" i="42" s="1"/>
  <c r="CB20" i="42" s="1"/>
  <c r="W29" i="42"/>
  <c r="W54" i="42" s="1"/>
  <c r="W16" i="42"/>
  <c r="K8" i="42"/>
  <c r="K20" i="42"/>
  <c r="L29" i="42"/>
  <c r="L54" i="42" s="1"/>
  <c r="L16" i="42"/>
  <c r="P16" i="42" s="1"/>
  <c r="R8" i="42"/>
  <c r="AU8" i="42" s="1"/>
  <c r="CA8" i="42" s="1"/>
  <c r="R44" i="42"/>
  <c r="AB44" i="42" s="1"/>
  <c r="L20" i="42"/>
  <c r="N20" i="42" s="1"/>
  <c r="R41" i="42"/>
  <c r="AD41" i="42" s="1"/>
  <c r="AM41" i="42" s="1"/>
  <c r="AO29" i="42"/>
  <c r="R16" i="42"/>
  <c r="U16" i="42" s="1"/>
  <c r="AO8" i="42"/>
  <c r="L44" i="42"/>
  <c r="P44" i="42" s="1"/>
  <c r="W41" i="42"/>
  <c r="L32" i="42"/>
  <c r="P32" i="42" s="1"/>
  <c r="L11" i="42"/>
  <c r="P11" i="42" s="1"/>
  <c r="AO11" i="42"/>
  <c r="L15" i="42"/>
  <c r="R11" i="42"/>
  <c r="X11" i="42" s="1"/>
  <c r="W15" i="42"/>
  <c r="K11" i="42"/>
  <c r="AO32" i="42"/>
  <c r="R15" i="42"/>
  <c r="U15" i="42" s="1"/>
  <c r="W32" i="42"/>
  <c r="X32" i="42" s="1"/>
  <c r="AO15" i="42"/>
  <c r="AO30" i="42"/>
  <c r="R12" i="42"/>
  <c r="AU12" i="42" s="1"/>
  <c r="CA12" i="42" s="1"/>
  <c r="L30" i="42"/>
  <c r="P30" i="42" s="1"/>
  <c r="R30" i="42"/>
  <c r="U30" i="42" s="1"/>
  <c r="W30" i="42"/>
  <c r="L36" i="42"/>
  <c r="N36" i="42" s="1"/>
  <c r="K38" i="42"/>
  <c r="W38" i="42"/>
  <c r="W21" i="42"/>
  <c r="L38" i="42"/>
  <c r="P38" i="42" s="1"/>
  <c r="AO21" i="42"/>
  <c r="R38" i="42"/>
  <c r="AB38" i="42" s="1"/>
  <c r="AO36" i="42"/>
  <c r="R21" i="42"/>
  <c r="AU21" i="42" s="1"/>
  <c r="CA21" i="42" s="1"/>
  <c r="CB21" i="42" s="1"/>
  <c r="R36" i="42"/>
  <c r="AU36" i="42" s="1"/>
  <c r="CA36" i="42" s="1"/>
  <c r="CB36" i="42" s="1"/>
  <c r="K21" i="42"/>
  <c r="R46" i="42"/>
  <c r="AU46" i="42" s="1"/>
  <c r="CA46" i="42" s="1"/>
  <c r="W35" i="42"/>
  <c r="X35" i="42" s="1"/>
  <c r="W27" i="42"/>
  <c r="W46" i="42"/>
  <c r="X46" i="42" s="1"/>
  <c r="L35" i="42"/>
  <c r="N35" i="42" s="1"/>
  <c r="AO46" i="42"/>
  <c r="BW12" i="19"/>
  <c r="AO35" i="42"/>
  <c r="AP35" i="42" s="1"/>
  <c r="L25" i="42"/>
  <c r="W25" i="42"/>
  <c r="X25" i="42" s="1"/>
  <c r="L13" i="42"/>
  <c r="P13" i="42" s="1"/>
  <c r="AO25" i="42"/>
  <c r="AP25" i="42" s="1"/>
  <c r="L45" i="42"/>
  <c r="P45" i="42" s="1"/>
  <c r="K13" i="42"/>
  <c r="R13" i="42"/>
  <c r="AU13" i="42" s="1"/>
  <c r="CA13" i="42" s="1"/>
  <c r="J52" i="42" a="1"/>
  <c r="J52" i="42" s="1"/>
  <c r="R27" i="42"/>
  <c r="W13" i="42"/>
  <c r="K27" i="42"/>
  <c r="K45" i="42"/>
  <c r="L27" i="42"/>
  <c r="P27" i="42" s="1"/>
  <c r="AO45" i="42"/>
  <c r="AP45" i="42" s="1"/>
  <c r="J55" i="42" a="1"/>
  <c r="J55" i="42" s="1"/>
  <c r="W45" i="42"/>
  <c r="X45" i="42" s="1"/>
  <c r="W6" i="42"/>
  <c r="W12" i="42"/>
  <c r="W52" i="42" s="1"/>
  <c r="K6" i="42"/>
  <c r="J54" i="42" a="1"/>
  <c r="J54" i="42" s="1"/>
  <c r="K12" i="42"/>
  <c r="K52" i="42" s="1"/>
  <c r="L6" i="42"/>
  <c r="N6" i="42" s="1"/>
  <c r="J56" i="42" a="1"/>
  <c r="J56" i="42" s="1"/>
  <c r="AO12" i="42"/>
  <c r="AO52" i="42" s="1"/>
  <c r="AO6" i="42"/>
  <c r="J50" i="42" a="1"/>
  <c r="J50" i="42" s="1"/>
  <c r="J51" i="42" a="1"/>
  <c r="J51" i="42" s="1"/>
  <c r="J53" i="42" a="1"/>
  <c r="J53" i="42" s="1"/>
  <c r="K51" i="42"/>
  <c r="AV50" i="45"/>
  <c r="Y60" i="44"/>
  <c r="H60" i="44"/>
  <c r="AB31" i="37"/>
  <c r="AB15" i="37"/>
  <c r="AB18" i="37"/>
  <c r="AB41" i="37"/>
  <c r="BJ17" i="45"/>
  <c r="BK17" i="45" s="1"/>
  <c r="BF17" i="45"/>
  <c r="BG17" i="45" s="1"/>
  <c r="BB17" i="45"/>
  <c r="BC17" i="45" s="1"/>
  <c r="AB23" i="37"/>
  <c r="AB33" i="37"/>
  <c r="BJ13" i="45"/>
  <c r="BK13" i="45" s="1"/>
  <c r="BF13" i="45"/>
  <c r="BG13" i="45" s="1"/>
  <c r="BB13" i="45"/>
  <c r="BC13" i="45" s="1"/>
  <c r="AB25" i="37"/>
  <c r="BJ37" i="45"/>
  <c r="BK37" i="45" s="1"/>
  <c r="BF37" i="45"/>
  <c r="BG37" i="45" s="1"/>
  <c r="BB37" i="45"/>
  <c r="BC37" i="45" s="1"/>
  <c r="AB27" i="37"/>
  <c r="AB39" i="37"/>
  <c r="BJ43" i="45"/>
  <c r="BK43" i="45" s="1"/>
  <c r="BF43" i="45"/>
  <c r="BG43" i="45" s="1"/>
  <c r="BB43" i="45"/>
  <c r="BC43" i="45" s="1"/>
  <c r="AB40" i="37"/>
  <c r="BJ35" i="45"/>
  <c r="BK35" i="45" s="1"/>
  <c r="BF35" i="45"/>
  <c r="BG35" i="45" s="1"/>
  <c r="BB35" i="45"/>
  <c r="BC35" i="45" s="1"/>
  <c r="AB11" i="37"/>
  <c r="AB35" i="37"/>
  <c r="BB20" i="45"/>
  <c r="BC20" i="45" s="1"/>
  <c r="BJ20" i="45"/>
  <c r="BK20" i="45" s="1"/>
  <c r="BF20" i="45"/>
  <c r="BG20" i="45" s="1"/>
  <c r="AB13" i="37"/>
  <c r="BF11" i="45"/>
  <c r="BG11" i="45" s="1"/>
  <c r="BB11" i="45"/>
  <c r="BC11" i="45" s="1"/>
  <c r="BJ11" i="45"/>
  <c r="BK11" i="45" s="1"/>
  <c r="AB32" i="37"/>
  <c r="BB44" i="45"/>
  <c r="BC44" i="45" s="1"/>
  <c r="BJ44" i="45"/>
  <c r="BK44" i="45" s="1"/>
  <c r="BF44" i="45"/>
  <c r="BG44" i="45" s="1"/>
  <c r="BF47" i="45"/>
  <c r="BG47" i="45" s="1"/>
  <c r="BB47" i="45"/>
  <c r="BC47" i="45" s="1"/>
  <c r="BJ47" i="45"/>
  <c r="BK47" i="45" s="1"/>
  <c r="AB14" i="37"/>
  <c r="BF45" i="45"/>
  <c r="BG45" i="45" s="1"/>
  <c r="BB45" i="45"/>
  <c r="BC45" i="45" s="1"/>
  <c r="BJ45" i="45"/>
  <c r="BK45" i="45" s="1"/>
  <c r="BB8" i="45"/>
  <c r="BC8" i="45" s="1"/>
  <c r="BJ8" i="45"/>
  <c r="BK8" i="45" s="1"/>
  <c r="BF8" i="45"/>
  <c r="BG8" i="45" s="1"/>
  <c r="AB9" i="37"/>
  <c r="BJ30" i="45"/>
  <c r="BK30" i="45" s="1"/>
  <c r="BF30" i="45"/>
  <c r="BG30" i="45" s="1"/>
  <c r="BB30" i="45"/>
  <c r="BC30" i="45" s="1"/>
  <c r="AB42" i="37"/>
  <c r="BF16" i="45"/>
  <c r="BG16" i="45" s="1"/>
  <c r="BB16" i="45"/>
  <c r="BC16" i="45" s="1"/>
  <c r="BJ16" i="45"/>
  <c r="BK16" i="45" s="1"/>
  <c r="BJ31" i="45"/>
  <c r="BK31" i="45" s="1"/>
  <c r="BB31" i="45"/>
  <c r="BC31" i="45" s="1"/>
  <c r="BF31" i="45"/>
  <c r="BG31" i="45" s="1"/>
  <c r="AB34" i="37"/>
  <c r="BF10" i="45"/>
  <c r="BG10" i="45" s="1"/>
  <c r="BB10" i="45"/>
  <c r="BC10" i="45" s="1"/>
  <c r="BJ10" i="45"/>
  <c r="BK10" i="45" s="1"/>
  <c r="AB10" i="37"/>
  <c r="BF41" i="45"/>
  <c r="BG41" i="45" s="1"/>
  <c r="BB41" i="45"/>
  <c r="BC41" i="45" s="1"/>
  <c r="BJ41" i="45"/>
  <c r="BK41" i="45" s="1"/>
  <c r="BJ26" i="45"/>
  <c r="BK26" i="45" s="1"/>
  <c r="BF26" i="45"/>
  <c r="BG26" i="45" s="1"/>
  <c r="BB26" i="45"/>
  <c r="BC26" i="45" s="1"/>
  <c r="AB8" i="37"/>
  <c r="BJ18" i="45"/>
  <c r="BK18" i="45" s="1"/>
  <c r="BF18" i="45"/>
  <c r="BG18" i="45" s="1"/>
  <c r="BB18" i="45"/>
  <c r="BC18" i="45" s="1"/>
  <c r="AB17" i="37"/>
  <c r="BJ27" i="45"/>
  <c r="BF27" i="45"/>
  <c r="BB27" i="45"/>
  <c r="AB37" i="37"/>
  <c r="BJ15" i="45"/>
  <c r="BK15" i="45" s="1"/>
  <c r="BF15" i="45"/>
  <c r="BG15" i="45" s="1"/>
  <c r="BB15" i="45"/>
  <c r="BC15" i="45" s="1"/>
  <c r="BJ40" i="45"/>
  <c r="BK40" i="45" s="1"/>
  <c r="BF40" i="45"/>
  <c r="BG40" i="45" s="1"/>
  <c r="BB40" i="45"/>
  <c r="BC40" i="45" s="1"/>
  <c r="AB16" i="37"/>
  <c r="BJ19" i="45"/>
  <c r="BK19" i="45" s="1"/>
  <c r="BF19" i="45"/>
  <c r="BG19" i="45" s="1"/>
  <c r="BB19" i="45"/>
  <c r="BC19" i="45" s="1"/>
  <c r="AB20" i="37"/>
  <c r="AB46" i="37"/>
  <c r="BJ32" i="45"/>
  <c r="BK32" i="45" s="1"/>
  <c r="BF32" i="45"/>
  <c r="BG32" i="45" s="1"/>
  <c r="BB32" i="45"/>
  <c r="BC32" i="45" s="1"/>
  <c r="AB24" i="37"/>
  <c r="BJ24" i="45"/>
  <c r="BK24" i="45" s="1"/>
  <c r="BF24" i="45"/>
  <c r="BG24" i="45" s="1"/>
  <c r="BB24" i="45"/>
  <c r="BC24" i="45" s="1"/>
  <c r="AB21" i="37"/>
  <c r="AB12" i="37"/>
  <c r="BF12" i="45"/>
  <c r="BG12" i="45" s="1"/>
  <c r="BB12" i="45"/>
  <c r="BC12" i="45" s="1"/>
  <c r="BJ12" i="45"/>
  <c r="BK12" i="45" s="1"/>
  <c r="AB26" i="37"/>
  <c r="BB29" i="45"/>
  <c r="BC29" i="45" s="1"/>
  <c r="BJ29" i="45"/>
  <c r="BK29" i="45" s="1"/>
  <c r="BF29" i="45"/>
  <c r="BG29" i="45" s="1"/>
  <c r="AB43" i="37"/>
  <c r="AB36" i="37"/>
  <c r="BB34" i="45"/>
  <c r="BC34" i="45" s="1"/>
  <c r="BJ34" i="45"/>
  <c r="BK34" i="45" s="1"/>
  <c r="BF34" i="45"/>
  <c r="BG34" i="45" s="1"/>
  <c r="AB29" i="37"/>
  <c r="BJ48" i="45"/>
  <c r="BK48" i="45" s="1"/>
  <c r="BF48" i="45"/>
  <c r="BG48" i="45" s="1"/>
  <c r="BB48" i="45"/>
  <c r="BC48" i="45" s="1"/>
  <c r="AB45" i="37"/>
  <c r="BB22" i="45"/>
  <c r="BC22" i="45" s="1"/>
  <c r="BJ22" i="45"/>
  <c r="BK22" i="45" s="1"/>
  <c r="BF22" i="45"/>
  <c r="BG22" i="45" s="1"/>
  <c r="BJ39" i="45"/>
  <c r="BK39" i="45" s="1"/>
  <c r="BF39" i="45"/>
  <c r="BG39" i="45" s="1"/>
  <c r="BB39" i="45"/>
  <c r="BC39" i="45" s="1"/>
  <c r="AB19" i="37"/>
  <c r="BJ38" i="45"/>
  <c r="BK38" i="45" s="1"/>
  <c r="BF38" i="45"/>
  <c r="BG38" i="45" s="1"/>
  <c r="BB38" i="45"/>
  <c r="BC38" i="45" s="1"/>
  <c r="AB48" i="37"/>
  <c r="BJ21" i="45"/>
  <c r="BK21" i="45" s="1"/>
  <c r="BB21" i="45"/>
  <c r="BC21" i="45" s="1"/>
  <c r="BF21" i="45"/>
  <c r="BG21" i="45" s="1"/>
  <c r="BF9" i="45"/>
  <c r="BG9" i="45" s="1"/>
  <c r="BB9" i="45"/>
  <c r="BC9" i="45" s="1"/>
  <c r="BJ9" i="45"/>
  <c r="BK9" i="45" s="1"/>
  <c r="AB44" i="37"/>
  <c r="BB7" i="45"/>
  <c r="BC7" i="45" s="1"/>
  <c r="BJ7" i="45"/>
  <c r="BK7" i="45" s="1"/>
  <c r="BF7" i="45"/>
  <c r="BG7" i="45" s="1"/>
  <c r="AB38" i="37"/>
  <c r="BF36" i="45"/>
  <c r="BG36" i="45" s="1"/>
  <c r="BB36" i="45"/>
  <c r="BC36" i="45" s="1"/>
  <c r="BJ36" i="45"/>
  <c r="BK36" i="45" s="1"/>
  <c r="BJ46" i="45"/>
  <c r="BK46" i="45" s="1"/>
  <c r="BF46" i="45"/>
  <c r="BG46" i="45" s="1"/>
  <c r="BB46" i="45"/>
  <c r="BC46" i="45" s="1"/>
  <c r="AB7" i="37"/>
  <c r="BF25" i="45"/>
  <c r="BG25" i="45" s="1"/>
  <c r="BB25" i="45"/>
  <c r="BC25" i="45" s="1"/>
  <c r="BJ25" i="45"/>
  <c r="BK25" i="45" s="1"/>
  <c r="AB30" i="37"/>
  <c r="BJ33" i="45"/>
  <c r="BK33" i="45" s="1"/>
  <c r="BF33" i="45"/>
  <c r="BG33" i="45" s="1"/>
  <c r="BB33" i="45"/>
  <c r="BC33" i="45" s="1"/>
  <c r="BJ23" i="45"/>
  <c r="BK23" i="45" s="1"/>
  <c r="BB23" i="45"/>
  <c r="BC23" i="45" s="1"/>
  <c r="BF23" i="45"/>
  <c r="BG23" i="45" s="1"/>
  <c r="AB22" i="37"/>
  <c r="BB14" i="45"/>
  <c r="BC14" i="45" s="1"/>
  <c r="BJ14" i="45"/>
  <c r="BK14" i="45" s="1"/>
  <c r="BF14" i="45"/>
  <c r="BG14" i="45" s="1"/>
  <c r="BJ42" i="45"/>
  <c r="BK42" i="45" s="1"/>
  <c r="BF42" i="45"/>
  <c r="BG42" i="45" s="1"/>
  <c r="BB42" i="45"/>
  <c r="BC42" i="45" s="1"/>
  <c r="AB28" i="37"/>
  <c r="V7" i="29"/>
  <c r="U59" i="41"/>
  <c r="X18" i="42"/>
  <c r="AP28" i="42"/>
  <c r="X28" i="42"/>
  <c r="AP19" i="42"/>
  <c r="AP32" i="42"/>
  <c r="AP42" i="42"/>
  <c r="AP14" i="42"/>
  <c r="X42" i="42"/>
  <c r="AP39" i="42"/>
  <c r="X8" i="42"/>
  <c r="CB42" i="42"/>
  <c r="X6" i="42"/>
  <c r="CB14" i="42"/>
  <c r="X33" i="42"/>
  <c r="AU19" i="42"/>
  <c r="CA19" i="42" s="1"/>
  <c r="Y19" i="42"/>
  <c r="AA19" i="42" s="1"/>
  <c r="U19" i="42"/>
  <c r="AD19" i="42"/>
  <c r="AM19" i="42" s="1"/>
  <c r="AB19" i="42"/>
  <c r="W10" i="29"/>
  <c r="V65" i="37"/>
  <c r="V66" i="37" s="1"/>
  <c r="AU9" i="42"/>
  <c r="R51" i="42"/>
  <c r="AB9" i="42"/>
  <c r="Y9" i="42"/>
  <c r="AA9" i="42" s="1"/>
  <c r="U9" i="42"/>
  <c r="AD9" i="42"/>
  <c r="CB26" i="42"/>
  <c r="K55" i="42"/>
  <c r="AU31" i="42"/>
  <c r="CA31" i="42" s="1"/>
  <c r="Y31" i="42"/>
  <c r="AA31" i="42" s="1"/>
  <c r="U31" i="42"/>
  <c r="AD31" i="42"/>
  <c r="AM31" i="42" s="1"/>
  <c r="AB31" i="42"/>
  <c r="CA5" i="42"/>
  <c r="P10" i="42"/>
  <c r="N10" i="42"/>
  <c r="CB46" i="42"/>
  <c r="P14" i="42"/>
  <c r="N14" i="42"/>
  <c r="V59" i="41"/>
  <c r="AU37" i="42"/>
  <c r="CA37" i="42" s="1"/>
  <c r="U37" i="42"/>
  <c r="AD37" i="42"/>
  <c r="AM37" i="42" s="1"/>
  <c r="AB37" i="42"/>
  <c r="Y37" i="42"/>
  <c r="AA37" i="42" s="1"/>
  <c r="AO51" i="42"/>
  <c r="AP9" i="42"/>
  <c r="L55" i="42"/>
  <c r="P34" i="42"/>
  <c r="N34" i="42"/>
  <c r="CB22" i="42"/>
  <c r="L53" i="42"/>
  <c r="P5" i="42"/>
  <c r="AT53" i="42" a="1"/>
  <c r="AT53" i="42" s="1"/>
  <c r="O51" i="42" a="1"/>
  <c r="O51" i="42" s="1"/>
  <c r="AT56" i="42" a="1"/>
  <c r="AT56" i="42" s="1"/>
  <c r="O56" i="42" a="1"/>
  <c r="O56" i="42" s="1"/>
  <c r="AT54" i="42" a="1"/>
  <c r="AT54" i="42" s="1"/>
  <c r="O55" i="42" a="1"/>
  <c r="O55" i="42" s="1"/>
  <c r="AT57" i="42" a="1"/>
  <c r="AT57" i="42" s="1"/>
  <c r="O50" i="42" a="1"/>
  <c r="O50" i="42" s="1"/>
  <c r="AT52" i="42" a="1"/>
  <c r="AT52" i="42" s="1"/>
  <c r="O53" i="42" a="1"/>
  <c r="O53" i="42" s="1"/>
  <c r="O54" i="42" a="1"/>
  <c r="O54" i="42" s="1"/>
  <c r="AT50" i="42" a="1"/>
  <c r="AT50" i="42" s="1"/>
  <c r="L50" i="42"/>
  <c r="AT51" i="42" a="1"/>
  <c r="AT51" i="42" s="1"/>
  <c r="N5" i="42"/>
  <c r="AT55" i="42" a="1"/>
  <c r="AT55" i="42" s="1"/>
  <c r="O52" i="42" a="1"/>
  <c r="O52" i="42" s="1"/>
  <c r="AP10" i="42"/>
  <c r="AU45" i="42"/>
  <c r="CA45" i="42" s="1"/>
  <c r="AB45" i="42"/>
  <c r="U45" i="42"/>
  <c r="AD45" i="42"/>
  <c r="AM45" i="42" s="1"/>
  <c r="P46" i="42"/>
  <c r="N46" i="42"/>
  <c r="U14" i="42"/>
  <c r="AD14" i="42"/>
  <c r="AM14" i="42" s="1"/>
  <c r="AB14" i="42"/>
  <c r="Y14" i="42"/>
  <c r="AA14" i="42" s="1"/>
  <c r="AU35" i="42"/>
  <c r="CA35" i="42" s="1"/>
  <c r="U35" i="42"/>
  <c r="AD35" i="42"/>
  <c r="AM35" i="42" s="1"/>
  <c r="AB35" i="42"/>
  <c r="X37" i="42"/>
  <c r="Y18" i="42"/>
  <c r="AA18" i="42" s="1"/>
  <c r="U18" i="42"/>
  <c r="AD18" i="42"/>
  <c r="AM18" i="42" s="1"/>
  <c r="AB18" i="42"/>
  <c r="AU34" i="42"/>
  <c r="R55" i="42"/>
  <c r="Y34" i="42"/>
  <c r="AA34" i="42" s="1"/>
  <c r="AD34" i="42"/>
  <c r="AB34" i="42"/>
  <c r="U34" i="42"/>
  <c r="AP31" i="42"/>
  <c r="X22" i="42"/>
  <c r="AU23" i="42"/>
  <c r="R53" i="42"/>
  <c r="U23" i="42"/>
  <c r="AD23" i="42"/>
  <c r="AB23" i="42"/>
  <c r="AO50" i="42"/>
  <c r="AP5" i="42"/>
  <c r="U11" i="42"/>
  <c r="W56" i="42"/>
  <c r="X40" i="42"/>
  <c r="N41" i="42"/>
  <c r="P41" i="42"/>
  <c r="AD46" i="42"/>
  <c r="AM46" i="42" s="1"/>
  <c r="U46" i="42"/>
  <c r="AB46" i="42"/>
  <c r="AP6" i="42"/>
  <c r="X14" i="42"/>
  <c r="P33" i="42"/>
  <c r="N33" i="42"/>
  <c r="AO54" i="42"/>
  <c r="AP29" i="42"/>
  <c r="AU18" i="42"/>
  <c r="CA18" i="42" s="1"/>
  <c r="P42" i="42"/>
  <c r="N42" i="42"/>
  <c r="N39" i="42"/>
  <c r="P39" i="42"/>
  <c r="W55" i="42"/>
  <c r="X34" i="42"/>
  <c r="X31" i="42"/>
  <c r="N22" i="42"/>
  <c r="AO53" i="42"/>
  <c r="AP23" i="42"/>
  <c r="R50" i="42"/>
  <c r="AB5" i="42"/>
  <c r="AD5" i="42"/>
  <c r="Y5" i="42"/>
  <c r="AA5" i="42" s="1"/>
  <c r="U5" i="42"/>
  <c r="AP27" i="42"/>
  <c r="R52" i="42"/>
  <c r="AO56" i="42"/>
  <c r="AP40" i="42"/>
  <c r="AB33" i="42"/>
  <c r="Y33" i="42"/>
  <c r="AA33" i="42" s="1"/>
  <c r="AD33" i="42"/>
  <c r="AM33" i="42" s="1"/>
  <c r="U33" i="42"/>
  <c r="AU29" i="42"/>
  <c r="U29" i="42"/>
  <c r="AB29" i="42"/>
  <c r="R54" i="42"/>
  <c r="AD29" i="42"/>
  <c r="AU16" i="42"/>
  <c r="CA16" i="42" s="1"/>
  <c r="P18" i="42"/>
  <c r="N18" i="42"/>
  <c r="AD26" i="42"/>
  <c r="AM26" i="42" s="1"/>
  <c r="AB26" i="42"/>
  <c r="Y26" i="42"/>
  <c r="AA26" i="42" s="1"/>
  <c r="U26" i="42"/>
  <c r="AU17" i="42"/>
  <c r="CA17" i="42" s="1"/>
  <c r="AB17" i="42"/>
  <c r="Y17" i="42"/>
  <c r="AA17" i="42" s="1"/>
  <c r="AD17" i="42"/>
  <c r="AM17" i="42" s="1"/>
  <c r="U17" i="42"/>
  <c r="P8" i="42"/>
  <c r="N8" i="42"/>
  <c r="K50" i="42"/>
  <c r="AU40" i="42"/>
  <c r="R56" i="42"/>
  <c r="AB40" i="42"/>
  <c r="Y40" i="42"/>
  <c r="AA40" i="42" s="1"/>
  <c r="U40" i="42"/>
  <c r="AD40" i="42"/>
  <c r="W7" i="29"/>
  <c r="U65" i="37"/>
  <c r="U66" i="37" s="1"/>
  <c r="AU33" i="42"/>
  <c r="CA33" i="42" s="1"/>
  <c r="K54" i="42"/>
  <c r="P15" i="42"/>
  <c r="N15" i="42"/>
  <c r="AB7" i="42"/>
  <c r="X26" i="42"/>
  <c r="X39" i="42"/>
  <c r="AB24" i="42"/>
  <c r="AD22" i="42"/>
  <c r="AM22" i="42" s="1"/>
  <c r="AB22" i="42"/>
  <c r="Y22" i="42"/>
  <c r="AA22" i="42" s="1"/>
  <c r="U22" i="42"/>
  <c r="W50" i="42"/>
  <c r="X5" i="42"/>
  <c r="CB25" i="42"/>
  <c r="AU10" i="42"/>
  <c r="CA10" i="42" s="1"/>
  <c r="Y10" i="42"/>
  <c r="AA10" i="42" s="1"/>
  <c r="AD10" i="42"/>
  <c r="AM10" i="42" s="1"/>
  <c r="AB10" i="42"/>
  <c r="U10" i="42"/>
  <c r="K56" i="42"/>
  <c r="AU32" i="42"/>
  <c r="CA32" i="42" s="1"/>
  <c r="AD32" i="42"/>
  <c r="AM32" i="42" s="1"/>
  <c r="U32" i="42"/>
  <c r="AB32" i="42"/>
  <c r="AU28" i="42"/>
  <c r="CA28" i="42" s="1"/>
  <c r="Y28" i="42"/>
  <c r="AA28" i="42" s="1"/>
  <c r="AD28" i="42"/>
  <c r="AM28" i="42" s="1"/>
  <c r="U28" i="42"/>
  <c r="AB28" i="42"/>
  <c r="AP33" i="42"/>
  <c r="P19" i="42"/>
  <c r="N19" i="42"/>
  <c r="L51" i="42"/>
  <c r="P9" i="42"/>
  <c r="N9" i="42"/>
  <c r="N51" i="42" s="1"/>
  <c r="Y42" i="42"/>
  <c r="AA42" i="42" s="1"/>
  <c r="AD42" i="42"/>
  <c r="AM42" i="42" s="1"/>
  <c r="U42" i="42"/>
  <c r="AB42" i="42"/>
  <c r="AP26" i="42"/>
  <c r="AU39" i="42"/>
  <c r="CA39" i="42" s="1"/>
  <c r="AD39" i="42"/>
  <c r="AM39" i="42" s="1"/>
  <c r="U39" i="42"/>
  <c r="Y39" i="42"/>
  <c r="AA39" i="42" s="1"/>
  <c r="AB39" i="42"/>
  <c r="AD25" i="42"/>
  <c r="AM25" i="42" s="1"/>
  <c r="U25" i="42"/>
  <c r="AB25" i="42"/>
  <c r="P21" i="42"/>
  <c r="N21" i="42"/>
  <c r="L56" i="42"/>
  <c r="P40" i="42"/>
  <c r="N40" i="42"/>
  <c r="AU6" i="42"/>
  <c r="CA6" i="42" s="1"/>
  <c r="Y6" i="42"/>
  <c r="AA6" i="42" s="1"/>
  <c r="AD6" i="42"/>
  <c r="AM6" i="42" s="1"/>
  <c r="U6" i="42"/>
  <c r="AB6" i="42"/>
  <c r="N28" i="42"/>
  <c r="P28" i="42"/>
  <c r="X19" i="42"/>
  <c r="W51" i="42"/>
  <c r="X9" i="42"/>
  <c r="P26" i="42"/>
  <c r="N26" i="42"/>
  <c r="AO55" i="42"/>
  <c r="AP34" i="42"/>
  <c r="X17" i="42"/>
  <c r="P31" i="42"/>
  <c r="N31" i="42"/>
  <c r="K53" i="42"/>
  <c r="P25" i="42"/>
  <c r="N25" i="42"/>
  <c r="AU27" i="42"/>
  <c r="CA27" i="42" s="1"/>
  <c r="AB27" i="42"/>
  <c r="AD27" i="42"/>
  <c r="AM27" i="42" s="1"/>
  <c r="U27" i="42"/>
  <c r="L52" i="42"/>
  <c r="N12" i="42"/>
  <c r="P12" i="42"/>
  <c r="X10" i="42"/>
  <c r="J52" i="38" a="1"/>
  <c r="J52" i="38" s="1"/>
  <c r="L5" i="38"/>
  <c r="J51" i="38" a="1"/>
  <c r="J51" i="38" s="1"/>
  <c r="J53" i="38" a="1"/>
  <c r="J53" i="38" s="1"/>
  <c r="J50" i="38" a="1"/>
  <c r="J50" i="38" s="1"/>
  <c r="R5" i="38"/>
  <c r="J55" i="38" a="1"/>
  <c r="J55" i="38" s="1"/>
  <c r="V5" i="38"/>
  <c r="J56" i="38" a="1"/>
  <c r="J56" i="38" s="1"/>
  <c r="AN5" i="38"/>
  <c r="J54" i="38" a="1"/>
  <c r="J54" i="38" s="1"/>
  <c r="K5" i="38"/>
  <c r="V30" i="38"/>
  <c r="K30" i="38"/>
  <c r="L30" i="38"/>
  <c r="R30" i="38"/>
  <c r="AN30" i="38"/>
  <c r="R25" i="38"/>
  <c r="AT25" i="38" s="1"/>
  <c r="BZ25" i="38" s="1"/>
  <c r="CA25" i="38" s="1"/>
  <c r="AN25" i="38"/>
  <c r="K25" i="38"/>
  <c r="L25" i="38"/>
  <c r="V25" i="38"/>
  <c r="K32" i="38"/>
  <c r="AN32" i="38"/>
  <c r="R32" i="38"/>
  <c r="AT32" i="38" s="1"/>
  <c r="BZ32" i="38" s="1"/>
  <c r="CA32" i="38" s="1"/>
  <c r="L32" i="38"/>
  <c r="V32" i="38"/>
  <c r="L7" i="38"/>
  <c r="K7" i="38"/>
  <c r="R7" i="38"/>
  <c r="V7" i="38"/>
  <c r="AN7" i="38"/>
  <c r="R31" i="38"/>
  <c r="V31" i="38"/>
  <c r="K31" i="38"/>
  <c r="L31" i="38"/>
  <c r="AN31" i="38"/>
  <c r="AN26" i="38"/>
  <c r="L26" i="38"/>
  <c r="R26" i="38"/>
  <c r="K26" i="38"/>
  <c r="V26" i="38"/>
  <c r="V39" i="38"/>
  <c r="AN39" i="38"/>
  <c r="L39" i="38"/>
  <c r="R39" i="38"/>
  <c r="AT39" i="38" s="1"/>
  <c r="BZ39" i="38" s="1"/>
  <c r="CA39" i="38" s="1"/>
  <c r="K39" i="38"/>
  <c r="K29" i="38"/>
  <c r="L29" i="38"/>
  <c r="AN29" i="38"/>
  <c r="R29" i="38"/>
  <c r="V29" i="38"/>
  <c r="K20" i="38"/>
  <c r="R20" i="38"/>
  <c r="V20" i="38"/>
  <c r="L20" i="38"/>
  <c r="AN20" i="38"/>
  <c r="V38" i="38"/>
  <c r="L38" i="38"/>
  <c r="K38" i="38"/>
  <c r="AN38" i="38"/>
  <c r="R38" i="38"/>
  <c r="V23" i="38"/>
  <c r="K23" i="38"/>
  <c r="AN23" i="38"/>
  <c r="R23" i="38"/>
  <c r="L23" i="38"/>
  <c r="R13" i="38"/>
  <c r="L13" i="38"/>
  <c r="K13" i="38"/>
  <c r="AN13" i="38"/>
  <c r="V13" i="38"/>
  <c r="L36" i="38"/>
  <c r="R36" i="38"/>
  <c r="V36" i="38"/>
  <c r="K36" i="38"/>
  <c r="AN36" i="38"/>
  <c r="L18" i="38"/>
  <c r="V18" i="38"/>
  <c r="K18" i="38"/>
  <c r="R18" i="38"/>
  <c r="AN18" i="38"/>
  <c r="AN41" i="38"/>
  <c r="V41" i="38"/>
  <c r="L41" i="38"/>
  <c r="R41" i="38"/>
  <c r="AT41" i="38" s="1"/>
  <c r="BZ41" i="38" s="1"/>
  <c r="CA41" i="38" s="1"/>
  <c r="K41" i="38"/>
  <c r="L16" i="38"/>
  <c r="K16" i="38"/>
  <c r="R16" i="38"/>
  <c r="V16" i="38"/>
  <c r="AN16" i="38"/>
  <c r="R44" i="38"/>
  <c r="AT44" i="38" s="1"/>
  <c r="BZ44" i="38" s="1"/>
  <c r="CA44" i="38" s="1"/>
  <c r="AN44" i="38"/>
  <c r="K44" i="38"/>
  <c r="L44" i="38"/>
  <c r="V44" i="38"/>
  <c r="L10" i="38"/>
  <c r="AN10" i="38"/>
  <c r="R10" i="38"/>
  <c r="V10" i="38"/>
  <c r="K10" i="38"/>
  <c r="R6" i="38"/>
  <c r="AN6" i="38"/>
  <c r="K6" i="38"/>
  <c r="V6" i="38"/>
  <c r="L6" i="38"/>
  <c r="L24" i="38"/>
  <c r="R24" i="38"/>
  <c r="AT24" i="38" s="1"/>
  <c r="BZ24" i="38" s="1"/>
  <c r="CA24" i="38" s="1"/>
  <c r="CB24" i="38" s="1"/>
  <c r="V24" i="38"/>
  <c r="AN24" i="38"/>
  <c r="K24" i="38"/>
  <c r="V21" i="38"/>
  <c r="L21" i="38"/>
  <c r="AN21" i="38"/>
  <c r="K21" i="38"/>
  <c r="R21" i="38"/>
  <c r="R14" i="38"/>
  <c r="AT14" i="38" s="1"/>
  <c r="BZ14" i="38" s="1"/>
  <c r="CA14" i="38" s="1"/>
  <c r="AN14" i="38"/>
  <c r="L14" i="38"/>
  <c r="V14" i="38"/>
  <c r="K14" i="38"/>
  <c r="R22" i="38"/>
  <c r="K22" i="38"/>
  <c r="L22" i="38"/>
  <c r="V22" i="38"/>
  <c r="AN22" i="38"/>
  <c r="L42" i="38"/>
  <c r="K42" i="38"/>
  <c r="V42" i="38"/>
  <c r="R42" i="38"/>
  <c r="AN42" i="38"/>
  <c r="K17" i="38"/>
  <c r="R17" i="38"/>
  <c r="V17" i="38"/>
  <c r="AN17" i="38"/>
  <c r="L17" i="38"/>
  <c r="R43" i="38"/>
  <c r="K43" i="38"/>
  <c r="V43" i="38"/>
  <c r="L43" i="38"/>
  <c r="AN43" i="38"/>
  <c r="K28" i="38"/>
  <c r="R28" i="38"/>
  <c r="AT28" i="38" s="1"/>
  <c r="BZ28" i="38" s="1"/>
  <c r="CA28" i="38" s="1"/>
  <c r="AN28" i="38"/>
  <c r="L28" i="38"/>
  <c r="V28" i="38"/>
  <c r="AN9" i="38"/>
  <c r="K9" i="38"/>
  <c r="R9" i="38"/>
  <c r="AT9" i="38" s="1"/>
  <c r="V9" i="38"/>
  <c r="L9" i="38"/>
  <c r="L35" i="38"/>
  <c r="V35" i="38"/>
  <c r="K35" i="38"/>
  <c r="R35" i="38"/>
  <c r="AN35" i="38"/>
  <c r="AN19" i="38"/>
  <c r="L19" i="38"/>
  <c r="R19" i="38"/>
  <c r="AT19" i="38" s="1"/>
  <c r="BZ19" i="38" s="1"/>
  <c r="CA19" i="38" s="1"/>
  <c r="K19" i="38"/>
  <c r="V19" i="38"/>
  <c r="K11" i="38"/>
  <c r="AN11" i="38"/>
  <c r="R11" i="38"/>
  <c r="AT11" i="38" s="1"/>
  <c r="BZ11" i="38" s="1"/>
  <c r="CA11" i="38" s="1"/>
  <c r="V11" i="38"/>
  <c r="L11" i="38"/>
  <c r="V40" i="38"/>
  <c r="AN40" i="38"/>
  <c r="R40" i="38"/>
  <c r="L40" i="38"/>
  <c r="K40" i="38"/>
  <c r="L37" i="38"/>
  <c r="V37" i="38"/>
  <c r="K37" i="38"/>
  <c r="AN37" i="38"/>
  <c r="R37" i="38"/>
  <c r="K33" i="38"/>
  <c r="AN33" i="38"/>
  <c r="R33" i="38"/>
  <c r="V33" i="38"/>
  <c r="L33" i="38"/>
  <c r="L15" i="38"/>
  <c r="K15" i="38"/>
  <c r="AN15" i="38"/>
  <c r="R15" i="38"/>
  <c r="V15" i="38"/>
  <c r="L45" i="38"/>
  <c r="K45" i="38"/>
  <c r="V45" i="38"/>
  <c r="R45" i="38"/>
  <c r="AN45" i="38"/>
  <c r="L34" i="38"/>
  <c r="K34" i="38"/>
  <c r="V34" i="38"/>
  <c r="R34" i="38"/>
  <c r="AN34" i="38"/>
  <c r="L12" i="38"/>
  <c r="R12" i="38"/>
  <c r="AT12" i="38" s="1"/>
  <c r="V12" i="38"/>
  <c r="K12" i="38"/>
  <c r="AN12" i="38"/>
  <c r="V27" i="38"/>
  <c r="K27" i="38"/>
  <c r="R27" i="38"/>
  <c r="AT27" i="38" s="1"/>
  <c r="BZ27" i="38" s="1"/>
  <c r="CA27" i="38" s="1"/>
  <c r="CB27" i="38" s="1"/>
  <c r="AN27" i="38"/>
  <c r="L27" i="38"/>
  <c r="K46" i="38"/>
  <c r="L46" i="38"/>
  <c r="AN46" i="38"/>
  <c r="R46" i="38"/>
  <c r="V46" i="38"/>
  <c r="L8" i="38"/>
  <c r="K8" i="38"/>
  <c r="R8" i="38"/>
  <c r="AN8" i="38"/>
  <c r="V8" i="38"/>
  <c r="L19" i="34"/>
  <c r="K19" i="34"/>
  <c r="V19" i="34"/>
  <c r="AN19" i="34"/>
  <c r="R19" i="34"/>
  <c r="AN25" i="34"/>
  <c r="L25" i="34"/>
  <c r="K25" i="34"/>
  <c r="V25" i="34"/>
  <c r="R25" i="34"/>
  <c r="K15" i="36"/>
  <c r="R15" i="36"/>
  <c r="AT15" i="36" s="1"/>
  <c r="BZ15" i="36" s="1"/>
  <c r="L15" i="36"/>
  <c r="AN15" i="36"/>
  <c r="V15" i="36"/>
  <c r="AN27" i="34"/>
  <c r="K27" i="34"/>
  <c r="V27" i="34"/>
  <c r="L27" i="34"/>
  <c r="R27" i="34"/>
  <c r="R26" i="34"/>
  <c r="AT26" i="34" s="1"/>
  <c r="BZ26" i="34" s="1"/>
  <c r="K26" i="34"/>
  <c r="V26" i="34"/>
  <c r="L26" i="34"/>
  <c r="AN26" i="34"/>
  <c r="L41" i="34"/>
  <c r="K41" i="34"/>
  <c r="V41" i="34"/>
  <c r="AN41" i="34"/>
  <c r="R41" i="34"/>
  <c r="L36" i="34"/>
  <c r="AN36" i="34"/>
  <c r="K36" i="34"/>
  <c r="V36" i="34"/>
  <c r="R36" i="34"/>
  <c r="K12" i="34"/>
  <c r="V12" i="34"/>
  <c r="L12" i="34"/>
  <c r="AN12" i="34"/>
  <c r="R12" i="34"/>
  <c r="AT12" i="34" s="1"/>
  <c r="L11" i="36"/>
  <c r="AN11" i="36"/>
  <c r="R11" i="36"/>
  <c r="K11" i="36"/>
  <c r="V11" i="36"/>
  <c r="K29" i="36"/>
  <c r="V29" i="36"/>
  <c r="L29" i="36"/>
  <c r="AN29" i="36"/>
  <c r="R29" i="36"/>
  <c r="L46" i="36"/>
  <c r="R46" i="36"/>
  <c r="AN46" i="36"/>
  <c r="K46" i="36"/>
  <c r="V46" i="36"/>
  <c r="V25" i="36"/>
  <c r="L25" i="36"/>
  <c r="AN25" i="36"/>
  <c r="K25" i="36"/>
  <c r="R25" i="36"/>
  <c r="AT25" i="36" s="1"/>
  <c r="BZ25" i="36" s="1"/>
  <c r="K38" i="36"/>
  <c r="L38" i="36"/>
  <c r="AN38" i="36"/>
  <c r="V38" i="36"/>
  <c r="R38" i="36"/>
  <c r="V27" i="36"/>
  <c r="R27" i="36"/>
  <c r="L27" i="36"/>
  <c r="K27" i="36"/>
  <c r="AN27" i="36"/>
  <c r="L41" i="36"/>
  <c r="V41" i="36"/>
  <c r="K41" i="36"/>
  <c r="AN41" i="36"/>
  <c r="R41" i="36"/>
  <c r="AT41" i="36" s="1"/>
  <c r="BZ41" i="36" s="1"/>
  <c r="AN30" i="34"/>
  <c r="L30" i="34"/>
  <c r="K30" i="34"/>
  <c r="V30" i="34"/>
  <c r="R30" i="34"/>
  <c r="AT30" i="34" s="1"/>
  <c r="BZ30" i="34" s="1"/>
  <c r="K31" i="34"/>
  <c r="L31" i="34"/>
  <c r="AN31" i="34"/>
  <c r="V31" i="34"/>
  <c r="R31" i="34"/>
  <c r="AN22" i="34"/>
  <c r="L22" i="34"/>
  <c r="R22" i="34"/>
  <c r="AT22" i="34" s="1"/>
  <c r="BZ22" i="34" s="1"/>
  <c r="V22" i="34"/>
  <c r="K22" i="34"/>
  <c r="R6" i="34"/>
  <c r="V6" i="34"/>
  <c r="L6" i="34"/>
  <c r="K6" i="34"/>
  <c r="AN6" i="34"/>
  <c r="K7" i="34"/>
  <c r="R7" i="34"/>
  <c r="V7" i="34"/>
  <c r="AN7" i="34"/>
  <c r="L7" i="34"/>
  <c r="R16" i="36"/>
  <c r="L16" i="36"/>
  <c r="AN16" i="36"/>
  <c r="V16" i="36"/>
  <c r="K16" i="36"/>
  <c r="K37" i="36"/>
  <c r="AN37" i="36"/>
  <c r="R37" i="36"/>
  <c r="L37" i="36"/>
  <c r="V37" i="36"/>
  <c r="L17" i="36"/>
  <c r="AN17" i="36"/>
  <c r="K17" i="36"/>
  <c r="R17" i="36"/>
  <c r="V17" i="36"/>
  <c r="V28" i="36"/>
  <c r="L28" i="36"/>
  <c r="AN28" i="36"/>
  <c r="R28" i="36"/>
  <c r="K28" i="36"/>
  <c r="AN6" i="36"/>
  <c r="K6" i="36"/>
  <c r="R6" i="36"/>
  <c r="AT6" i="36" s="1"/>
  <c r="BZ6" i="36" s="1"/>
  <c r="L6" i="36"/>
  <c r="V6" i="36"/>
  <c r="AN35" i="36"/>
  <c r="L35" i="36"/>
  <c r="K35" i="36"/>
  <c r="V35" i="36"/>
  <c r="R35" i="36"/>
  <c r="AN39" i="34"/>
  <c r="V39" i="34"/>
  <c r="K39" i="34"/>
  <c r="L39" i="34"/>
  <c r="R39" i="34"/>
  <c r="L23" i="34"/>
  <c r="AN23" i="34"/>
  <c r="R23" i="34"/>
  <c r="K23" i="34"/>
  <c r="V23" i="34"/>
  <c r="K10" i="34"/>
  <c r="R10" i="34"/>
  <c r="V10" i="34"/>
  <c r="L10" i="34"/>
  <c r="AN10" i="34"/>
  <c r="K18" i="34"/>
  <c r="R18" i="34"/>
  <c r="AN18" i="34"/>
  <c r="L18" i="34"/>
  <c r="V18" i="34"/>
  <c r="V24" i="34"/>
  <c r="AN24" i="34"/>
  <c r="K24" i="34"/>
  <c r="R24" i="34"/>
  <c r="L24" i="34"/>
  <c r="L11" i="34"/>
  <c r="AN11" i="34"/>
  <c r="K11" i="34"/>
  <c r="V11" i="34"/>
  <c r="R11" i="34"/>
  <c r="R23" i="36"/>
  <c r="L23" i="36"/>
  <c r="AN23" i="36"/>
  <c r="V23" i="36"/>
  <c r="K23" i="36"/>
  <c r="AN45" i="36"/>
  <c r="K45" i="36"/>
  <c r="L45" i="36"/>
  <c r="R45" i="36"/>
  <c r="V45" i="36"/>
  <c r="R24" i="36"/>
  <c r="AT24" i="36" s="1"/>
  <c r="BZ24" i="36" s="1"/>
  <c r="K24" i="36"/>
  <c r="V24" i="36"/>
  <c r="L24" i="36"/>
  <c r="AN24" i="36"/>
  <c r="K33" i="36"/>
  <c r="R33" i="36"/>
  <c r="AN33" i="36"/>
  <c r="V33" i="36"/>
  <c r="L33" i="36"/>
  <c r="V14" i="36"/>
  <c r="AN14" i="36"/>
  <c r="L14" i="36"/>
  <c r="K14" i="36"/>
  <c r="R14" i="36"/>
  <c r="V39" i="36"/>
  <c r="R39" i="36"/>
  <c r="AT39" i="36" s="1"/>
  <c r="BZ39" i="36" s="1"/>
  <c r="L39" i="36"/>
  <c r="AN39" i="36"/>
  <c r="K39" i="36"/>
  <c r="J55" i="34" a="1"/>
  <c r="J55" i="34" s="1"/>
  <c r="J53" i="34" a="1"/>
  <c r="J53" i="34" s="1"/>
  <c r="J51" i="34" a="1"/>
  <c r="J51" i="34" s="1"/>
  <c r="J56" i="34" a="1"/>
  <c r="J56" i="34" s="1"/>
  <c r="J52" i="34" a="1"/>
  <c r="J52" i="34" s="1"/>
  <c r="J54" i="34" a="1"/>
  <c r="J54" i="34" s="1"/>
  <c r="J50" i="34" a="1"/>
  <c r="J50" i="34" s="1"/>
  <c r="L5" i="34"/>
  <c r="K5" i="34"/>
  <c r="R5" i="34"/>
  <c r="V5" i="34"/>
  <c r="AN5" i="34"/>
  <c r="AN20" i="36"/>
  <c r="K20" i="36"/>
  <c r="L20" i="36"/>
  <c r="V20" i="36"/>
  <c r="R20" i="36"/>
  <c r="R8" i="34"/>
  <c r="AT8" i="34" s="1"/>
  <c r="BZ8" i="34" s="1"/>
  <c r="AN8" i="34"/>
  <c r="L8" i="34"/>
  <c r="K8" i="34"/>
  <c r="V8" i="34"/>
  <c r="V16" i="34"/>
  <c r="AN16" i="34"/>
  <c r="K16" i="34"/>
  <c r="R16" i="34"/>
  <c r="L16" i="34"/>
  <c r="K40" i="34"/>
  <c r="AN40" i="34"/>
  <c r="V40" i="34"/>
  <c r="L40" i="34"/>
  <c r="R40" i="34"/>
  <c r="AT40" i="34" s="1"/>
  <c r="L37" i="34"/>
  <c r="R37" i="34"/>
  <c r="V37" i="34"/>
  <c r="K37" i="34"/>
  <c r="AN37" i="34"/>
  <c r="AN33" i="34"/>
  <c r="R33" i="34"/>
  <c r="L33" i="34"/>
  <c r="K33" i="34"/>
  <c r="V33" i="34"/>
  <c r="R34" i="34"/>
  <c r="AT34" i="34" s="1"/>
  <c r="L34" i="34"/>
  <c r="AN34" i="34"/>
  <c r="V34" i="34"/>
  <c r="K34" i="34"/>
  <c r="L36" i="36"/>
  <c r="V36" i="36"/>
  <c r="R36" i="36"/>
  <c r="AN36" i="36"/>
  <c r="K36" i="36"/>
  <c r="AN10" i="36"/>
  <c r="K10" i="36"/>
  <c r="R10" i="36"/>
  <c r="L10" i="36"/>
  <c r="V10" i="36"/>
  <c r="V19" i="36"/>
  <c r="AN19" i="36"/>
  <c r="R19" i="36"/>
  <c r="AT19" i="36" s="1"/>
  <c r="BZ19" i="36" s="1"/>
  <c r="L19" i="36"/>
  <c r="K19" i="36"/>
  <c r="K44" i="36"/>
  <c r="R44" i="36"/>
  <c r="AN44" i="36"/>
  <c r="V44" i="36"/>
  <c r="L44" i="36"/>
  <c r="AN22" i="36"/>
  <c r="L22" i="36"/>
  <c r="V22" i="36"/>
  <c r="K22" i="36"/>
  <c r="R22" i="36"/>
  <c r="V29" i="34"/>
  <c r="AN29" i="34"/>
  <c r="K29" i="34"/>
  <c r="L29" i="34"/>
  <c r="R29" i="34"/>
  <c r="R32" i="34"/>
  <c r="V32" i="34"/>
  <c r="K32" i="34"/>
  <c r="L32" i="34"/>
  <c r="AN32" i="34"/>
  <c r="L13" i="34"/>
  <c r="K13" i="34"/>
  <c r="R13" i="34"/>
  <c r="AN13" i="34"/>
  <c r="V13" i="34"/>
  <c r="K9" i="34"/>
  <c r="L9" i="34"/>
  <c r="R9" i="34"/>
  <c r="AN9" i="34"/>
  <c r="V9" i="34"/>
  <c r="K42" i="34"/>
  <c r="AN42" i="34"/>
  <c r="R42" i="34"/>
  <c r="L42" i="34"/>
  <c r="V42" i="34"/>
  <c r="K45" i="34"/>
  <c r="V45" i="34"/>
  <c r="L45" i="34"/>
  <c r="AN45" i="34"/>
  <c r="R45" i="34"/>
  <c r="V42" i="36"/>
  <c r="K42" i="36"/>
  <c r="AN42" i="36"/>
  <c r="L42" i="36"/>
  <c r="R42" i="36"/>
  <c r="AN12" i="36"/>
  <c r="K12" i="36"/>
  <c r="L12" i="36"/>
  <c r="R12" i="36"/>
  <c r="AT12" i="36" s="1"/>
  <c r="V12" i="36"/>
  <c r="R31" i="36"/>
  <c r="AN31" i="36"/>
  <c r="L31" i="36"/>
  <c r="V31" i="36"/>
  <c r="K31" i="36"/>
  <c r="J53" i="36" a="1"/>
  <c r="J53" i="36" s="1"/>
  <c r="J54" i="36" a="1"/>
  <c r="J54" i="36" s="1"/>
  <c r="J50" i="36" a="1"/>
  <c r="J50" i="36" s="1"/>
  <c r="J52" i="36" a="1"/>
  <c r="J52" i="36" s="1"/>
  <c r="J51" i="36" a="1"/>
  <c r="J51" i="36" s="1"/>
  <c r="J56" i="36" a="1"/>
  <c r="J56" i="36" s="1"/>
  <c r="J55" i="36" a="1"/>
  <c r="J55" i="36" s="1"/>
  <c r="R5" i="36"/>
  <c r="K5" i="36"/>
  <c r="V5" i="36"/>
  <c r="L5" i="36"/>
  <c r="AN5" i="36"/>
  <c r="K34" i="36"/>
  <c r="R34" i="36"/>
  <c r="AN34" i="36"/>
  <c r="L34" i="36"/>
  <c r="V34" i="36"/>
  <c r="V8" i="36"/>
  <c r="AN8" i="36"/>
  <c r="R8" i="36"/>
  <c r="L8" i="36"/>
  <c r="K8" i="36"/>
  <c r="L20" i="34"/>
  <c r="V20" i="34"/>
  <c r="R20" i="34"/>
  <c r="K20" i="34"/>
  <c r="AN20" i="34"/>
  <c r="AN35" i="34"/>
  <c r="L35" i="34"/>
  <c r="R35" i="34"/>
  <c r="V35" i="34"/>
  <c r="K35" i="34"/>
  <c r="AN44" i="34"/>
  <c r="L44" i="34"/>
  <c r="R44" i="34"/>
  <c r="K44" i="34"/>
  <c r="V44" i="34"/>
  <c r="L21" i="34"/>
  <c r="V21" i="34"/>
  <c r="R21" i="34"/>
  <c r="K21" i="34"/>
  <c r="AN21" i="34"/>
  <c r="L46" i="34"/>
  <c r="AN46" i="34"/>
  <c r="V46" i="34"/>
  <c r="R46" i="34"/>
  <c r="K46" i="34"/>
  <c r="AN43" i="34"/>
  <c r="V43" i="34"/>
  <c r="L43" i="34"/>
  <c r="K43" i="34"/>
  <c r="R43" i="34"/>
  <c r="V9" i="36"/>
  <c r="AN9" i="36"/>
  <c r="R9" i="36"/>
  <c r="K9" i="36"/>
  <c r="L9" i="36"/>
  <c r="R18" i="36"/>
  <c r="AT18" i="36" s="1"/>
  <c r="BZ18" i="36" s="1"/>
  <c r="L18" i="36"/>
  <c r="K18" i="36"/>
  <c r="AN18" i="36"/>
  <c r="V18" i="36"/>
  <c r="K43" i="36"/>
  <c r="R43" i="36"/>
  <c r="AT43" i="36" s="1"/>
  <c r="BZ43" i="36" s="1"/>
  <c r="L43" i="36"/>
  <c r="AN43" i="36"/>
  <c r="V43" i="36"/>
  <c r="AN13" i="36"/>
  <c r="L13" i="36"/>
  <c r="R13" i="36"/>
  <c r="K13" i="36"/>
  <c r="V13" i="36"/>
  <c r="R40" i="36"/>
  <c r="V40" i="36"/>
  <c r="L40" i="36"/>
  <c r="AN40" i="36"/>
  <c r="K40" i="36"/>
  <c r="V32" i="36"/>
  <c r="R32" i="36"/>
  <c r="AN32" i="36"/>
  <c r="L32" i="36"/>
  <c r="K32" i="36"/>
  <c r="L15" i="34"/>
  <c r="AN15" i="34"/>
  <c r="V15" i="34"/>
  <c r="K15" i="34"/>
  <c r="R15" i="34"/>
  <c r="AN38" i="34"/>
  <c r="R38" i="34"/>
  <c r="V38" i="34"/>
  <c r="K38" i="34"/>
  <c r="L38" i="34"/>
  <c r="L28" i="34"/>
  <c r="R28" i="34"/>
  <c r="K28" i="34"/>
  <c r="V28" i="34"/>
  <c r="AN28" i="34"/>
  <c r="L17" i="34"/>
  <c r="K17" i="34"/>
  <c r="R17" i="34"/>
  <c r="V17" i="34"/>
  <c r="AN17" i="34"/>
  <c r="L14" i="34"/>
  <c r="V14" i="34"/>
  <c r="AN14" i="34"/>
  <c r="R14" i="34"/>
  <c r="K14" i="34"/>
  <c r="AN26" i="36"/>
  <c r="K26" i="36"/>
  <c r="V26" i="36"/>
  <c r="L26" i="36"/>
  <c r="R26" i="36"/>
  <c r="AT26" i="36" s="1"/>
  <c r="BZ26" i="36" s="1"/>
  <c r="V30" i="36"/>
  <c r="R30" i="36"/>
  <c r="K30" i="36"/>
  <c r="L30" i="36"/>
  <c r="AN30" i="36"/>
  <c r="K21" i="36"/>
  <c r="L21" i="36"/>
  <c r="AN21" i="36"/>
  <c r="V21" i="36"/>
  <c r="R21" i="36"/>
  <c r="R7" i="36"/>
  <c r="V7" i="36"/>
  <c r="AN7" i="36"/>
  <c r="L7" i="36"/>
  <c r="K7" i="36"/>
  <c r="U59" i="37"/>
  <c r="V59" i="37"/>
  <c r="BW18" i="19"/>
  <c r="BU52" i="19"/>
  <c r="BT52" i="19" s="1"/>
  <c r="S37" i="20"/>
  <c r="L37" i="20"/>
  <c r="M37" i="20"/>
  <c r="V37" i="20"/>
  <c r="L32" i="20"/>
  <c r="V32" i="20"/>
  <c r="M32" i="20"/>
  <c r="S32" i="20"/>
  <c r="L46" i="20"/>
  <c r="S46" i="20"/>
  <c r="V46" i="20"/>
  <c r="M46" i="20"/>
  <c r="M27" i="20"/>
  <c r="S27" i="20"/>
  <c r="L27" i="20"/>
  <c r="V27" i="20"/>
  <c r="M26" i="20"/>
  <c r="V26" i="20"/>
  <c r="S26" i="20"/>
  <c r="L26" i="20"/>
  <c r="L30" i="20"/>
  <c r="M30" i="20"/>
  <c r="V30" i="20"/>
  <c r="S30" i="20"/>
  <c r="S19" i="20"/>
  <c r="V19" i="20"/>
  <c r="M19" i="20"/>
  <c r="L19" i="20"/>
  <c r="V28" i="20"/>
  <c r="S28" i="20"/>
  <c r="M28" i="20"/>
  <c r="L28" i="20"/>
  <c r="M14" i="20"/>
  <c r="S14" i="20"/>
  <c r="V14" i="20"/>
  <c r="L14" i="20"/>
  <c r="K56" i="20" a="1"/>
  <c r="K56" i="20" s="1"/>
  <c r="K52" i="20" a="1"/>
  <c r="K52" i="20" s="1"/>
  <c r="K53" i="20" a="1"/>
  <c r="K53" i="20" s="1"/>
  <c r="K51" i="20" a="1"/>
  <c r="K51" i="20" s="1"/>
  <c r="V5" i="20"/>
  <c r="V50" i="20" s="1"/>
  <c r="V57" i="20" s="1"/>
  <c r="K54" i="20" a="1"/>
  <c r="K54" i="20" s="1"/>
  <c r="K50" i="20" a="1"/>
  <c r="K50" i="20" s="1"/>
  <c r="K55" i="20" a="1"/>
  <c r="K55" i="20" s="1"/>
  <c r="S5" i="20"/>
  <c r="L5" i="20"/>
  <c r="M5" i="20"/>
  <c r="M39" i="20"/>
  <c r="S39" i="20"/>
  <c r="V39" i="20"/>
  <c r="L39" i="20"/>
  <c r="S43" i="20"/>
  <c r="L43" i="20"/>
  <c r="V43" i="20"/>
  <c r="M43" i="20"/>
  <c r="M16" i="20"/>
  <c r="L16" i="20"/>
  <c r="S16" i="20"/>
  <c r="V16" i="20"/>
  <c r="L42" i="20"/>
  <c r="M42" i="20"/>
  <c r="S42" i="20"/>
  <c r="V42" i="20"/>
  <c r="V25" i="20"/>
  <c r="S25" i="20"/>
  <c r="M25" i="20"/>
  <c r="L25" i="20"/>
  <c r="M22" i="20"/>
  <c r="L22" i="20"/>
  <c r="V22" i="20"/>
  <c r="S22" i="20"/>
  <c r="V10" i="20"/>
  <c r="M10" i="20"/>
  <c r="L10" i="20"/>
  <c r="S10" i="20"/>
  <c r="S15" i="20"/>
  <c r="M15" i="20"/>
  <c r="V15" i="20"/>
  <c r="L15" i="20"/>
  <c r="L21" i="20"/>
  <c r="V21" i="20"/>
  <c r="S21" i="20"/>
  <c r="M21" i="20"/>
  <c r="V44" i="20"/>
  <c r="M44" i="20"/>
  <c r="L44" i="20"/>
  <c r="S44" i="20"/>
  <c r="S29" i="20"/>
  <c r="L29" i="20"/>
  <c r="M29" i="20"/>
  <c r="V29" i="20"/>
  <c r="V54" i="20" s="1"/>
  <c r="M31" i="20"/>
  <c r="S31" i="20"/>
  <c r="V31" i="20"/>
  <c r="L31" i="20"/>
  <c r="V24" i="20"/>
  <c r="S24" i="20"/>
  <c r="M24" i="20"/>
  <c r="L24" i="20"/>
  <c r="V11" i="20"/>
  <c r="M11" i="20"/>
  <c r="S11" i="20"/>
  <c r="L11" i="20"/>
  <c r="L34" i="20"/>
  <c r="M34" i="20"/>
  <c r="V34" i="20"/>
  <c r="V55" i="20" s="1"/>
  <c r="S34" i="20"/>
  <c r="M6" i="20"/>
  <c r="L6" i="20"/>
  <c r="S6" i="20"/>
  <c r="V6" i="20"/>
  <c r="S7" i="20"/>
  <c r="V7" i="20"/>
  <c r="L7" i="20"/>
  <c r="M7" i="20"/>
  <c r="V8" i="20"/>
  <c r="M8" i="20"/>
  <c r="L8" i="20"/>
  <c r="S8" i="20"/>
  <c r="V36" i="20"/>
  <c r="L36" i="20"/>
  <c r="M36" i="20"/>
  <c r="S36" i="20"/>
  <c r="V20" i="20"/>
  <c r="S20" i="20"/>
  <c r="M20" i="20"/>
  <c r="L20" i="20"/>
  <c r="S41" i="20"/>
  <c r="L41" i="20"/>
  <c r="V41" i="20"/>
  <c r="M41" i="20"/>
  <c r="V40" i="20"/>
  <c r="V56" i="20" s="1"/>
  <c r="M40" i="20"/>
  <c r="L40" i="20"/>
  <c r="S40" i="20"/>
  <c r="M18" i="20"/>
  <c r="S18" i="20"/>
  <c r="L18" i="20"/>
  <c r="V18" i="20"/>
  <c r="V9" i="20"/>
  <c r="V51" i="20" s="1"/>
  <c r="L9" i="20"/>
  <c r="S9" i="20"/>
  <c r="M9" i="20"/>
  <c r="L13" i="20"/>
  <c r="S13" i="20"/>
  <c r="M13" i="20"/>
  <c r="V13" i="20"/>
  <c r="L45" i="20"/>
  <c r="V45" i="20"/>
  <c r="S45" i="20"/>
  <c r="M45" i="20"/>
  <c r="S33" i="20"/>
  <c r="M33" i="20"/>
  <c r="L33" i="20"/>
  <c r="V33" i="20"/>
  <c r="M35" i="20"/>
  <c r="S35" i="20"/>
  <c r="V35" i="20"/>
  <c r="L35" i="20"/>
  <c r="M23" i="20"/>
  <c r="S23" i="20"/>
  <c r="V23" i="20"/>
  <c r="V53" i="20" s="1"/>
  <c r="L23" i="20"/>
  <c r="L12" i="20"/>
  <c r="M12" i="20"/>
  <c r="S12" i="20"/>
  <c r="V12" i="20"/>
  <c r="V52" i="20" s="1"/>
  <c r="M38" i="20"/>
  <c r="L38" i="20"/>
  <c r="V38" i="20"/>
  <c r="S38" i="20"/>
  <c r="V17" i="20"/>
  <c r="L17" i="20"/>
  <c r="S17" i="20"/>
  <c r="M17" i="20"/>
  <c r="BX6" i="19"/>
  <c r="BX55" i="19" s="1"/>
  <c r="BV55" i="19"/>
  <c r="BW55" i="19" s="1"/>
  <c r="BW6" i="19"/>
  <c r="AC57" i="19"/>
  <c r="BW7" i="19"/>
  <c r="BX7" i="19"/>
  <c r="BX56" i="19" s="1"/>
  <c r="BV56" i="19"/>
  <c r="BW56" i="19" s="1"/>
  <c r="AB57" i="19"/>
  <c r="BH57" i="19"/>
  <c r="BT50" i="19"/>
  <c r="BU57" i="19"/>
  <c r="BT57" i="19" s="1"/>
  <c r="BG50" i="19"/>
  <c r="BF57" i="19"/>
  <c r="BG57" i="19" s="1"/>
  <c r="BV53" i="19"/>
  <c r="BW53" i="19" s="1"/>
  <c r="BW9" i="19"/>
  <c r="BX9" i="19"/>
  <c r="BX53" i="19" s="1"/>
  <c r="BV50" i="19"/>
  <c r="BX17" i="19"/>
  <c r="BX50" i="19" s="1"/>
  <c r="BW17" i="19"/>
  <c r="BX26" i="19"/>
  <c r="BX51" i="19" s="1"/>
  <c r="BW26" i="19"/>
  <c r="BV51" i="19"/>
  <c r="BW51" i="19" s="1"/>
  <c r="BV52" i="19"/>
  <c r="BW52" i="19" s="1"/>
  <c r="BX5" i="19"/>
  <c r="BX52" i="19" s="1"/>
  <c r="BW5" i="19"/>
  <c r="BX10" i="19"/>
  <c r="BX54" i="19" s="1"/>
  <c r="BW10" i="19"/>
  <c r="BV54" i="19"/>
  <c r="BW54" i="19" s="1"/>
  <c r="AB15" i="42" l="1"/>
  <c r="P7" i="42"/>
  <c r="P43" i="42"/>
  <c r="AP44" i="42"/>
  <c r="Y15" i="42"/>
  <c r="AA15" i="42" s="1"/>
  <c r="Y20" i="42"/>
  <c r="AA20" i="42" s="1"/>
  <c r="AU44" i="42"/>
  <c r="CA44" i="42" s="1"/>
  <c r="P24" i="42"/>
  <c r="Q24" i="42" s="1"/>
  <c r="S26" i="41" s="1"/>
  <c r="N44" i="42"/>
  <c r="Y30" i="42"/>
  <c r="AA30" i="42" s="1"/>
  <c r="AD30" i="42"/>
  <c r="AM30" i="42" s="1"/>
  <c r="X30" i="42"/>
  <c r="N23" i="42"/>
  <c r="Q23" i="42" s="1"/>
  <c r="N16" i="42"/>
  <c r="Q16" i="42" s="1"/>
  <c r="S18" i="41" s="1"/>
  <c r="N28" i="44" s="1"/>
  <c r="AU38" i="42"/>
  <c r="CA38" i="42" s="1"/>
  <c r="AP7" i="42"/>
  <c r="Y46" i="42"/>
  <c r="AA46" i="42" s="1"/>
  <c r="Y23" i="42"/>
  <c r="AA23" i="42" s="1"/>
  <c r="W53" i="42"/>
  <c r="U41" i="42"/>
  <c r="AD43" i="42"/>
  <c r="AM43" i="42" s="1"/>
  <c r="AP13" i="42"/>
  <c r="X43" i="42"/>
  <c r="AB43" i="42"/>
  <c r="Y7" i="42"/>
  <c r="AA7" i="42" s="1"/>
  <c r="U7" i="42"/>
  <c r="AD7" i="42"/>
  <c r="AM7" i="42" s="1"/>
  <c r="X7" i="42"/>
  <c r="P20" i="42"/>
  <c r="Q20" i="42" s="1"/>
  <c r="S22" i="41" s="1"/>
  <c r="U43" i="42"/>
  <c r="AP43" i="42"/>
  <c r="X24" i="42"/>
  <c r="Y43" i="42"/>
  <c r="AA43" i="42" s="1"/>
  <c r="U24" i="42"/>
  <c r="Y11" i="42"/>
  <c r="AA11" i="42" s="1"/>
  <c r="AD24" i="42"/>
  <c r="AM24" i="42" s="1"/>
  <c r="X12" i="42"/>
  <c r="AB11" i="42"/>
  <c r="AU24" i="42"/>
  <c r="CA24" i="42" s="1"/>
  <c r="AU11" i="42"/>
  <c r="CA11" i="42" s="1"/>
  <c r="CB11" i="42" s="1"/>
  <c r="Y35" i="42"/>
  <c r="AA35" i="42" s="1"/>
  <c r="AD16" i="42"/>
  <c r="AM16" i="42" s="1"/>
  <c r="Y12" i="42"/>
  <c r="AA12" i="42" s="1"/>
  <c r="AP24" i="42"/>
  <c r="AP11" i="42"/>
  <c r="Y25" i="42"/>
  <c r="AA25" i="42" s="1"/>
  <c r="Y16" i="42"/>
  <c r="AA16" i="42" s="1"/>
  <c r="AB12" i="42"/>
  <c r="N38" i="42"/>
  <c r="Q38" i="42" s="1"/>
  <c r="S40" i="41" s="1"/>
  <c r="N43" i="44" s="1"/>
  <c r="AB16" i="42"/>
  <c r="U12" i="42"/>
  <c r="Y24" i="42"/>
  <c r="AA24" i="42" s="1"/>
  <c r="AP16" i="42"/>
  <c r="AD12" i="42"/>
  <c r="AD52" i="42" s="1"/>
  <c r="AD11" i="42"/>
  <c r="AM11" i="42" s="1"/>
  <c r="Y27" i="42"/>
  <c r="AA27" i="42" s="1"/>
  <c r="N37" i="42"/>
  <c r="Q37" i="42" s="1"/>
  <c r="S39" i="41" s="1"/>
  <c r="N10" i="44" s="1"/>
  <c r="N13" i="42"/>
  <c r="Q13" i="42" s="1"/>
  <c r="S15" i="41" s="1"/>
  <c r="N15" i="44" s="1"/>
  <c r="N30" i="42"/>
  <c r="P29" i="42"/>
  <c r="X16" i="42"/>
  <c r="N29" i="42"/>
  <c r="N54" i="42" s="1"/>
  <c r="AB41" i="42"/>
  <c r="AP41" i="42"/>
  <c r="AU41" i="42"/>
  <c r="CA41" i="42" s="1"/>
  <c r="CB41" i="42" s="1"/>
  <c r="P17" i="42"/>
  <c r="Q17" i="42" s="1"/>
  <c r="S19" i="41" s="1"/>
  <c r="X41" i="42"/>
  <c r="Y29" i="42"/>
  <c r="AA29" i="42" s="1"/>
  <c r="AP15" i="42"/>
  <c r="AP36" i="42"/>
  <c r="Y41" i="42"/>
  <c r="AA41" i="42" s="1"/>
  <c r="AD13" i="42"/>
  <c r="AM13" i="42" s="1"/>
  <c r="X15" i="42"/>
  <c r="U36" i="42"/>
  <c r="Y8" i="42"/>
  <c r="AA8" i="42" s="1"/>
  <c r="N32" i="42"/>
  <c r="X44" i="42"/>
  <c r="U13" i="42"/>
  <c r="Y32" i="42"/>
  <c r="AA32" i="42" s="1"/>
  <c r="AB36" i="42"/>
  <c r="U44" i="42"/>
  <c r="AP8" i="42"/>
  <c r="AB8" i="42"/>
  <c r="N11" i="42"/>
  <c r="X13" i="42"/>
  <c r="AB13" i="42"/>
  <c r="AB20" i="42"/>
  <c r="AD36" i="42"/>
  <c r="AM36" i="42" s="1"/>
  <c r="AD44" i="42"/>
  <c r="AM44" i="42" s="1"/>
  <c r="U8" i="42"/>
  <c r="X29" i="42"/>
  <c r="X36" i="42"/>
  <c r="AD15" i="42"/>
  <c r="AM15" i="42" s="1"/>
  <c r="U20" i="42"/>
  <c r="Y36" i="42"/>
  <c r="AA36" i="42" s="1"/>
  <c r="Y44" i="42"/>
  <c r="AA44" i="42" s="1"/>
  <c r="AD8" i="42"/>
  <c r="AM8" i="42" s="1"/>
  <c r="X20" i="42"/>
  <c r="AU15" i="42"/>
  <c r="CA15" i="42" s="1"/>
  <c r="CB15" i="42" s="1"/>
  <c r="AD20" i="42"/>
  <c r="AM20" i="42" s="1"/>
  <c r="AP20" i="42"/>
  <c r="AB30" i="42"/>
  <c r="AP30" i="42"/>
  <c r="AU30" i="42"/>
  <c r="CA30" i="42" s="1"/>
  <c r="CB30" i="42" s="1"/>
  <c r="P35" i="42"/>
  <c r="Q35" i="42" s="1"/>
  <c r="S37" i="41" s="1"/>
  <c r="N31" i="44" s="1"/>
  <c r="AP38" i="42"/>
  <c r="AD38" i="42"/>
  <c r="AM38" i="42" s="1"/>
  <c r="Y38" i="42"/>
  <c r="AA38" i="42" s="1"/>
  <c r="U38" i="42"/>
  <c r="N45" i="42"/>
  <c r="Q45" i="42" s="1"/>
  <c r="S47" i="41" s="1"/>
  <c r="N46" i="44" s="1"/>
  <c r="X21" i="42"/>
  <c r="X38" i="42"/>
  <c r="Y21" i="42"/>
  <c r="AA21" i="42" s="1"/>
  <c r="P36" i="42"/>
  <c r="Q36" i="42" s="1"/>
  <c r="S38" i="41" s="1"/>
  <c r="N8" i="44" s="1"/>
  <c r="AB21" i="42"/>
  <c r="U21" i="42"/>
  <c r="AD21" i="42"/>
  <c r="AM21" i="42" s="1"/>
  <c r="AP21" i="42"/>
  <c r="N27" i="42"/>
  <c r="AP46" i="42"/>
  <c r="P6" i="42"/>
  <c r="Q6" i="42" s="1"/>
  <c r="S8" i="41" s="1"/>
  <c r="X27" i="42"/>
  <c r="Y45" i="42"/>
  <c r="AA45" i="42" s="1"/>
  <c r="Y13" i="42"/>
  <c r="AA13" i="42" s="1"/>
  <c r="AP12" i="42"/>
  <c r="AP52" i="42" s="1"/>
  <c r="AO26" i="38"/>
  <c r="BC27" i="45"/>
  <c r="BC50" i="45" s="1"/>
  <c r="BB50" i="45"/>
  <c r="BG27" i="45"/>
  <c r="BG50" i="45" s="1"/>
  <c r="BF50" i="45"/>
  <c r="BK27" i="45"/>
  <c r="BK50" i="45" s="1"/>
  <c r="BJ50" i="45"/>
  <c r="AB61" i="37"/>
  <c r="Q21" i="42"/>
  <c r="S23" i="41" s="1"/>
  <c r="N9" i="44" s="1"/>
  <c r="Q42" i="42"/>
  <c r="S44" i="41" s="1"/>
  <c r="N45" i="44" s="1"/>
  <c r="CC24" i="38"/>
  <c r="CD24" i="38" s="1"/>
  <c r="Q26" i="42"/>
  <c r="S28" i="41" s="1"/>
  <c r="N17" i="44" s="1"/>
  <c r="Q19" i="42"/>
  <c r="S21" i="41" s="1"/>
  <c r="N22" i="44" s="1"/>
  <c r="Q14" i="42"/>
  <c r="S16" i="41" s="1"/>
  <c r="Q7" i="42"/>
  <c r="S9" i="41" s="1"/>
  <c r="N18" i="44" s="1"/>
  <c r="W32" i="38"/>
  <c r="Q8" i="42"/>
  <c r="S10" i="41" s="1"/>
  <c r="N33" i="44" s="1"/>
  <c r="CD19" i="38"/>
  <c r="CB19" i="38"/>
  <c r="CC19" i="38"/>
  <c r="W57" i="42"/>
  <c r="AO25" i="38"/>
  <c r="Q31" i="42"/>
  <c r="S33" i="41" s="1"/>
  <c r="Q18" i="42"/>
  <c r="S20" i="41" s="1"/>
  <c r="AA20" i="41" s="1"/>
  <c r="AI20" i="41" s="1"/>
  <c r="Q22" i="42"/>
  <c r="S24" i="41" s="1"/>
  <c r="N11" i="44" s="1"/>
  <c r="Q46" i="42"/>
  <c r="S48" i="41" s="1"/>
  <c r="N47" i="44" s="1"/>
  <c r="Q43" i="42"/>
  <c r="S45" i="41" s="1"/>
  <c r="N14" i="44" s="1"/>
  <c r="AO32" i="38"/>
  <c r="Q25" i="42"/>
  <c r="S27" i="41" s="1"/>
  <c r="N38" i="44" s="1"/>
  <c r="N56" i="42"/>
  <c r="W25" i="38"/>
  <c r="K57" i="42"/>
  <c r="Q39" i="42"/>
  <c r="S41" i="41" s="1"/>
  <c r="N20" i="44" s="1"/>
  <c r="Q33" i="42"/>
  <c r="S35" i="41" s="1"/>
  <c r="N13" i="44" s="1"/>
  <c r="CB25" i="38"/>
  <c r="CC25" i="38"/>
  <c r="CD25" i="38" s="1"/>
  <c r="CB32" i="38"/>
  <c r="CC32" i="38"/>
  <c r="CD32" i="38" s="1"/>
  <c r="AB52" i="42"/>
  <c r="U52" i="42"/>
  <c r="AP54" i="42"/>
  <c r="AU52" i="42"/>
  <c r="AD53" i="42"/>
  <c r="AM23" i="42"/>
  <c r="AM53" i="42" s="1"/>
  <c r="CB35" i="42"/>
  <c r="Q34" i="42"/>
  <c r="P55" i="42"/>
  <c r="AU50" i="42"/>
  <c r="CB19" i="42"/>
  <c r="P52" i="42"/>
  <c r="Q12" i="42"/>
  <c r="CB27" i="42"/>
  <c r="CB6" i="42"/>
  <c r="P56" i="42"/>
  <c r="Q40" i="42"/>
  <c r="CD25" i="42"/>
  <c r="CE25" i="42" s="1"/>
  <c r="CC25" i="42"/>
  <c r="CB44" i="42"/>
  <c r="CB17" i="42"/>
  <c r="AP56" i="42"/>
  <c r="R57" i="42"/>
  <c r="CO56" i="42" s="1"/>
  <c r="AB50" i="42"/>
  <c r="U50" i="42"/>
  <c r="X55" i="42"/>
  <c r="AD55" i="42"/>
  <c r="AM34" i="42"/>
  <c r="AM55" i="42" s="1"/>
  <c r="P50" i="42"/>
  <c r="Q5" i="42"/>
  <c r="CB37" i="42"/>
  <c r="CB31" i="42"/>
  <c r="CE21" i="42"/>
  <c r="CD21" i="42"/>
  <c r="CC21" i="42"/>
  <c r="N52" i="42"/>
  <c r="AP55" i="42"/>
  <c r="Q28" i="42"/>
  <c r="S30" i="41" s="1"/>
  <c r="N39" i="44" s="1"/>
  <c r="CB39" i="42"/>
  <c r="Q9" i="42"/>
  <c r="P51" i="42"/>
  <c r="CB24" i="42"/>
  <c r="CB7" i="42"/>
  <c r="CB33" i="42"/>
  <c r="AB56" i="42"/>
  <c r="U56" i="42"/>
  <c r="AP53" i="42"/>
  <c r="Q27" i="42"/>
  <c r="S29" i="41" s="1"/>
  <c r="N30" i="44" s="1"/>
  <c r="N50" i="42"/>
  <c r="AP51" i="42"/>
  <c r="CD46" i="42"/>
  <c r="CE46" i="42" s="1"/>
  <c r="CC46" i="42"/>
  <c r="X53" i="42"/>
  <c r="CB13" i="42"/>
  <c r="CC20" i="42"/>
  <c r="CE20" i="42"/>
  <c r="CD20" i="42"/>
  <c r="CA40" i="42"/>
  <c r="AU56" i="42"/>
  <c r="CA29" i="42"/>
  <c r="AU54" i="42"/>
  <c r="AB53" i="42"/>
  <c r="U53" i="42"/>
  <c r="AB55" i="42"/>
  <c r="U55" i="42"/>
  <c r="P54" i="42"/>
  <c r="U51" i="42"/>
  <c r="AB51" i="42"/>
  <c r="CD14" i="42"/>
  <c r="CE14" i="42" s="1"/>
  <c r="CC14" i="42"/>
  <c r="CD43" i="42"/>
  <c r="CE43" i="42"/>
  <c r="CC43" i="42"/>
  <c r="X50" i="42"/>
  <c r="Q44" i="42"/>
  <c r="S46" i="41" s="1"/>
  <c r="N27" i="44" s="1"/>
  <c r="Q15" i="42"/>
  <c r="S17" i="41" s="1"/>
  <c r="N24" i="44" s="1"/>
  <c r="X52" i="42"/>
  <c r="Q30" i="42"/>
  <c r="S32" i="41" s="1"/>
  <c r="N25" i="44" s="1"/>
  <c r="CB16" i="42"/>
  <c r="AP50" i="42"/>
  <c r="CA23" i="42"/>
  <c r="AU53" i="42"/>
  <c r="CA34" i="42"/>
  <c r="AU55" i="42"/>
  <c r="CB45" i="42"/>
  <c r="L57" i="42"/>
  <c r="P53" i="42"/>
  <c r="Q10" i="42"/>
  <c r="S12" i="41" s="1"/>
  <c r="N7" i="44" s="1"/>
  <c r="AU51" i="42"/>
  <c r="CA9" i="42"/>
  <c r="CB32" i="42"/>
  <c r="Q41" i="42"/>
  <c r="S43" i="41" s="1"/>
  <c r="N44" i="44" s="1"/>
  <c r="AO57" i="42"/>
  <c r="CB8" i="42"/>
  <c r="X54" i="42"/>
  <c r="CC26" i="42"/>
  <c r="CE26" i="42"/>
  <c r="CD26" i="42"/>
  <c r="Q32" i="42"/>
  <c r="S34" i="41" s="1"/>
  <c r="N42" i="44" s="1"/>
  <c r="CD42" i="42"/>
  <c r="CE42" i="42" s="1"/>
  <c r="CC42" i="42"/>
  <c r="W45" i="34"/>
  <c r="X51" i="42"/>
  <c r="CB10" i="42"/>
  <c r="AD56" i="42"/>
  <c r="AM40" i="42"/>
  <c r="AM56" i="42" s="1"/>
  <c r="AM29" i="42"/>
  <c r="AM54" i="42" s="1"/>
  <c r="AD54" i="42"/>
  <c r="CD22" i="42"/>
  <c r="CC22" i="42"/>
  <c r="CE22" i="42"/>
  <c r="Q11" i="42"/>
  <c r="S13" i="41" s="1"/>
  <c r="N6" i="44" s="1"/>
  <c r="CB38" i="42"/>
  <c r="CB28" i="42"/>
  <c r="AB54" i="42"/>
  <c r="U54" i="42"/>
  <c r="AM5" i="42"/>
  <c r="AM50" i="42" s="1"/>
  <c r="AD50" i="42"/>
  <c r="CB18" i="42"/>
  <c r="X56" i="42"/>
  <c r="CB12" i="42"/>
  <c r="CA52" i="42"/>
  <c r="N55" i="42"/>
  <c r="CB5" i="42"/>
  <c r="CA50" i="42"/>
  <c r="AD51" i="42"/>
  <c r="AM9" i="42"/>
  <c r="AM51" i="42" s="1"/>
  <c r="CE36" i="42"/>
  <c r="CC36" i="42"/>
  <c r="CD36" i="42"/>
  <c r="K54" i="34"/>
  <c r="K51" i="36"/>
  <c r="W14" i="36"/>
  <c r="W27" i="38"/>
  <c r="W6" i="36"/>
  <c r="W37" i="36"/>
  <c r="W30" i="38"/>
  <c r="AO13" i="36"/>
  <c r="AO27" i="38"/>
  <c r="W7" i="38"/>
  <c r="AO30" i="38"/>
  <c r="CC28" i="38"/>
  <c r="CD28" i="38" s="1"/>
  <c r="CB28" i="38"/>
  <c r="AO31" i="36"/>
  <c r="AO32" i="34"/>
  <c r="CC27" i="38"/>
  <c r="CD27" i="38" s="1"/>
  <c r="W28" i="38"/>
  <c r="AO10" i="34"/>
  <c r="W31" i="34"/>
  <c r="AO16" i="38"/>
  <c r="K50" i="34"/>
  <c r="AO15" i="36"/>
  <c r="AO25" i="34"/>
  <c r="AO28" i="38"/>
  <c r="W16" i="38"/>
  <c r="W24" i="34"/>
  <c r="W10" i="34"/>
  <c r="W14" i="38"/>
  <c r="W22" i="36"/>
  <c r="AO33" i="34"/>
  <c r="AO39" i="36"/>
  <c r="AO19" i="38"/>
  <c r="W17" i="38"/>
  <c r="W13" i="38"/>
  <c r="CB41" i="38"/>
  <c r="CC41" i="38"/>
  <c r="CD41" i="38" s="1"/>
  <c r="CD39" i="38"/>
  <c r="CB39" i="38"/>
  <c r="CC39" i="38"/>
  <c r="CC44" i="38"/>
  <c r="CB44" i="38"/>
  <c r="CD44" i="38"/>
  <c r="CC11" i="38"/>
  <c r="CB11" i="38"/>
  <c r="CD11" i="38"/>
  <c r="W21" i="34"/>
  <c r="W42" i="36"/>
  <c r="W32" i="34"/>
  <c r="AO19" i="36"/>
  <c r="AO33" i="36"/>
  <c r="W39" i="34"/>
  <c r="AO36" i="34"/>
  <c r="AO26" i="34"/>
  <c r="W42" i="38"/>
  <c r="AO38" i="38"/>
  <c r="AO30" i="34"/>
  <c r="AO27" i="34"/>
  <c r="W41" i="38"/>
  <c r="W14" i="34"/>
  <c r="W46" i="34"/>
  <c r="AO45" i="34"/>
  <c r="AO37" i="36"/>
  <c r="AO7" i="34"/>
  <c r="AO31" i="34"/>
  <c r="AO27" i="36"/>
  <c r="W26" i="34"/>
  <c r="AO17" i="38"/>
  <c r="W36" i="38"/>
  <c r="AO16" i="34"/>
  <c r="K56" i="38"/>
  <c r="AO22" i="38"/>
  <c r="AO14" i="38"/>
  <c r="AO6" i="38"/>
  <c r="AO18" i="38"/>
  <c r="W38" i="38"/>
  <c r="W39" i="38"/>
  <c r="AO32" i="36"/>
  <c r="AO14" i="36"/>
  <c r="AO45" i="36"/>
  <c r="AO6" i="36"/>
  <c r="W25" i="34"/>
  <c r="AO46" i="38"/>
  <c r="W15" i="38"/>
  <c r="AO33" i="38"/>
  <c r="AO20" i="38"/>
  <c r="K54" i="38"/>
  <c r="W32" i="36"/>
  <c r="W18" i="36"/>
  <c r="W42" i="34"/>
  <c r="AO16" i="36"/>
  <c r="W27" i="36"/>
  <c r="AO25" i="36"/>
  <c r="AO11" i="36"/>
  <c r="K52" i="38"/>
  <c r="AO15" i="38"/>
  <c r="W19" i="38"/>
  <c r="W10" i="38"/>
  <c r="W18" i="38"/>
  <c r="AO13" i="38"/>
  <c r="W20" i="38"/>
  <c r="AO7" i="38"/>
  <c r="W27" i="34"/>
  <c r="AO21" i="38"/>
  <c r="BZ12" i="38"/>
  <c r="BZ9" i="38"/>
  <c r="CB14" i="38"/>
  <c r="CC14" i="38"/>
  <c r="CD14" i="38" s="1"/>
  <c r="AO14" i="34"/>
  <c r="AO28" i="34"/>
  <c r="W20" i="34"/>
  <c r="AO24" i="36"/>
  <c r="AO39" i="34"/>
  <c r="W16" i="36"/>
  <c r="W41" i="36"/>
  <c r="W46" i="36"/>
  <c r="W46" i="38"/>
  <c r="T27" i="38"/>
  <c r="X27" i="38"/>
  <c r="Z27" i="38" s="1"/>
  <c r="AA27" i="38"/>
  <c r="AC27" i="38"/>
  <c r="AL27" i="38" s="1"/>
  <c r="L52" i="38"/>
  <c r="P12" i="38"/>
  <c r="N12" i="38"/>
  <c r="W45" i="38"/>
  <c r="P33" i="38"/>
  <c r="N33" i="38"/>
  <c r="P11" i="38"/>
  <c r="N11" i="38"/>
  <c r="AC19" i="38"/>
  <c r="AL19" i="38" s="1"/>
  <c r="T19" i="38"/>
  <c r="AA19" i="38"/>
  <c r="X19" i="38"/>
  <c r="Z19" i="38" s="1"/>
  <c r="W35" i="38"/>
  <c r="W43" i="38"/>
  <c r="AO42" i="38"/>
  <c r="T21" i="38"/>
  <c r="AA21" i="38"/>
  <c r="X21" i="38"/>
  <c r="Z21" i="38" s="1"/>
  <c r="AC21" i="38"/>
  <c r="AL21" i="38" s="1"/>
  <c r="W24" i="38"/>
  <c r="X6" i="38"/>
  <c r="Z6" i="38" s="1"/>
  <c r="AC6" i="38"/>
  <c r="AL6" i="38" s="1"/>
  <c r="T6" i="38"/>
  <c r="AA6" i="38"/>
  <c r="P16" i="38"/>
  <c r="N16" i="38"/>
  <c r="AC18" i="38"/>
  <c r="AL18" i="38" s="1"/>
  <c r="T18" i="38"/>
  <c r="AA18" i="38"/>
  <c r="X18" i="38"/>
  <c r="Z18" i="38" s="1"/>
  <c r="AT18" i="38"/>
  <c r="BZ18" i="38" s="1"/>
  <c r="CA18" i="38" s="1"/>
  <c r="CB18" i="38" s="1"/>
  <c r="AA36" i="38"/>
  <c r="X36" i="38"/>
  <c r="Z36" i="38" s="1"/>
  <c r="T36" i="38"/>
  <c r="AC36" i="38"/>
  <c r="AL36" i="38" s="1"/>
  <c r="X23" i="38"/>
  <c r="Z23" i="38" s="1"/>
  <c r="T23" i="38"/>
  <c r="AC23" i="38"/>
  <c r="AA23" i="38"/>
  <c r="AT23" i="38"/>
  <c r="R53" i="38"/>
  <c r="AO29" i="38"/>
  <c r="AN54" i="38"/>
  <c r="P31" i="38"/>
  <c r="N31" i="38"/>
  <c r="N7" i="38"/>
  <c r="P7" i="38"/>
  <c r="N25" i="38"/>
  <c r="P25" i="38"/>
  <c r="R50" i="38"/>
  <c r="T5" i="38"/>
  <c r="AC5" i="38"/>
  <c r="AA5" i="38"/>
  <c r="X5" i="38"/>
  <c r="Z5" i="38" s="1"/>
  <c r="AT5" i="38"/>
  <c r="AO20" i="36"/>
  <c r="T46" i="38"/>
  <c r="AA46" i="38"/>
  <c r="X46" i="38"/>
  <c r="Z46" i="38" s="1"/>
  <c r="AC46" i="38"/>
  <c r="AL46" i="38" s="1"/>
  <c r="AT46" i="38"/>
  <c r="BZ46" i="38" s="1"/>
  <c r="CA46" i="38" s="1"/>
  <c r="CC46" i="38" s="1"/>
  <c r="CD46" i="38" s="1"/>
  <c r="AN55" i="38"/>
  <c r="AO34" i="38"/>
  <c r="W33" i="38"/>
  <c r="W37" i="38"/>
  <c r="W11" i="38"/>
  <c r="N35" i="38"/>
  <c r="P35" i="38"/>
  <c r="P28" i="38"/>
  <c r="N28" i="38"/>
  <c r="X42" i="38"/>
  <c r="Z42" i="38" s="1"/>
  <c r="T42" i="38"/>
  <c r="AC42" i="38"/>
  <c r="AL42" i="38" s="1"/>
  <c r="AA42" i="38"/>
  <c r="AT42" i="38"/>
  <c r="BZ42" i="38" s="1"/>
  <c r="CA42" i="38" s="1"/>
  <c r="CC42" i="38" s="1"/>
  <c r="CD42" i="38" s="1"/>
  <c r="X22" i="38"/>
  <c r="Z22" i="38" s="1"/>
  <c r="T22" i="38"/>
  <c r="AT22" i="38"/>
  <c r="BZ22" i="38" s="1"/>
  <c r="CA22" i="38" s="1"/>
  <c r="CD22" i="38" s="1"/>
  <c r="AC22" i="38"/>
  <c r="AL22" i="38" s="1"/>
  <c r="AA22" i="38"/>
  <c r="X24" i="38"/>
  <c r="Z24" i="38" s="1"/>
  <c r="AA24" i="38"/>
  <c r="T24" i="38"/>
  <c r="AC24" i="38"/>
  <c r="AL24" i="38" s="1"/>
  <c r="AO44" i="38"/>
  <c r="N36" i="38"/>
  <c r="P36" i="38"/>
  <c r="AN53" i="38"/>
  <c r="AO23" i="38"/>
  <c r="L54" i="38"/>
  <c r="P29" i="38"/>
  <c r="N29" i="38"/>
  <c r="W26" i="38"/>
  <c r="AO8" i="36"/>
  <c r="AO46" i="36"/>
  <c r="X34" i="38"/>
  <c r="Z34" i="38" s="1"/>
  <c r="AT34" i="38"/>
  <c r="AC34" i="38"/>
  <c r="T34" i="38"/>
  <c r="AA34" i="38"/>
  <c r="R55" i="38"/>
  <c r="P45" i="38"/>
  <c r="N45" i="38"/>
  <c r="AT33" i="38"/>
  <c r="BZ33" i="38" s="1"/>
  <c r="CA33" i="38" s="1"/>
  <c r="CB33" i="38" s="1"/>
  <c r="T33" i="38"/>
  <c r="AC33" i="38"/>
  <c r="AL33" i="38" s="1"/>
  <c r="AA33" i="38"/>
  <c r="X33" i="38"/>
  <c r="Z33" i="38" s="1"/>
  <c r="N37" i="38"/>
  <c r="P37" i="38"/>
  <c r="N19" i="38"/>
  <c r="P19" i="38"/>
  <c r="N9" i="38"/>
  <c r="L51" i="38"/>
  <c r="P9" i="38"/>
  <c r="AT43" i="38"/>
  <c r="BZ43" i="38" s="1"/>
  <c r="CA43" i="38" s="1"/>
  <c r="AA43" i="38"/>
  <c r="X43" i="38"/>
  <c r="Z43" i="38" s="1"/>
  <c r="AC43" i="38"/>
  <c r="AL43" i="38" s="1"/>
  <c r="T43" i="38"/>
  <c r="P24" i="38"/>
  <c r="N24" i="38"/>
  <c r="K53" i="38"/>
  <c r="N20" i="38"/>
  <c r="P20" i="38"/>
  <c r="W31" i="38"/>
  <c r="K50" i="38"/>
  <c r="AO17" i="34"/>
  <c r="W44" i="34"/>
  <c r="W11" i="34"/>
  <c r="W8" i="38"/>
  <c r="N46" i="38"/>
  <c r="P46" i="38"/>
  <c r="AN52" i="38"/>
  <c r="AO12" i="38"/>
  <c r="V55" i="38"/>
  <c r="W34" i="38"/>
  <c r="AA11" i="38"/>
  <c r="X11" i="38"/>
  <c r="Z11" i="38" s="1"/>
  <c r="AC11" i="38"/>
  <c r="AL11" i="38" s="1"/>
  <c r="T11" i="38"/>
  <c r="V51" i="38"/>
  <c r="W9" i="38"/>
  <c r="P17" i="38"/>
  <c r="N17" i="38"/>
  <c r="P21" i="38"/>
  <c r="N21" i="38"/>
  <c r="N6" i="38"/>
  <c r="P6" i="38"/>
  <c r="T10" i="38"/>
  <c r="AT10" i="38"/>
  <c r="BZ10" i="38" s="1"/>
  <c r="CA10" i="38" s="1"/>
  <c r="CD10" i="38" s="1"/>
  <c r="AA10" i="38"/>
  <c r="X10" i="38"/>
  <c r="Z10" i="38" s="1"/>
  <c r="AC10" i="38"/>
  <c r="AL10" i="38" s="1"/>
  <c r="AC44" i="38"/>
  <c r="AL44" i="38" s="1"/>
  <c r="AA44" i="38"/>
  <c r="X44" i="38"/>
  <c r="Z44" i="38" s="1"/>
  <c r="T44" i="38"/>
  <c r="AA41" i="38"/>
  <c r="X41" i="38"/>
  <c r="Z41" i="38" s="1"/>
  <c r="T41" i="38"/>
  <c r="AC41" i="38"/>
  <c r="AL41" i="38" s="1"/>
  <c r="P18" i="38"/>
  <c r="N18" i="38"/>
  <c r="V53" i="38"/>
  <c r="W23" i="38"/>
  <c r="AC26" i="38"/>
  <c r="AL26" i="38" s="1"/>
  <c r="T26" i="38"/>
  <c r="AT26" i="38"/>
  <c r="BZ26" i="38" s="1"/>
  <c r="CA26" i="38" s="1"/>
  <c r="CC26" i="38" s="1"/>
  <c r="X26" i="38"/>
  <c r="Z26" i="38" s="1"/>
  <c r="AA26" i="38"/>
  <c r="X31" i="38"/>
  <c r="Z31" i="38" s="1"/>
  <c r="AA31" i="38"/>
  <c r="T31" i="38"/>
  <c r="AC31" i="38"/>
  <c r="AL31" i="38" s="1"/>
  <c r="P32" i="38"/>
  <c r="N32" i="38"/>
  <c r="AO26" i="36"/>
  <c r="W17" i="34"/>
  <c r="W15" i="34"/>
  <c r="AO18" i="36"/>
  <c r="AO46" i="34"/>
  <c r="W33" i="36"/>
  <c r="AO8" i="38"/>
  <c r="K55" i="38"/>
  <c r="AT15" i="38"/>
  <c r="BZ15" i="38" s="1"/>
  <c r="CA15" i="38" s="1"/>
  <c r="AC15" i="38"/>
  <c r="AL15" i="38" s="1"/>
  <c r="AA15" i="38"/>
  <c r="X15" i="38"/>
  <c r="Z15" i="38" s="1"/>
  <c r="T15" i="38"/>
  <c r="P40" i="38"/>
  <c r="N40" i="38"/>
  <c r="L56" i="38"/>
  <c r="AO11" i="38"/>
  <c r="AO35" i="38"/>
  <c r="AC28" i="38"/>
  <c r="AL28" i="38" s="1"/>
  <c r="T28" i="38"/>
  <c r="AA28" i="38"/>
  <c r="X28" i="38"/>
  <c r="Z28" i="38" s="1"/>
  <c r="N42" i="38"/>
  <c r="P42" i="38"/>
  <c r="P14" i="38"/>
  <c r="N14" i="38"/>
  <c r="W21" i="38"/>
  <c r="W6" i="38"/>
  <c r="AO10" i="38"/>
  <c r="P41" i="38"/>
  <c r="N41" i="38"/>
  <c r="AO36" i="38"/>
  <c r="X38" i="38"/>
  <c r="Z38" i="38" s="1"/>
  <c r="AC38" i="38"/>
  <c r="AL38" i="38" s="1"/>
  <c r="T38" i="38"/>
  <c r="AT38" i="38"/>
  <c r="BZ38" i="38" s="1"/>
  <c r="CA38" i="38" s="1"/>
  <c r="CC38" i="38" s="1"/>
  <c r="CD38" i="38" s="1"/>
  <c r="AA38" i="38"/>
  <c r="T20" i="38"/>
  <c r="AT20" i="38"/>
  <c r="BZ20" i="38" s="1"/>
  <c r="CA20" i="38" s="1"/>
  <c r="CC20" i="38" s="1"/>
  <c r="AA20" i="38"/>
  <c r="X20" i="38"/>
  <c r="Z20" i="38" s="1"/>
  <c r="AC20" i="38"/>
  <c r="AL20" i="38" s="1"/>
  <c r="T39" i="38"/>
  <c r="AA39" i="38"/>
  <c r="X39" i="38"/>
  <c r="Z39" i="38" s="1"/>
  <c r="AC39" i="38"/>
  <c r="AL39" i="38" s="1"/>
  <c r="P26" i="38"/>
  <c r="N26" i="38"/>
  <c r="AC32" i="38"/>
  <c r="AL32" i="38" s="1"/>
  <c r="AA32" i="38"/>
  <c r="X32" i="38"/>
  <c r="Z32" i="38" s="1"/>
  <c r="T32" i="38"/>
  <c r="X25" i="38"/>
  <c r="Z25" i="38" s="1"/>
  <c r="AA25" i="38"/>
  <c r="T25" i="38"/>
  <c r="AC25" i="38"/>
  <c r="AL25" i="38" s="1"/>
  <c r="AO5" i="38"/>
  <c r="AN50" i="38"/>
  <c r="O55" i="38" a="1"/>
  <c r="O55" i="38" s="1"/>
  <c r="O51" i="38" a="1"/>
  <c r="O51" i="38" s="1"/>
  <c r="AS51" i="38" a="1"/>
  <c r="AS51" i="38" s="1"/>
  <c r="L50" i="38"/>
  <c r="AS57" i="38" a="1"/>
  <c r="AS57" i="38" s="1"/>
  <c r="AS54" i="38" a="1"/>
  <c r="AS54" i="38" s="1"/>
  <c r="O54" i="38" a="1"/>
  <c r="O54" i="38" s="1"/>
  <c r="AS55" i="38" a="1"/>
  <c r="AS55" i="38" s="1"/>
  <c r="O53" i="38" a="1"/>
  <c r="O53" i="38" s="1"/>
  <c r="O50" i="38" a="1"/>
  <c r="O50" i="38" s="1"/>
  <c r="N5" i="38"/>
  <c r="AS50" i="38" a="1"/>
  <c r="AS50" i="38" s="1"/>
  <c r="AS52" i="38" a="1"/>
  <c r="AS52" i="38" s="1"/>
  <c r="AS53" i="38" a="1"/>
  <c r="AS53" i="38" s="1"/>
  <c r="AS56" i="38" a="1"/>
  <c r="AS56" i="38" s="1"/>
  <c r="P5" i="38"/>
  <c r="O56" i="38" a="1"/>
  <c r="O56" i="38" s="1"/>
  <c r="O52" i="38" a="1"/>
  <c r="O52" i="38" s="1"/>
  <c r="AO15" i="34"/>
  <c r="AC8" i="38"/>
  <c r="AL8" i="38" s="1"/>
  <c r="T8" i="38"/>
  <c r="AA8" i="38"/>
  <c r="X8" i="38"/>
  <c r="Z8" i="38" s="1"/>
  <c r="P27" i="38"/>
  <c r="N27" i="38"/>
  <c r="L55" i="38"/>
  <c r="P34" i="38"/>
  <c r="N34" i="38"/>
  <c r="AA37" i="38"/>
  <c r="X37" i="38"/>
  <c r="Z37" i="38" s="1"/>
  <c r="AC37" i="38"/>
  <c r="AL37" i="38" s="1"/>
  <c r="T37" i="38"/>
  <c r="R56" i="38"/>
  <c r="X40" i="38"/>
  <c r="Z40" i="38" s="1"/>
  <c r="AC40" i="38"/>
  <c r="AT40" i="38"/>
  <c r="T40" i="38"/>
  <c r="AA40" i="38"/>
  <c r="AA35" i="38"/>
  <c r="X35" i="38"/>
  <c r="Z35" i="38" s="1"/>
  <c r="AC35" i="38"/>
  <c r="AL35" i="38" s="1"/>
  <c r="T35" i="38"/>
  <c r="AA9" i="38"/>
  <c r="X9" i="38"/>
  <c r="Z9" i="38" s="1"/>
  <c r="R51" i="38"/>
  <c r="AC9" i="38"/>
  <c r="T9" i="38"/>
  <c r="P10" i="38"/>
  <c r="N10" i="38"/>
  <c r="P13" i="38"/>
  <c r="N13" i="38"/>
  <c r="P39" i="38"/>
  <c r="N39" i="38"/>
  <c r="W21" i="36"/>
  <c r="W30" i="36"/>
  <c r="K52" i="36"/>
  <c r="K51" i="34"/>
  <c r="W19" i="36"/>
  <c r="W16" i="34"/>
  <c r="W20" i="36"/>
  <c r="W35" i="36"/>
  <c r="W7" i="34"/>
  <c r="AO41" i="36"/>
  <c r="AO41" i="34"/>
  <c r="W12" i="38"/>
  <c r="V52" i="38"/>
  <c r="AO45" i="38"/>
  <c r="AO37" i="38"/>
  <c r="AN56" i="38"/>
  <c r="AO40" i="38"/>
  <c r="K51" i="38"/>
  <c r="AO43" i="38"/>
  <c r="AC17" i="38"/>
  <c r="AL17" i="38" s="1"/>
  <c r="AT17" i="38"/>
  <c r="BZ17" i="38" s="1"/>
  <c r="CA17" i="38" s="1"/>
  <c r="CC17" i="38" s="1"/>
  <c r="T17" i="38"/>
  <c r="AA17" i="38"/>
  <c r="X17" i="38"/>
  <c r="Z17" i="38" s="1"/>
  <c r="W22" i="38"/>
  <c r="AT6" i="38"/>
  <c r="BZ6" i="38" s="1"/>
  <c r="CA6" i="38" s="1"/>
  <c r="W44" i="38"/>
  <c r="AT16" i="38"/>
  <c r="BZ16" i="38" s="1"/>
  <c r="CA16" i="38" s="1"/>
  <c r="AC16" i="38"/>
  <c r="AL16" i="38" s="1"/>
  <c r="T16" i="38"/>
  <c r="X16" i="38"/>
  <c r="Z16" i="38" s="1"/>
  <c r="AA16" i="38"/>
  <c r="AO41" i="38"/>
  <c r="AT36" i="38"/>
  <c r="BZ36" i="38" s="1"/>
  <c r="CA36" i="38" s="1"/>
  <c r="AA13" i="38"/>
  <c r="AC13" i="38"/>
  <c r="AL13" i="38" s="1"/>
  <c r="AT13" i="38"/>
  <c r="BZ13" i="38" s="1"/>
  <c r="CA13" i="38" s="1"/>
  <c r="CC13" i="38" s="1"/>
  <c r="T13" i="38"/>
  <c r="X13" i="38"/>
  <c r="Z13" i="38" s="1"/>
  <c r="V54" i="38"/>
  <c r="W29" i="38"/>
  <c r="AO39" i="38"/>
  <c r="AO31" i="38"/>
  <c r="AT7" i="38"/>
  <c r="BZ7" i="38" s="1"/>
  <c r="CA7" i="38" s="1"/>
  <c r="CC7" i="38" s="1"/>
  <c r="X7" i="38"/>
  <c r="Z7" i="38" s="1"/>
  <c r="AC7" i="38"/>
  <c r="AL7" i="38" s="1"/>
  <c r="T7" i="38"/>
  <c r="AA7" i="38"/>
  <c r="AC30" i="38"/>
  <c r="AL30" i="38" s="1"/>
  <c r="T30" i="38"/>
  <c r="AA30" i="38"/>
  <c r="AT30" i="38"/>
  <c r="BZ30" i="38" s="1"/>
  <c r="CA30" i="38" s="1"/>
  <c r="CB30" i="38" s="1"/>
  <c r="X30" i="38"/>
  <c r="Z30" i="38" s="1"/>
  <c r="V50" i="38"/>
  <c r="W5" i="38"/>
  <c r="AT8" i="38"/>
  <c r="BZ8" i="38" s="1"/>
  <c r="CA8" i="38" s="1"/>
  <c r="CB8" i="38" s="1"/>
  <c r="AO21" i="36"/>
  <c r="W31" i="36"/>
  <c r="W13" i="34"/>
  <c r="W10" i="36"/>
  <c r="W25" i="36"/>
  <c r="W41" i="34"/>
  <c r="N8" i="38"/>
  <c r="P8" i="38"/>
  <c r="R52" i="38"/>
  <c r="X12" i="38"/>
  <c r="Z12" i="38" s="1"/>
  <c r="AC12" i="38"/>
  <c r="T12" i="38"/>
  <c r="AA12" i="38"/>
  <c r="X45" i="38"/>
  <c r="Z45" i="38" s="1"/>
  <c r="T45" i="38"/>
  <c r="AA45" i="38"/>
  <c r="AC45" i="38"/>
  <c r="AL45" i="38" s="1"/>
  <c r="AT45" i="38"/>
  <c r="BZ45" i="38" s="1"/>
  <c r="CA45" i="38" s="1"/>
  <c r="CB45" i="38" s="1"/>
  <c r="N15" i="38"/>
  <c r="P15" i="38"/>
  <c r="AT37" i="38"/>
  <c r="BZ37" i="38" s="1"/>
  <c r="CA37" i="38" s="1"/>
  <c r="W40" i="38"/>
  <c r="V56" i="38"/>
  <c r="AT35" i="38"/>
  <c r="BZ35" i="38" s="1"/>
  <c r="CA35" i="38" s="1"/>
  <c r="AN51" i="38"/>
  <c r="AO9" i="38"/>
  <c r="P43" i="38"/>
  <c r="N43" i="38"/>
  <c r="N22" i="38"/>
  <c r="P22" i="38"/>
  <c r="T14" i="38"/>
  <c r="AC14" i="38"/>
  <c r="AL14" i="38" s="1"/>
  <c r="AA14" i="38"/>
  <c r="X14" i="38"/>
  <c r="Z14" i="38" s="1"/>
  <c r="AO24" i="38"/>
  <c r="N44" i="38"/>
  <c r="P44" i="38"/>
  <c r="N23" i="38"/>
  <c r="P23" i="38"/>
  <c r="L53" i="38"/>
  <c r="P38" i="38"/>
  <c r="N38" i="38"/>
  <c r="X29" i="38"/>
  <c r="Z29" i="38" s="1"/>
  <c r="AT29" i="38"/>
  <c r="AC29" i="38"/>
  <c r="T29" i="38"/>
  <c r="R54" i="38"/>
  <c r="AA29" i="38"/>
  <c r="AT31" i="38"/>
  <c r="BZ31" i="38" s="1"/>
  <c r="CA31" i="38" s="1"/>
  <c r="P30" i="38"/>
  <c r="N30" i="38"/>
  <c r="AT21" i="38"/>
  <c r="BZ21" i="38" s="1"/>
  <c r="CA21" i="38" s="1"/>
  <c r="CB21" i="38" s="1"/>
  <c r="BZ40" i="34"/>
  <c r="CA19" i="36"/>
  <c r="BZ12" i="36"/>
  <c r="CA25" i="36"/>
  <c r="CA43" i="36"/>
  <c r="CA8" i="34"/>
  <c r="AC43" i="34"/>
  <c r="AL43" i="34" s="1"/>
  <c r="T43" i="34"/>
  <c r="AA43" i="34"/>
  <c r="X43" i="34"/>
  <c r="Z43" i="34" s="1"/>
  <c r="CB10" i="38"/>
  <c r="L51" i="34"/>
  <c r="N9" i="34"/>
  <c r="P9" i="34"/>
  <c r="AT17" i="36"/>
  <c r="BZ17" i="36" s="1"/>
  <c r="AC17" i="36"/>
  <c r="AL17" i="36" s="1"/>
  <c r="AA17" i="36"/>
  <c r="X17" i="36"/>
  <c r="Z17" i="36" s="1"/>
  <c r="T17" i="36"/>
  <c r="AC26" i="36"/>
  <c r="AL26" i="36" s="1"/>
  <c r="AA26" i="36"/>
  <c r="X26" i="36"/>
  <c r="Z26" i="36" s="1"/>
  <c r="T26" i="36"/>
  <c r="AT14" i="34"/>
  <c r="BZ14" i="34" s="1"/>
  <c r="AC14" i="34"/>
  <c r="AL14" i="34" s="1"/>
  <c r="T14" i="34"/>
  <c r="AA14" i="34"/>
  <c r="X14" i="34"/>
  <c r="Z14" i="34" s="1"/>
  <c r="P17" i="34"/>
  <c r="N17" i="34"/>
  <c r="W38" i="34"/>
  <c r="N40" i="36"/>
  <c r="L56" i="36"/>
  <c r="P40" i="36"/>
  <c r="W43" i="36"/>
  <c r="V51" i="36"/>
  <c r="W9" i="36"/>
  <c r="AT43" i="34"/>
  <c r="BZ43" i="34" s="1"/>
  <c r="N35" i="34"/>
  <c r="P35" i="34"/>
  <c r="AT8" i="36"/>
  <c r="BZ8" i="36" s="1"/>
  <c r="X8" i="36"/>
  <c r="Z8" i="36" s="1"/>
  <c r="T8" i="36"/>
  <c r="AA8" i="36"/>
  <c r="AC8" i="36"/>
  <c r="AL8" i="36" s="1"/>
  <c r="K55" i="36"/>
  <c r="P31" i="36"/>
  <c r="N31" i="36"/>
  <c r="AN52" i="36"/>
  <c r="AO12" i="36"/>
  <c r="P42" i="34"/>
  <c r="N42" i="34"/>
  <c r="N22" i="36"/>
  <c r="P22" i="36"/>
  <c r="AT10" i="36"/>
  <c r="BZ10" i="36" s="1"/>
  <c r="AC10" i="36"/>
  <c r="AL10" i="36" s="1"/>
  <c r="T10" i="36"/>
  <c r="X10" i="36"/>
  <c r="Z10" i="36" s="1"/>
  <c r="AA10" i="36"/>
  <c r="AN55" i="34"/>
  <c r="AO34" i="34"/>
  <c r="AO37" i="34"/>
  <c r="W8" i="34"/>
  <c r="AA20" i="36"/>
  <c r="AC20" i="36"/>
  <c r="AL20" i="36" s="1"/>
  <c r="T20" i="36"/>
  <c r="X20" i="36"/>
  <c r="Z20" i="36" s="1"/>
  <c r="AT5" i="34"/>
  <c r="AC5" i="34"/>
  <c r="AA5" i="34"/>
  <c r="X5" i="34"/>
  <c r="Z5" i="34" s="1"/>
  <c r="R50" i="34"/>
  <c r="T5" i="34"/>
  <c r="P39" i="36"/>
  <c r="N39" i="36"/>
  <c r="N33" i="36"/>
  <c r="P33" i="36"/>
  <c r="W24" i="36"/>
  <c r="K53" i="36"/>
  <c r="AT11" i="34"/>
  <c r="BZ11" i="34" s="1"/>
  <c r="T11" i="34"/>
  <c r="AA11" i="34"/>
  <c r="X11" i="34"/>
  <c r="Z11" i="34" s="1"/>
  <c r="AC11" i="34"/>
  <c r="AL11" i="34" s="1"/>
  <c r="AO24" i="34"/>
  <c r="P10" i="34"/>
  <c r="N10" i="34"/>
  <c r="N23" i="34"/>
  <c r="P23" i="34"/>
  <c r="L53" i="34"/>
  <c r="AT7" i="34"/>
  <c r="BZ7" i="34" s="1"/>
  <c r="AA7" i="34"/>
  <c r="X7" i="34"/>
  <c r="Z7" i="34" s="1"/>
  <c r="AC7" i="34"/>
  <c r="AL7" i="34" s="1"/>
  <c r="T7" i="34"/>
  <c r="W22" i="34"/>
  <c r="P31" i="34"/>
  <c r="N31" i="34"/>
  <c r="W38" i="36"/>
  <c r="AN54" i="36"/>
  <c r="AO29" i="36"/>
  <c r="N11" i="36"/>
  <c r="P11" i="36"/>
  <c r="N12" i="34"/>
  <c r="L52" i="34"/>
  <c r="P12" i="34"/>
  <c r="X41" i="34"/>
  <c r="Z41" i="34" s="1"/>
  <c r="AC41" i="34"/>
  <c r="AL41" i="34" s="1"/>
  <c r="T41" i="34"/>
  <c r="AA41" i="34"/>
  <c r="N26" i="34"/>
  <c r="P26" i="34"/>
  <c r="W15" i="36"/>
  <c r="P25" i="34"/>
  <c r="N25" i="34"/>
  <c r="V54" i="34"/>
  <c r="W29" i="34"/>
  <c r="P10" i="36"/>
  <c r="N10" i="36"/>
  <c r="V50" i="34"/>
  <c r="W5" i="34"/>
  <c r="P21" i="36"/>
  <c r="N21" i="36"/>
  <c r="P26" i="36"/>
  <c r="N26" i="36"/>
  <c r="AT38" i="34"/>
  <c r="BZ38" i="34" s="1"/>
  <c r="AA38" i="34"/>
  <c r="X38" i="34"/>
  <c r="Z38" i="34" s="1"/>
  <c r="AC38" i="34"/>
  <c r="AL38" i="34" s="1"/>
  <c r="T38" i="34"/>
  <c r="V56" i="36"/>
  <c r="W40" i="36"/>
  <c r="P18" i="36"/>
  <c r="N18" i="36"/>
  <c r="N46" i="34"/>
  <c r="P46" i="34"/>
  <c r="AT44" i="34"/>
  <c r="BZ44" i="34" s="1"/>
  <c r="AC44" i="34"/>
  <c r="AL44" i="34" s="1"/>
  <c r="T44" i="34"/>
  <c r="X44" i="34"/>
  <c r="Z44" i="34" s="1"/>
  <c r="AA44" i="34"/>
  <c r="AO35" i="34"/>
  <c r="AN50" i="36"/>
  <c r="AO5" i="36"/>
  <c r="AT42" i="36"/>
  <c r="BZ42" i="36" s="1"/>
  <c r="T42" i="36"/>
  <c r="X42" i="36"/>
  <c r="Z42" i="36" s="1"/>
  <c r="AC42" i="36"/>
  <c r="AL42" i="36" s="1"/>
  <c r="AA42" i="36"/>
  <c r="AT42" i="34"/>
  <c r="BZ42" i="34" s="1"/>
  <c r="AC42" i="34"/>
  <c r="AL42" i="34" s="1"/>
  <c r="T42" i="34"/>
  <c r="AA42" i="34"/>
  <c r="X42" i="34"/>
  <c r="Z42" i="34" s="1"/>
  <c r="AO22" i="36"/>
  <c r="L55" i="34"/>
  <c r="P34" i="34"/>
  <c r="N34" i="34"/>
  <c r="AN56" i="34"/>
  <c r="AO40" i="34"/>
  <c r="AA39" i="36"/>
  <c r="X39" i="36"/>
  <c r="Z39" i="36" s="1"/>
  <c r="T39" i="36"/>
  <c r="AC39" i="36"/>
  <c r="AL39" i="36" s="1"/>
  <c r="V53" i="36"/>
  <c r="W23" i="36"/>
  <c r="N35" i="36"/>
  <c r="P35" i="36"/>
  <c r="AO17" i="36"/>
  <c r="CA22" i="34"/>
  <c r="N41" i="36"/>
  <c r="P41" i="36"/>
  <c r="AO38" i="36"/>
  <c r="L54" i="36"/>
  <c r="P29" i="36"/>
  <c r="N29" i="36"/>
  <c r="V52" i="34"/>
  <c r="W12" i="34"/>
  <c r="AT34" i="36"/>
  <c r="R55" i="36"/>
  <c r="X34" i="36"/>
  <c r="Z34" i="36" s="1"/>
  <c r="AA34" i="36"/>
  <c r="AC34" i="36"/>
  <c r="T34" i="36"/>
  <c r="P32" i="34"/>
  <c r="N32" i="34"/>
  <c r="N7" i="36"/>
  <c r="P7" i="36"/>
  <c r="CA26" i="36"/>
  <c r="W28" i="34"/>
  <c r="AO38" i="34"/>
  <c r="AT40" i="36"/>
  <c r="R56" i="36"/>
  <c r="X40" i="36"/>
  <c r="Z40" i="36" s="1"/>
  <c r="AC40" i="36"/>
  <c r="AA40" i="36"/>
  <c r="T40" i="36"/>
  <c r="AO43" i="36"/>
  <c r="CA18" i="36"/>
  <c r="N43" i="34"/>
  <c r="P43" i="34"/>
  <c r="AO21" i="34"/>
  <c r="N44" i="34"/>
  <c r="P44" i="34"/>
  <c r="AO20" i="34"/>
  <c r="W8" i="36"/>
  <c r="L50" i="36"/>
  <c r="O56" i="36" a="1"/>
  <c r="O56" i="36" s="1"/>
  <c r="P5" i="36"/>
  <c r="O55" i="36" a="1"/>
  <c r="O55" i="36" s="1"/>
  <c r="O50" i="36" a="1"/>
  <c r="O50" i="36" s="1"/>
  <c r="N5" i="36"/>
  <c r="AS54" i="36" a="1"/>
  <c r="AS54" i="36" s="1"/>
  <c r="O53" i="36" a="1"/>
  <c r="O53" i="36" s="1"/>
  <c r="O52" i="36" a="1"/>
  <c r="O52" i="36" s="1"/>
  <c r="AS53" i="36" a="1"/>
  <c r="AS53" i="36" s="1"/>
  <c r="AS52" i="36" a="1"/>
  <c r="AS52" i="36" s="1"/>
  <c r="AS55" i="36" a="1"/>
  <c r="AS55" i="36" s="1"/>
  <c r="O51" i="36" a="1"/>
  <c r="O51" i="36" s="1"/>
  <c r="AS51" i="36" a="1"/>
  <c r="AS51" i="36" s="1"/>
  <c r="AS50" i="36" a="1"/>
  <c r="AS50" i="36" s="1"/>
  <c r="O54" i="36" a="1"/>
  <c r="O54" i="36" s="1"/>
  <c r="AS57" i="36" a="1"/>
  <c r="AS57" i="36" s="1"/>
  <c r="AS56" i="36" a="1"/>
  <c r="AS56" i="36" s="1"/>
  <c r="AT31" i="36"/>
  <c r="BZ31" i="36" s="1"/>
  <c r="AC31" i="36"/>
  <c r="AL31" i="36" s="1"/>
  <c r="AA31" i="36"/>
  <c r="T31" i="36"/>
  <c r="X31" i="36"/>
  <c r="Z31" i="36" s="1"/>
  <c r="N42" i="36"/>
  <c r="P42" i="36"/>
  <c r="AT45" i="34"/>
  <c r="BZ45" i="34" s="1"/>
  <c r="T45" i="34"/>
  <c r="AC45" i="34"/>
  <c r="AL45" i="34" s="1"/>
  <c r="X45" i="34"/>
  <c r="Z45" i="34" s="1"/>
  <c r="AA45" i="34"/>
  <c r="AO42" i="34"/>
  <c r="AO13" i="34"/>
  <c r="AT32" i="34"/>
  <c r="BZ32" i="34" s="1"/>
  <c r="T32" i="34"/>
  <c r="AC32" i="34"/>
  <c r="AL32" i="34" s="1"/>
  <c r="AA32" i="34"/>
  <c r="X32" i="34"/>
  <c r="Z32" i="34" s="1"/>
  <c r="N44" i="36"/>
  <c r="P44" i="36"/>
  <c r="P19" i="36"/>
  <c r="N19" i="36"/>
  <c r="AO10" i="36"/>
  <c r="R55" i="34"/>
  <c r="X34" i="34"/>
  <c r="Z34" i="34" s="1"/>
  <c r="AC34" i="34"/>
  <c r="T34" i="34"/>
  <c r="AA34" i="34"/>
  <c r="W37" i="34"/>
  <c r="K56" i="34"/>
  <c r="AT20" i="36"/>
  <c r="BZ20" i="36" s="1"/>
  <c r="N5" i="34"/>
  <c r="AS54" i="34" a="1"/>
  <c r="AS54" i="34" s="1"/>
  <c r="O53" i="34" a="1"/>
  <c r="O53" i="34" s="1"/>
  <c r="O54" i="34" a="1"/>
  <c r="O54" i="34" s="1"/>
  <c r="AS57" i="34" a="1"/>
  <c r="AS57" i="34" s="1"/>
  <c r="O51" i="34" a="1"/>
  <c r="O51" i="34" s="1"/>
  <c r="AS52" i="34" a="1"/>
  <c r="AS52" i="34" s="1"/>
  <c r="AS50" i="34" a="1"/>
  <c r="AS50" i="34" s="1"/>
  <c r="AS55" i="34" a="1"/>
  <c r="AS55" i="34" s="1"/>
  <c r="AS51" i="34" a="1"/>
  <c r="AS51" i="34" s="1"/>
  <c r="O52" i="34" a="1"/>
  <c r="O52" i="34" s="1"/>
  <c r="O50" i="34" a="1"/>
  <c r="O50" i="34" s="1"/>
  <c r="AS56" i="34" a="1"/>
  <c r="AS56" i="34" s="1"/>
  <c r="L50" i="34"/>
  <c r="AS53" i="34" a="1"/>
  <c r="AS53" i="34" s="1"/>
  <c r="O55" i="34" a="1"/>
  <c r="O55" i="34" s="1"/>
  <c r="P5" i="34"/>
  <c r="O56" i="34" a="1"/>
  <c r="O56" i="34" s="1"/>
  <c r="W39" i="36"/>
  <c r="AA24" i="36"/>
  <c r="X24" i="36"/>
  <c r="Z24" i="36" s="1"/>
  <c r="AC24" i="36"/>
  <c r="AL24" i="36" s="1"/>
  <c r="T24" i="36"/>
  <c r="AN53" i="36"/>
  <c r="AO23" i="36"/>
  <c r="W18" i="34"/>
  <c r="AT10" i="34"/>
  <c r="BZ10" i="34" s="1"/>
  <c r="AC10" i="34"/>
  <c r="AL10" i="34" s="1"/>
  <c r="AA10" i="34"/>
  <c r="X10" i="34"/>
  <c r="Z10" i="34" s="1"/>
  <c r="T10" i="34"/>
  <c r="AO35" i="36"/>
  <c r="AT28" i="36"/>
  <c r="BZ28" i="36" s="1"/>
  <c r="X28" i="36"/>
  <c r="Z28" i="36" s="1"/>
  <c r="AC28" i="36"/>
  <c r="AL28" i="36" s="1"/>
  <c r="T28" i="36"/>
  <c r="AA28" i="36"/>
  <c r="P17" i="36"/>
  <c r="N17" i="36"/>
  <c r="AO6" i="34"/>
  <c r="X22" i="34"/>
  <c r="Z22" i="34" s="1"/>
  <c r="AC22" i="34"/>
  <c r="AL22" i="34" s="1"/>
  <c r="T22" i="34"/>
  <c r="AA22" i="34"/>
  <c r="AA30" i="34"/>
  <c r="X30" i="34"/>
  <c r="Z30" i="34" s="1"/>
  <c r="T30" i="34"/>
  <c r="AC30" i="34"/>
  <c r="AL30" i="34" s="1"/>
  <c r="P38" i="36"/>
  <c r="N38" i="36"/>
  <c r="V54" i="36"/>
  <c r="W29" i="36"/>
  <c r="K52" i="34"/>
  <c r="P15" i="36"/>
  <c r="N15" i="36"/>
  <c r="AT19" i="34"/>
  <c r="BZ19" i="34" s="1"/>
  <c r="T19" i="34"/>
  <c r="AC19" i="34"/>
  <c r="AL19" i="34" s="1"/>
  <c r="AA19" i="34"/>
  <c r="X19" i="34"/>
  <c r="Z19" i="34" s="1"/>
  <c r="CA24" i="36"/>
  <c r="AN53" i="34"/>
  <c r="AO23" i="34"/>
  <c r="AT38" i="36"/>
  <c r="BZ38" i="36" s="1"/>
  <c r="AC38" i="36"/>
  <c r="AL38" i="36" s="1"/>
  <c r="AA38" i="36"/>
  <c r="X38" i="36"/>
  <c r="Z38" i="36" s="1"/>
  <c r="T38" i="36"/>
  <c r="N25" i="36"/>
  <c r="P25" i="36"/>
  <c r="AT29" i="36"/>
  <c r="R54" i="36"/>
  <c r="AC29" i="36"/>
  <c r="X29" i="36"/>
  <c r="Z29" i="36" s="1"/>
  <c r="T29" i="36"/>
  <c r="AA29" i="36"/>
  <c r="CA15" i="36"/>
  <c r="AO7" i="36"/>
  <c r="AO30" i="36"/>
  <c r="W26" i="36"/>
  <c r="P14" i="34"/>
  <c r="N14" i="34"/>
  <c r="AT15" i="34"/>
  <c r="BZ15" i="34" s="1"/>
  <c r="T15" i="34"/>
  <c r="AA15" i="34"/>
  <c r="X15" i="34"/>
  <c r="Z15" i="34" s="1"/>
  <c r="AC15" i="34"/>
  <c r="AL15" i="34" s="1"/>
  <c r="W13" i="36"/>
  <c r="N43" i="36"/>
  <c r="P43" i="36"/>
  <c r="AA18" i="36"/>
  <c r="T18" i="36"/>
  <c r="X18" i="36"/>
  <c r="Z18" i="36" s="1"/>
  <c r="AC18" i="36"/>
  <c r="AL18" i="36" s="1"/>
  <c r="W43" i="34"/>
  <c r="AO44" i="34"/>
  <c r="W5" i="36"/>
  <c r="V50" i="36"/>
  <c r="AO42" i="36"/>
  <c r="AT13" i="34"/>
  <c r="BZ13" i="34" s="1"/>
  <c r="AA13" i="34"/>
  <c r="X13" i="34"/>
  <c r="Z13" i="34" s="1"/>
  <c r="T13" i="34"/>
  <c r="AC13" i="34"/>
  <c r="AL13" i="34" s="1"/>
  <c r="AT29" i="34"/>
  <c r="R54" i="34"/>
  <c r="T29" i="34"/>
  <c r="AA29" i="34"/>
  <c r="X29" i="34"/>
  <c r="Z29" i="34" s="1"/>
  <c r="AC29" i="34"/>
  <c r="W44" i="36"/>
  <c r="AA19" i="36"/>
  <c r="T19" i="36"/>
  <c r="AC19" i="36"/>
  <c r="AL19" i="36" s="1"/>
  <c r="X19" i="36"/>
  <c r="Z19" i="36" s="1"/>
  <c r="W33" i="34"/>
  <c r="AT37" i="34"/>
  <c r="BZ37" i="34" s="1"/>
  <c r="X37" i="34"/>
  <c r="Z37" i="34" s="1"/>
  <c r="AC37" i="34"/>
  <c r="AL37" i="34" s="1"/>
  <c r="AA37" i="34"/>
  <c r="T37" i="34"/>
  <c r="P16" i="34"/>
  <c r="N16" i="34"/>
  <c r="P8" i="34"/>
  <c r="N8" i="34"/>
  <c r="P20" i="36"/>
  <c r="N20" i="36"/>
  <c r="AT14" i="36"/>
  <c r="BZ14" i="36" s="1"/>
  <c r="AA14" i="36"/>
  <c r="X14" i="36"/>
  <c r="Z14" i="36" s="1"/>
  <c r="AC14" i="36"/>
  <c r="AL14" i="36" s="1"/>
  <c r="T14" i="36"/>
  <c r="AT33" i="36"/>
  <c r="BZ33" i="36" s="1"/>
  <c r="X33" i="36"/>
  <c r="Z33" i="36" s="1"/>
  <c r="T33" i="36"/>
  <c r="AC33" i="36"/>
  <c r="AL33" i="36" s="1"/>
  <c r="AA33" i="36"/>
  <c r="W45" i="36"/>
  <c r="P23" i="36"/>
  <c r="N23" i="36"/>
  <c r="L53" i="36"/>
  <c r="AO11" i="34"/>
  <c r="N18" i="34"/>
  <c r="P18" i="34"/>
  <c r="AT39" i="34"/>
  <c r="BZ39" i="34" s="1"/>
  <c r="AA39" i="34"/>
  <c r="X39" i="34"/>
  <c r="Z39" i="34" s="1"/>
  <c r="AC39" i="34"/>
  <c r="AL39" i="34" s="1"/>
  <c r="T39" i="34"/>
  <c r="AO28" i="36"/>
  <c r="P16" i="36"/>
  <c r="N16" i="36"/>
  <c r="N22" i="34"/>
  <c r="P22" i="34"/>
  <c r="W30" i="34"/>
  <c r="K54" i="36"/>
  <c r="AT36" i="34"/>
  <c r="BZ36" i="34" s="1"/>
  <c r="AC36" i="34"/>
  <c r="AL36" i="34" s="1"/>
  <c r="T36" i="34"/>
  <c r="AA36" i="34"/>
  <c r="X36" i="34"/>
  <c r="Z36" i="34" s="1"/>
  <c r="AC26" i="34"/>
  <c r="AL26" i="34" s="1"/>
  <c r="T26" i="34"/>
  <c r="AA26" i="34"/>
  <c r="X26" i="34"/>
  <c r="Z26" i="34" s="1"/>
  <c r="AA15" i="36"/>
  <c r="X15" i="36"/>
  <c r="Z15" i="36" s="1"/>
  <c r="AC15" i="36"/>
  <c r="AL15" i="36" s="1"/>
  <c r="T15" i="36"/>
  <c r="AO19" i="34"/>
  <c r="N15" i="34"/>
  <c r="P15" i="34"/>
  <c r="AN56" i="36"/>
  <c r="AO40" i="36"/>
  <c r="AN51" i="36"/>
  <c r="AO9" i="36"/>
  <c r="T35" i="34"/>
  <c r="AA35" i="34"/>
  <c r="X35" i="34"/>
  <c r="Z35" i="34" s="1"/>
  <c r="AC35" i="34"/>
  <c r="AL35" i="34" s="1"/>
  <c r="P36" i="36"/>
  <c r="N36" i="36"/>
  <c r="V56" i="34"/>
  <c r="W40" i="34"/>
  <c r="CA6" i="36"/>
  <c r="CA30" i="34"/>
  <c r="BZ12" i="34"/>
  <c r="P36" i="34"/>
  <c r="N36" i="34"/>
  <c r="W7" i="36"/>
  <c r="N30" i="36"/>
  <c r="P30" i="36"/>
  <c r="AT28" i="34"/>
  <c r="BZ28" i="34" s="1"/>
  <c r="AC28" i="34"/>
  <c r="AL28" i="34" s="1"/>
  <c r="T28" i="34"/>
  <c r="AA28" i="34"/>
  <c r="X28" i="34"/>
  <c r="Z28" i="34" s="1"/>
  <c r="N32" i="36"/>
  <c r="P32" i="36"/>
  <c r="X43" i="36"/>
  <c r="Z43" i="36" s="1"/>
  <c r="AC43" i="36"/>
  <c r="AL43" i="36" s="1"/>
  <c r="T43" i="36"/>
  <c r="AA43" i="36"/>
  <c r="L51" i="36"/>
  <c r="N9" i="36"/>
  <c r="P9" i="36"/>
  <c r="AO43" i="34"/>
  <c r="AT21" i="34"/>
  <c r="BZ21" i="34" s="1"/>
  <c r="AC21" i="34"/>
  <c r="AL21" i="34" s="1"/>
  <c r="T21" i="34"/>
  <c r="AA21" i="34"/>
  <c r="X21" i="34"/>
  <c r="Z21" i="34" s="1"/>
  <c r="AT20" i="34"/>
  <c r="BZ20" i="34" s="1"/>
  <c r="AA20" i="34"/>
  <c r="X20" i="34"/>
  <c r="Z20" i="34" s="1"/>
  <c r="T20" i="34"/>
  <c r="AC20" i="34"/>
  <c r="AL20" i="34" s="1"/>
  <c r="V55" i="36"/>
  <c r="W34" i="36"/>
  <c r="K50" i="36"/>
  <c r="V52" i="36"/>
  <c r="W12" i="36"/>
  <c r="N45" i="34"/>
  <c r="P45" i="34"/>
  <c r="V51" i="34"/>
  <c r="W9" i="34"/>
  <c r="P29" i="34"/>
  <c r="N29" i="34"/>
  <c r="L54" i="34"/>
  <c r="AO44" i="36"/>
  <c r="AO36" i="36"/>
  <c r="P37" i="34"/>
  <c r="N37" i="34"/>
  <c r="AT16" i="34"/>
  <c r="BZ16" i="34" s="1"/>
  <c r="AC16" i="34"/>
  <c r="AL16" i="34" s="1"/>
  <c r="T16" i="34"/>
  <c r="AA16" i="34"/>
  <c r="X16" i="34"/>
  <c r="Z16" i="34" s="1"/>
  <c r="AO8" i="34"/>
  <c r="AT45" i="36"/>
  <c r="BZ45" i="36" s="1"/>
  <c r="X45" i="36"/>
  <c r="Z45" i="36" s="1"/>
  <c r="AC45" i="36"/>
  <c r="AL45" i="36" s="1"/>
  <c r="T45" i="36"/>
  <c r="AA45" i="36"/>
  <c r="AT23" i="36"/>
  <c r="AC23" i="36"/>
  <c r="R53" i="36"/>
  <c r="AA23" i="36"/>
  <c r="X23" i="36"/>
  <c r="Z23" i="36" s="1"/>
  <c r="T23" i="36"/>
  <c r="P11" i="34"/>
  <c r="N11" i="34"/>
  <c r="AO18" i="34"/>
  <c r="V53" i="34"/>
  <c r="W23" i="34"/>
  <c r="N39" i="34"/>
  <c r="P39" i="34"/>
  <c r="P6" i="36"/>
  <c r="N6" i="36"/>
  <c r="P28" i="36"/>
  <c r="N28" i="36"/>
  <c r="P37" i="36"/>
  <c r="N37" i="36"/>
  <c r="AT16" i="36"/>
  <c r="BZ16" i="36" s="1"/>
  <c r="AA16" i="36"/>
  <c r="X16" i="36"/>
  <c r="Z16" i="36" s="1"/>
  <c r="T16" i="36"/>
  <c r="AC16" i="36"/>
  <c r="AL16" i="36" s="1"/>
  <c r="P6" i="34"/>
  <c r="N6" i="34"/>
  <c r="AO22" i="34"/>
  <c r="CA41" i="36"/>
  <c r="N27" i="36"/>
  <c r="P27" i="36"/>
  <c r="X25" i="36"/>
  <c r="Z25" i="36" s="1"/>
  <c r="AC25" i="36"/>
  <c r="AL25" i="36" s="1"/>
  <c r="T25" i="36"/>
  <c r="AA25" i="36"/>
  <c r="W11" i="36"/>
  <c r="W36" i="34"/>
  <c r="AT41" i="34"/>
  <c r="BZ41" i="34" s="1"/>
  <c r="AT27" i="34"/>
  <c r="BZ27" i="34" s="1"/>
  <c r="AC27" i="34"/>
  <c r="AL27" i="34" s="1"/>
  <c r="T27" i="34"/>
  <c r="X27" i="34"/>
  <c r="Z27" i="34" s="1"/>
  <c r="AA27" i="34"/>
  <c r="W19" i="34"/>
  <c r="N8" i="36"/>
  <c r="P8" i="36"/>
  <c r="P28" i="34"/>
  <c r="N28" i="34"/>
  <c r="AT13" i="36"/>
  <c r="BZ13" i="36" s="1"/>
  <c r="AC13" i="36"/>
  <c r="AL13" i="36" s="1"/>
  <c r="T13" i="36"/>
  <c r="AA13" i="36"/>
  <c r="X13" i="36"/>
  <c r="Z13" i="36" s="1"/>
  <c r="AT35" i="34"/>
  <c r="BZ35" i="34" s="1"/>
  <c r="L55" i="36"/>
  <c r="N34" i="36"/>
  <c r="P34" i="36"/>
  <c r="T5" i="36"/>
  <c r="AA5" i="36"/>
  <c r="X5" i="36"/>
  <c r="Z5" i="36" s="1"/>
  <c r="R50" i="36"/>
  <c r="AC5" i="36"/>
  <c r="X12" i="36"/>
  <c r="Z12" i="36" s="1"/>
  <c r="T12" i="36"/>
  <c r="AC12" i="36"/>
  <c r="R52" i="36"/>
  <c r="AA12" i="36"/>
  <c r="AO9" i="34"/>
  <c r="AN51" i="34"/>
  <c r="P13" i="34"/>
  <c r="N13" i="34"/>
  <c r="AT22" i="36"/>
  <c r="BZ22" i="36" s="1"/>
  <c r="X22" i="36"/>
  <c r="Z22" i="36" s="1"/>
  <c r="AC22" i="36"/>
  <c r="AL22" i="36" s="1"/>
  <c r="T22" i="36"/>
  <c r="AA22" i="36"/>
  <c r="T44" i="36"/>
  <c r="AA44" i="36"/>
  <c r="X44" i="36"/>
  <c r="Z44" i="36" s="1"/>
  <c r="AC44" i="36"/>
  <c r="AL44" i="36" s="1"/>
  <c r="AT36" i="36"/>
  <c r="BZ36" i="36" s="1"/>
  <c r="T36" i="36"/>
  <c r="AA36" i="36"/>
  <c r="X36" i="36"/>
  <c r="Z36" i="36" s="1"/>
  <c r="AC36" i="36"/>
  <c r="AL36" i="36" s="1"/>
  <c r="K55" i="34"/>
  <c r="N33" i="34"/>
  <c r="P33" i="34"/>
  <c r="R56" i="34"/>
  <c r="AA40" i="34"/>
  <c r="T40" i="34"/>
  <c r="AC40" i="34"/>
  <c r="X40" i="34"/>
  <c r="Z40" i="34" s="1"/>
  <c r="X8" i="34"/>
  <c r="Z8" i="34" s="1"/>
  <c r="AA8" i="34"/>
  <c r="T8" i="34"/>
  <c r="AC8" i="34"/>
  <c r="AL8" i="34" s="1"/>
  <c r="CA39" i="36"/>
  <c r="P14" i="36"/>
  <c r="N14" i="36"/>
  <c r="N45" i="36"/>
  <c r="P45" i="36"/>
  <c r="P24" i="34"/>
  <c r="N24" i="34"/>
  <c r="AT18" i="34"/>
  <c r="BZ18" i="34" s="1"/>
  <c r="AA18" i="34"/>
  <c r="T18" i="34"/>
  <c r="X18" i="34"/>
  <c r="Z18" i="34" s="1"/>
  <c r="AC18" i="34"/>
  <c r="AL18" i="34" s="1"/>
  <c r="K53" i="34"/>
  <c r="AA6" i="36"/>
  <c r="X6" i="36"/>
  <c r="Z6" i="36" s="1"/>
  <c r="T6" i="36"/>
  <c r="AC6" i="36"/>
  <c r="AL6" i="36" s="1"/>
  <c r="W28" i="36"/>
  <c r="AT37" i="36"/>
  <c r="BZ37" i="36" s="1"/>
  <c r="X37" i="36"/>
  <c r="Z37" i="36" s="1"/>
  <c r="AC37" i="36"/>
  <c r="AL37" i="36" s="1"/>
  <c r="T37" i="36"/>
  <c r="AA37" i="36"/>
  <c r="N7" i="34"/>
  <c r="P7" i="34"/>
  <c r="W6" i="34"/>
  <c r="AT31" i="34"/>
  <c r="BZ31" i="34" s="1"/>
  <c r="X31" i="34"/>
  <c r="Z31" i="34" s="1"/>
  <c r="T31" i="34"/>
  <c r="AA31" i="34"/>
  <c r="AC31" i="34"/>
  <c r="AL31" i="34" s="1"/>
  <c r="P30" i="34"/>
  <c r="N30" i="34"/>
  <c r="X41" i="36"/>
  <c r="Z41" i="36" s="1"/>
  <c r="T41" i="36"/>
  <c r="AC41" i="36"/>
  <c r="AL41" i="36" s="1"/>
  <c r="AA41" i="36"/>
  <c r="AT27" i="36"/>
  <c r="BZ27" i="36" s="1"/>
  <c r="AC27" i="36"/>
  <c r="AL27" i="36" s="1"/>
  <c r="T27" i="36"/>
  <c r="AA27" i="36"/>
  <c r="X27" i="36"/>
  <c r="Z27" i="36" s="1"/>
  <c r="AT46" i="36"/>
  <c r="BZ46" i="36" s="1"/>
  <c r="X46" i="36"/>
  <c r="Z46" i="36" s="1"/>
  <c r="T46" i="36"/>
  <c r="AC46" i="36"/>
  <c r="AL46" i="36" s="1"/>
  <c r="AA46" i="36"/>
  <c r="R52" i="34"/>
  <c r="AC12" i="34"/>
  <c r="T12" i="34"/>
  <c r="AA12" i="34"/>
  <c r="X12" i="34"/>
  <c r="Z12" i="34" s="1"/>
  <c r="N41" i="34"/>
  <c r="P41" i="34"/>
  <c r="N27" i="34"/>
  <c r="P27" i="34"/>
  <c r="AT25" i="34"/>
  <c r="BZ25" i="34" s="1"/>
  <c r="T25" i="34"/>
  <c r="AA25" i="34"/>
  <c r="X25" i="34"/>
  <c r="Z25" i="34" s="1"/>
  <c r="AC25" i="34"/>
  <c r="AL25" i="34" s="1"/>
  <c r="BZ34" i="34"/>
  <c r="AT7" i="36"/>
  <c r="BZ7" i="36" s="1"/>
  <c r="AC7" i="36"/>
  <c r="AL7" i="36" s="1"/>
  <c r="AA7" i="36"/>
  <c r="T7" i="36"/>
  <c r="X7" i="36"/>
  <c r="Z7" i="36" s="1"/>
  <c r="AT21" i="36"/>
  <c r="BZ21" i="36" s="1"/>
  <c r="AC21" i="36"/>
  <c r="AL21" i="36" s="1"/>
  <c r="T21" i="36"/>
  <c r="AA21" i="36"/>
  <c r="X21" i="36"/>
  <c r="Z21" i="36" s="1"/>
  <c r="AT30" i="36"/>
  <c r="BZ30" i="36" s="1"/>
  <c r="T30" i="36"/>
  <c r="AA30" i="36"/>
  <c r="X30" i="36"/>
  <c r="Z30" i="36" s="1"/>
  <c r="AC30" i="36"/>
  <c r="AL30" i="36" s="1"/>
  <c r="AT17" i="34"/>
  <c r="BZ17" i="34" s="1"/>
  <c r="AC17" i="34"/>
  <c r="AL17" i="34" s="1"/>
  <c r="T17" i="34"/>
  <c r="AA17" i="34"/>
  <c r="X17" i="34"/>
  <c r="Z17" i="34" s="1"/>
  <c r="P38" i="34"/>
  <c r="N38" i="34"/>
  <c r="AT32" i="36"/>
  <c r="BZ32" i="36" s="1"/>
  <c r="T32" i="36"/>
  <c r="AA32" i="36"/>
  <c r="AC32" i="36"/>
  <c r="AL32" i="36" s="1"/>
  <c r="X32" i="36"/>
  <c r="Z32" i="36" s="1"/>
  <c r="K56" i="36"/>
  <c r="P13" i="36"/>
  <c r="N13" i="36"/>
  <c r="AT9" i="36"/>
  <c r="R51" i="36"/>
  <c r="AC9" i="36"/>
  <c r="T9" i="36"/>
  <c r="X9" i="36"/>
  <c r="Z9" i="36" s="1"/>
  <c r="AA9" i="36"/>
  <c r="AT46" i="34"/>
  <c r="BZ46" i="34" s="1"/>
  <c r="X46" i="34"/>
  <c r="Z46" i="34" s="1"/>
  <c r="AC46" i="34"/>
  <c r="AL46" i="34" s="1"/>
  <c r="T46" i="34"/>
  <c r="AA46" i="34"/>
  <c r="P21" i="34"/>
  <c r="N21" i="34"/>
  <c r="W35" i="34"/>
  <c r="N20" i="34"/>
  <c r="P20" i="34"/>
  <c r="AN55" i="36"/>
  <c r="AO34" i="36"/>
  <c r="AT5" i="36"/>
  <c r="L52" i="36"/>
  <c r="P12" i="36"/>
  <c r="N12" i="36"/>
  <c r="AT9" i="34"/>
  <c r="R51" i="34"/>
  <c r="T9" i="34"/>
  <c r="AA9" i="34"/>
  <c r="X9" i="34"/>
  <c r="Z9" i="34" s="1"/>
  <c r="AC9" i="34"/>
  <c r="AN54" i="34"/>
  <c r="AO29" i="34"/>
  <c r="AT44" i="36"/>
  <c r="BZ44" i="36" s="1"/>
  <c r="W36" i="36"/>
  <c r="W34" i="34"/>
  <c r="V55" i="34"/>
  <c r="AT33" i="34"/>
  <c r="BZ33" i="34" s="1"/>
  <c r="AC33" i="34"/>
  <c r="AL33" i="34" s="1"/>
  <c r="AA33" i="34"/>
  <c r="X33" i="34"/>
  <c r="Z33" i="34" s="1"/>
  <c r="T33" i="34"/>
  <c r="L56" i="34"/>
  <c r="P40" i="34"/>
  <c r="N40" i="34"/>
  <c r="AN50" i="34"/>
  <c r="AO5" i="34"/>
  <c r="P24" i="36"/>
  <c r="N24" i="36"/>
  <c r="AT24" i="34"/>
  <c r="BZ24" i="34" s="1"/>
  <c r="CA24" i="34" s="1"/>
  <c r="X24" i="34"/>
  <c r="Z24" i="34" s="1"/>
  <c r="AC24" i="34"/>
  <c r="AL24" i="34" s="1"/>
  <c r="T24" i="34"/>
  <c r="AA24" i="34"/>
  <c r="AT23" i="34"/>
  <c r="AC23" i="34"/>
  <c r="T23" i="34"/>
  <c r="X23" i="34"/>
  <c r="Z23" i="34" s="1"/>
  <c r="AA23" i="34"/>
  <c r="R53" i="34"/>
  <c r="AT35" i="36"/>
  <c r="BZ35" i="36" s="1"/>
  <c r="T35" i="36"/>
  <c r="AA35" i="36"/>
  <c r="AC35" i="36"/>
  <c r="AL35" i="36" s="1"/>
  <c r="X35" i="36"/>
  <c r="Z35" i="36" s="1"/>
  <c r="W17" i="36"/>
  <c r="AT6" i="34"/>
  <c r="BZ6" i="34" s="1"/>
  <c r="X6" i="34"/>
  <c r="Z6" i="34" s="1"/>
  <c r="AC6" i="34"/>
  <c r="AL6" i="34" s="1"/>
  <c r="AA6" i="34"/>
  <c r="T6" i="34"/>
  <c r="N46" i="36"/>
  <c r="P46" i="36"/>
  <c r="AT11" i="36"/>
  <c r="BZ11" i="36" s="1"/>
  <c r="T11" i="36"/>
  <c r="AA11" i="36"/>
  <c r="AC11" i="36"/>
  <c r="AL11" i="36" s="1"/>
  <c r="X11" i="36"/>
  <c r="Z11" i="36" s="1"/>
  <c r="AN52" i="34"/>
  <c r="AO12" i="34"/>
  <c r="CA26" i="34"/>
  <c r="P19" i="34"/>
  <c r="N19" i="34"/>
  <c r="G21" i="25"/>
  <c r="H21" i="25" s="1"/>
  <c r="G9" i="25"/>
  <c r="H9" i="25" s="1"/>
  <c r="G18" i="25"/>
  <c r="H18" i="25" s="1"/>
  <c r="G24" i="25"/>
  <c r="H24" i="25" s="1"/>
  <c r="G33" i="25"/>
  <c r="H33" i="25" s="1"/>
  <c r="G46" i="25"/>
  <c r="H46" i="25" s="1"/>
  <c r="G16" i="25"/>
  <c r="H16" i="25" s="1"/>
  <c r="G12" i="25"/>
  <c r="H12" i="25" s="1"/>
  <c r="G20" i="25"/>
  <c r="H20" i="25" s="1"/>
  <c r="G28" i="25"/>
  <c r="H28" i="25" s="1"/>
  <c r="G39" i="25"/>
  <c r="H39" i="25" s="1"/>
  <c r="G44" i="25"/>
  <c r="H44" i="25" s="1"/>
  <c r="G23" i="25"/>
  <c r="H23" i="25" s="1"/>
  <c r="G14" i="25"/>
  <c r="H14" i="25" s="1"/>
  <c r="G8" i="25"/>
  <c r="H8" i="25" s="1"/>
  <c r="G22" i="25"/>
  <c r="H22" i="25" s="1"/>
  <c r="G27" i="25"/>
  <c r="H27" i="25" s="1"/>
  <c r="G11" i="25"/>
  <c r="H11" i="25" s="1"/>
  <c r="G42" i="25"/>
  <c r="H42" i="25" s="1"/>
  <c r="G32" i="25"/>
  <c r="H32" i="25" s="1"/>
  <c r="G30" i="25"/>
  <c r="H30" i="25" s="1"/>
  <c r="G10" i="25"/>
  <c r="H10" i="25" s="1"/>
  <c r="G34" i="25"/>
  <c r="H34" i="25" s="1"/>
  <c r="G31" i="25"/>
  <c r="H31" i="25" s="1"/>
  <c r="G5" i="25"/>
  <c r="H5" i="25" s="1"/>
  <c r="G15" i="25"/>
  <c r="H15" i="25" s="1"/>
  <c r="G45" i="25"/>
  <c r="H45" i="25" s="1"/>
  <c r="G7" i="25"/>
  <c r="H7" i="25" s="1"/>
  <c r="G29" i="25"/>
  <c r="H29" i="25" s="1"/>
  <c r="G19" i="25"/>
  <c r="H19" i="25" s="1"/>
  <c r="G37" i="25"/>
  <c r="H37" i="25" s="1"/>
  <c r="G6" i="25"/>
  <c r="H6" i="25" s="1"/>
  <c r="G43" i="25"/>
  <c r="H43" i="25" s="1"/>
  <c r="G26" i="25"/>
  <c r="H26" i="25" s="1"/>
  <c r="G38" i="25"/>
  <c r="H38" i="25" s="1"/>
  <c r="G35" i="25"/>
  <c r="H35" i="25" s="1"/>
  <c r="G36" i="25"/>
  <c r="H36" i="25" s="1"/>
  <c r="G41" i="25"/>
  <c r="H41" i="25" s="1"/>
  <c r="G25" i="25"/>
  <c r="H25" i="25" s="1"/>
  <c r="G13" i="25"/>
  <c r="H13" i="25" s="1"/>
  <c r="G40" i="25"/>
  <c r="H40" i="25" s="1"/>
  <c r="G17" i="25"/>
  <c r="H17" i="25" s="1"/>
  <c r="I21" i="25"/>
  <c r="L51" i="20"/>
  <c r="L53" i="20"/>
  <c r="L56" i="20"/>
  <c r="BZ41" i="19"/>
  <c r="CA41" i="19" s="1"/>
  <c r="Z9" i="20"/>
  <c r="X9" i="20"/>
  <c r="U9" i="20"/>
  <c r="W9" i="20"/>
  <c r="S51" i="20"/>
  <c r="BZ35" i="19"/>
  <c r="CA35" i="19" s="1"/>
  <c r="X6" i="20"/>
  <c r="U6" i="20"/>
  <c r="W6" i="20"/>
  <c r="Z6" i="20"/>
  <c r="AF6" i="20" s="1"/>
  <c r="BZ21" i="19"/>
  <c r="CA21" i="19" s="1"/>
  <c r="W42" i="20"/>
  <c r="U42" i="20"/>
  <c r="X42" i="20"/>
  <c r="Z42" i="20"/>
  <c r="AF42" i="20" s="1"/>
  <c r="BZ19" i="19"/>
  <c r="CA19" i="19" s="1"/>
  <c r="Z27" i="20"/>
  <c r="AF27" i="20" s="1"/>
  <c r="X27" i="20"/>
  <c r="W27" i="20"/>
  <c r="U27" i="20"/>
  <c r="L52" i="20"/>
  <c r="O35" i="20"/>
  <c r="Q35" i="20"/>
  <c r="Q8" i="20"/>
  <c r="O8" i="20"/>
  <c r="BZ11" i="19"/>
  <c r="CA11" i="19" s="1"/>
  <c r="Z23" i="20"/>
  <c r="S53" i="20"/>
  <c r="X23" i="20"/>
  <c r="W23" i="20"/>
  <c r="U23" i="20"/>
  <c r="Q36" i="20"/>
  <c r="O36" i="20"/>
  <c r="BZ38" i="19"/>
  <c r="CA38" i="19" s="1"/>
  <c r="Z33" i="20"/>
  <c r="AF33" i="20" s="1"/>
  <c r="X33" i="20"/>
  <c r="W33" i="20"/>
  <c r="U33" i="20"/>
  <c r="O18" i="20"/>
  <c r="Q18" i="20"/>
  <c r="BZ7" i="19"/>
  <c r="CA7" i="19" s="1"/>
  <c r="Z41" i="20"/>
  <c r="AF41" i="20" s="1"/>
  <c r="X41" i="20"/>
  <c r="W41" i="20"/>
  <c r="U41" i="20"/>
  <c r="BZ32" i="19"/>
  <c r="CA32" i="19" s="1"/>
  <c r="W7" i="20"/>
  <c r="U7" i="20"/>
  <c r="Z7" i="20"/>
  <c r="AF7" i="20" s="1"/>
  <c r="X7" i="20"/>
  <c r="L55" i="20"/>
  <c r="BZ31" i="19"/>
  <c r="CA31" i="19" s="1"/>
  <c r="X29" i="20"/>
  <c r="U29" i="20"/>
  <c r="Z29" i="20"/>
  <c r="S54" i="20"/>
  <c r="W29" i="20"/>
  <c r="O16" i="20"/>
  <c r="Q16" i="20"/>
  <c r="Q39" i="20"/>
  <c r="O39" i="20"/>
  <c r="BZ16" i="19"/>
  <c r="CA16" i="19" s="1"/>
  <c r="X30" i="20"/>
  <c r="Z30" i="20"/>
  <c r="AF30" i="20" s="1"/>
  <c r="W30" i="20"/>
  <c r="U30" i="20"/>
  <c r="BZ45" i="19"/>
  <c r="CA45" i="19" s="1"/>
  <c r="Z32" i="20"/>
  <c r="AF32" i="20" s="1"/>
  <c r="X32" i="20"/>
  <c r="W32" i="20"/>
  <c r="U32" i="20"/>
  <c r="BZ27" i="19"/>
  <c r="CA27" i="19" s="1"/>
  <c r="U35" i="20"/>
  <c r="Z35" i="20"/>
  <c r="AF35" i="20" s="1"/>
  <c r="X35" i="20"/>
  <c r="W35" i="20"/>
  <c r="L50" i="20"/>
  <c r="BZ9" i="19"/>
  <c r="CA9" i="19" s="1"/>
  <c r="Z28" i="20"/>
  <c r="AF28" i="20" s="1"/>
  <c r="X28" i="20"/>
  <c r="W28" i="20"/>
  <c r="U28" i="20"/>
  <c r="O30" i="20"/>
  <c r="Q30" i="20"/>
  <c r="Q17" i="20"/>
  <c r="O17" i="20"/>
  <c r="BZ13" i="19"/>
  <c r="CA13" i="19" s="1"/>
  <c r="Z17" i="20"/>
  <c r="AF17" i="20" s="1"/>
  <c r="X17" i="20"/>
  <c r="W17" i="20"/>
  <c r="U17" i="20"/>
  <c r="BZ5" i="19"/>
  <c r="CA5" i="19" s="1"/>
  <c r="S52" i="20"/>
  <c r="U12" i="20"/>
  <c r="Z12" i="20"/>
  <c r="W12" i="20"/>
  <c r="X12" i="20"/>
  <c r="Q45" i="20"/>
  <c r="O45" i="20"/>
  <c r="M51" i="20"/>
  <c r="O9" i="20"/>
  <c r="Q9" i="20"/>
  <c r="BZ8" i="19"/>
  <c r="CA8" i="19" s="1"/>
  <c r="Z40" i="20"/>
  <c r="S56" i="20"/>
  <c r="X40" i="20"/>
  <c r="W40" i="20"/>
  <c r="U40" i="20"/>
  <c r="BZ18" i="19"/>
  <c r="CA18" i="19" s="1"/>
  <c r="Z8" i="20"/>
  <c r="AF8" i="20" s="1"/>
  <c r="W8" i="20"/>
  <c r="U8" i="20"/>
  <c r="X8" i="20"/>
  <c r="BZ24" i="19"/>
  <c r="CA24" i="19" s="1"/>
  <c r="Z44" i="20"/>
  <c r="AF44" i="20" s="1"/>
  <c r="X44" i="20"/>
  <c r="W44" i="20"/>
  <c r="U44" i="20"/>
  <c r="BZ37" i="19"/>
  <c r="CA37" i="19" s="1"/>
  <c r="Z22" i="20"/>
  <c r="AF22" i="20" s="1"/>
  <c r="X22" i="20"/>
  <c r="U22" i="20"/>
  <c r="W22" i="20"/>
  <c r="Q43" i="20"/>
  <c r="O43" i="20"/>
  <c r="P50" i="20" a="1"/>
  <c r="P50" i="20" s="1"/>
  <c r="P56" i="20" a="1"/>
  <c r="P56" i="20" s="1"/>
  <c r="P54" i="20" a="1"/>
  <c r="P54" i="20" s="1"/>
  <c r="P52" i="20" a="1"/>
  <c r="P52" i="20" s="1"/>
  <c r="P51" i="20" a="1"/>
  <c r="P51" i="20" s="1"/>
  <c r="Q5" i="20"/>
  <c r="M50" i="20"/>
  <c r="O5" i="20"/>
  <c r="P53" i="20" a="1"/>
  <c r="P53" i="20" s="1"/>
  <c r="P55" i="20" a="1"/>
  <c r="P55" i="20" s="1"/>
  <c r="Q28" i="20"/>
  <c r="O28" i="20"/>
  <c r="Q32" i="20"/>
  <c r="O32" i="20"/>
  <c r="M56" i="20"/>
  <c r="O40" i="20"/>
  <c r="Q40" i="20"/>
  <c r="BZ15" i="19"/>
  <c r="CA15" i="19" s="1"/>
  <c r="X20" i="20"/>
  <c r="U20" i="20"/>
  <c r="W20" i="20"/>
  <c r="Z20" i="20"/>
  <c r="AF20" i="20" s="1"/>
  <c r="O11" i="20"/>
  <c r="Q11" i="20"/>
  <c r="BZ10" i="19"/>
  <c r="CA10" i="19" s="1"/>
  <c r="Z31" i="20"/>
  <c r="AF31" i="20" s="1"/>
  <c r="X31" i="20"/>
  <c r="W31" i="20"/>
  <c r="U31" i="20"/>
  <c r="Q44" i="20"/>
  <c r="O44" i="20"/>
  <c r="O15" i="20"/>
  <c r="Q15" i="20"/>
  <c r="O42" i="20"/>
  <c r="Q42" i="20"/>
  <c r="BZ17" i="19"/>
  <c r="CA17" i="19" s="1"/>
  <c r="S50" i="20"/>
  <c r="W5" i="20"/>
  <c r="X5" i="20"/>
  <c r="U5" i="20"/>
  <c r="Z5" i="20"/>
  <c r="BZ46" i="19"/>
  <c r="CA46" i="19" s="1"/>
  <c r="W38" i="20"/>
  <c r="U38" i="20"/>
  <c r="Z38" i="20"/>
  <c r="AF38" i="20" s="1"/>
  <c r="X38" i="20"/>
  <c r="Q6" i="20"/>
  <c r="O6" i="20"/>
  <c r="Q31" i="20"/>
  <c r="O31" i="20"/>
  <c r="BZ33" i="19"/>
  <c r="CA33" i="19" s="1"/>
  <c r="W15" i="20"/>
  <c r="U15" i="20"/>
  <c r="X15" i="20"/>
  <c r="Z15" i="20"/>
  <c r="AF15" i="20" s="1"/>
  <c r="Q22" i="20"/>
  <c r="O22" i="20"/>
  <c r="BZ40" i="19"/>
  <c r="CA40" i="19" s="1"/>
  <c r="W43" i="20"/>
  <c r="X43" i="20"/>
  <c r="U43" i="20"/>
  <c r="Z43" i="20"/>
  <c r="AF43" i="20" s="1"/>
  <c r="Q46" i="20"/>
  <c r="O46" i="20"/>
  <c r="Q27" i="20"/>
  <c r="O27" i="20"/>
  <c r="Q41" i="20"/>
  <c r="O41" i="20"/>
  <c r="BZ28" i="19"/>
  <c r="CA28" i="19" s="1"/>
  <c r="U36" i="20"/>
  <c r="Z36" i="20"/>
  <c r="AF36" i="20" s="1"/>
  <c r="X36" i="20"/>
  <c r="W36" i="20"/>
  <c r="O7" i="20"/>
  <c r="Q7" i="20"/>
  <c r="BZ6" i="19"/>
  <c r="CA6" i="19" s="1"/>
  <c r="Z34" i="20"/>
  <c r="U34" i="20"/>
  <c r="X34" i="20"/>
  <c r="S55" i="20"/>
  <c r="W34" i="20"/>
  <c r="O21" i="20"/>
  <c r="Q21" i="20"/>
  <c r="BZ26" i="19"/>
  <c r="CA26" i="19" s="1"/>
  <c r="X10" i="20"/>
  <c r="U10" i="20"/>
  <c r="W10" i="20"/>
  <c r="Z10" i="20"/>
  <c r="AF10" i="20" s="1"/>
  <c r="Q19" i="20"/>
  <c r="O19" i="20"/>
  <c r="BZ36" i="19"/>
  <c r="CA36" i="19" s="1"/>
  <c r="X26" i="20"/>
  <c r="U26" i="20"/>
  <c r="Z26" i="20"/>
  <c r="AF26" i="20" s="1"/>
  <c r="W26" i="20"/>
  <c r="Q37" i="20"/>
  <c r="O37" i="20"/>
  <c r="O24" i="20"/>
  <c r="Q24" i="20"/>
  <c r="M54" i="20"/>
  <c r="O29" i="20"/>
  <c r="Q29" i="20"/>
  <c r="BZ25" i="19"/>
  <c r="CA25" i="19" s="1"/>
  <c r="X21" i="20"/>
  <c r="U21" i="20"/>
  <c r="Z21" i="20"/>
  <c r="AF21" i="20" s="1"/>
  <c r="W21" i="20"/>
  <c r="Q25" i="20"/>
  <c r="O25" i="20"/>
  <c r="BZ34" i="19"/>
  <c r="CA34" i="19" s="1"/>
  <c r="X16" i="20"/>
  <c r="U16" i="20"/>
  <c r="Z16" i="20"/>
  <c r="AF16" i="20" s="1"/>
  <c r="W16" i="20"/>
  <c r="BZ12" i="19"/>
  <c r="CA12" i="19" s="1"/>
  <c r="Z14" i="20"/>
  <c r="AF14" i="20" s="1"/>
  <c r="X14" i="20"/>
  <c r="U14" i="20"/>
  <c r="W14" i="20"/>
  <c r="BZ23" i="19"/>
  <c r="CA23" i="19" s="1"/>
  <c r="X46" i="20"/>
  <c r="W46" i="20"/>
  <c r="U46" i="20"/>
  <c r="Z46" i="20"/>
  <c r="AF46" i="20" s="1"/>
  <c r="M52" i="20"/>
  <c r="Q12" i="20"/>
  <c r="O12" i="20"/>
  <c r="BZ14" i="19"/>
  <c r="CA14" i="19" s="1"/>
  <c r="Z45" i="20"/>
  <c r="AF45" i="20" s="1"/>
  <c r="X45" i="20"/>
  <c r="U45" i="20"/>
  <c r="W45" i="20"/>
  <c r="O20" i="20"/>
  <c r="Q20" i="20"/>
  <c r="BZ43" i="19"/>
  <c r="CA43" i="19" s="1"/>
  <c r="U11" i="20"/>
  <c r="Z11" i="20"/>
  <c r="AF11" i="20" s="1"/>
  <c r="W11" i="20"/>
  <c r="X11" i="20"/>
  <c r="O13" i="20"/>
  <c r="Q13" i="20"/>
  <c r="Q38" i="20"/>
  <c r="O38" i="20"/>
  <c r="M53" i="20"/>
  <c r="Q23" i="20"/>
  <c r="O23" i="20"/>
  <c r="Q33" i="20"/>
  <c r="O33" i="20"/>
  <c r="BZ20" i="19"/>
  <c r="CA20" i="19" s="1"/>
  <c r="U13" i="20"/>
  <c r="Z13" i="20"/>
  <c r="AF13" i="20" s="1"/>
  <c r="X13" i="20"/>
  <c r="W13" i="20"/>
  <c r="BZ42" i="19"/>
  <c r="CA42" i="19" s="1"/>
  <c r="Z18" i="20"/>
  <c r="AF18" i="20" s="1"/>
  <c r="U18" i="20"/>
  <c r="X18" i="20"/>
  <c r="W18" i="20"/>
  <c r="Q34" i="20"/>
  <c r="O34" i="20"/>
  <c r="M55" i="20"/>
  <c r="BZ29" i="19"/>
  <c r="CA29" i="19" s="1"/>
  <c r="Z24" i="20"/>
  <c r="AF24" i="20" s="1"/>
  <c r="W24" i="20"/>
  <c r="X24" i="20"/>
  <c r="U24" i="20"/>
  <c r="L54" i="20"/>
  <c r="Q10" i="20"/>
  <c r="O10" i="20"/>
  <c r="BZ39" i="19"/>
  <c r="CA39" i="19" s="1"/>
  <c r="U25" i="20"/>
  <c r="W25" i="20"/>
  <c r="X25" i="20"/>
  <c r="Z25" i="20"/>
  <c r="AF25" i="20" s="1"/>
  <c r="BZ44" i="19"/>
  <c r="CA44" i="19" s="1"/>
  <c r="U39" i="20"/>
  <c r="Z39" i="20"/>
  <c r="AF39" i="20" s="1"/>
  <c r="W39" i="20"/>
  <c r="X39" i="20"/>
  <c r="O14" i="20"/>
  <c r="Q14" i="20"/>
  <c r="BZ22" i="19"/>
  <c r="CA22" i="19" s="1"/>
  <c r="Z19" i="20"/>
  <c r="AF19" i="20" s="1"/>
  <c r="U19" i="20"/>
  <c r="X19" i="20"/>
  <c r="W19" i="20"/>
  <c r="O26" i="20"/>
  <c r="Q26" i="20"/>
  <c r="BZ30" i="19"/>
  <c r="CA30" i="19" s="1"/>
  <c r="Z37" i="20"/>
  <c r="AF37" i="20" s="1"/>
  <c r="X37" i="20"/>
  <c r="W37" i="20"/>
  <c r="U37" i="20"/>
  <c r="BX57" i="19"/>
  <c r="BV57" i="19"/>
  <c r="BW57" i="19" s="1"/>
  <c r="BW50" i="19"/>
  <c r="I9" i="25"/>
  <c r="I18" i="25"/>
  <c r="I14" i="25"/>
  <c r="I5" i="25"/>
  <c r="I13" i="25"/>
  <c r="I6" i="25"/>
  <c r="I10" i="25"/>
  <c r="I7" i="25"/>
  <c r="I22" i="25"/>
  <c r="I27" i="25"/>
  <c r="I29" i="25"/>
  <c r="I12" i="25"/>
  <c r="I35" i="25"/>
  <c r="I24" i="25"/>
  <c r="I11" i="25"/>
  <c r="I8" i="25"/>
  <c r="I38" i="25"/>
  <c r="I19" i="25"/>
  <c r="I32" i="25"/>
  <c r="I15" i="25"/>
  <c r="I20" i="25"/>
  <c r="I33" i="25"/>
  <c r="I46" i="25"/>
  <c r="I36" i="25"/>
  <c r="I43" i="25"/>
  <c r="I42" i="25"/>
  <c r="I28" i="25"/>
  <c r="I17" i="25"/>
  <c r="I45" i="25"/>
  <c r="I25" i="25"/>
  <c r="I26" i="25"/>
  <c r="I37" i="25"/>
  <c r="I41" i="25"/>
  <c r="I23" i="25"/>
  <c r="I39" i="25"/>
  <c r="I16" i="25"/>
  <c r="I40" i="25"/>
  <c r="I34" i="25"/>
  <c r="I30" i="25"/>
  <c r="I44" i="25"/>
  <c r="I31" i="25"/>
  <c r="CB42" i="38" l="1"/>
  <c r="AM12" i="42"/>
  <c r="AM52" i="42" s="1"/>
  <c r="N12" i="44"/>
  <c r="AC22" i="41"/>
  <c r="AW22" i="41" s="1"/>
  <c r="AS22" i="41" s="1"/>
  <c r="N37" i="44"/>
  <c r="AD37" i="44" s="1"/>
  <c r="AE37" i="44" s="1"/>
  <c r="AC26" i="41"/>
  <c r="AW26" i="41" s="1"/>
  <c r="AS26" i="41" s="1"/>
  <c r="N53" i="42"/>
  <c r="AC23" i="41"/>
  <c r="AW23" i="41" s="1"/>
  <c r="AS23" i="41" s="1"/>
  <c r="AJ23" i="41" a="1"/>
  <c r="AJ23" i="41" s="1"/>
  <c r="AA23" i="41"/>
  <c r="AI23" i="41" s="1"/>
  <c r="AC10" i="41"/>
  <c r="AA10" i="41"/>
  <c r="AI10" i="41" s="1"/>
  <c r="Q29" i="42"/>
  <c r="Q54" i="42" s="1"/>
  <c r="CD26" i="38"/>
  <c r="CB26" i="38"/>
  <c r="AC48" i="41"/>
  <c r="AW48" i="41" s="1"/>
  <c r="AS48" i="41" s="1"/>
  <c r="CD7" i="38"/>
  <c r="AJ48" i="41" a="1"/>
  <c r="AJ48" i="41" s="1"/>
  <c r="CD20" i="38"/>
  <c r="AJ44" i="41" a="1"/>
  <c r="AJ44" i="41" s="1"/>
  <c r="N21" i="44"/>
  <c r="T21" i="44" s="1"/>
  <c r="AJ8" i="41" a="1"/>
  <c r="AJ8" i="41" s="1"/>
  <c r="AC44" i="41"/>
  <c r="CC33" i="38"/>
  <c r="AA44" i="41"/>
  <c r="AI44" i="41" s="1"/>
  <c r="AL44" i="41" s="1"/>
  <c r="AM44" i="41" s="1"/>
  <c r="AC39" i="41"/>
  <c r="AW39" i="41" s="1"/>
  <c r="AS39" i="41" s="1"/>
  <c r="AC47" i="41"/>
  <c r="AW47" i="41" s="1"/>
  <c r="AS47" i="41" s="1"/>
  <c r="AC18" i="41"/>
  <c r="AW18" i="41" s="1"/>
  <c r="AS18" i="41" s="1"/>
  <c r="AJ18" i="41" a="1"/>
  <c r="AJ18" i="41" s="1"/>
  <c r="AA18" i="41"/>
  <c r="AI18" i="41" s="1"/>
  <c r="AL18" i="41" s="1"/>
  <c r="AM18" i="41" s="1"/>
  <c r="AC24" i="41"/>
  <c r="AW24" i="41" s="1"/>
  <c r="AS24" i="41" s="1"/>
  <c r="CB22" i="38"/>
  <c r="CC22" i="38"/>
  <c r="AJ21" i="41" a="1"/>
  <c r="AJ21" i="41" s="1"/>
  <c r="AA37" i="41"/>
  <c r="AI37" i="41" s="1"/>
  <c r="AL37" i="41" s="1"/>
  <c r="AM37" i="41" s="1"/>
  <c r="AA21" i="41"/>
  <c r="AI21" i="41" s="1"/>
  <c r="AL21" i="41" s="1"/>
  <c r="AM21" i="41" s="1"/>
  <c r="AC37" i="41"/>
  <c r="AW37" i="41" s="1"/>
  <c r="AS37" i="41" s="1"/>
  <c r="AJ37" i="41" a="1"/>
  <c r="AJ37" i="41" s="1"/>
  <c r="AC9" i="41"/>
  <c r="AW9" i="41" s="1"/>
  <c r="AS9" i="41" s="1"/>
  <c r="AC21" i="41"/>
  <c r="AW21" i="41" s="1"/>
  <c r="AS21" i="41" s="1"/>
  <c r="N35" i="28"/>
  <c r="R35" i="28" s="1"/>
  <c r="O6" i="28"/>
  <c r="S6" i="28" s="1"/>
  <c r="O7" i="28"/>
  <c r="S7" i="28" s="1"/>
  <c r="N22" i="28"/>
  <c r="R22" i="28" s="1"/>
  <c r="N44" i="28"/>
  <c r="R44" i="28" s="1"/>
  <c r="N12" i="28"/>
  <c r="N25" i="28"/>
  <c r="R25" i="28" s="1"/>
  <c r="N37" i="28"/>
  <c r="R37" i="28" s="1"/>
  <c r="N45" i="28"/>
  <c r="R45" i="28" s="1"/>
  <c r="N34" i="28"/>
  <c r="O42" i="28"/>
  <c r="S42" i="28" s="1"/>
  <c r="N8" i="28"/>
  <c r="R8" i="28" s="1"/>
  <c r="O16" i="28"/>
  <c r="S16" i="28" s="1"/>
  <c r="N17" i="28"/>
  <c r="R17" i="28" s="1"/>
  <c r="N26" i="28"/>
  <c r="R26" i="28" s="1"/>
  <c r="N15" i="28"/>
  <c r="R15" i="28" s="1"/>
  <c r="N10" i="28"/>
  <c r="R10" i="28" s="1"/>
  <c r="N11" i="28"/>
  <c r="R11" i="28" s="1"/>
  <c r="N14" i="28"/>
  <c r="R14" i="28" s="1"/>
  <c r="O28" i="28"/>
  <c r="S28" i="28" s="1"/>
  <c r="N46" i="28"/>
  <c r="R46" i="28" s="1"/>
  <c r="N21" i="28"/>
  <c r="R21" i="28" s="1"/>
  <c r="N40" i="28"/>
  <c r="N36" i="28"/>
  <c r="R36" i="28" s="1"/>
  <c r="N43" i="28"/>
  <c r="R43" i="28" s="1"/>
  <c r="N29" i="28"/>
  <c r="O30" i="28"/>
  <c r="S30" i="28" s="1"/>
  <c r="N27" i="28"/>
  <c r="R27" i="28" s="1"/>
  <c r="N23" i="28"/>
  <c r="N20" i="28"/>
  <c r="R20" i="28" s="1"/>
  <c r="N33" i="28"/>
  <c r="R33" i="28" s="1"/>
  <c r="O18" i="28"/>
  <c r="S18" i="28" s="1"/>
  <c r="AA48" i="41"/>
  <c r="AI48" i="41" s="1"/>
  <c r="AL48" i="41" s="1"/>
  <c r="AM48" i="41" s="1"/>
  <c r="AA8" i="41"/>
  <c r="AI8" i="41" s="1"/>
  <c r="AL8" i="41" s="1"/>
  <c r="AM8" i="41" s="1"/>
  <c r="AC35" i="41"/>
  <c r="AW35" i="41" s="1"/>
  <c r="AS35" i="41" s="1"/>
  <c r="AC8" i="41"/>
  <c r="AW8" i="41" s="1"/>
  <c r="AS8" i="41" s="1"/>
  <c r="CB7" i="38"/>
  <c r="AA28" i="41"/>
  <c r="AI28" i="41" s="1"/>
  <c r="T37" i="44"/>
  <c r="AJ28" i="41" a="1"/>
  <c r="AJ28" i="41" s="1"/>
  <c r="AC28" i="41"/>
  <c r="AW28" i="41" s="1"/>
  <c r="AS28" i="41" s="1"/>
  <c r="AJ39" i="41" a="1"/>
  <c r="AJ39" i="41" s="1"/>
  <c r="T8" i="44"/>
  <c r="AD8" i="44"/>
  <c r="AE8" i="44" s="1"/>
  <c r="AD10" i="44"/>
  <c r="AE10" i="44" s="1"/>
  <c r="T10" i="44"/>
  <c r="AJ20" i="41" a="1"/>
  <c r="AJ20" i="41" s="1"/>
  <c r="AL20" i="41" s="1"/>
  <c r="AM20" i="41" s="1"/>
  <c r="N29" i="44"/>
  <c r="T33" i="44"/>
  <c r="AD33" i="44"/>
  <c r="AE33" i="44" s="1"/>
  <c r="T45" i="44"/>
  <c r="AD45" i="44"/>
  <c r="AE45" i="44" s="1"/>
  <c r="AD43" i="44"/>
  <c r="AE43" i="44" s="1"/>
  <c r="T43" i="44"/>
  <c r="T24" i="44"/>
  <c r="AD24" i="44"/>
  <c r="AE24" i="44" s="1"/>
  <c r="CO51" i="42"/>
  <c r="AC20" i="41"/>
  <c r="AE20" i="41" s="1"/>
  <c r="AY20" i="41" s="1"/>
  <c r="AC19" i="41"/>
  <c r="AW19" i="41" s="1"/>
  <c r="AS19" i="41" s="1"/>
  <c r="N19" i="44"/>
  <c r="AA33" i="41"/>
  <c r="AI33" i="41" s="1"/>
  <c r="N41" i="44"/>
  <c r="T9" i="44"/>
  <c r="AD9" i="44"/>
  <c r="AE9" i="44" s="1"/>
  <c r="AD44" i="44"/>
  <c r="AE44" i="44" s="1"/>
  <c r="T44" i="44"/>
  <c r="AD27" i="44"/>
  <c r="AE27" i="44" s="1"/>
  <c r="T27" i="44"/>
  <c r="T13" i="44"/>
  <c r="AD13" i="44"/>
  <c r="AE13" i="44" s="1"/>
  <c r="AD18" i="44"/>
  <c r="AE18" i="44" s="1"/>
  <c r="T18" i="44"/>
  <c r="T12" i="44"/>
  <c r="AD12" i="44"/>
  <c r="AE12" i="44" s="1"/>
  <c r="T42" i="44"/>
  <c r="AD42" i="44"/>
  <c r="AE42" i="44" s="1"/>
  <c r="AD7" i="44"/>
  <c r="AE7" i="44" s="1"/>
  <c r="T7" i="44"/>
  <c r="AD30" i="44"/>
  <c r="AE30" i="44" s="1"/>
  <c r="T30" i="44"/>
  <c r="T20" i="44"/>
  <c r="AD20" i="44"/>
  <c r="AE20" i="44" s="1"/>
  <c r="AD38" i="44"/>
  <c r="AE38" i="44" s="1"/>
  <c r="T38" i="44"/>
  <c r="AA16" i="41"/>
  <c r="AI16" i="41" s="1"/>
  <c r="N35" i="44"/>
  <c r="CO53" i="42"/>
  <c r="AJ10" i="41" a="1"/>
  <c r="AJ10" i="41" s="1"/>
  <c r="AL10" i="41" s="1"/>
  <c r="AM10" i="41" s="1"/>
  <c r="AA39" i="41"/>
  <c r="AI39" i="41" s="1"/>
  <c r="T31" i="44"/>
  <c r="AD31" i="44"/>
  <c r="AE31" i="44" s="1"/>
  <c r="AD22" i="44"/>
  <c r="AE22" i="44" s="1"/>
  <c r="T22" i="44"/>
  <c r="AD6" i="44"/>
  <c r="T6" i="44"/>
  <c r="AD15" i="44"/>
  <c r="AE15" i="44" s="1"/>
  <c r="T15" i="44"/>
  <c r="AD14" i="44"/>
  <c r="AE14" i="44" s="1"/>
  <c r="T14" i="44"/>
  <c r="AD17" i="44"/>
  <c r="AE17" i="44" s="1"/>
  <c r="T17" i="44"/>
  <c r="CO54" i="42"/>
  <c r="T39" i="44"/>
  <c r="AD39" i="44"/>
  <c r="AE39" i="44" s="1"/>
  <c r="AD47" i="44"/>
  <c r="AE47" i="44" s="1"/>
  <c r="T47" i="44"/>
  <c r="T25" i="44"/>
  <c r="AD25" i="44"/>
  <c r="AE25" i="44" s="1"/>
  <c r="AD11" i="44"/>
  <c r="AE11" i="44" s="1"/>
  <c r="T11" i="44"/>
  <c r="AD46" i="44"/>
  <c r="AE46" i="44" s="1"/>
  <c r="T46" i="44"/>
  <c r="AD28" i="44"/>
  <c r="AE28" i="44" s="1"/>
  <c r="T28" i="44"/>
  <c r="BG52" i="45"/>
  <c r="BF52" i="45" s="1"/>
  <c r="BG53" i="45"/>
  <c r="BF53" i="45" s="1"/>
  <c r="BK52" i="45"/>
  <c r="BJ52" i="45" s="1"/>
  <c r="BK53" i="45"/>
  <c r="BJ53" i="45" s="1"/>
  <c r="BC52" i="45"/>
  <c r="BB52" i="45" s="1"/>
  <c r="BC53" i="45"/>
  <c r="BB53" i="45" s="1"/>
  <c r="AC33" i="41"/>
  <c r="AE33" i="41" s="1"/>
  <c r="AY33" i="41" s="1"/>
  <c r="AC41" i="41"/>
  <c r="AW41" i="41" s="1"/>
  <c r="AS41" i="41" s="1"/>
  <c r="AC27" i="41"/>
  <c r="AW27" i="41" s="1"/>
  <c r="AS27" i="41" s="1"/>
  <c r="AJ27" i="41" a="1"/>
  <c r="AJ27" i="41" s="1"/>
  <c r="AA27" i="41"/>
  <c r="AI27" i="41" s="1"/>
  <c r="AC16" i="41"/>
  <c r="AW16" i="41" s="1"/>
  <c r="AS16" i="41" s="1"/>
  <c r="AJ16" i="41" a="1"/>
  <c r="AJ16" i="41" s="1"/>
  <c r="CB46" i="38"/>
  <c r="AC45" i="41"/>
  <c r="AW45" i="41" s="1"/>
  <c r="AS45" i="41" s="1"/>
  <c r="CD17" i="38"/>
  <c r="CB38" i="38"/>
  <c r="AJ33" i="41" a="1"/>
  <c r="AJ33" i="41" s="1"/>
  <c r="Q15" i="38"/>
  <c r="Q32" i="36"/>
  <c r="AL23" i="41"/>
  <c r="AM23" i="41" s="1"/>
  <c r="W55" i="38"/>
  <c r="W53" i="38"/>
  <c r="CE18" i="42"/>
  <c r="CC18" i="42"/>
  <c r="CD18" i="42"/>
  <c r="AA40" i="41"/>
  <c r="AI40" i="41" s="1"/>
  <c r="AJ40" i="41" a="1"/>
  <c r="AJ40" i="41" s="1"/>
  <c r="AC40" i="41"/>
  <c r="CA51" i="42"/>
  <c r="CB9" i="42"/>
  <c r="AC32" i="41"/>
  <c r="AW32" i="41" s="1"/>
  <c r="AS32" i="41" s="1"/>
  <c r="CA56" i="42"/>
  <c r="CB40" i="42"/>
  <c r="CE13" i="42"/>
  <c r="CC13" i="42"/>
  <c r="CD13" i="42"/>
  <c r="AU57" i="42"/>
  <c r="CE35" i="42"/>
  <c r="CD35" i="42"/>
  <c r="CC35" i="42"/>
  <c r="CB50" i="42"/>
  <c r="CE5" i="42"/>
  <c r="CD5" i="42"/>
  <c r="CC5" i="42"/>
  <c r="AD57" i="42"/>
  <c r="CD32" i="42"/>
  <c r="CE32" i="42" s="1"/>
  <c r="CC32" i="42"/>
  <c r="CE33" i="42"/>
  <c r="CD33" i="42"/>
  <c r="CC33" i="42"/>
  <c r="Q51" i="42"/>
  <c r="S11" i="41"/>
  <c r="N16" i="44" s="1"/>
  <c r="CC44" i="42"/>
  <c r="CE44" i="42"/>
  <c r="CD44" i="42"/>
  <c r="CD6" i="42"/>
  <c r="CE6" i="42" s="1"/>
  <c r="CC6" i="42"/>
  <c r="AM57" i="42"/>
  <c r="CC28" i="42"/>
  <c r="CD28" i="42"/>
  <c r="CE28" i="42" s="1"/>
  <c r="CE11" i="42"/>
  <c r="CC11" i="42"/>
  <c r="CD11" i="42"/>
  <c r="AC12" i="41"/>
  <c r="AW12" i="41" s="1"/>
  <c r="AS12" i="41" s="1"/>
  <c r="CB34" i="42"/>
  <c r="CA55" i="42"/>
  <c r="AA17" i="41"/>
  <c r="AI17" i="41" s="1"/>
  <c r="AJ17" i="41" a="1"/>
  <c r="AJ17" i="41" s="1"/>
  <c r="AC17" i="41"/>
  <c r="CA54" i="42"/>
  <c r="CB29" i="42"/>
  <c r="N57" i="42"/>
  <c r="CO55" i="42"/>
  <c r="U57" i="42"/>
  <c r="R63" i="42"/>
  <c r="AB57" i="42"/>
  <c r="R60" i="42"/>
  <c r="CO45" i="42"/>
  <c r="CO16" i="42"/>
  <c r="CO25" i="42"/>
  <c r="CO9" i="42"/>
  <c r="CO14" i="42"/>
  <c r="CO34" i="42"/>
  <c r="CO23" i="42"/>
  <c r="CO46" i="42"/>
  <c r="CO21" i="42"/>
  <c r="CO22" i="42"/>
  <c r="CO13" i="42"/>
  <c r="CO18" i="42"/>
  <c r="CO29" i="42"/>
  <c r="CO40" i="42"/>
  <c r="CO30" i="42"/>
  <c r="CO7" i="42"/>
  <c r="CO24" i="42"/>
  <c r="CO39" i="42"/>
  <c r="CO43" i="42"/>
  <c r="CO31" i="42"/>
  <c r="CO37" i="42"/>
  <c r="CO5" i="42"/>
  <c r="CO33" i="42"/>
  <c r="CO17" i="42"/>
  <c r="CO44" i="42"/>
  <c r="CO42" i="42"/>
  <c r="CO20" i="42"/>
  <c r="CO6" i="42"/>
  <c r="CO27" i="42"/>
  <c r="CO19" i="42"/>
  <c r="CO35" i="42"/>
  <c r="CO12" i="42"/>
  <c r="CO36" i="42"/>
  <c r="CO26" i="42"/>
  <c r="CO28" i="42"/>
  <c r="CO38" i="42"/>
  <c r="CO41" i="42"/>
  <c r="CO11" i="42"/>
  <c r="CO10" i="42"/>
  <c r="CO8" i="42"/>
  <c r="CO32" i="42"/>
  <c r="CO15" i="42"/>
  <c r="CC8" i="42"/>
  <c r="CD8" i="42"/>
  <c r="CE8" i="42" s="1"/>
  <c r="CC15" i="42"/>
  <c r="CE15" i="42"/>
  <c r="CD15" i="42"/>
  <c r="Q53" i="42"/>
  <c r="S25" i="41"/>
  <c r="N36" i="44" s="1"/>
  <c r="AA46" i="41"/>
  <c r="AI46" i="41" s="1"/>
  <c r="AJ46" i="41" a="1"/>
  <c r="AJ46" i="41" s="1"/>
  <c r="AC46" i="41"/>
  <c r="AW10" i="41"/>
  <c r="AS10" i="41" s="1"/>
  <c r="AE10" i="41"/>
  <c r="AY10" i="41" s="1"/>
  <c r="AA29" i="41"/>
  <c r="AI29" i="41" s="1"/>
  <c r="AJ29" i="41" a="1"/>
  <c r="AJ29" i="41" s="1"/>
  <c r="AC29" i="41"/>
  <c r="CC30" i="42"/>
  <c r="CE30" i="42"/>
  <c r="CD30" i="42"/>
  <c r="CC39" i="42"/>
  <c r="CD39" i="42"/>
  <c r="CE39" i="42"/>
  <c r="CC31" i="42"/>
  <c r="CD31" i="42"/>
  <c r="CE31" i="42" s="1"/>
  <c r="CD27" i="42"/>
  <c r="CE27" i="42" s="1"/>
  <c r="CC27" i="42"/>
  <c r="AC38" i="41"/>
  <c r="AW38" i="41" s="1"/>
  <c r="AS38" i="41" s="1"/>
  <c r="CC38" i="42"/>
  <c r="CD38" i="42"/>
  <c r="CE38" i="42" s="1"/>
  <c r="CD10" i="42"/>
  <c r="CC10" i="42"/>
  <c r="CE10" i="42"/>
  <c r="CA53" i="42"/>
  <c r="CB23" i="42"/>
  <c r="X57" i="42"/>
  <c r="AA30" i="41"/>
  <c r="AI30" i="41" s="1"/>
  <c r="AJ30" i="41" a="1"/>
  <c r="AJ30" i="41" s="1"/>
  <c r="AC30" i="41"/>
  <c r="Q52" i="42"/>
  <c r="S14" i="41"/>
  <c r="N34" i="44" s="1"/>
  <c r="CB52" i="42"/>
  <c r="CC12" i="42"/>
  <c r="CD12" i="42"/>
  <c r="CE12" i="42" s="1"/>
  <c r="AC34" i="41"/>
  <c r="AW34" i="41" s="1"/>
  <c r="AS34" i="41" s="1"/>
  <c r="AC43" i="41"/>
  <c r="AW43" i="41" s="1"/>
  <c r="AS43" i="41" s="1"/>
  <c r="L59" i="42"/>
  <c r="L62" i="42"/>
  <c r="AP57" i="42"/>
  <c r="CP50" i="42" s="1"/>
  <c r="AC15" i="41"/>
  <c r="AW15" i="41" s="1"/>
  <c r="AS15" i="41" s="1"/>
  <c r="CE7" i="42"/>
  <c r="CD7" i="42"/>
  <c r="CC7" i="42"/>
  <c r="CD37" i="42"/>
  <c r="CC37" i="42"/>
  <c r="CE37" i="42"/>
  <c r="CO52" i="42"/>
  <c r="Q18" i="38"/>
  <c r="CC41" i="42"/>
  <c r="CD41" i="42"/>
  <c r="CE41" i="42" s="1"/>
  <c r="S7" i="41"/>
  <c r="N23" i="44" s="1"/>
  <c r="Q50" i="42"/>
  <c r="Q56" i="42"/>
  <c r="S42" i="41"/>
  <c r="N32" i="44" s="1"/>
  <c r="Q55" i="42"/>
  <c r="S36" i="41"/>
  <c r="N26" i="44" s="1"/>
  <c r="CC21" i="38"/>
  <c r="Q30" i="38"/>
  <c r="Q14" i="38"/>
  <c r="Q21" i="38"/>
  <c r="AA13" i="41"/>
  <c r="AI13" i="41" s="1"/>
  <c r="AJ13" i="41" a="1"/>
  <c r="AJ13" i="41" s="1"/>
  <c r="AC13" i="41"/>
  <c r="AW44" i="41"/>
  <c r="AS44" i="41" s="1"/>
  <c r="AE44" i="41"/>
  <c r="AY44" i="41" s="1"/>
  <c r="CD45" i="42"/>
  <c r="CE45" i="42" s="1"/>
  <c r="CC45" i="42"/>
  <c r="CC16" i="42"/>
  <c r="CD16" i="42"/>
  <c r="CE16" i="42"/>
  <c r="CD24" i="42"/>
  <c r="CE24" i="42" s="1"/>
  <c r="CC24" i="42"/>
  <c r="P57" i="42"/>
  <c r="O57" i="42" s="1"/>
  <c r="O59" i="42" s="1"/>
  <c r="CO50" i="42"/>
  <c r="CD17" i="42"/>
  <c r="CE17" i="42"/>
  <c r="CC17" i="42"/>
  <c r="CE19" i="42"/>
  <c r="CC19" i="42"/>
  <c r="CD19" i="42"/>
  <c r="CD33" i="38"/>
  <c r="W56" i="34"/>
  <c r="CC8" i="38"/>
  <c r="CD8" i="38" s="1"/>
  <c r="CB20" i="38"/>
  <c r="AO50" i="38"/>
  <c r="CD18" i="38"/>
  <c r="CC10" i="38"/>
  <c r="W54" i="38"/>
  <c r="CC18" i="38"/>
  <c r="N51" i="36"/>
  <c r="Q19" i="36"/>
  <c r="Q11" i="36"/>
  <c r="Q8" i="38"/>
  <c r="Q19" i="38"/>
  <c r="Q13" i="38"/>
  <c r="AO51" i="38"/>
  <c r="CB13" i="38"/>
  <c r="CB17" i="38"/>
  <c r="CD13" i="38"/>
  <c r="W54" i="36"/>
  <c r="Q37" i="34"/>
  <c r="W51" i="34"/>
  <c r="W50" i="38"/>
  <c r="W51" i="38"/>
  <c r="AO52" i="38"/>
  <c r="W53" i="34"/>
  <c r="W56" i="38"/>
  <c r="CC45" i="38"/>
  <c r="CD45" i="38" s="1"/>
  <c r="Q43" i="34"/>
  <c r="N56" i="34"/>
  <c r="Q8" i="34"/>
  <c r="Q38" i="38"/>
  <c r="Q42" i="38"/>
  <c r="Q25" i="38"/>
  <c r="Q16" i="38"/>
  <c r="Q41" i="34"/>
  <c r="Q15" i="34"/>
  <c r="Q44" i="34"/>
  <c r="Q7" i="36"/>
  <c r="CD21" i="38"/>
  <c r="Q41" i="38"/>
  <c r="Q46" i="36"/>
  <c r="Q20" i="34"/>
  <c r="N55" i="36"/>
  <c r="Q37" i="36"/>
  <c r="Q14" i="34"/>
  <c r="Q38" i="36"/>
  <c r="Q36" i="38"/>
  <c r="Q7" i="38"/>
  <c r="CC30" i="38"/>
  <c r="Q13" i="34"/>
  <c r="Q28" i="36"/>
  <c r="Q32" i="34"/>
  <c r="Q33" i="38"/>
  <c r="W52" i="38"/>
  <c r="Q31" i="38"/>
  <c r="Q36" i="34"/>
  <c r="Q17" i="34"/>
  <c r="W50" i="36"/>
  <c r="K57" i="34"/>
  <c r="AC54" i="38"/>
  <c r="AL29" i="38"/>
  <c r="AL54" i="38" s="1"/>
  <c r="Q44" i="38"/>
  <c r="CB37" i="38"/>
  <c r="CD37" i="38"/>
  <c r="CC37" i="38"/>
  <c r="Q6" i="38"/>
  <c r="Q46" i="38"/>
  <c r="Q20" i="38"/>
  <c r="AA55" i="38"/>
  <c r="T55" i="38"/>
  <c r="Q28" i="38"/>
  <c r="AN57" i="34"/>
  <c r="Q10" i="34"/>
  <c r="BZ29" i="38"/>
  <c r="AT54" i="38"/>
  <c r="CB16" i="38"/>
  <c r="CC16" i="38"/>
  <c r="CD16" i="38"/>
  <c r="T56" i="38"/>
  <c r="AA56" i="38"/>
  <c r="CC43" i="38"/>
  <c r="CB43" i="38"/>
  <c r="CD43" i="38"/>
  <c r="N54" i="38"/>
  <c r="Q35" i="38"/>
  <c r="AC50" i="38"/>
  <c r="AL5" i="38"/>
  <c r="AL50" i="38" s="1"/>
  <c r="Q19" i="34"/>
  <c r="Q27" i="34"/>
  <c r="N54" i="34"/>
  <c r="K57" i="36"/>
  <c r="Q42" i="36"/>
  <c r="Q33" i="36"/>
  <c r="Q22" i="36"/>
  <c r="Q43" i="38"/>
  <c r="AL12" i="38"/>
  <c r="AL52" i="38" s="1"/>
  <c r="AC52" i="38"/>
  <c r="Q10" i="38"/>
  <c r="Q27" i="38"/>
  <c r="P50" i="38"/>
  <c r="Q5" i="38"/>
  <c r="AN57" i="38"/>
  <c r="Q9" i="38"/>
  <c r="P51" i="38"/>
  <c r="P54" i="38"/>
  <c r="Q29" i="38"/>
  <c r="N52" i="38"/>
  <c r="CC36" i="38"/>
  <c r="CD36" i="38"/>
  <c r="CB36" i="38"/>
  <c r="CC6" i="38"/>
  <c r="CD6" i="38" s="1"/>
  <c r="CB6" i="38"/>
  <c r="CB15" i="38"/>
  <c r="CD15" i="38"/>
  <c r="CC15" i="38"/>
  <c r="AC55" i="38"/>
  <c r="AL34" i="38"/>
  <c r="AL55" i="38" s="1"/>
  <c r="R57" i="38"/>
  <c r="CN50" i="38" s="1"/>
  <c r="T50" i="38"/>
  <c r="AA50" i="38"/>
  <c r="AO54" i="38"/>
  <c r="Q12" i="38"/>
  <c r="P52" i="38"/>
  <c r="Q38" i="34"/>
  <c r="N54" i="36"/>
  <c r="CC31" i="38"/>
  <c r="CD31" i="38" s="1"/>
  <c r="CB31" i="38"/>
  <c r="AA52" i="38"/>
  <c r="T52" i="38"/>
  <c r="AO56" i="38"/>
  <c r="AC51" i="38"/>
  <c r="AL9" i="38"/>
  <c r="AL51" i="38" s="1"/>
  <c r="Q24" i="38"/>
  <c r="N51" i="38"/>
  <c r="BZ34" i="38"/>
  <c r="AT55" i="38"/>
  <c r="AO53" i="38"/>
  <c r="AA53" i="38"/>
  <c r="T53" i="38"/>
  <c r="BZ51" i="38"/>
  <c r="CA9" i="38"/>
  <c r="Q15" i="36"/>
  <c r="Q10" i="36"/>
  <c r="Q39" i="36"/>
  <c r="CD30" i="38"/>
  <c r="CB35" i="38"/>
  <c r="CD35" i="38"/>
  <c r="CC35" i="38"/>
  <c r="T51" i="38"/>
  <c r="AA51" i="38"/>
  <c r="Q26" i="38"/>
  <c r="N56" i="38"/>
  <c r="Q32" i="38"/>
  <c r="Q17" i="38"/>
  <c r="AT53" i="38"/>
  <c r="BZ23" i="38"/>
  <c r="AT51" i="38"/>
  <c r="Q18" i="36"/>
  <c r="Q31" i="34"/>
  <c r="Q42" i="34"/>
  <c r="T54" i="38"/>
  <c r="AA54" i="38"/>
  <c r="P53" i="38"/>
  <c r="Q23" i="38"/>
  <c r="Q39" i="38"/>
  <c r="AT56" i="38"/>
  <c r="BZ40" i="38"/>
  <c r="N55" i="38"/>
  <c r="L57" i="38"/>
  <c r="P56" i="38"/>
  <c r="Q40" i="38"/>
  <c r="K57" i="38"/>
  <c r="S25" i="29" s="1"/>
  <c r="AO55" i="38"/>
  <c r="AT50" i="38"/>
  <c r="BZ5" i="38"/>
  <c r="Q11" i="38"/>
  <c r="AT52" i="38"/>
  <c r="Q24" i="36"/>
  <c r="Q21" i="34"/>
  <c r="Q6" i="34"/>
  <c r="Q30" i="36"/>
  <c r="Q16" i="36"/>
  <c r="Q18" i="34"/>
  <c r="Q43" i="36"/>
  <c r="Q17" i="36"/>
  <c r="Q26" i="36"/>
  <c r="N53" i="38"/>
  <c r="Q22" i="38"/>
  <c r="V57" i="38"/>
  <c r="AC56" i="38"/>
  <c r="AL40" i="38"/>
  <c r="AL56" i="38" s="1"/>
  <c r="Q34" i="38"/>
  <c r="P55" i="38"/>
  <c r="N50" i="38"/>
  <c r="Q37" i="38"/>
  <c r="Q45" i="38"/>
  <c r="AL23" i="38"/>
  <c r="AL53" i="38" s="1"/>
  <c r="AC53" i="38"/>
  <c r="BZ52" i="38"/>
  <c r="CA12" i="38"/>
  <c r="CA32" i="36"/>
  <c r="P53" i="36"/>
  <c r="Q23" i="36"/>
  <c r="T54" i="36"/>
  <c r="AA54" i="36"/>
  <c r="AC56" i="36"/>
  <c r="AL40" i="36"/>
  <c r="AL56" i="36" s="1"/>
  <c r="AO56" i="34"/>
  <c r="AO50" i="36"/>
  <c r="CA38" i="34"/>
  <c r="AA53" i="34"/>
  <c r="T53" i="34"/>
  <c r="AO50" i="34"/>
  <c r="AO54" i="34"/>
  <c r="AT51" i="34"/>
  <c r="BZ9" i="34"/>
  <c r="Q13" i="36"/>
  <c r="CA18" i="34"/>
  <c r="CD39" i="36"/>
  <c r="CC39" i="36"/>
  <c r="CB39" i="36"/>
  <c r="AL40" i="34"/>
  <c r="AL56" i="34" s="1"/>
  <c r="AC56" i="34"/>
  <c r="Q34" i="36"/>
  <c r="P55" i="36"/>
  <c r="T53" i="36"/>
  <c r="AA53" i="36"/>
  <c r="CA45" i="36"/>
  <c r="P54" i="34"/>
  <c r="Q29" i="34"/>
  <c r="W55" i="36"/>
  <c r="CA20" i="34"/>
  <c r="P51" i="36"/>
  <c r="Q9" i="36"/>
  <c r="CA28" i="34"/>
  <c r="T54" i="34"/>
  <c r="AA54" i="34"/>
  <c r="AT54" i="36"/>
  <c r="BZ29" i="36"/>
  <c r="CA38" i="36"/>
  <c r="P50" i="34"/>
  <c r="Q5" i="34"/>
  <c r="N50" i="34"/>
  <c r="AC55" i="34"/>
  <c r="AL34" i="34"/>
  <c r="AL55" i="34" s="1"/>
  <c r="L57" i="36"/>
  <c r="AC55" i="36"/>
  <c r="AL34" i="36"/>
  <c r="AL55" i="36" s="1"/>
  <c r="P54" i="36"/>
  <c r="Q29" i="36"/>
  <c r="W53" i="36"/>
  <c r="CA42" i="34"/>
  <c r="AN57" i="36"/>
  <c r="W56" i="36"/>
  <c r="W54" i="34"/>
  <c r="CA7" i="34"/>
  <c r="AO52" i="36"/>
  <c r="CA43" i="34"/>
  <c r="Q9" i="34"/>
  <c r="P51" i="34"/>
  <c r="CC25" i="36"/>
  <c r="CD25" i="36" s="1"/>
  <c r="CB25" i="36"/>
  <c r="CA44" i="36"/>
  <c r="N52" i="36"/>
  <c r="CA31" i="34"/>
  <c r="CA13" i="36"/>
  <c r="CB41" i="36"/>
  <c r="CC41" i="36"/>
  <c r="CD41" i="36" s="1"/>
  <c r="AC53" i="36"/>
  <c r="AL23" i="36"/>
  <c r="AL53" i="36" s="1"/>
  <c r="CA36" i="34"/>
  <c r="CA39" i="34"/>
  <c r="CA37" i="34"/>
  <c r="AT54" i="34"/>
  <c r="BZ29" i="34"/>
  <c r="V57" i="36"/>
  <c r="CC15" i="36"/>
  <c r="CB15" i="36"/>
  <c r="CD15" i="36"/>
  <c r="Q25" i="36"/>
  <c r="CA20" i="36"/>
  <c r="T56" i="36"/>
  <c r="AA56" i="36"/>
  <c r="CD26" i="36"/>
  <c r="CC26" i="36"/>
  <c r="CB26" i="36"/>
  <c r="CB22" i="34"/>
  <c r="CC22" i="34"/>
  <c r="CD22" i="34"/>
  <c r="N55" i="34"/>
  <c r="AO54" i="36"/>
  <c r="AL5" i="34"/>
  <c r="AL50" i="34" s="1"/>
  <c r="AC50" i="34"/>
  <c r="CA10" i="36"/>
  <c r="W51" i="36"/>
  <c r="N51" i="34"/>
  <c r="BZ52" i="36"/>
  <c r="CA12" i="36"/>
  <c r="AA51" i="34"/>
  <c r="T51" i="34"/>
  <c r="AC52" i="36"/>
  <c r="AL12" i="36"/>
  <c r="AL52" i="36" s="1"/>
  <c r="CA12" i="34"/>
  <c r="BZ52" i="34"/>
  <c r="Q12" i="36"/>
  <c r="P52" i="36"/>
  <c r="CA27" i="36"/>
  <c r="CA37" i="36"/>
  <c r="Q24" i="34"/>
  <c r="BZ23" i="36"/>
  <c r="AT53" i="36"/>
  <c r="Q36" i="36"/>
  <c r="CA15" i="34"/>
  <c r="CA28" i="36"/>
  <c r="AA55" i="34"/>
  <c r="T55" i="34"/>
  <c r="CD18" i="36"/>
  <c r="CB18" i="36"/>
  <c r="CC18" i="36"/>
  <c r="BZ40" i="36"/>
  <c r="AT56" i="36"/>
  <c r="Q34" i="34"/>
  <c r="P55" i="34"/>
  <c r="CA44" i="34"/>
  <c r="Q23" i="34"/>
  <c r="P53" i="34"/>
  <c r="BZ5" i="34"/>
  <c r="AT50" i="34"/>
  <c r="AO55" i="34"/>
  <c r="CA14" i="34"/>
  <c r="AT52" i="36"/>
  <c r="AO52" i="34"/>
  <c r="CA17" i="34"/>
  <c r="CA16" i="34"/>
  <c r="CA13" i="34"/>
  <c r="CC24" i="36"/>
  <c r="CD24" i="36" s="1"/>
  <c r="CB24" i="36"/>
  <c r="CC24" i="34"/>
  <c r="CD24" i="34" s="1"/>
  <c r="CB24" i="34"/>
  <c r="CA33" i="34"/>
  <c r="AC51" i="34"/>
  <c r="AL9" i="34"/>
  <c r="AL51" i="34" s="1"/>
  <c r="CA21" i="36"/>
  <c r="Q30" i="34"/>
  <c r="Q7" i="34"/>
  <c r="Q45" i="36"/>
  <c r="T56" i="34"/>
  <c r="AA56" i="34"/>
  <c r="AO51" i="34"/>
  <c r="AC50" i="36"/>
  <c r="AL5" i="36"/>
  <c r="AL50" i="36" s="1"/>
  <c r="CA35" i="34"/>
  <c r="Q28" i="34"/>
  <c r="Q6" i="36"/>
  <c r="Q11" i="34"/>
  <c r="Q45" i="34"/>
  <c r="AO51" i="36"/>
  <c r="Q16" i="34"/>
  <c r="CA10" i="34"/>
  <c r="L57" i="34"/>
  <c r="N50" i="36"/>
  <c r="AA55" i="36"/>
  <c r="T55" i="36"/>
  <c r="Q41" i="36"/>
  <c r="Q35" i="36"/>
  <c r="Q46" i="34"/>
  <c r="Q21" i="36"/>
  <c r="Q25" i="34"/>
  <c r="N53" i="34"/>
  <c r="Q31" i="36"/>
  <c r="AC53" i="34"/>
  <c r="AL23" i="34"/>
  <c r="AL53" i="34" s="1"/>
  <c r="P56" i="34"/>
  <c r="Q40" i="34"/>
  <c r="AT50" i="36"/>
  <c r="BZ5" i="36"/>
  <c r="AC51" i="36"/>
  <c r="AL9" i="36"/>
  <c r="AL51" i="36" s="1"/>
  <c r="CA7" i="36"/>
  <c r="CA25" i="34"/>
  <c r="CA46" i="36"/>
  <c r="Q33" i="34"/>
  <c r="CA36" i="36"/>
  <c r="R57" i="36"/>
  <c r="CN56" i="36" s="1"/>
  <c r="AA50" i="36"/>
  <c r="T50" i="36"/>
  <c r="Q8" i="36"/>
  <c r="CA27" i="34"/>
  <c r="Q39" i="34"/>
  <c r="CD30" i="34"/>
  <c r="CC30" i="34"/>
  <c r="CB30" i="34"/>
  <c r="CA14" i="36"/>
  <c r="AL29" i="34"/>
  <c r="AL54" i="34" s="1"/>
  <c r="AC54" i="34"/>
  <c r="AO53" i="34"/>
  <c r="BZ34" i="36"/>
  <c r="AT55" i="36"/>
  <c r="W50" i="34"/>
  <c r="P52" i="34"/>
  <c r="Q12" i="34"/>
  <c r="CA11" i="34"/>
  <c r="P56" i="36"/>
  <c r="Q40" i="36"/>
  <c r="CB8" i="34"/>
  <c r="CC8" i="34"/>
  <c r="CD8" i="34" s="1"/>
  <c r="CB19" i="36"/>
  <c r="CC19" i="36"/>
  <c r="CD19" i="36"/>
  <c r="CA46" i="34"/>
  <c r="CA22" i="36"/>
  <c r="CA35" i="36"/>
  <c r="BZ23" i="34"/>
  <c r="AT53" i="34"/>
  <c r="W55" i="34"/>
  <c r="AO55" i="36"/>
  <c r="AA51" i="36"/>
  <c r="T51" i="36"/>
  <c r="CA30" i="36"/>
  <c r="AT55" i="34"/>
  <c r="AC52" i="34"/>
  <c r="AL12" i="34"/>
  <c r="AL52" i="34" s="1"/>
  <c r="CA41" i="34"/>
  <c r="CA16" i="36"/>
  <c r="W52" i="36"/>
  <c r="AO56" i="36"/>
  <c r="CA19" i="34"/>
  <c r="AO53" i="36"/>
  <c r="W52" i="34"/>
  <c r="V57" i="34"/>
  <c r="Q26" i="34"/>
  <c r="CA8" i="36"/>
  <c r="CA17" i="36"/>
  <c r="AT56" i="34"/>
  <c r="CD26" i="34"/>
  <c r="CC26" i="34"/>
  <c r="CB26" i="34"/>
  <c r="CA11" i="36"/>
  <c r="CA6" i="34"/>
  <c r="BZ9" i="36"/>
  <c r="AT51" i="36"/>
  <c r="BZ55" i="34"/>
  <c r="CA34" i="34"/>
  <c r="T52" i="34"/>
  <c r="AA52" i="34"/>
  <c r="Q14" i="36"/>
  <c r="T52" i="36"/>
  <c r="AA52" i="36"/>
  <c r="Q27" i="36"/>
  <c r="CA21" i="34"/>
  <c r="AT52" i="34"/>
  <c r="CC6" i="36"/>
  <c r="CD6" i="36"/>
  <c r="CB6" i="36"/>
  <c r="Q22" i="34"/>
  <c r="N53" i="36"/>
  <c r="CA33" i="36"/>
  <c r="Q20" i="36"/>
  <c r="AL29" i="36"/>
  <c r="AL54" i="36" s="1"/>
  <c r="AC54" i="36"/>
  <c r="Q44" i="36"/>
  <c r="CA32" i="34"/>
  <c r="CA45" i="34"/>
  <c r="CA31" i="36"/>
  <c r="P50" i="36"/>
  <c r="Q5" i="36"/>
  <c r="CA42" i="36"/>
  <c r="N52" i="34"/>
  <c r="T50" i="34"/>
  <c r="R57" i="34"/>
  <c r="CN54" i="34" s="1"/>
  <c r="AA50" i="34"/>
  <c r="Q35" i="34"/>
  <c r="N56" i="36"/>
  <c r="CB43" i="36"/>
  <c r="CD43" i="36"/>
  <c r="CC43" i="36"/>
  <c r="BZ56" i="34"/>
  <c r="CA40" i="34"/>
  <c r="P44" i="25"/>
  <c r="P40" i="25"/>
  <c r="P14" i="25"/>
  <c r="P20" i="25"/>
  <c r="P28" i="25"/>
  <c r="P30" i="25"/>
  <c r="P23" i="25"/>
  <c r="P45" i="25"/>
  <c r="P42" i="25"/>
  <c r="P36" i="25"/>
  <c r="P17" i="25"/>
  <c r="P29" i="25"/>
  <c r="P15" i="25"/>
  <c r="P7" i="25"/>
  <c r="P8" i="25"/>
  <c r="P27" i="25"/>
  <c r="P6" i="25"/>
  <c r="P31" i="25"/>
  <c r="P25" i="25"/>
  <c r="P43" i="25"/>
  <c r="P33" i="25"/>
  <c r="P38" i="25"/>
  <c r="P16" i="25"/>
  <c r="P41" i="25"/>
  <c r="P37" i="25"/>
  <c r="P13" i="25"/>
  <c r="P19" i="25"/>
  <c r="P35" i="25"/>
  <c r="P26" i="25"/>
  <c r="P46" i="25"/>
  <c r="P34" i="25"/>
  <c r="P12" i="25"/>
  <c r="P39" i="25"/>
  <c r="P32" i="25"/>
  <c r="P24" i="25"/>
  <c r="P22" i="25"/>
  <c r="P10" i="25"/>
  <c r="G5" i="28"/>
  <c r="I5" i="28" s="1"/>
  <c r="N31" i="28"/>
  <c r="R31" i="28" s="1"/>
  <c r="O31" i="28"/>
  <c r="S31" i="28" s="1"/>
  <c r="N7" i="28"/>
  <c r="R7" i="28" s="1"/>
  <c r="O25" i="28"/>
  <c r="S25" i="28" s="1"/>
  <c r="N16" i="28"/>
  <c r="R16" i="28" s="1"/>
  <c r="N41" i="28"/>
  <c r="R41" i="28" s="1"/>
  <c r="O14" i="28"/>
  <c r="S14" i="28" s="1"/>
  <c r="N5" i="28"/>
  <c r="R36" i="20"/>
  <c r="R8" i="20"/>
  <c r="P5" i="25"/>
  <c r="I56" i="25"/>
  <c r="I51" i="25"/>
  <c r="I53" i="25"/>
  <c r="P21" i="25"/>
  <c r="G25" i="28"/>
  <c r="G38" i="28"/>
  <c r="G37" i="28"/>
  <c r="G45" i="28"/>
  <c r="G34" i="28"/>
  <c r="G42" i="28"/>
  <c r="G8" i="28"/>
  <c r="G39" i="28"/>
  <c r="G16" i="28"/>
  <c r="G18" i="28"/>
  <c r="G17" i="28"/>
  <c r="G41" i="28"/>
  <c r="G26" i="28"/>
  <c r="G19" i="28"/>
  <c r="G15" i="28"/>
  <c r="G10" i="28"/>
  <c r="G11" i="28"/>
  <c r="G14" i="28"/>
  <c r="G28" i="28"/>
  <c r="G46" i="28"/>
  <c r="I50" i="25"/>
  <c r="I55" i="25"/>
  <c r="P18" i="25"/>
  <c r="G40" i="28"/>
  <c r="G36" i="28"/>
  <c r="G43" i="28"/>
  <c r="G29" i="28"/>
  <c r="G30" i="28"/>
  <c r="G27" i="28"/>
  <c r="G23" i="28"/>
  <c r="G20" i="28"/>
  <c r="G33" i="28"/>
  <c r="I52" i="25"/>
  <c r="I54" i="25"/>
  <c r="P11" i="25"/>
  <c r="P9" i="25"/>
  <c r="G13" i="28"/>
  <c r="G35" i="28"/>
  <c r="G6" i="28"/>
  <c r="G7" i="28"/>
  <c r="G31" i="28"/>
  <c r="G32" i="28"/>
  <c r="G22" i="28"/>
  <c r="G44" i="28"/>
  <c r="G12" i="28"/>
  <c r="G24" i="28"/>
  <c r="R11" i="20"/>
  <c r="R16" i="20"/>
  <c r="R25" i="20"/>
  <c r="R32" i="20"/>
  <c r="R18" i="20"/>
  <c r="R19" i="20"/>
  <c r="R31" i="20"/>
  <c r="R10" i="20"/>
  <c r="O55" i="20"/>
  <c r="R37" i="20"/>
  <c r="R22" i="20"/>
  <c r="O56" i="20"/>
  <c r="O51" i="20"/>
  <c r="R17" i="20"/>
  <c r="L57" i="20"/>
  <c r="R14" i="20"/>
  <c r="R13" i="20"/>
  <c r="R33" i="20"/>
  <c r="R24" i="20"/>
  <c r="R21" i="20"/>
  <c r="R7" i="20"/>
  <c r="R41" i="20"/>
  <c r="R28" i="20"/>
  <c r="O53" i="20"/>
  <c r="Z52" i="20"/>
  <c r="AF12" i="20"/>
  <c r="AF52" i="20" s="1"/>
  <c r="AF29" i="20"/>
  <c r="AF54" i="20" s="1"/>
  <c r="Z54" i="20"/>
  <c r="R35" i="20"/>
  <c r="R23" i="20"/>
  <c r="Q53" i="20"/>
  <c r="R27" i="20"/>
  <c r="Z50" i="20"/>
  <c r="AF5" i="20"/>
  <c r="AF50" i="20" s="1"/>
  <c r="R15" i="20"/>
  <c r="R40" i="20"/>
  <c r="Q56" i="20"/>
  <c r="R9" i="20"/>
  <c r="Q51" i="20"/>
  <c r="O50" i="20"/>
  <c r="W51" i="20"/>
  <c r="U51" i="20"/>
  <c r="X51" i="20"/>
  <c r="Q55" i="20"/>
  <c r="R34" i="20"/>
  <c r="O52" i="20"/>
  <c r="R46" i="20"/>
  <c r="R6" i="20"/>
  <c r="M57" i="20"/>
  <c r="R43" i="20"/>
  <c r="R30" i="20"/>
  <c r="R39" i="20"/>
  <c r="W53" i="20"/>
  <c r="U53" i="20"/>
  <c r="X53" i="20"/>
  <c r="U55" i="20"/>
  <c r="X55" i="20"/>
  <c r="W55" i="20"/>
  <c r="R38" i="20"/>
  <c r="R20" i="20"/>
  <c r="R12" i="20"/>
  <c r="Q52" i="20"/>
  <c r="R29" i="20"/>
  <c r="Q54" i="20"/>
  <c r="R44" i="20"/>
  <c r="Q50" i="20"/>
  <c r="R5" i="20"/>
  <c r="AF23" i="20"/>
  <c r="AF53" i="20" s="1"/>
  <c r="Z53" i="20"/>
  <c r="W52" i="20"/>
  <c r="X52" i="20"/>
  <c r="U52" i="20"/>
  <c r="O54" i="20"/>
  <c r="AF34" i="20"/>
  <c r="AF55" i="20" s="1"/>
  <c r="Z55" i="20"/>
  <c r="S57" i="20"/>
  <c r="X50" i="20"/>
  <c r="U50" i="20"/>
  <c r="W50" i="20"/>
  <c r="R45" i="20"/>
  <c r="R26" i="20"/>
  <c r="U56" i="20"/>
  <c r="X56" i="20"/>
  <c r="W56" i="20"/>
  <c r="Z51" i="20"/>
  <c r="AF9" i="20"/>
  <c r="AF51" i="20" s="1"/>
  <c r="R42" i="20"/>
  <c r="Z56" i="20"/>
  <c r="AF40" i="20"/>
  <c r="AF56" i="20" s="1"/>
  <c r="W54" i="20"/>
  <c r="X54" i="20"/>
  <c r="U54" i="20"/>
  <c r="AE23" i="41" l="1"/>
  <c r="AY23" i="41" s="1"/>
  <c r="AE28" i="41"/>
  <c r="AY28" i="41" s="1"/>
  <c r="S31" i="41"/>
  <c r="N40" i="44" s="1"/>
  <c r="T40" i="44" s="1"/>
  <c r="AE48" i="41"/>
  <c r="AY48" i="41" s="1"/>
  <c r="AE18" i="41"/>
  <c r="AY18" i="41" s="1"/>
  <c r="AE39" i="41"/>
  <c r="AY39" i="41" s="1"/>
  <c r="AE37" i="41"/>
  <c r="AY37" i="41" s="1"/>
  <c r="AU37" i="41" s="1"/>
  <c r="AD21" i="44"/>
  <c r="AE21" i="44" s="1"/>
  <c r="AE21" i="41"/>
  <c r="AY21" i="41" s="1"/>
  <c r="AU21" i="41" s="1"/>
  <c r="N18" i="28"/>
  <c r="R18" i="28" s="1"/>
  <c r="O8" i="28"/>
  <c r="S8" i="28" s="1"/>
  <c r="N24" i="28"/>
  <c r="R24" i="28" s="1"/>
  <c r="O10" i="28"/>
  <c r="S10" i="28" s="1"/>
  <c r="O35" i="28"/>
  <c r="S35" i="28" s="1"/>
  <c r="O43" i="28"/>
  <c r="S43" i="28" s="1"/>
  <c r="O24" i="28"/>
  <c r="S24" i="28" s="1"/>
  <c r="N13" i="28"/>
  <c r="R13" i="28" s="1"/>
  <c r="O23" i="28"/>
  <c r="O22" i="28"/>
  <c r="S22" i="28" s="1"/>
  <c r="N42" i="28"/>
  <c r="R42" i="28" s="1"/>
  <c r="O33" i="28"/>
  <c r="S33" i="28" s="1"/>
  <c r="O36" i="28"/>
  <c r="S36" i="28" s="1"/>
  <c r="O15" i="28"/>
  <c r="S15" i="28" s="1"/>
  <c r="O12" i="28"/>
  <c r="S12" i="28" s="1"/>
  <c r="O13" i="28"/>
  <c r="S13" i="28" s="1"/>
  <c r="O9" i="28"/>
  <c r="S9" i="28" s="1"/>
  <c r="N39" i="28"/>
  <c r="R39" i="28" s="1"/>
  <c r="AE8" i="41"/>
  <c r="AY8" i="41" s="1"/>
  <c r="AF8" i="41" s="1"/>
  <c r="N9" i="28"/>
  <c r="R9" i="28" s="1"/>
  <c r="N6" i="28"/>
  <c r="R6" i="28" s="1"/>
  <c r="O29" i="28"/>
  <c r="S29" i="28" s="1"/>
  <c r="O11" i="28"/>
  <c r="S11" i="28" s="1"/>
  <c r="O39" i="28"/>
  <c r="S39" i="28" s="1"/>
  <c r="N28" i="28"/>
  <c r="R28" i="28" s="1"/>
  <c r="O41" i="28"/>
  <c r="S41" i="28" s="1"/>
  <c r="N38" i="28"/>
  <c r="R38" i="28" s="1"/>
  <c r="N32" i="28"/>
  <c r="R32" i="28" s="1"/>
  <c r="N30" i="28"/>
  <c r="R30" i="28" s="1"/>
  <c r="O37" i="28"/>
  <c r="S37" i="28" s="1"/>
  <c r="O27" i="28"/>
  <c r="S27" i="28" s="1"/>
  <c r="O46" i="28"/>
  <c r="S46" i="28" s="1"/>
  <c r="O17" i="28"/>
  <c r="S17" i="28" s="1"/>
  <c r="O38" i="28"/>
  <c r="S38" i="28" s="1"/>
  <c r="O32" i="28"/>
  <c r="S32" i="28" s="1"/>
  <c r="O5" i="28"/>
  <c r="O50" i="28" s="1"/>
  <c r="O26" i="28"/>
  <c r="S26" i="28" s="1"/>
  <c r="O45" i="28"/>
  <c r="S45" i="28" s="1"/>
  <c r="O21" i="28"/>
  <c r="S21" i="28" s="1"/>
  <c r="O44" i="28"/>
  <c r="S44" i="28" s="1"/>
  <c r="N19" i="28"/>
  <c r="R19" i="28" s="1"/>
  <c r="O20" i="28"/>
  <c r="S20" i="28" s="1"/>
  <c r="O40" i="28"/>
  <c r="O19" i="28"/>
  <c r="S19" i="28" s="1"/>
  <c r="AL28" i="41"/>
  <c r="AM28" i="41" s="1"/>
  <c r="AL39" i="41"/>
  <c r="AM39" i="41" s="1"/>
  <c r="AL16" i="41"/>
  <c r="AM16" i="41" s="1"/>
  <c r="AL33" i="41"/>
  <c r="AM33" i="41" s="1"/>
  <c r="AW33" i="41"/>
  <c r="AS33" i="41" s="1"/>
  <c r="AL27" i="41"/>
  <c r="AM27" i="41" s="1"/>
  <c r="AW20" i="41"/>
  <c r="AS20" i="41" s="1"/>
  <c r="AD23" i="44"/>
  <c r="AE23" i="44" s="1"/>
  <c r="T23" i="44"/>
  <c r="AD16" i="44"/>
  <c r="AE16" i="44" s="1"/>
  <c r="T16" i="44"/>
  <c r="AD29" i="44"/>
  <c r="AE29" i="44" s="1"/>
  <c r="T29" i="44"/>
  <c r="AD40" i="44"/>
  <c r="AE40" i="44" s="1"/>
  <c r="AD36" i="44"/>
  <c r="AE36" i="44" s="1"/>
  <c r="T36" i="44"/>
  <c r="AE6" i="44"/>
  <c r="N60" i="44"/>
  <c r="T35" i="44"/>
  <c r="AD35" i="44"/>
  <c r="AE35" i="44" s="1"/>
  <c r="T41" i="44"/>
  <c r="AD41" i="44"/>
  <c r="AE41" i="44" s="1"/>
  <c r="T26" i="44"/>
  <c r="AD26" i="44"/>
  <c r="AE26" i="44" s="1"/>
  <c r="T34" i="44"/>
  <c r="AD34" i="44"/>
  <c r="AE34" i="44" s="1"/>
  <c r="AD19" i="44"/>
  <c r="AE19" i="44" s="1"/>
  <c r="T19" i="44"/>
  <c r="T32" i="44"/>
  <c r="AD32" i="44"/>
  <c r="AE32" i="44" s="1"/>
  <c r="AE27" i="41"/>
  <c r="AY27" i="41" s="1"/>
  <c r="AF27" i="41" s="1"/>
  <c r="AE16" i="41"/>
  <c r="AY16" i="41" s="1"/>
  <c r="AU16" i="41" s="1"/>
  <c r="AL46" i="41"/>
  <c r="AM46" i="41" s="1"/>
  <c r="CP55" i="42"/>
  <c r="CB64" i="42"/>
  <c r="AL30" i="41"/>
  <c r="AM30" i="41" s="1"/>
  <c r="AL40" i="41"/>
  <c r="AM40" i="41" s="1"/>
  <c r="Q57" i="42"/>
  <c r="O60" i="42" s="1"/>
  <c r="AL17" i="41"/>
  <c r="AM17" i="41" s="1"/>
  <c r="AL13" i="41"/>
  <c r="AM13" i="41" s="1"/>
  <c r="S52" i="41"/>
  <c r="S61" i="41"/>
  <c r="AA7" i="41"/>
  <c r="AI7" i="41" s="1"/>
  <c r="AJ7" i="41" a="1"/>
  <c r="AJ7" i="41" s="1"/>
  <c r="AC7" i="41"/>
  <c r="AU28" i="41"/>
  <c r="AF28" i="41"/>
  <c r="S55" i="41"/>
  <c r="AA25" i="41"/>
  <c r="AI25" i="41" s="1"/>
  <c r="AJ25" i="41" a="1"/>
  <c r="AJ25" i="41" s="1"/>
  <c r="AC25" i="41"/>
  <c r="AW17" i="41"/>
  <c r="AS17" i="41" s="1"/>
  <c r="AE17" i="41"/>
  <c r="AY17" i="41" s="1"/>
  <c r="CB59" i="42"/>
  <c r="AW40" i="41"/>
  <c r="AS40" i="41" s="1"/>
  <c r="AE40" i="41"/>
  <c r="AY40" i="41" s="1"/>
  <c r="AF44" i="41"/>
  <c r="AU44" i="41"/>
  <c r="CP53" i="42"/>
  <c r="AU39" i="41"/>
  <c r="AF39" i="41"/>
  <c r="CB60" i="42"/>
  <c r="AF48" i="41"/>
  <c r="AU48" i="41"/>
  <c r="CP54" i="42"/>
  <c r="S56" i="41"/>
  <c r="AC31" i="41"/>
  <c r="AU10" i="41"/>
  <c r="AF10" i="41"/>
  <c r="CC50" i="42"/>
  <c r="CB63" i="42"/>
  <c r="AW13" i="41"/>
  <c r="AS13" i="41" s="1"/>
  <c r="AE13" i="41"/>
  <c r="AY13" i="41" s="1"/>
  <c r="S57" i="41"/>
  <c r="AC36" i="41"/>
  <c r="S54" i="41"/>
  <c r="AC14" i="41"/>
  <c r="AU33" i="41"/>
  <c r="AF33" i="41"/>
  <c r="CE52" i="42"/>
  <c r="AW46" i="41"/>
  <c r="AS46" i="41" s="1"/>
  <c r="AE46" i="41"/>
  <c r="AY46" i="41" s="1"/>
  <c r="CP51" i="42"/>
  <c r="CD50" i="42"/>
  <c r="S58" i="41"/>
  <c r="AA42" i="41"/>
  <c r="AI42" i="41" s="1"/>
  <c r="AJ42" i="41" a="1"/>
  <c r="AJ42" i="41" s="1"/>
  <c r="AC42" i="41"/>
  <c r="CD52" i="42"/>
  <c r="AW30" i="41"/>
  <c r="AS30" i="41" s="1"/>
  <c r="AE30" i="41"/>
  <c r="AY30" i="41" s="1"/>
  <c r="CP56" i="42"/>
  <c r="CE50" i="42"/>
  <c r="AF20" i="41"/>
  <c r="AU20" i="41"/>
  <c r="AU23" i="41"/>
  <c r="AF23" i="41"/>
  <c r="CC52" i="42"/>
  <c r="CB53" i="42"/>
  <c r="CC23" i="42"/>
  <c r="CC53" i="42" s="1"/>
  <c r="CD23" i="42"/>
  <c r="CD53" i="42" s="1"/>
  <c r="AW29" i="41"/>
  <c r="AS29" i="41" s="1"/>
  <c r="AE29" i="41"/>
  <c r="AY29" i="41" s="1"/>
  <c r="CB54" i="42"/>
  <c r="CD29" i="42"/>
  <c r="CD54" i="42" s="1"/>
  <c r="CC29" i="42"/>
  <c r="CC54" i="42" s="1"/>
  <c r="CB55" i="42"/>
  <c r="CE34" i="42"/>
  <c r="CE55" i="42" s="1"/>
  <c r="CD34" i="42"/>
  <c r="CD55" i="42" s="1"/>
  <c r="CC34" i="42"/>
  <c r="CC55" i="42" s="1"/>
  <c r="CB51" i="42"/>
  <c r="CE9" i="42"/>
  <c r="CE51" i="42" s="1"/>
  <c r="CD9" i="42"/>
  <c r="CD51" i="42" s="1"/>
  <c r="CC9" i="42"/>
  <c r="CC51" i="42" s="1"/>
  <c r="CP52" i="42"/>
  <c r="CP45" i="42"/>
  <c r="AY15" i="42"/>
  <c r="AY18" i="42"/>
  <c r="BB42" i="42"/>
  <c r="AX28" i="42"/>
  <c r="BE35" i="42"/>
  <c r="BU35" i="42" s="1"/>
  <c r="BV35" i="42" s="1"/>
  <c r="BB11" i="42"/>
  <c r="BA41" i="42"/>
  <c r="BA32" i="42"/>
  <c r="AY19" i="42"/>
  <c r="AX36" i="42"/>
  <c r="BC37" i="42"/>
  <c r="BC39" i="42"/>
  <c r="BC22" i="42"/>
  <c r="BE14" i="42"/>
  <c r="BU14" i="42" s="1"/>
  <c r="BV14" i="42" s="1"/>
  <c r="BB46" i="42"/>
  <c r="BA45" i="42"/>
  <c r="BB15" i="42"/>
  <c r="BB18" i="42"/>
  <c r="AX42" i="42"/>
  <c r="CP28" i="42"/>
  <c r="BC35" i="42"/>
  <c r="AX11" i="42"/>
  <c r="BC41" i="42"/>
  <c r="BE32" i="42"/>
  <c r="BU32" i="42" s="1"/>
  <c r="BV32" i="42" s="1"/>
  <c r="BB19" i="42"/>
  <c r="CP36" i="42"/>
  <c r="AW37" i="42"/>
  <c r="AW39" i="42"/>
  <c r="AY22" i="42"/>
  <c r="AW14" i="42"/>
  <c r="AX46" i="42"/>
  <c r="BE45" i="42"/>
  <c r="BU45" i="42" s="1"/>
  <c r="BV45" i="42" s="1"/>
  <c r="AX15" i="42"/>
  <c r="AX18" i="42"/>
  <c r="CP42" i="42"/>
  <c r="BA28" i="42"/>
  <c r="AY35" i="42"/>
  <c r="CP11" i="42"/>
  <c r="AW41" i="42"/>
  <c r="AW32" i="42"/>
  <c r="AX19" i="42"/>
  <c r="BA36" i="42"/>
  <c r="AY37" i="42"/>
  <c r="BE39" i="42"/>
  <c r="BU39" i="42" s="1"/>
  <c r="BV39" i="42" s="1"/>
  <c r="BB22" i="42"/>
  <c r="AY14" i="42"/>
  <c r="CP46" i="42"/>
  <c r="AW45" i="42"/>
  <c r="CP15" i="42"/>
  <c r="CP18" i="42"/>
  <c r="BA42" i="42"/>
  <c r="BC28" i="42"/>
  <c r="BB35" i="42"/>
  <c r="BA11" i="42"/>
  <c r="BE41" i="42"/>
  <c r="BU41" i="42" s="1"/>
  <c r="BV41" i="42" s="1"/>
  <c r="BC32" i="42"/>
  <c r="CP19" i="42"/>
  <c r="BE36" i="42"/>
  <c r="BU36" i="42" s="1"/>
  <c r="BV36" i="42" s="1"/>
  <c r="BB37" i="42"/>
  <c r="AY39" i="42"/>
  <c r="AX22" i="42"/>
  <c r="BB14" i="42"/>
  <c r="BA46" i="42"/>
  <c r="BC45" i="42"/>
  <c r="BA15" i="42"/>
  <c r="BA18" i="42"/>
  <c r="BE42" i="42"/>
  <c r="BU42" i="42" s="1"/>
  <c r="BV42" i="42" s="1"/>
  <c r="BE28" i="42"/>
  <c r="BU28" i="42" s="1"/>
  <c r="BV28" i="42" s="1"/>
  <c r="AX35" i="42"/>
  <c r="BC11" i="42"/>
  <c r="AY41" i="42"/>
  <c r="AY32" i="42"/>
  <c r="BA19" i="42"/>
  <c r="AW36" i="42"/>
  <c r="AX37" i="42"/>
  <c r="BB39" i="42"/>
  <c r="CP22" i="42"/>
  <c r="AX14" i="42"/>
  <c r="BI14" i="42" s="1"/>
  <c r="BJ14" i="42" s="1"/>
  <c r="AW46" i="42"/>
  <c r="AY45" i="42"/>
  <c r="AW15" i="42"/>
  <c r="AW18" i="42"/>
  <c r="AW42" i="42"/>
  <c r="AW28" i="42"/>
  <c r="CP35" i="42"/>
  <c r="AW11" i="42"/>
  <c r="BB41" i="42"/>
  <c r="BO41" i="42" s="1"/>
  <c r="BP41" i="42" s="1"/>
  <c r="BB32" i="42"/>
  <c r="BO32" i="42" s="1"/>
  <c r="BP32" i="42" s="1"/>
  <c r="AW19" i="42"/>
  <c r="BC36" i="42"/>
  <c r="CP37" i="42"/>
  <c r="AX39" i="42"/>
  <c r="BI39" i="42" s="1"/>
  <c r="BJ39" i="42" s="1"/>
  <c r="BA22" i="42"/>
  <c r="CP14" i="42"/>
  <c r="BE46" i="42"/>
  <c r="BU46" i="42" s="1"/>
  <c r="BV46" i="42" s="1"/>
  <c r="BB45" i="42"/>
  <c r="BO45" i="42" s="1"/>
  <c r="BP45" i="42" s="1"/>
  <c r="BE15" i="42"/>
  <c r="BU15" i="42" s="1"/>
  <c r="BV15" i="42" s="1"/>
  <c r="BC18" i="42"/>
  <c r="BC42" i="42"/>
  <c r="AY28" i="42"/>
  <c r="BA35" i="42"/>
  <c r="BE11" i="42"/>
  <c r="BU11" i="42" s="1"/>
  <c r="BV11" i="42" s="1"/>
  <c r="AX41" i="42"/>
  <c r="BI41" i="42" s="1"/>
  <c r="BJ41" i="42" s="1"/>
  <c r="AX32" i="42"/>
  <c r="BI32" i="42" s="1"/>
  <c r="BJ32" i="42" s="1"/>
  <c r="BE19" i="42"/>
  <c r="BU19" i="42" s="1"/>
  <c r="BV19" i="42" s="1"/>
  <c r="AY36" i="42"/>
  <c r="BA37" i="42"/>
  <c r="CP39" i="42"/>
  <c r="BE22" i="42"/>
  <c r="BU22" i="42" s="1"/>
  <c r="BV22" i="42" s="1"/>
  <c r="BA14" i="42"/>
  <c r="BC46" i="42"/>
  <c r="AX45" i="42"/>
  <c r="BI45" i="42" s="1"/>
  <c r="BJ45" i="42" s="1"/>
  <c r="BC15" i="42"/>
  <c r="BE18" i="42"/>
  <c r="BU18" i="42" s="1"/>
  <c r="BV18" i="42" s="1"/>
  <c r="AY42" i="42"/>
  <c r="BB28" i="42"/>
  <c r="BO28" i="42" s="1"/>
  <c r="BP28" i="42" s="1"/>
  <c r="AW35" i="42"/>
  <c r="AY11" i="42"/>
  <c r="CP41" i="42"/>
  <c r="CP32" i="42"/>
  <c r="BC19" i="42"/>
  <c r="BB36" i="42"/>
  <c r="BO36" i="42" s="1"/>
  <c r="BP36" i="42" s="1"/>
  <c r="BE37" i="42"/>
  <c r="BU37" i="42" s="1"/>
  <c r="BV37" i="42" s="1"/>
  <c r="BA39" i="42"/>
  <c r="AW22" i="42"/>
  <c r="BC14" i="42"/>
  <c r="AY46" i="42"/>
  <c r="BC16" i="42"/>
  <c r="AY8" i="42"/>
  <c r="AW29" i="42"/>
  <c r="BE33" i="42"/>
  <c r="BU33" i="42" s="1"/>
  <c r="BV33" i="42" s="1"/>
  <c r="AW40" i="42"/>
  <c r="BC27" i="42"/>
  <c r="CP13" i="42"/>
  <c r="AY34" i="42"/>
  <c r="AY21" i="42"/>
  <c r="BE23" i="42"/>
  <c r="BA9" i="42"/>
  <c r="BB17" i="42"/>
  <c r="BB12" i="42"/>
  <c r="BC26" i="42"/>
  <c r="BA25" i="42"/>
  <c r="AX30" i="42"/>
  <c r="BC20" i="42"/>
  <c r="AY44" i="42"/>
  <c r="AY7" i="42"/>
  <c r="AY5" i="42"/>
  <c r="BB6" i="42"/>
  <c r="BE10" i="42"/>
  <c r="BU10" i="42" s="1"/>
  <c r="BV10" i="42" s="1"/>
  <c r="BA31" i="42"/>
  <c r="BA24" i="42"/>
  <c r="AX43" i="42"/>
  <c r="AW38" i="42"/>
  <c r="AY16" i="42"/>
  <c r="BB8" i="42"/>
  <c r="AY29" i="42"/>
  <c r="AY33" i="42"/>
  <c r="BC40" i="42"/>
  <c r="BE27" i="42"/>
  <c r="BU27" i="42" s="1"/>
  <c r="BV27" i="42" s="1"/>
  <c r="BA13" i="42"/>
  <c r="BB34" i="42"/>
  <c r="BB21" i="42"/>
  <c r="AY23" i="42"/>
  <c r="BC9" i="42"/>
  <c r="AX17" i="42"/>
  <c r="AX12" i="42"/>
  <c r="AY26" i="42"/>
  <c r="AW25" i="42"/>
  <c r="CP30" i="42"/>
  <c r="BE20" i="42"/>
  <c r="BU20" i="42" s="1"/>
  <c r="BV20" i="42" s="1"/>
  <c r="BB44" i="42"/>
  <c r="BB7" i="42"/>
  <c r="BB5" i="42"/>
  <c r="AX6" i="42"/>
  <c r="AW10" i="42"/>
  <c r="AW31" i="42"/>
  <c r="BE24" i="42"/>
  <c r="BU24" i="42" s="1"/>
  <c r="BV24" i="42" s="1"/>
  <c r="CP43" i="42"/>
  <c r="AY38" i="42"/>
  <c r="BB16" i="42"/>
  <c r="AX8" i="42"/>
  <c r="BB29" i="42"/>
  <c r="BB33" i="42"/>
  <c r="AY40" i="42"/>
  <c r="AY27" i="42"/>
  <c r="BC13" i="42"/>
  <c r="AX34" i="42"/>
  <c r="AX21" i="42"/>
  <c r="BB23" i="42"/>
  <c r="BE9" i="42"/>
  <c r="CP17" i="42"/>
  <c r="CP12" i="42"/>
  <c r="BB26" i="42"/>
  <c r="BE25" i="42"/>
  <c r="BU25" i="42" s="1"/>
  <c r="BV25" i="42" s="1"/>
  <c r="BA30" i="42"/>
  <c r="AY20" i="42"/>
  <c r="AX44" i="42"/>
  <c r="AX7" i="42"/>
  <c r="AX5" i="42"/>
  <c r="CP6" i="42"/>
  <c r="BC10" i="42"/>
  <c r="BE31" i="42"/>
  <c r="BU31" i="42" s="1"/>
  <c r="BV31" i="42" s="1"/>
  <c r="AW24" i="42"/>
  <c r="BA43" i="42"/>
  <c r="BB38" i="42"/>
  <c r="AX16" i="42"/>
  <c r="CP8" i="42"/>
  <c r="AX29" i="42"/>
  <c r="AX33" i="42"/>
  <c r="BB40" i="42"/>
  <c r="BB27" i="42"/>
  <c r="BE13" i="42"/>
  <c r="BU13" i="42" s="1"/>
  <c r="BV13" i="42" s="1"/>
  <c r="CP34" i="42"/>
  <c r="CP21" i="42"/>
  <c r="AX23" i="42"/>
  <c r="AW9" i="42"/>
  <c r="BA17" i="42"/>
  <c r="BA12" i="42"/>
  <c r="AX26" i="42"/>
  <c r="BC25" i="42"/>
  <c r="BC30" i="42"/>
  <c r="BB20" i="42"/>
  <c r="CP44" i="42"/>
  <c r="CP7" i="42"/>
  <c r="CP5" i="42"/>
  <c r="BA6" i="42"/>
  <c r="AY10" i="42"/>
  <c r="BC31" i="42"/>
  <c r="BC24" i="42"/>
  <c r="BE43" i="42"/>
  <c r="BU43" i="42" s="1"/>
  <c r="BV43" i="42" s="1"/>
  <c r="AX38" i="42"/>
  <c r="CP16" i="42"/>
  <c r="BA8" i="42"/>
  <c r="CP29" i="42"/>
  <c r="CP33" i="42"/>
  <c r="AX40" i="42"/>
  <c r="AX27" i="42"/>
  <c r="AW13" i="42"/>
  <c r="BA34" i="42"/>
  <c r="BA21" i="42"/>
  <c r="CP23" i="42"/>
  <c r="AY9" i="42"/>
  <c r="BE17" i="42"/>
  <c r="BU17" i="42" s="1"/>
  <c r="BV17" i="42" s="1"/>
  <c r="BE12" i="42"/>
  <c r="CP26" i="42"/>
  <c r="AY25" i="42"/>
  <c r="BE30" i="42"/>
  <c r="BU30" i="42" s="1"/>
  <c r="BV30" i="42" s="1"/>
  <c r="AX20" i="42"/>
  <c r="BA44" i="42"/>
  <c r="BA7" i="42"/>
  <c r="BA5" i="42"/>
  <c r="BE6" i="42"/>
  <c r="BU6" i="42" s="1"/>
  <c r="BV6" i="42" s="1"/>
  <c r="BB10" i="42"/>
  <c r="AY31" i="42"/>
  <c r="AY24" i="42"/>
  <c r="AW43" i="42"/>
  <c r="CP38" i="42"/>
  <c r="BA16" i="42"/>
  <c r="BE8" i="42"/>
  <c r="BU8" i="42" s="1"/>
  <c r="BV8" i="42" s="1"/>
  <c r="BA29" i="42"/>
  <c r="BA33" i="42"/>
  <c r="CP40" i="42"/>
  <c r="CP27" i="42"/>
  <c r="AY13" i="42"/>
  <c r="BC34" i="42"/>
  <c r="BE21" i="42"/>
  <c r="BU21" i="42" s="1"/>
  <c r="BV21" i="42" s="1"/>
  <c r="BA23" i="42"/>
  <c r="BB9" i="42"/>
  <c r="AW17" i="42"/>
  <c r="BC12" i="42"/>
  <c r="BA26" i="42"/>
  <c r="BB25" i="42"/>
  <c r="AW30" i="42"/>
  <c r="CP20" i="42"/>
  <c r="BE44" i="42"/>
  <c r="BU44" i="42" s="1"/>
  <c r="BV44" i="42" s="1"/>
  <c r="BE7" i="42"/>
  <c r="BU7" i="42" s="1"/>
  <c r="BV7" i="42" s="1"/>
  <c r="BE5" i="42"/>
  <c r="BC6" i="42"/>
  <c r="AX10" i="42"/>
  <c r="BB31" i="42"/>
  <c r="BB24" i="42"/>
  <c r="BC43" i="42"/>
  <c r="BA38" i="42"/>
  <c r="AW16" i="42"/>
  <c r="AW8" i="42"/>
  <c r="BE29" i="42"/>
  <c r="BC33" i="42"/>
  <c r="BA40" i="42"/>
  <c r="BA27" i="42"/>
  <c r="BB13" i="42"/>
  <c r="BE34" i="42"/>
  <c r="BC21" i="42"/>
  <c r="AW23" i="42"/>
  <c r="AX9" i="42"/>
  <c r="BC17" i="42"/>
  <c r="AW12" i="42"/>
  <c r="AW26" i="42"/>
  <c r="AX25" i="42"/>
  <c r="AY30" i="42"/>
  <c r="BA20" i="42"/>
  <c r="AW44" i="42"/>
  <c r="AW7" i="42"/>
  <c r="AW5" i="42"/>
  <c r="AW6" i="42"/>
  <c r="CP10" i="42"/>
  <c r="AX31" i="42"/>
  <c r="AX24" i="42"/>
  <c r="AY43" i="42"/>
  <c r="BC38" i="42"/>
  <c r="BE16" i="42"/>
  <c r="BU16" i="42" s="1"/>
  <c r="BV16" i="42" s="1"/>
  <c r="BC8" i="42"/>
  <c r="BC29" i="42"/>
  <c r="AW33" i="42"/>
  <c r="BE40" i="42"/>
  <c r="AW27" i="42"/>
  <c r="AX13" i="42"/>
  <c r="AW34" i="42"/>
  <c r="AW21" i="42"/>
  <c r="BC23" i="42"/>
  <c r="CP9" i="42"/>
  <c r="AY17" i="42"/>
  <c r="AY12" i="42"/>
  <c r="BE26" i="42"/>
  <c r="BU26" i="42" s="1"/>
  <c r="BV26" i="42" s="1"/>
  <c r="CP25" i="42"/>
  <c r="BB30" i="42"/>
  <c r="AW20" i="42"/>
  <c r="BC44" i="42"/>
  <c r="BC7" i="42"/>
  <c r="BC5" i="42"/>
  <c r="AY6" i="42"/>
  <c r="BA10" i="42"/>
  <c r="CP31" i="42"/>
  <c r="CP24" i="42"/>
  <c r="BB43" i="42"/>
  <c r="BE38" i="42"/>
  <c r="BU38" i="42" s="1"/>
  <c r="BV38" i="42" s="1"/>
  <c r="AL29" i="41"/>
  <c r="AM29" i="41" s="1"/>
  <c r="AF18" i="41"/>
  <c r="AU18" i="41"/>
  <c r="S53" i="41"/>
  <c r="AC11" i="41"/>
  <c r="CB65" i="42"/>
  <c r="CD40" i="42"/>
  <c r="CD56" i="42" s="1"/>
  <c r="CE40" i="42"/>
  <c r="CE56" i="42" s="1"/>
  <c r="CC40" i="42"/>
  <c r="CC56" i="42" s="1"/>
  <c r="CB56" i="42"/>
  <c r="CA57" i="42"/>
  <c r="CQ54" i="42" s="1"/>
  <c r="Q51" i="36"/>
  <c r="P57" i="36"/>
  <c r="O57" i="36" s="1"/>
  <c r="O59" i="36" s="1"/>
  <c r="W57" i="38"/>
  <c r="CN51" i="36"/>
  <c r="Q56" i="38"/>
  <c r="Q53" i="38"/>
  <c r="N57" i="38"/>
  <c r="Q56" i="34"/>
  <c r="Q50" i="38"/>
  <c r="CN50" i="34"/>
  <c r="CA5" i="38"/>
  <c r="BZ50" i="38"/>
  <c r="BZ56" i="38"/>
  <c r="CA40" i="38"/>
  <c r="AT57" i="38"/>
  <c r="BZ55" i="38"/>
  <c r="CA34" i="38"/>
  <c r="Q51" i="38"/>
  <c r="AL57" i="38"/>
  <c r="W57" i="34"/>
  <c r="N57" i="36"/>
  <c r="CA51" i="38"/>
  <c r="CC9" i="38"/>
  <c r="CC51" i="38" s="1"/>
  <c r="CB9" i="38"/>
  <c r="CB51" i="38" s="1"/>
  <c r="CD9" i="38"/>
  <c r="CD51" i="38" s="1"/>
  <c r="CN56" i="38"/>
  <c r="R60" i="38"/>
  <c r="CN35" i="38"/>
  <c r="CN40" i="38"/>
  <c r="CN27" i="38"/>
  <c r="CN44" i="38"/>
  <c r="CN32" i="38"/>
  <c r="CN55" i="38"/>
  <c r="CN45" i="38"/>
  <c r="CN17" i="38"/>
  <c r="CN13" i="38"/>
  <c r="CN24" i="38"/>
  <c r="CN6" i="38"/>
  <c r="CN19" i="38"/>
  <c r="CN42" i="38"/>
  <c r="CN46" i="38"/>
  <c r="CN33" i="38"/>
  <c r="CN31" i="38"/>
  <c r="CN43" i="38"/>
  <c r="CN9" i="38"/>
  <c r="CN51" i="38"/>
  <c r="CN7" i="38"/>
  <c r="CN25" i="38"/>
  <c r="CN23" i="38"/>
  <c r="CN11" i="38"/>
  <c r="CN15" i="38"/>
  <c r="CN12" i="38"/>
  <c r="CN16" i="38"/>
  <c r="CN38" i="38"/>
  <c r="CN5" i="38"/>
  <c r="CN22" i="38"/>
  <c r="CN53" i="38"/>
  <c r="R63" i="38"/>
  <c r="CN41" i="38"/>
  <c r="CN21" i="38"/>
  <c r="CN37" i="38"/>
  <c r="CN10" i="38"/>
  <c r="CN20" i="38"/>
  <c r="CN52" i="38"/>
  <c r="CN54" i="38"/>
  <c r="T57" i="38"/>
  <c r="CN29" i="38"/>
  <c r="CN26" i="38"/>
  <c r="CN14" i="38"/>
  <c r="CN18" i="38"/>
  <c r="CN34" i="38"/>
  <c r="AA57" i="38"/>
  <c r="CN8" i="38"/>
  <c r="CN39" i="38"/>
  <c r="CN36" i="38"/>
  <c r="CN28" i="38"/>
  <c r="CN30" i="38"/>
  <c r="AC57" i="38"/>
  <c r="BZ53" i="38"/>
  <c r="CA23" i="38"/>
  <c r="P57" i="38"/>
  <c r="O57" i="38" s="1"/>
  <c r="O59" i="38" s="1"/>
  <c r="W57" i="36"/>
  <c r="L62" i="38"/>
  <c r="L59" i="38"/>
  <c r="Q52" i="38"/>
  <c r="CA52" i="38"/>
  <c r="CC12" i="38"/>
  <c r="CB12" i="38"/>
  <c r="CB52" i="38" s="1"/>
  <c r="Q55" i="38"/>
  <c r="AO57" i="38"/>
  <c r="CO56" i="38" s="1"/>
  <c r="Q54" i="38"/>
  <c r="BZ54" i="38"/>
  <c r="CA29" i="38"/>
  <c r="CB35" i="36"/>
  <c r="CC35" i="36"/>
  <c r="CD35" i="36"/>
  <c r="CD16" i="36"/>
  <c r="CC16" i="36"/>
  <c r="CB16" i="36"/>
  <c r="CB18" i="34"/>
  <c r="CC18" i="34"/>
  <c r="CD18" i="34"/>
  <c r="BZ54" i="34"/>
  <c r="CA29" i="34"/>
  <c r="CC43" i="34"/>
  <c r="CB43" i="34"/>
  <c r="CD43" i="34"/>
  <c r="BZ51" i="36"/>
  <c r="CA9" i="36"/>
  <c r="CC46" i="36"/>
  <c r="CD46" i="36" s="1"/>
  <c r="CB46" i="36"/>
  <c r="AT57" i="36"/>
  <c r="L62" i="34"/>
  <c r="L59" i="34"/>
  <c r="Q55" i="34"/>
  <c r="CB15" i="34"/>
  <c r="CD15" i="34"/>
  <c r="CC15" i="34"/>
  <c r="CA52" i="34"/>
  <c r="CB12" i="34"/>
  <c r="CC12" i="34"/>
  <c r="Q54" i="34"/>
  <c r="Q55" i="36"/>
  <c r="CN56" i="34"/>
  <c r="R60" i="34"/>
  <c r="R63" i="34"/>
  <c r="T57" i="34"/>
  <c r="AA57" i="34"/>
  <c r="CN43" i="34"/>
  <c r="CN10" i="34"/>
  <c r="CN35" i="34"/>
  <c r="CN40" i="34"/>
  <c r="CN33" i="34"/>
  <c r="CN24" i="34"/>
  <c r="CN14" i="34"/>
  <c r="CN44" i="34"/>
  <c r="CN34" i="34"/>
  <c r="CN22" i="34"/>
  <c r="CN15" i="34"/>
  <c r="CN27" i="34"/>
  <c r="CN23" i="34"/>
  <c r="CN5" i="34"/>
  <c r="CN37" i="34"/>
  <c r="CN39" i="34"/>
  <c r="CN36" i="34"/>
  <c r="CN31" i="34"/>
  <c r="CN7" i="34"/>
  <c r="CN42" i="34"/>
  <c r="CN29" i="34"/>
  <c r="CN28" i="34"/>
  <c r="CN20" i="34"/>
  <c r="CN18" i="34"/>
  <c r="CN38" i="34"/>
  <c r="CN13" i="34"/>
  <c r="CN16" i="34"/>
  <c r="CN17" i="34"/>
  <c r="CN46" i="34"/>
  <c r="CN9" i="34"/>
  <c r="CN26" i="34"/>
  <c r="CN45" i="34"/>
  <c r="CN32" i="34"/>
  <c r="CN21" i="34"/>
  <c r="CN8" i="34"/>
  <c r="CN12" i="34"/>
  <c r="CN6" i="34"/>
  <c r="CN30" i="34"/>
  <c r="CN19" i="34"/>
  <c r="CN11" i="34"/>
  <c r="CN41" i="34"/>
  <c r="CN25" i="34"/>
  <c r="CC31" i="36"/>
  <c r="CD31" i="36" s="1"/>
  <c r="CB31" i="36"/>
  <c r="CN52" i="34"/>
  <c r="CB41" i="34"/>
  <c r="CC41" i="34"/>
  <c r="CD41" i="34" s="1"/>
  <c r="CC22" i="36"/>
  <c r="CD22" i="36"/>
  <c r="CB22" i="36"/>
  <c r="Q56" i="36"/>
  <c r="CA34" i="36"/>
  <c r="BZ55" i="36"/>
  <c r="CC14" i="36"/>
  <c r="CD14" i="36" s="1"/>
  <c r="CB14" i="36"/>
  <c r="CD33" i="34"/>
  <c r="CB33" i="34"/>
  <c r="CC33" i="34"/>
  <c r="CD16" i="34"/>
  <c r="CC16" i="34"/>
  <c r="CB16" i="34"/>
  <c r="AT57" i="34"/>
  <c r="CB37" i="36"/>
  <c r="CD37" i="36"/>
  <c r="CC37" i="36"/>
  <c r="CB44" i="36"/>
  <c r="CC44" i="36"/>
  <c r="CD44" i="36" s="1"/>
  <c r="N57" i="34"/>
  <c r="CC28" i="34"/>
  <c r="CD28" i="34" s="1"/>
  <c r="CB28" i="34"/>
  <c r="BZ51" i="34"/>
  <c r="CA9" i="34"/>
  <c r="CB38" i="34"/>
  <c r="CC38" i="34"/>
  <c r="CD38" i="34" s="1"/>
  <c r="Q53" i="36"/>
  <c r="BZ50" i="36"/>
  <c r="CA5" i="36"/>
  <c r="CB14" i="34"/>
  <c r="CC14" i="34"/>
  <c r="CD14" i="34" s="1"/>
  <c r="CC6" i="34"/>
  <c r="CD6" i="34" s="1"/>
  <c r="CB6" i="34"/>
  <c r="CC17" i="36"/>
  <c r="CB17" i="36"/>
  <c r="CD17" i="36"/>
  <c r="CB25" i="34"/>
  <c r="CC25" i="34"/>
  <c r="CD25" i="34" s="1"/>
  <c r="CD10" i="34"/>
  <c r="CB10" i="34"/>
  <c r="CC10" i="34"/>
  <c r="CA5" i="34"/>
  <c r="BZ50" i="34"/>
  <c r="BZ56" i="36"/>
  <c r="CA40" i="36"/>
  <c r="CB28" i="36"/>
  <c r="CC28" i="36"/>
  <c r="CD28" i="36" s="1"/>
  <c r="CB37" i="34"/>
  <c r="CD37" i="34"/>
  <c r="CC37" i="34"/>
  <c r="CD7" i="34"/>
  <c r="CC7" i="34"/>
  <c r="CB7" i="34"/>
  <c r="Q54" i="36"/>
  <c r="Q50" i="34"/>
  <c r="AO57" i="36"/>
  <c r="CO54" i="36" s="1"/>
  <c r="CD13" i="34"/>
  <c r="CC13" i="34"/>
  <c r="CB13" i="34"/>
  <c r="CB45" i="34"/>
  <c r="CC45" i="34"/>
  <c r="CD45" i="34" s="1"/>
  <c r="CD33" i="36"/>
  <c r="CC33" i="36"/>
  <c r="CB33" i="36"/>
  <c r="CD21" i="34"/>
  <c r="CC21" i="34"/>
  <c r="CB21" i="34"/>
  <c r="CC19" i="34"/>
  <c r="CB19" i="34"/>
  <c r="CD19" i="34"/>
  <c r="CB46" i="34"/>
  <c r="CC46" i="34"/>
  <c r="CD46" i="34" s="1"/>
  <c r="CN50" i="36"/>
  <c r="R60" i="36"/>
  <c r="AA57" i="36"/>
  <c r="T57" i="36"/>
  <c r="R63" i="36"/>
  <c r="CN34" i="36"/>
  <c r="CN21" i="36"/>
  <c r="CN28" i="36"/>
  <c r="CN18" i="36"/>
  <c r="CN44" i="36"/>
  <c r="CN37" i="36"/>
  <c r="CN27" i="36"/>
  <c r="CN10" i="36"/>
  <c r="CN40" i="36"/>
  <c r="CN23" i="36"/>
  <c r="CN13" i="36"/>
  <c r="CN12" i="36"/>
  <c r="CN6" i="36"/>
  <c r="CN14" i="36"/>
  <c r="CN7" i="36"/>
  <c r="CN26" i="36"/>
  <c r="CN20" i="36"/>
  <c r="CN38" i="36"/>
  <c r="CN19" i="36"/>
  <c r="CN43" i="36"/>
  <c r="CN45" i="36"/>
  <c r="CN41" i="36"/>
  <c r="CN39" i="36"/>
  <c r="CN29" i="36"/>
  <c r="CN15" i="36"/>
  <c r="CN5" i="36"/>
  <c r="CN22" i="36"/>
  <c r="CN32" i="36"/>
  <c r="CN42" i="36"/>
  <c r="CN31" i="36"/>
  <c r="CN33" i="36"/>
  <c r="CN25" i="36"/>
  <c r="CN11" i="36"/>
  <c r="CN17" i="36"/>
  <c r="CN8" i="36"/>
  <c r="CN16" i="36"/>
  <c r="CN30" i="36"/>
  <c r="CN9" i="36"/>
  <c r="CN35" i="36"/>
  <c r="CN24" i="36"/>
  <c r="CN36" i="36"/>
  <c r="CN46" i="36"/>
  <c r="CD35" i="34"/>
  <c r="CB35" i="34"/>
  <c r="CC35" i="34"/>
  <c r="CB17" i="34"/>
  <c r="CD17" i="34"/>
  <c r="CC17" i="34"/>
  <c r="CB27" i="36"/>
  <c r="CC27" i="36"/>
  <c r="CD27" i="36" s="1"/>
  <c r="CN51" i="34"/>
  <c r="P57" i="34"/>
  <c r="O57" i="34" s="1"/>
  <c r="O59" i="34" s="1"/>
  <c r="CC45" i="36"/>
  <c r="CD45" i="36" s="1"/>
  <c r="CB45" i="36"/>
  <c r="CD11" i="34"/>
  <c r="CB11" i="34"/>
  <c r="CC11" i="34"/>
  <c r="CB7" i="36"/>
  <c r="CD7" i="36"/>
  <c r="CC7" i="36"/>
  <c r="CN55" i="36"/>
  <c r="AL57" i="36"/>
  <c r="Q53" i="34"/>
  <c r="CD10" i="36"/>
  <c r="CB10" i="36"/>
  <c r="CC10" i="36"/>
  <c r="CC39" i="34"/>
  <c r="CD39" i="34"/>
  <c r="CB39" i="34"/>
  <c r="CD13" i="36"/>
  <c r="CC13" i="36"/>
  <c r="CB13" i="36"/>
  <c r="CN53" i="36"/>
  <c r="AO57" i="34"/>
  <c r="CO54" i="34" s="1"/>
  <c r="CB32" i="36"/>
  <c r="CC32" i="36"/>
  <c r="CD32" i="36" s="1"/>
  <c r="CB12" i="36"/>
  <c r="CC12" i="36"/>
  <c r="CD12" i="36" s="1"/>
  <c r="CA52" i="36"/>
  <c r="CB42" i="34"/>
  <c r="CC42" i="34"/>
  <c r="CD42" i="34" s="1"/>
  <c r="CC40" i="34"/>
  <c r="CB40" i="34"/>
  <c r="CD40" i="34"/>
  <c r="CA56" i="34"/>
  <c r="CC8" i="36"/>
  <c r="CD8" i="36" s="1"/>
  <c r="CB8" i="36"/>
  <c r="CC42" i="36"/>
  <c r="CD42" i="36" s="1"/>
  <c r="CB42" i="36"/>
  <c r="CB32" i="34"/>
  <c r="CC32" i="34"/>
  <c r="CD32" i="34" s="1"/>
  <c r="CN52" i="36"/>
  <c r="CA55" i="34"/>
  <c r="CC34" i="34"/>
  <c r="CD34" i="34"/>
  <c r="CB34" i="34"/>
  <c r="BZ53" i="34"/>
  <c r="CA23" i="34"/>
  <c r="Q52" i="34"/>
  <c r="CC36" i="36"/>
  <c r="CB36" i="36"/>
  <c r="CD36" i="36"/>
  <c r="AC57" i="36"/>
  <c r="CC21" i="36"/>
  <c r="CB21" i="36"/>
  <c r="CD21" i="36"/>
  <c r="Q52" i="36"/>
  <c r="AC57" i="34"/>
  <c r="CD20" i="36"/>
  <c r="CC20" i="36"/>
  <c r="CB20" i="36"/>
  <c r="Q51" i="34"/>
  <c r="CC38" i="36"/>
  <c r="CD38" i="36" s="1"/>
  <c r="CB38" i="36"/>
  <c r="CN53" i="34"/>
  <c r="CC27" i="34"/>
  <c r="CD27" i="34" s="1"/>
  <c r="CB27" i="34"/>
  <c r="CB11" i="36"/>
  <c r="CD11" i="36"/>
  <c r="CC11" i="36"/>
  <c r="Q50" i="36"/>
  <c r="CC30" i="36"/>
  <c r="CB30" i="36"/>
  <c r="CD30" i="36"/>
  <c r="CB44" i="34"/>
  <c r="CC44" i="34"/>
  <c r="CD44" i="34" s="1"/>
  <c r="CN55" i="34"/>
  <c r="BZ53" i="36"/>
  <c r="CA23" i="36"/>
  <c r="AL57" i="34"/>
  <c r="CC36" i="34"/>
  <c r="CB36" i="34"/>
  <c r="CD36" i="34"/>
  <c r="CC31" i="34"/>
  <c r="CD31" i="34" s="1"/>
  <c r="CB31" i="34"/>
  <c r="L62" i="36"/>
  <c r="L59" i="36"/>
  <c r="CA29" i="36"/>
  <c r="BZ54" i="36"/>
  <c r="CD20" i="34"/>
  <c r="CC20" i="34"/>
  <c r="CB20" i="34"/>
  <c r="CN54" i="36"/>
  <c r="M14" i="25"/>
  <c r="N14" i="25" s="1"/>
  <c r="Q14" i="25" s="1"/>
  <c r="S16" i="37"/>
  <c r="F35" i="44" s="1"/>
  <c r="M18" i="25"/>
  <c r="N18" i="25" s="1"/>
  <c r="Q18" i="25" s="1"/>
  <c r="S20" i="37"/>
  <c r="F29" i="44" s="1"/>
  <c r="M9" i="25"/>
  <c r="N9" i="25" s="1"/>
  <c r="S11" i="37"/>
  <c r="F16" i="44" s="1"/>
  <c r="M21" i="25"/>
  <c r="N21" i="25" s="1"/>
  <c r="Q21" i="25" s="1"/>
  <c r="S23" i="37"/>
  <c r="F9" i="44" s="1"/>
  <c r="P56" i="25"/>
  <c r="P55" i="25"/>
  <c r="P53" i="25"/>
  <c r="P54" i="25"/>
  <c r="P50" i="25"/>
  <c r="V5" i="28"/>
  <c r="H5" i="28"/>
  <c r="G50" i="28"/>
  <c r="I50" i="28" s="1"/>
  <c r="I35" i="28"/>
  <c r="H35" i="28"/>
  <c r="V9" i="28"/>
  <c r="G9" i="28"/>
  <c r="H8" i="28"/>
  <c r="I8" i="28"/>
  <c r="I24" i="28"/>
  <c r="H24" i="28"/>
  <c r="I19" i="28"/>
  <c r="H19" i="28"/>
  <c r="I12" i="28"/>
  <c r="H12" i="28"/>
  <c r="I13" i="28"/>
  <c r="H13" i="28"/>
  <c r="G54" i="28"/>
  <c r="I29" i="28"/>
  <c r="H29" i="28"/>
  <c r="I26" i="28"/>
  <c r="H26" i="28"/>
  <c r="H42" i="28"/>
  <c r="I42" i="28"/>
  <c r="I46" i="28"/>
  <c r="H46" i="28"/>
  <c r="I41" i="28"/>
  <c r="H41" i="28"/>
  <c r="H22" i="28"/>
  <c r="I22" i="28"/>
  <c r="I17" i="28"/>
  <c r="H17" i="28"/>
  <c r="H32" i="28"/>
  <c r="I32" i="28"/>
  <c r="H20" i="28"/>
  <c r="I20" i="28"/>
  <c r="G56" i="28"/>
  <c r="H40" i="28"/>
  <c r="I40" i="28"/>
  <c r="I14" i="28"/>
  <c r="H14" i="28"/>
  <c r="H18" i="28"/>
  <c r="I18" i="28"/>
  <c r="I37" i="28"/>
  <c r="H37" i="28"/>
  <c r="H31" i="28"/>
  <c r="I31" i="28"/>
  <c r="H23" i="28"/>
  <c r="I23" i="28"/>
  <c r="G53" i="28"/>
  <c r="H11" i="28"/>
  <c r="I11" i="28"/>
  <c r="G21" i="28"/>
  <c r="H38" i="28"/>
  <c r="I38" i="28"/>
  <c r="I44" i="28"/>
  <c r="H44" i="28"/>
  <c r="H43" i="28"/>
  <c r="I43" i="28"/>
  <c r="I34" i="28"/>
  <c r="H34" i="28"/>
  <c r="G55" i="28"/>
  <c r="I36" i="28"/>
  <c r="H36" i="28"/>
  <c r="I7" i="28"/>
  <c r="H7" i="28"/>
  <c r="I27" i="28"/>
  <c r="H27" i="28"/>
  <c r="H10" i="28"/>
  <c r="I10" i="28"/>
  <c r="I16" i="28"/>
  <c r="H16" i="28"/>
  <c r="I25" i="28"/>
  <c r="H25" i="28"/>
  <c r="I33" i="28"/>
  <c r="H33" i="28"/>
  <c r="H28" i="28"/>
  <c r="I28" i="28"/>
  <c r="H45" i="28"/>
  <c r="I45" i="28"/>
  <c r="H6" i="28"/>
  <c r="I6" i="28"/>
  <c r="I30" i="28"/>
  <c r="H30" i="28"/>
  <c r="H15" i="28"/>
  <c r="I15" i="28"/>
  <c r="I39" i="28"/>
  <c r="H39" i="28"/>
  <c r="R23" i="28"/>
  <c r="R34" i="28"/>
  <c r="R12" i="28"/>
  <c r="R5" i="28"/>
  <c r="R29" i="28"/>
  <c r="R40" i="28"/>
  <c r="L26" i="28"/>
  <c r="Q26" i="28" s="1"/>
  <c r="L7" i="28"/>
  <c r="Q7" i="28" s="1"/>
  <c r="L23" i="28"/>
  <c r="Q23" i="28" s="1"/>
  <c r="L30" i="28"/>
  <c r="Q30" i="28" s="1"/>
  <c r="L14" i="28"/>
  <c r="Q14" i="28" s="1"/>
  <c r="L10" i="28"/>
  <c r="Q10" i="28" s="1"/>
  <c r="L37" i="28"/>
  <c r="Q37" i="28" s="1"/>
  <c r="L36" i="28"/>
  <c r="Q36" i="28" s="1"/>
  <c r="L35" i="28"/>
  <c r="Q35" i="28" s="1"/>
  <c r="L16" i="28"/>
  <c r="Q16" i="28" s="1"/>
  <c r="L25" i="28"/>
  <c r="Q25" i="28" s="1"/>
  <c r="L31" i="28"/>
  <c r="Q31" i="28" s="1"/>
  <c r="L8" i="28"/>
  <c r="Q8" i="28" s="1"/>
  <c r="L15" i="28"/>
  <c r="Q15" i="28" s="1"/>
  <c r="L18" i="28"/>
  <c r="Q18" i="28" s="1"/>
  <c r="V21" i="28"/>
  <c r="P51" i="25"/>
  <c r="P52" i="25"/>
  <c r="V22" i="28"/>
  <c r="V14" i="28"/>
  <c r="V8" i="28"/>
  <c r="V27" i="28"/>
  <c r="V43" i="28"/>
  <c r="V24" i="28"/>
  <c r="V32" i="28"/>
  <c r="V35" i="28"/>
  <c r="I57" i="25"/>
  <c r="V11" i="28"/>
  <c r="V26" i="28"/>
  <c r="V42" i="28"/>
  <c r="V38" i="28"/>
  <c r="V6" i="28"/>
  <c r="V19" i="28"/>
  <c r="V37" i="28"/>
  <c r="V18" i="28"/>
  <c r="V33" i="28"/>
  <c r="V30" i="28"/>
  <c r="V36" i="28"/>
  <c r="V12" i="28"/>
  <c r="V31" i="28"/>
  <c r="V13" i="28"/>
  <c r="V46" i="28"/>
  <c r="V10" i="28"/>
  <c r="V41" i="28"/>
  <c r="V16" i="28"/>
  <c r="V34" i="28"/>
  <c r="V25" i="28"/>
  <c r="V20" i="28"/>
  <c r="V40" i="28"/>
  <c r="V44" i="28"/>
  <c r="V7" i="28"/>
  <c r="V28" i="28"/>
  <c r="V15" i="28"/>
  <c r="V17" i="28"/>
  <c r="V39" i="28"/>
  <c r="V45" i="28"/>
  <c r="V23" i="28"/>
  <c r="V29" i="28"/>
  <c r="R54" i="20"/>
  <c r="R51" i="20"/>
  <c r="R52" i="20"/>
  <c r="R55" i="20"/>
  <c r="R56" i="20"/>
  <c r="X57" i="20"/>
  <c r="W57" i="20"/>
  <c r="U57" i="20"/>
  <c r="S63" i="20"/>
  <c r="S60" i="20"/>
  <c r="R53" i="20"/>
  <c r="R50" i="20"/>
  <c r="Q57" i="20"/>
  <c r="P57" i="20" s="1"/>
  <c r="AF57" i="20"/>
  <c r="Z57" i="20"/>
  <c r="O57" i="20"/>
  <c r="S13" i="37"/>
  <c r="F6" i="44" s="1"/>
  <c r="AF37" i="41" l="1"/>
  <c r="AF21" i="41"/>
  <c r="AU8" i="41"/>
  <c r="L39" i="28"/>
  <c r="Q39" i="28" s="1"/>
  <c r="L12" i="28"/>
  <c r="Q12" i="28" s="1"/>
  <c r="L27" i="28"/>
  <c r="Q27" i="28" s="1"/>
  <c r="L43" i="28"/>
  <c r="Q43" i="28" s="1"/>
  <c r="L34" i="28"/>
  <c r="Q34" i="28" s="1"/>
  <c r="L24" i="28"/>
  <c r="Q24" i="28" s="1"/>
  <c r="N51" i="28"/>
  <c r="L9" i="28"/>
  <c r="Q9" i="28" s="1"/>
  <c r="N56" i="28"/>
  <c r="L29" i="28"/>
  <c r="Q29" i="28" s="1"/>
  <c r="L42" i="28"/>
  <c r="Q42" i="28" s="1"/>
  <c r="O54" i="28"/>
  <c r="N50" i="28"/>
  <c r="L13" i="28"/>
  <c r="Q13" i="28" s="1"/>
  <c r="L33" i="28"/>
  <c r="Q33" i="28" s="1"/>
  <c r="L22" i="28"/>
  <c r="Q22" i="28" s="1"/>
  <c r="L6" i="28"/>
  <c r="Q6" i="28" s="1"/>
  <c r="L41" i="28"/>
  <c r="Q41" i="28" s="1"/>
  <c r="L44" i="28"/>
  <c r="Q44" i="28" s="1"/>
  <c r="L11" i="28"/>
  <c r="Q11" i="28" s="1"/>
  <c r="N54" i="28"/>
  <c r="O51" i="28"/>
  <c r="L32" i="28"/>
  <c r="Q32" i="28" s="1"/>
  <c r="L20" i="28"/>
  <c r="Q20" i="28" s="1"/>
  <c r="L21" i="28"/>
  <c r="Q21" i="28" s="1"/>
  <c r="S5" i="28"/>
  <c r="L46" i="28"/>
  <c r="Q46" i="28" s="1"/>
  <c r="L19" i="28"/>
  <c r="Q19" i="28" s="1"/>
  <c r="O34" i="28"/>
  <c r="O55" i="28" s="1"/>
  <c r="L5" i="28"/>
  <c r="Q5" i="28" s="1"/>
  <c r="N52" i="28"/>
  <c r="O56" i="28"/>
  <c r="N55" i="28"/>
  <c r="L38" i="28"/>
  <c r="Q38" i="28" s="1"/>
  <c r="S40" i="28"/>
  <c r="L45" i="28"/>
  <c r="Q45" i="28" s="1"/>
  <c r="L28" i="28"/>
  <c r="Q28" i="28" s="1"/>
  <c r="N53" i="28"/>
  <c r="L40" i="28"/>
  <c r="Q40" i="28" s="1"/>
  <c r="L17" i="28"/>
  <c r="Q17" i="28" s="1"/>
  <c r="O52" i="28"/>
  <c r="T60" i="44"/>
  <c r="AE61" i="44"/>
  <c r="AE62" i="44"/>
  <c r="AE60" i="44"/>
  <c r="AE66" i="44" s="1"/>
  <c r="AD60" i="44"/>
  <c r="AU27" i="41"/>
  <c r="AF16" i="41"/>
  <c r="AA35" i="44"/>
  <c r="AB35" i="44" s="1"/>
  <c r="AG35" i="44" s="1"/>
  <c r="L35" i="44"/>
  <c r="V35" i="44" s="1"/>
  <c r="AA9" i="44"/>
  <c r="AB9" i="44" s="1"/>
  <c r="AG9" i="44" s="1"/>
  <c r="L9" i="44"/>
  <c r="V9" i="44" s="1"/>
  <c r="L6" i="44"/>
  <c r="AA6" i="44"/>
  <c r="L29" i="44"/>
  <c r="V29" i="44" s="1"/>
  <c r="AA29" i="44"/>
  <c r="AB29" i="44" s="1"/>
  <c r="AG29" i="44" s="1"/>
  <c r="BA16" i="37"/>
  <c r="AW16" i="37" s="1"/>
  <c r="AF16" i="37"/>
  <c r="AZ16" i="37" s="1"/>
  <c r="AV16" i="37" s="1"/>
  <c r="BA23" i="37"/>
  <c r="AW23" i="37" s="1"/>
  <c r="AF23" i="37"/>
  <c r="AZ23" i="37" s="1"/>
  <c r="AV23" i="37" s="1"/>
  <c r="AF11" i="37"/>
  <c r="BA13" i="37"/>
  <c r="AW13" i="37" s="1"/>
  <c r="AF13" i="37"/>
  <c r="AZ13" i="37" s="1"/>
  <c r="AV13" i="37" s="1"/>
  <c r="BA20" i="37"/>
  <c r="AW20" i="37" s="1"/>
  <c r="AF20" i="37"/>
  <c r="AZ20" i="37" s="1"/>
  <c r="AV20" i="37" s="1"/>
  <c r="BI37" i="42"/>
  <c r="BJ37" i="42" s="1"/>
  <c r="BL37" i="42" s="1"/>
  <c r="BO30" i="42"/>
  <c r="BP30" i="42" s="1"/>
  <c r="BQ30" i="42" s="1"/>
  <c r="AL25" i="41"/>
  <c r="AM25" i="41" s="1"/>
  <c r="CE29" i="42"/>
  <c r="CE54" i="42" s="1"/>
  <c r="BI10" i="42"/>
  <c r="BJ10" i="42" s="1"/>
  <c r="BK10" i="42" s="1"/>
  <c r="BI38" i="42"/>
  <c r="BJ38" i="42" s="1"/>
  <c r="BL38" i="42" s="1"/>
  <c r="BM38" i="42" s="1"/>
  <c r="BI13" i="42"/>
  <c r="BJ13" i="42" s="1"/>
  <c r="BL13" i="42" s="1"/>
  <c r="BB51" i="42"/>
  <c r="BC51" i="42"/>
  <c r="AL42" i="41"/>
  <c r="AM42" i="41" s="1"/>
  <c r="AX56" i="42"/>
  <c r="BI21" i="42"/>
  <c r="BJ21" i="42" s="1"/>
  <c r="BM21" i="42" s="1"/>
  <c r="BO16" i="42"/>
  <c r="BP16" i="42" s="1"/>
  <c r="BS16" i="42" s="1"/>
  <c r="BO6" i="42"/>
  <c r="BP6" i="42" s="1"/>
  <c r="BS6" i="42" s="1"/>
  <c r="AX54" i="42"/>
  <c r="CQ51" i="42"/>
  <c r="CB57" i="42"/>
  <c r="BO7" i="42"/>
  <c r="BP7" i="42" s="1"/>
  <c r="BQ7" i="42" s="1"/>
  <c r="AY54" i="42"/>
  <c r="BI24" i="42"/>
  <c r="BJ24" i="42" s="1"/>
  <c r="BL24" i="42" s="1"/>
  <c r="BM24" i="42" s="1"/>
  <c r="BI26" i="42"/>
  <c r="BJ26" i="42" s="1"/>
  <c r="BM26" i="42" s="1"/>
  <c r="BO27" i="42"/>
  <c r="BP27" i="42" s="1"/>
  <c r="BQ27" i="42" s="1"/>
  <c r="BI31" i="42"/>
  <c r="BJ31" i="42" s="1"/>
  <c r="BL31" i="42" s="1"/>
  <c r="BM31" i="42" s="1"/>
  <c r="BI25" i="42"/>
  <c r="BJ25" i="42" s="1"/>
  <c r="BL25" i="42" s="1"/>
  <c r="BM25" i="42" s="1"/>
  <c r="BO13" i="42"/>
  <c r="BP13" i="42" s="1"/>
  <c r="CQ50" i="42"/>
  <c r="CQ36" i="42"/>
  <c r="CQ22" i="42"/>
  <c r="CQ42" i="42"/>
  <c r="CQ26" i="42"/>
  <c r="CQ43" i="42"/>
  <c r="CQ14" i="42"/>
  <c r="CQ20" i="42"/>
  <c r="CQ46" i="42"/>
  <c r="CQ21" i="42"/>
  <c r="CQ25" i="42"/>
  <c r="CQ35" i="42"/>
  <c r="CQ13" i="42"/>
  <c r="CQ18" i="42"/>
  <c r="CQ5" i="42"/>
  <c r="CQ19" i="42"/>
  <c r="CQ17" i="42"/>
  <c r="CQ24" i="42"/>
  <c r="CQ16" i="42"/>
  <c r="CQ45" i="42"/>
  <c r="CQ41" i="42"/>
  <c r="CQ37" i="42"/>
  <c r="CQ7" i="42"/>
  <c r="CQ10" i="42"/>
  <c r="CQ38" i="42"/>
  <c r="CQ12" i="42"/>
  <c r="CQ27" i="42"/>
  <c r="CQ31" i="42"/>
  <c r="CQ39" i="42"/>
  <c r="CQ30" i="42"/>
  <c r="CQ15" i="42"/>
  <c r="CQ8" i="42"/>
  <c r="CQ11" i="42"/>
  <c r="CQ28" i="42"/>
  <c r="CQ6" i="42"/>
  <c r="CQ44" i="42"/>
  <c r="CQ33" i="42"/>
  <c r="CQ32" i="42"/>
  <c r="CQ40" i="42"/>
  <c r="CQ9" i="42"/>
  <c r="CQ29" i="42"/>
  <c r="CQ23" i="42"/>
  <c r="CQ34" i="42"/>
  <c r="CQ52" i="42"/>
  <c r="CQ53" i="42"/>
  <c r="BC54" i="42"/>
  <c r="AW52" i="42"/>
  <c r="BI12" i="42"/>
  <c r="BA56" i="42"/>
  <c r="BO40" i="42"/>
  <c r="BO31" i="42"/>
  <c r="BP31" i="42" s="1"/>
  <c r="BO25" i="42"/>
  <c r="BP25" i="42" s="1"/>
  <c r="BI20" i="42"/>
  <c r="BJ20" i="42" s="1"/>
  <c r="AW51" i="42"/>
  <c r="BI9" i="42"/>
  <c r="AY56" i="42"/>
  <c r="BI43" i="42"/>
  <c r="BJ43" i="42" s="1"/>
  <c r="BK45" i="42"/>
  <c r="BL45" i="42"/>
  <c r="BM45" i="42" s="1"/>
  <c r="BL32" i="42"/>
  <c r="BM32" i="42" s="1"/>
  <c r="BK32" i="42"/>
  <c r="BQ45" i="42"/>
  <c r="BR45" i="42"/>
  <c r="BS45" i="42" s="1"/>
  <c r="BR32" i="42"/>
  <c r="BS32" i="42" s="1"/>
  <c r="BQ32" i="42"/>
  <c r="BW45" i="42"/>
  <c r="BX45" i="42"/>
  <c r="BY45" i="42" s="1"/>
  <c r="BX32" i="42"/>
  <c r="BY32" i="42" s="1"/>
  <c r="BW32" i="42"/>
  <c r="AU29" i="41"/>
  <c r="AF29" i="41"/>
  <c r="AF30" i="41"/>
  <c r="AU30" i="41"/>
  <c r="CD57" i="42"/>
  <c r="CC57" i="42"/>
  <c r="BW38" i="42"/>
  <c r="BX38" i="42"/>
  <c r="BY38" i="42" s="1"/>
  <c r="BC53" i="42"/>
  <c r="AW50" i="42"/>
  <c r="BI5" i="42"/>
  <c r="BX30" i="42"/>
  <c r="BY30" i="42"/>
  <c r="BW30" i="42"/>
  <c r="BA55" i="42"/>
  <c r="BO34" i="42"/>
  <c r="AX53" i="42"/>
  <c r="AX50" i="42"/>
  <c r="BO33" i="42"/>
  <c r="BP33" i="42" s="1"/>
  <c r="BW27" i="42"/>
  <c r="BY27" i="42"/>
  <c r="BX27" i="42"/>
  <c r="BI30" i="42"/>
  <c r="BJ30" i="42" s="1"/>
  <c r="AY55" i="42"/>
  <c r="BK41" i="42"/>
  <c r="BL41" i="42"/>
  <c r="BM41" i="42" s="1"/>
  <c r="BW46" i="42"/>
  <c r="BX46" i="42"/>
  <c r="BY46" i="42" s="1"/>
  <c r="BR41" i="42"/>
  <c r="BS41" i="42" s="1"/>
  <c r="BQ41" i="42"/>
  <c r="BW41" i="42"/>
  <c r="BX41" i="42"/>
  <c r="BY41" i="42" s="1"/>
  <c r="BI46" i="42"/>
  <c r="BJ46" i="42" s="1"/>
  <c r="BO46" i="42"/>
  <c r="BP46" i="42" s="1"/>
  <c r="AF40" i="41"/>
  <c r="AU40" i="41"/>
  <c r="BO43" i="42"/>
  <c r="BP43" i="42" s="1"/>
  <c r="BW16" i="42"/>
  <c r="BY16" i="42"/>
  <c r="BX16" i="42"/>
  <c r="AX51" i="42"/>
  <c r="BU29" i="42"/>
  <c r="BE54" i="42"/>
  <c r="BC52" i="42"/>
  <c r="BW43" i="42"/>
  <c r="BY43" i="42"/>
  <c r="BX43" i="42"/>
  <c r="BO20" i="42"/>
  <c r="BP20" i="42" s="1"/>
  <c r="BI16" i="42"/>
  <c r="BJ16" i="42" s="1"/>
  <c r="BI7" i="42"/>
  <c r="BJ7" i="42" s="1"/>
  <c r="BU9" i="42"/>
  <c r="BE51" i="42"/>
  <c r="BB54" i="42"/>
  <c r="BI6" i="42"/>
  <c r="BJ6" i="42" s="1"/>
  <c r="AX52" i="42"/>
  <c r="BC56" i="42"/>
  <c r="BX11" i="42"/>
  <c r="BY11" i="42"/>
  <c r="BW11" i="42"/>
  <c r="BK14" i="42"/>
  <c r="BL14" i="42"/>
  <c r="BM14" i="42" s="1"/>
  <c r="BO14" i="42"/>
  <c r="BP14" i="42" s="1"/>
  <c r="BI11" i="42"/>
  <c r="BJ11" i="42" s="1"/>
  <c r="BX14" i="42"/>
  <c r="BY14" i="42" s="1"/>
  <c r="BW14" i="42"/>
  <c r="BO11" i="42"/>
  <c r="BP11" i="42" s="1"/>
  <c r="CE23" i="42"/>
  <c r="CE53" i="42" s="1"/>
  <c r="AF46" i="41"/>
  <c r="AU46" i="41"/>
  <c r="AC57" i="41"/>
  <c r="AW57" i="41" s="1"/>
  <c r="AS57" i="41" s="1"/>
  <c r="AW36" i="41"/>
  <c r="AS36" i="41" s="1"/>
  <c r="AC61" i="41"/>
  <c r="AW61" i="41" s="1"/>
  <c r="AS61" i="41" s="1"/>
  <c r="AC52" i="41"/>
  <c r="AW7" i="41"/>
  <c r="AS7" i="41" s="1"/>
  <c r="AE7" i="41"/>
  <c r="AY7" i="41" s="1"/>
  <c r="AW55" i="42"/>
  <c r="BI34" i="42"/>
  <c r="AW53" i="42"/>
  <c r="BI23" i="42"/>
  <c r="BU5" i="42"/>
  <c r="BE50" i="42"/>
  <c r="BO10" i="42"/>
  <c r="BP10" i="42" s="1"/>
  <c r="BI27" i="42"/>
  <c r="BJ27" i="42" s="1"/>
  <c r="BO38" i="42"/>
  <c r="BP38" i="42" s="1"/>
  <c r="BI44" i="42"/>
  <c r="BJ44" i="42" s="1"/>
  <c r="BB53" i="42"/>
  <c r="BI8" i="42"/>
  <c r="BJ8" i="42" s="1"/>
  <c r="BB50" i="42"/>
  <c r="BI17" i="42"/>
  <c r="BJ17" i="42" s="1"/>
  <c r="BY10" i="42"/>
  <c r="BX10" i="42"/>
  <c r="BW10" i="42"/>
  <c r="BY22" i="42"/>
  <c r="BW22" i="42"/>
  <c r="BX22" i="42"/>
  <c r="BI35" i="42"/>
  <c r="BJ35" i="42" s="1"/>
  <c r="BI22" i="42"/>
  <c r="BJ22" i="42" s="1"/>
  <c r="BO35" i="42"/>
  <c r="BP35" i="42" s="1"/>
  <c r="BO22" i="42"/>
  <c r="BP22" i="42" s="1"/>
  <c r="BW35" i="42"/>
  <c r="BY35" i="42"/>
  <c r="BX35" i="42"/>
  <c r="AC58" i="41"/>
  <c r="AW58" i="41" s="1"/>
  <c r="AS58" i="41" s="1"/>
  <c r="AW42" i="41"/>
  <c r="AS42" i="41" s="1"/>
  <c r="AE42" i="41"/>
  <c r="AY42" i="41" s="1"/>
  <c r="AW31" i="41"/>
  <c r="AS31" i="41" s="1"/>
  <c r="AC56" i="41"/>
  <c r="AW56" i="41" s="1"/>
  <c r="AS56" i="41" s="1"/>
  <c r="CQ56" i="42"/>
  <c r="BY7" i="42"/>
  <c r="BW7" i="42"/>
  <c r="BX7" i="42"/>
  <c r="BA54" i="42"/>
  <c r="BO29" i="42"/>
  <c r="BX6" i="42"/>
  <c r="BW6" i="42"/>
  <c r="BY6" i="42"/>
  <c r="BE52" i="42"/>
  <c r="BU12" i="42"/>
  <c r="BW13" i="42"/>
  <c r="BY13" i="42"/>
  <c r="BX13" i="42"/>
  <c r="BB52" i="42"/>
  <c r="AW56" i="42"/>
  <c r="BI40" i="42"/>
  <c r="BR28" i="42"/>
  <c r="BS28" i="42" s="1"/>
  <c r="BQ28" i="42"/>
  <c r="BL39" i="42"/>
  <c r="BK39" i="42"/>
  <c r="BM39" i="42"/>
  <c r="BO39" i="42"/>
  <c r="BP39" i="42" s="1"/>
  <c r="BX28" i="42"/>
  <c r="BY28" i="42" s="1"/>
  <c r="BW28" i="42"/>
  <c r="BW39" i="42"/>
  <c r="BY39" i="42"/>
  <c r="BX39" i="42"/>
  <c r="BI28" i="42"/>
  <c r="BJ28" i="42" s="1"/>
  <c r="CB61" i="42"/>
  <c r="AL7" i="41"/>
  <c r="AM7" i="41" s="1"/>
  <c r="BX26" i="42"/>
  <c r="BW26" i="42"/>
  <c r="BY26" i="42"/>
  <c r="BE55" i="42"/>
  <c r="BU34" i="42"/>
  <c r="BW44" i="42"/>
  <c r="BX44" i="42"/>
  <c r="BY44" i="42"/>
  <c r="BA53" i="42"/>
  <c r="BO23" i="42"/>
  <c r="BX8" i="42"/>
  <c r="BY8" i="42" s="1"/>
  <c r="BW8" i="42"/>
  <c r="BA50" i="42"/>
  <c r="BO5" i="42"/>
  <c r="BX17" i="42"/>
  <c r="BW17" i="42"/>
  <c r="BY17" i="42"/>
  <c r="AX55" i="42"/>
  <c r="BO44" i="42"/>
  <c r="BP44" i="42" s="1"/>
  <c r="AY53" i="42"/>
  <c r="BO8" i="42"/>
  <c r="BP8" i="42" s="1"/>
  <c r="AY50" i="42"/>
  <c r="BO17" i="42"/>
  <c r="BP17" i="42" s="1"/>
  <c r="BX33" i="42"/>
  <c r="BW33" i="42"/>
  <c r="BY33" i="42"/>
  <c r="BY37" i="42"/>
  <c r="BW37" i="42"/>
  <c r="BX37" i="42"/>
  <c r="BW42" i="42"/>
  <c r="BX42" i="42"/>
  <c r="BY42" i="42" s="1"/>
  <c r="BO37" i="42"/>
  <c r="BP37" i="42" s="1"/>
  <c r="BI42" i="42"/>
  <c r="BJ42" i="42" s="1"/>
  <c r="BO42" i="42"/>
  <c r="BP42" i="42" s="1"/>
  <c r="AF13" i="41"/>
  <c r="AU13" i="41"/>
  <c r="AU17" i="41"/>
  <c r="AF17" i="41"/>
  <c r="S65" i="37"/>
  <c r="E4" i="41"/>
  <c r="AY52" i="42"/>
  <c r="BE56" i="42"/>
  <c r="BU40" i="42"/>
  <c r="BR13" i="42"/>
  <c r="BQ13" i="42"/>
  <c r="BS13" i="42"/>
  <c r="BX21" i="42"/>
  <c r="BW21" i="42"/>
  <c r="BY21" i="42"/>
  <c r="AY51" i="42"/>
  <c r="BA52" i="42"/>
  <c r="BO12" i="42"/>
  <c r="BB56" i="42"/>
  <c r="BW31" i="42"/>
  <c r="BX31" i="42"/>
  <c r="BY31" i="42" s="1"/>
  <c r="BW25" i="42"/>
  <c r="BX25" i="42"/>
  <c r="BY25" i="42" s="1"/>
  <c r="BX20" i="42"/>
  <c r="BY20" i="42"/>
  <c r="BW20" i="42"/>
  <c r="BO21" i="42"/>
  <c r="BP21" i="42" s="1"/>
  <c r="BA51" i="42"/>
  <c r="BO9" i="42"/>
  <c r="AW54" i="42"/>
  <c r="BI29" i="42"/>
  <c r="BR36" i="42"/>
  <c r="BS36" i="42"/>
  <c r="BQ36" i="42"/>
  <c r="BX18" i="42"/>
  <c r="BW18" i="42"/>
  <c r="BY18" i="42"/>
  <c r="BY36" i="42"/>
  <c r="BW36" i="42"/>
  <c r="BX36" i="42"/>
  <c r="BI18" i="42"/>
  <c r="BJ18" i="42" s="1"/>
  <c r="BO18" i="42"/>
  <c r="BP18" i="42" s="1"/>
  <c r="BI36" i="42"/>
  <c r="BJ36" i="42" s="1"/>
  <c r="CQ55" i="42"/>
  <c r="S59" i="41"/>
  <c r="AW11" i="41"/>
  <c r="AS11" i="41" s="1"/>
  <c r="AC53" i="41"/>
  <c r="AW53" i="41" s="1"/>
  <c r="AS53" i="41" s="1"/>
  <c r="BC50" i="42"/>
  <c r="BO24" i="42"/>
  <c r="BP24" i="42" s="1"/>
  <c r="BC55" i="42"/>
  <c r="BI33" i="42"/>
  <c r="BJ33" i="42" s="1"/>
  <c r="BO26" i="42"/>
  <c r="BP26" i="42" s="1"/>
  <c r="BX24" i="42"/>
  <c r="BY24" i="42" s="1"/>
  <c r="BW24" i="42"/>
  <c r="BB55" i="42"/>
  <c r="BE53" i="42"/>
  <c r="BU23" i="42"/>
  <c r="BX19" i="42"/>
  <c r="BW19" i="42"/>
  <c r="BY19" i="42"/>
  <c r="BW15" i="42"/>
  <c r="BY15" i="42"/>
  <c r="BX15" i="42"/>
  <c r="BI19" i="42"/>
  <c r="BJ19" i="42" s="1"/>
  <c r="BI15" i="42"/>
  <c r="BJ15" i="42" s="1"/>
  <c r="BO19" i="42"/>
  <c r="BP19" i="42" s="1"/>
  <c r="BO15" i="42"/>
  <c r="BP15" i="42" s="1"/>
  <c r="AC54" i="41"/>
  <c r="AW54" i="41" s="1"/>
  <c r="AS54" i="41" s="1"/>
  <c r="AW14" i="41"/>
  <c r="AS14" i="41" s="1"/>
  <c r="AC55" i="41"/>
  <c r="AW55" i="41" s="1"/>
  <c r="AS55" i="41" s="1"/>
  <c r="AW25" i="41"/>
  <c r="AS25" i="41" s="1"/>
  <c r="AE25" i="41"/>
  <c r="AY25" i="41" s="1"/>
  <c r="CO51" i="36"/>
  <c r="CO51" i="34"/>
  <c r="CO56" i="36"/>
  <c r="CD52" i="36"/>
  <c r="CO50" i="36"/>
  <c r="CB56" i="34"/>
  <c r="CC56" i="34"/>
  <c r="CA55" i="38"/>
  <c r="CD34" i="38"/>
  <c r="CD55" i="38" s="1"/>
  <c r="CC34" i="38"/>
  <c r="CC55" i="38" s="1"/>
  <c r="CB34" i="38"/>
  <c r="CB55" i="38" s="1"/>
  <c r="CD55" i="34"/>
  <c r="CD12" i="38"/>
  <c r="CD52" i="38" s="1"/>
  <c r="CC52" i="38"/>
  <c r="CA53" i="38"/>
  <c r="CB23" i="38"/>
  <c r="CB53" i="38" s="1"/>
  <c r="CC23" i="38"/>
  <c r="CO53" i="36"/>
  <c r="CO52" i="36"/>
  <c r="CA54" i="38"/>
  <c r="CC29" i="38"/>
  <c r="CB29" i="38"/>
  <c r="CB54" i="38" s="1"/>
  <c r="Q57" i="38"/>
  <c r="CA56" i="38"/>
  <c r="CB40" i="38"/>
  <c r="CB56" i="38" s="1"/>
  <c r="CC40" i="38"/>
  <c r="CC56" i="38" s="1"/>
  <c r="CD40" i="38"/>
  <c r="CD56" i="38" s="1"/>
  <c r="CO52" i="34"/>
  <c r="BZ57" i="38"/>
  <c r="CO50" i="38"/>
  <c r="CO52" i="38"/>
  <c r="BA13" i="38"/>
  <c r="CO6" i="38"/>
  <c r="AZ45" i="38"/>
  <c r="BD16" i="38"/>
  <c r="BT16" i="38" s="1"/>
  <c r="BU16" i="38" s="1"/>
  <c r="AZ37" i="38"/>
  <c r="BB11" i="38"/>
  <c r="BA21" i="38"/>
  <c r="AV18" i="38"/>
  <c r="AX11" i="38"/>
  <c r="AW21" i="38"/>
  <c r="BD18" i="38"/>
  <c r="BT18" i="38" s="1"/>
  <c r="BU18" i="38" s="1"/>
  <c r="CO17" i="38"/>
  <c r="AX41" i="38"/>
  <c r="AZ27" i="38"/>
  <c r="AZ17" i="38"/>
  <c r="BA41" i="38"/>
  <c r="AX15" i="38"/>
  <c r="BA28" i="38"/>
  <c r="AV25" i="38"/>
  <c r="BD21" i="38"/>
  <c r="BT21" i="38" s="1"/>
  <c r="BU21" i="38" s="1"/>
  <c r="AZ19" i="38"/>
  <c r="BD33" i="38"/>
  <c r="BT33" i="38" s="1"/>
  <c r="BU33" i="38" s="1"/>
  <c r="BA42" i="38"/>
  <c r="BA39" i="38"/>
  <c r="AV9" i="38"/>
  <c r="AW42" i="38"/>
  <c r="AW39" i="38"/>
  <c r="BD9" i="38"/>
  <c r="AV7" i="38"/>
  <c r="BD19" i="38"/>
  <c r="BT19" i="38" s="1"/>
  <c r="BU19" i="38" s="1"/>
  <c r="AW33" i="38"/>
  <c r="BB42" i="38"/>
  <c r="BA46" i="38"/>
  <c r="AX10" i="38"/>
  <c r="CO22" i="38"/>
  <c r="AW38" i="38"/>
  <c r="AZ36" i="38"/>
  <c r="CO8" i="38"/>
  <c r="BD42" i="38"/>
  <c r="BT42" i="38" s="1"/>
  <c r="BU42" i="38" s="1"/>
  <c r="AV39" i="38"/>
  <c r="CO9" i="38"/>
  <c r="AV29" i="38"/>
  <c r="CO53" i="38"/>
  <c r="AV27" i="38"/>
  <c r="AV43" i="38"/>
  <c r="BB20" i="38"/>
  <c r="AW15" i="38"/>
  <c r="BD30" i="38"/>
  <c r="BT30" i="38" s="1"/>
  <c r="BU30" i="38" s="1"/>
  <c r="BD24" i="38"/>
  <c r="BT24" i="38" s="1"/>
  <c r="BU24" i="38" s="1"/>
  <c r="BA17" i="38"/>
  <c r="BB41" i="38"/>
  <c r="AW45" i="38"/>
  <c r="AW17" i="38"/>
  <c r="AV41" i="38"/>
  <c r="AZ32" i="38"/>
  <c r="BA32" i="38"/>
  <c r="BD26" i="38"/>
  <c r="BT26" i="38" s="1"/>
  <c r="BU26" i="38" s="1"/>
  <c r="BD25" i="38"/>
  <c r="BT25" i="38" s="1"/>
  <c r="BU25" i="38" s="1"/>
  <c r="AW32" i="38"/>
  <c r="BB26" i="38"/>
  <c r="BB43" i="38"/>
  <c r="BD13" i="38"/>
  <c r="BT13" i="38" s="1"/>
  <c r="BU13" i="38" s="1"/>
  <c r="BA6" i="38"/>
  <c r="AX14" i="38"/>
  <c r="BA31" i="38"/>
  <c r="AW44" i="38"/>
  <c r="BD12" i="38"/>
  <c r="AX40" i="38"/>
  <c r="BA29" i="38"/>
  <c r="BB12" i="38"/>
  <c r="BA40" i="38"/>
  <c r="AW29" i="38"/>
  <c r="CO14" i="38"/>
  <c r="AZ31" i="38"/>
  <c r="BB44" i="38"/>
  <c r="AW34" i="38"/>
  <c r="BB34" i="38"/>
  <c r="CO35" i="38"/>
  <c r="AZ38" i="38"/>
  <c r="AW46" i="38"/>
  <c r="BA10" i="38"/>
  <c r="AZ22" i="38"/>
  <c r="CO12" i="38"/>
  <c r="BD40" i="38"/>
  <c r="BB29" i="38"/>
  <c r="CO45" i="38"/>
  <c r="AV16" i="38"/>
  <c r="CO37" i="38"/>
  <c r="BD11" i="38"/>
  <c r="BT11" i="38" s="1"/>
  <c r="BU11" i="38" s="1"/>
  <c r="AX21" i="38"/>
  <c r="AZ18" i="38"/>
  <c r="AV32" i="38"/>
  <c r="AZ26" i="38"/>
  <c r="AV17" i="38"/>
  <c r="AX32" i="38"/>
  <c r="AV26" i="38"/>
  <c r="CO41" i="38"/>
  <c r="AV28" i="38"/>
  <c r="AZ25" i="38"/>
  <c r="AW6" i="38"/>
  <c r="AX28" i="38"/>
  <c r="BB25" i="38"/>
  <c r="CO27" i="38"/>
  <c r="AZ43" i="38"/>
  <c r="AV20" i="38"/>
  <c r="AX42" i="38"/>
  <c r="AX39" i="38"/>
  <c r="BB9" i="38"/>
  <c r="AV23" i="38"/>
  <c r="AX5" i="38"/>
  <c r="BA7" i="38"/>
  <c r="AX23" i="38"/>
  <c r="BA5" i="38"/>
  <c r="AW7" i="38"/>
  <c r="CO42" i="38"/>
  <c r="CO39" i="38"/>
  <c r="AX9" i="38"/>
  <c r="AZ9" i="38"/>
  <c r="AX19" i="38"/>
  <c r="CO33" i="38"/>
  <c r="AV33" i="38"/>
  <c r="AX34" i="38"/>
  <c r="AZ35" i="38"/>
  <c r="AZ12" i="38"/>
  <c r="AZ23" i="38"/>
  <c r="BD5" i="38"/>
  <c r="BB7" i="38"/>
  <c r="BA15" i="38"/>
  <c r="AV30" i="38"/>
  <c r="BB24" i="38"/>
  <c r="AX17" i="38"/>
  <c r="BD41" i="38"/>
  <c r="BT41" i="38" s="1"/>
  <c r="BU41" i="38" s="1"/>
  <c r="BB16" i="38"/>
  <c r="BD28" i="38"/>
  <c r="BT28" i="38" s="1"/>
  <c r="BU28" i="38" s="1"/>
  <c r="AW25" i="38"/>
  <c r="AW28" i="38"/>
  <c r="BB28" i="38"/>
  <c r="CO25" i="38"/>
  <c r="AW18" i="38"/>
  <c r="BB13" i="38"/>
  <c r="BB6" i="38"/>
  <c r="AZ24" i="38"/>
  <c r="AV13" i="38"/>
  <c r="AX6" i="38"/>
  <c r="BA45" i="38"/>
  <c r="AZ16" i="38"/>
  <c r="BA37" i="38"/>
  <c r="AV12" i="38"/>
  <c r="BB40" i="38"/>
  <c r="AX29" i="38"/>
  <c r="BD38" i="38"/>
  <c r="BT38" i="38" s="1"/>
  <c r="BU38" i="38" s="1"/>
  <c r="AX36" i="38"/>
  <c r="AV8" i="38"/>
  <c r="BB38" i="38"/>
  <c r="BA36" i="38"/>
  <c r="AX8" i="38"/>
  <c r="AX12" i="38"/>
  <c r="AW40" i="38"/>
  <c r="CO29" i="38"/>
  <c r="AZ14" i="38"/>
  <c r="AV31" i="38"/>
  <c r="BD44" i="38"/>
  <c r="BT44" i="38" s="1"/>
  <c r="BU44" i="38" s="1"/>
  <c r="BA44" i="38"/>
  <c r="BA19" i="38"/>
  <c r="AZ33" i="38"/>
  <c r="AZ46" i="38"/>
  <c r="CO38" i="38"/>
  <c r="BD36" i="38"/>
  <c r="BT36" i="38" s="1"/>
  <c r="BU36" i="38" s="1"/>
  <c r="AZ8" i="38"/>
  <c r="AV11" i="38"/>
  <c r="BB21" i="38"/>
  <c r="CO18" i="38"/>
  <c r="BD32" i="38"/>
  <c r="BT32" i="38" s="1"/>
  <c r="BU32" i="38" s="1"/>
  <c r="CO26" i="38"/>
  <c r="BD20" i="38"/>
  <c r="BT20" i="38" s="1"/>
  <c r="BU20" i="38" s="1"/>
  <c r="CO13" i="38"/>
  <c r="AV6" i="38"/>
  <c r="BA26" i="38"/>
  <c r="AZ13" i="38"/>
  <c r="BD6" i="38"/>
  <c r="BT6" i="38" s="1"/>
  <c r="BU6" i="38" s="1"/>
  <c r="BA27" i="38"/>
  <c r="AW43" i="38"/>
  <c r="CO20" i="38"/>
  <c r="AW27" i="38"/>
  <c r="CO43" i="38"/>
  <c r="AZ20" i="38"/>
  <c r="BB15" i="38"/>
  <c r="AZ30" i="38"/>
  <c r="CO24" i="38"/>
  <c r="BB23" i="38"/>
  <c r="BB5" i="38"/>
  <c r="AX7" i="38"/>
  <c r="AV46" i="38"/>
  <c r="BB10" i="38"/>
  <c r="AX22" i="38"/>
  <c r="BB46" i="38"/>
  <c r="AV10" i="38"/>
  <c r="BA22" i="38"/>
  <c r="BA23" i="38"/>
  <c r="AW5" i="38"/>
  <c r="CO7" i="38"/>
  <c r="AZ42" i="38"/>
  <c r="AZ39" i="38"/>
  <c r="BA9" i="38"/>
  <c r="AV14" i="38"/>
  <c r="BB31" i="38"/>
  <c r="AV44" i="38"/>
  <c r="AX31" i="38"/>
  <c r="CO46" i="38"/>
  <c r="AW10" i="38"/>
  <c r="BD22" i="38"/>
  <c r="BT22" i="38" s="1"/>
  <c r="BU22" i="38" s="1"/>
  <c r="CO51" i="38"/>
  <c r="CO54" i="38"/>
  <c r="BD17" i="38"/>
  <c r="BT17" i="38" s="1"/>
  <c r="BU17" i="38" s="1"/>
  <c r="AZ41" i="38"/>
  <c r="BB30" i="38"/>
  <c r="AZ28" i="38"/>
  <c r="BA25" i="38"/>
  <c r="BB27" i="38"/>
  <c r="AX43" i="38"/>
  <c r="BA20" i="38"/>
  <c r="AX27" i="38"/>
  <c r="BA43" i="38"/>
  <c r="AW20" i="38"/>
  <c r="BB45" i="38"/>
  <c r="AW16" i="38"/>
  <c r="BB37" i="38"/>
  <c r="AX45" i="38"/>
  <c r="CO16" i="38"/>
  <c r="AX37" i="38"/>
  <c r="CO11" i="38"/>
  <c r="AV21" i="38"/>
  <c r="BA18" i="38"/>
  <c r="AV38" i="38"/>
  <c r="BB36" i="38"/>
  <c r="BD8" i="38"/>
  <c r="BT8" i="38" s="1"/>
  <c r="BU8" i="38" s="1"/>
  <c r="AZ34" i="38"/>
  <c r="AX35" i="38"/>
  <c r="AV36" i="38"/>
  <c r="AV34" i="38"/>
  <c r="BA35" i="38"/>
  <c r="CO19" i="38"/>
  <c r="AX38" i="38"/>
  <c r="AW36" i="38"/>
  <c r="BA8" i="38"/>
  <c r="BA12" i="38"/>
  <c r="CO40" i="38"/>
  <c r="AZ29" i="38"/>
  <c r="AV42" i="38"/>
  <c r="BB39" i="38"/>
  <c r="AW9" i="38"/>
  <c r="AV5" i="38"/>
  <c r="BA34" i="38"/>
  <c r="BD35" i="38"/>
  <c r="BT35" i="38" s="1"/>
  <c r="BU35" i="38" s="1"/>
  <c r="BD23" i="38"/>
  <c r="CO55" i="38"/>
  <c r="BB32" i="38"/>
  <c r="AW26" i="38"/>
  <c r="AW37" i="38"/>
  <c r="AW13" i="38"/>
  <c r="AZ6" i="38"/>
  <c r="AV45" i="38"/>
  <c r="AX16" i="38"/>
  <c r="AV37" i="38"/>
  <c r="BD45" i="38"/>
  <c r="BT45" i="38" s="1"/>
  <c r="BU45" i="38" s="1"/>
  <c r="BA16" i="38"/>
  <c r="BD37" i="38"/>
  <c r="BT37" i="38" s="1"/>
  <c r="BU37" i="38" s="1"/>
  <c r="BD15" i="38"/>
  <c r="BT15" i="38" s="1"/>
  <c r="BU15" i="38" s="1"/>
  <c r="AW30" i="38"/>
  <c r="BA24" i="38"/>
  <c r="AV15" i="38"/>
  <c r="CO30" i="38"/>
  <c r="AW24" i="38"/>
  <c r="BB17" i="38"/>
  <c r="AW41" i="38"/>
  <c r="AZ11" i="38"/>
  <c r="BD46" i="38"/>
  <c r="BT46" i="38" s="1"/>
  <c r="BU46" i="38" s="1"/>
  <c r="AZ10" i="38"/>
  <c r="AV22" i="38"/>
  <c r="BB19" i="38"/>
  <c r="AX33" i="38"/>
  <c r="BB22" i="38"/>
  <c r="AV19" i="38"/>
  <c r="BA33" i="38"/>
  <c r="AV40" i="38"/>
  <c r="AX46" i="38"/>
  <c r="BD10" i="38"/>
  <c r="BT10" i="38" s="1"/>
  <c r="BU10" i="38" s="1"/>
  <c r="AW22" i="38"/>
  <c r="AW23" i="38"/>
  <c r="CO5" i="38"/>
  <c r="AZ7" i="38"/>
  <c r="AW12" i="38"/>
  <c r="AZ40" i="38"/>
  <c r="BD29" i="38"/>
  <c r="BB8" i="38"/>
  <c r="AW19" i="38"/>
  <c r="BB33" i="38"/>
  <c r="BD39" i="38"/>
  <c r="BT39" i="38" s="1"/>
  <c r="BU39" i="38" s="1"/>
  <c r="CO28" i="38"/>
  <c r="AX25" i="38"/>
  <c r="BD27" i="38"/>
  <c r="BT27" i="38" s="1"/>
  <c r="BU27" i="38" s="1"/>
  <c r="BD43" i="38"/>
  <c r="BT43" i="38" s="1"/>
  <c r="BU43" i="38" s="1"/>
  <c r="AX20" i="38"/>
  <c r="CO15" i="38"/>
  <c r="AX30" i="38"/>
  <c r="AV24" i="38"/>
  <c r="AZ15" i="38"/>
  <c r="BA30" i="38"/>
  <c r="AX24" i="38"/>
  <c r="BA11" i="38"/>
  <c r="CO21" i="38"/>
  <c r="BB18" i="38"/>
  <c r="AW11" i="38"/>
  <c r="AZ21" i="38"/>
  <c r="AX18" i="38"/>
  <c r="CO32" i="38"/>
  <c r="AX26" i="38"/>
  <c r="AX13" i="38"/>
  <c r="CO34" i="38"/>
  <c r="BB35" i="38"/>
  <c r="BA14" i="38"/>
  <c r="AW31" i="38"/>
  <c r="CO44" i="38"/>
  <c r="AW14" i="38"/>
  <c r="CO31" i="38"/>
  <c r="AZ44" i="38"/>
  <c r="AV35" i="38"/>
  <c r="BD34" i="38"/>
  <c r="AW35" i="38"/>
  <c r="BB14" i="38"/>
  <c r="BA38" i="38"/>
  <c r="CO36" i="38"/>
  <c r="AW8" i="38"/>
  <c r="CO23" i="38"/>
  <c r="AZ5" i="38"/>
  <c r="BD7" i="38"/>
  <c r="BT7" i="38" s="1"/>
  <c r="BU7" i="38" s="1"/>
  <c r="BD14" i="38"/>
  <c r="BT14" i="38" s="1"/>
  <c r="BU14" i="38" s="1"/>
  <c r="BD31" i="38"/>
  <c r="BT31" i="38" s="1"/>
  <c r="BU31" i="38" s="1"/>
  <c r="AX44" i="38"/>
  <c r="CO10" i="38"/>
  <c r="CA65" i="38"/>
  <c r="CA63" i="38"/>
  <c r="CA59" i="38"/>
  <c r="CD5" i="38"/>
  <c r="CD50" i="38" s="1"/>
  <c r="CB5" i="38"/>
  <c r="CB50" i="38" s="1"/>
  <c r="CC5" i="38"/>
  <c r="CC50" i="38" s="1"/>
  <c r="CA50" i="38"/>
  <c r="CA64" i="38"/>
  <c r="CA60" i="38"/>
  <c r="CA55" i="36"/>
  <c r="CD34" i="36"/>
  <c r="CD55" i="36" s="1"/>
  <c r="CB34" i="36"/>
  <c r="CB55" i="36" s="1"/>
  <c r="CC34" i="36"/>
  <c r="CC55" i="36" s="1"/>
  <c r="CB9" i="34"/>
  <c r="CB51" i="34" s="1"/>
  <c r="CD9" i="34"/>
  <c r="CD51" i="34" s="1"/>
  <c r="CC9" i="34"/>
  <c r="CC51" i="34" s="1"/>
  <c r="CA51" i="34"/>
  <c r="CB23" i="34"/>
  <c r="CB53" i="34" s="1"/>
  <c r="CC23" i="34"/>
  <c r="CA53" i="34"/>
  <c r="CB29" i="36"/>
  <c r="CB54" i="36" s="1"/>
  <c r="CC29" i="36"/>
  <c r="CC54" i="36" s="1"/>
  <c r="CA54" i="36"/>
  <c r="CC52" i="36"/>
  <c r="CA60" i="36"/>
  <c r="CA59" i="36"/>
  <c r="CA65" i="36"/>
  <c r="CA50" i="36"/>
  <c r="CB5" i="36"/>
  <c r="CB50" i="36" s="1"/>
  <c r="CA63" i="36"/>
  <c r="CD5" i="36"/>
  <c r="CD50" i="36" s="1"/>
  <c r="CA64" i="36"/>
  <c r="CC5" i="36"/>
  <c r="CC50" i="36" s="1"/>
  <c r="CC52" i="34"/>
  <c r="CB55" i="34"/>
  <c r="CD56" i="34"/>
  <c r="CB52" i="36"/>
  <c r="CO56" i="34"/>
  <c r="CO55" i="36"/>
  <c r="AZ21" i="36"/>
  <c r="BD6" i="36"/>
  <c r="BT6" i="36" s="1"/>
  <c r="BU6" i="36" s="1"/>
  <c r="AX45" i="36"/>
  <c r="AV8" i="36"/>
  <c r="CO31" i="36"/>
  <c r="BA15" i="36"/>
  <c r="AX33" i="36"/>
  <c r="AV16" i="36"/>
  <c r="AZ27" i="36"/>
  <c r="BA13" i="36"/>
  <c r="CO39" i="36"/>
  <c r="AZ11" i="36"/>
  <c r="BB19" i="36"/>
  <c r="BB46" i="36"/>
  <c r="AW18" i="36"/>
  <c r="AX26" i="36"/>
  <c r="BB32" i="36"/>
  <c r="BD20" i="36"/>
  <c r="BT20" i="36" s="1"/>
  <c r="BU20" i="36" s="1"/>
  <c r="BA24" i="36"/>
  <c r="AZ14" i="36"/>
  <c r="CO37" i="36"/>
  <c r="BB41" i="36"/>
  <c r="BB25" i="36"/>
  <c r="BB21" i="36"/>
  <c r="BB6" i="36"/>
  <c r="BA45" i="36"/>
  <c r="BD8" i="36"/>
  <c r="BT8" i="36" s="1"/>
  <c r="BU8" i="36" s="1"/>
  <c r="AZ31" i="36"/>
  <c r="AW15" i="36"/>
  <c r="BA33" i="36"/>
  <c r="AX16" i="36"/>
  <c r="AV27" i="36"/>
  <c r="AW13" i="36"/>
  <c r="AZ39" i="36"/>
  <c r="BB11" i="36"/>
  <c r="AX19" i="36"/>
  <c r="AV46" i="36"/>
  <c r="CO18" i="36"/>
  <c r="BA26" i="36"/>
  <c r="BD32" i="36"/>
  <c r="BT32" i="36" s="1"/>
  <c r="BU32" i="36" s="1"/>
  <c r="BB20" i="36"/>
  <c r="AW24" i="36"/>
  <c r="BB14" i="36"/>
  <c r="AZ37" i="36"/>
  <c r="AV41" i="36"/>
  <c r="AV25" i="36"/>
  <c r="BB33" i="36"/>
  <c r="AZ46" i="36"/>
  <c r="AV32" i="36"/>
  <c r="AX24" i="36"/>
  <c r="AW37" i="36"/>
  <c r="BD21" i="36"/>
  <c r="BT21" i="36" s="1"/>
  <c r="BU21" i="36" s="1"/>
  <c r="AV6" i="36"/>
  <c r="AW45" i="36"/>
  <c r="BB8" i="36"/>
  <c r="BD31" i="36"/>
  <c r="BT31" i="36" s="1"/>
  <c r="BU31" i="36" s="1"/>
  <c r="CO15" i="36"/>
  <c r="AW33" i="36"/>
  <c r="BA16" i="36"/>
  <c r="BD27" i="36"/>
  <c r="BT27" i="36" s="1"/>
  <c r="BU27" i="36" s="1"/>
  <c r="CO13" i="36"/>
  <c r="AV39" i="36"/>
  <c r="AV11" i="36"/>
  <c r="BA19" i="36"/>
  <c r="BD46" i="36"/>
  <c r="BT46" i="36" s="1"/>
  <c r="BU46" i="36" s="1"/>
  <c r="AZ18" i="36"/>
  <c r="AW26" i="36"/>
  <c r="AX32" i="36"/>
  <c r="AV20" i="36"/>
  <c r="CO24" i="36"/>
  <c r="BD14" i="36"/>
  <c r="BT14" i="36" s="1"/>
  <c r="BU14" i="36" s="1"/>
  <c r="BB37" i="36"/>
  <c r="BD41" i="36"/>
  <c r="BT41" i="36" s="1"/>
  <c r="BU41" i="36" s="1"/>
  <c r="BD25" i="36"/>
  <c r="BT25" i="36" s="1"/>
  <c r="BU25" i="36" s="1"/>
  <c r="BD26" i="36"/>
  <c r="BT26" i="36" s="1"/>
  <c r="BU26" i="36" s="1"/>
  <c r="AV21" i="36"/>
  <c r="AX6" i="36"/>
  <c r="CO45" i="36"/>
  <c r="AX8" i="36"/>
  <c r="AV31" i="36"/>
  <c r="AZ15" i="36"/>
  <c r="CO33" i="36"/>
  <c r="AW16" i="36"/>
  <c r="BB27" i="36"/>
  <c r="AZ13" i="36"/>
  <c r="BB39" i="36"/>
  <c r="BD11" i="36"/>
  <c r="BT11" i="36" s="1"/>
  <c r="BU11" i="36" s="1"/>
  <c r="AW19" i="36"/>
  <c r="AX46" i="36"/>
  <c r="AV18" i="36"/>
  <c r="CO26" i="36"/>
  <c r="BA32" i="36"/>
  <c r="AX20" i="36"/>
  <c r="AZ24" i="36"/>
  <c r="AV14" i="36"/>
  <c r="AV37" i="36"/>
  <c r="AX41" i="36"/>
  <c r="AX25" i="36"/>
  <c r="CO27" i="36"/>
  <c r="BA18" i="36"/>
  <c r="AZ41" i="36"/>
  <c r="AX21" i="36"/>
  <c r="BA6" i="36"/>
  <c r="AZ45" i="36"/>
  <c r="BA8" i="36"/>
  <c r="BB31" i="36"/>
  <c r="AV15" i="36"/>
  <c r="AZ33" i="36"/>
  <c r="CO16" i="36"/>
  <c r="AX27" i="36"/>
  <c r="BB13" i="36"/>
  <c r="BD39" i="36"/>
  <c r="BT39" i="36" s="1"/>
  <c r="BU39" i="36" s="1"/>
  <c r="AX11" i="36"/>
  <c r="CO19" i="36"/>
  <c r="BA46" i="36"/>
  <c r="BB18" i="36"/>
  <c r="AZ26" i="36"/>
  <c r="AW32" i="36"/>
  <c r="BA20" i="36"/>
  <c r="BD24" i="36"/>
  <c r="BT24" i="36" s="1"/>
  <c r="BU24" i="36" s="1"/>
  <c r="AX14" i="36"/>
  <c r="BD37" i="36"/>
  <c r="BT37" i="36" s="1"/>
  <c r="BU37" i="36" s="1"/>
  <c r="BA41" i="36"/>
  <c r="BA25" i="36"/>
  <c r="AX13" i="36"/>
  <c r="CO11" i="36"/>
  <c r="BA21" i="36"/>
  <c r="AW6" i="36"/>
  <c r="AV45" i="36"/>
  <c r="AW8" i="36"/>
  <c r="AX31" i="36"/>
  <c r="BD15" i="36"/>
  <c r="BT15" i="36" s="1"/>
  <c r="BU15" i="36" s="1"/>
  <c r="BD33" i="36"/>
  <c r="BT33" i="36" s="1"/>
  <c r="BU33" i="36" s="1"/>
  <c r="AZ16" i="36"/>
  <c r="BA27" i="36"/>
  <c r="AV13" i="36"/>
  <c r="AX39" i="36"/>
  <c r="BA11" i="36"/>
  <c r="AZ19" i="36"/>
  <c r="AW46" i="36"/>
  <c r="BD18" i="36"/>
  <c r="BT18" i="36" s="1"/>
  <c r="BU18" i="36" s="1"/>
  <c r="AV26" i="36"/>
  <c r="CO32" i="36"/>
  <c r="AW20" i="36"/>
  <c r="AV24" i="36"/>
  <c r="BA14" i="36"/>
  <c r="AX37" i="36"/>
  <c r="AW41" i="36"/>
  <c r="AW25" i="36"/>
  <c r="AV19" i="36"/>
  <c r="AZ25" i="36"/>
  <c r="AW21" i="36"/>
  <c r="CO6" i="36"/>
  <c r="BB45" i="36"/>
  <c r="CO8" i="36"/>
  <c r="BA31" i="36"/>
  <c r="BB15" i="36"/>
  <c r="AV33" i="36"/>
  <c r="BD16" i="36"/>
  <c r="BT16" i="36" s="1"/>
  <c r="BU16" i="36" s="1"/>
  <c r="AW27" i="36"/>
  <c r="BD13" i="36"/>
  <c r="BT13" i="36" s="1"/>
  <c r="BU13" i="36" s="1"/>
  <c r="BA39" i="36"/>
  <c r="AW11" i="36"/>
  <c r="BD19" i="36"/>
  <c r="BT19" i="36" s="1"/>
  <c r="BU19" i="36" s="1"/>
  <c r="CO46" i="36"/>
  <c r="AX18" i="36"/>
  <c r="BB26" i="36"/>
  <c r="AZ32" i="36"/>
  <c r="CO20" i="36"/>
  <c r="BB24" i="36"/>
  <c r="AW14" i="36"/>
  <c r="BA37" i="36"/>
  <c r="CO41" i="36"/>
  <c r="CO25" i="36"/>
  <c r="CO21" i="36"/>
  <c r="AZ6" i="36"/>
  <c r="BD45" i="36"/>
  <c r="BT45" i="36" s="1"/>
  <c r="BU45" i="36" s="1"/>
  <c r="AZ8" i="36"/>
  <c r="AW31" i="36"/>
  <c r="AX15" i="36"/>
  <c r="BB16" i="36"/>
  <c r="AW39" i="36"/>
  <c r="AZ20" i="36"/>
  <c r="CO14" i="36"/>
  <c r="BD22" i="36"/>
  <c r="BT22" i="36" s="1"/>
  <c r="BU22" i="36" s="1"/>
  <c r="BB5" i="36"/>
  <c r="AZ42" i="36"/>
  <c r="AZ12" i="36"/>
  <c r="CO29" i="36"/>
  <c r="BA36" i="36"/>
  <c r="BB28" i="36"/>
  <c r="BD38" i="36"/>
  <c r="BT38" i="36" s="1"/>
  <c r="BU38" i="36" s="1"/>
  <c r="BD17" i="36"/>
  <c r="BT17" i="36" s="1"/>
  <c r="BU17" i="36" s="1"/>
  <c r="AW7" i="36"/>
  <c r="CO44" i="36"/>
  <c r="BA9" i="36"/>
  <c r="BD35" i="36"/>
  <c r="BT35" i="36" s="1"/>
  <c r="BU35" i="36" s="1"/>
  <c r="AZ10" i="36"/>
  <c r="CO43" i="36"/>
  <c r="BD34" i="36"/>
  <c r="AX40" i="36"/>
  <c r="BD23" i="36"/>
  <c r="BD30" i="36"/>
  <c r="BT30" i="36" s="1"/>
  <c r="BU30" i="36" s="1"/>
  <c r="AV30" i="36"/>
  <c r="AX22" i="36"/>
  <c r="BD5" i="36"/>
  <c r="BB42" i="36"/>
  <c r="AV12" i="36"/>
  <c r="AZ29" i="36"/>
  <c r="AW36" i="36"/>
  <c r="AX28" i="36"/>
  <c r="BB38" i="36"/>
  <c r="BB17" i="36"/>
  <c r="CO7" i="36"/>
  <c r="AZ44" i="36"/>
  <c r="AW9" i="36"/>
  <c r="AX35" i="36"/>
  <c r="AV10" i="36"/>
  <c r="AZ43" i="36"/>
  <c r="AV34" i="36"/>
  <c r="BA40" i="36"/>
  <c r="AV23" i="36"/>
  <c r="BB30" i="36"/>
  <c r="BD28" i="36"/>
  <c r="BT28" i="36" s="1"/>
  <c r="BU28" i="36" s="1"/>
  <c r="AZ17" i="36"/>
  <c r="AX9" i="36"/>
  <c r="BA22" i="36"/>
  <c r="AX5" i="36"/>
  <c r="AV42" i="36"/>
  <c r="BD12" i="36"/>
  <c r="AV29" i="36"/>
  <c r="CO36" i="36"/>
  <c r="BA28" i="36"/>
  <c r="AV38" i="36"/>
  <c r="AV17" i="36"/>
  <c r="AZ7" i="36"/>
  <c r="AV44" i="36"/>
  <c r="CO9" i="36"/>
  <c r="BA35" i="36"/>
  <c r="BD10" i="36"/>
  <c r="BT10" i="36" s="1"/>
  <c r="BU10" i="36" s="1"/>
  <c r="AV43" i="36"/>
  <c r="AX34" i="36"/>
  <c r="AW40" i="36"/>
  <c r="BB23" i="36"/>
  <c r="AW22" i="36"/>
  <c r="BA5" i="36"/>
  <c r="BD42" i="36"/>
  <c r="BT42" i="36" s="1"/>
  <c r="BU42" i="36" s="1"/>
  <c r="BB12" i="36"/>
  <c r="BD29" i="36"/>
  <c r="AZ36" i="36"/>
  <c r="AW28" i="36"/>
  <c r="AX38" i="36"/>
  <c r="AX17" i="36"/>
  <c r="BD7" i="36"/>
  <c r="BT7" i="36" s="1"/>
  <c r="BU7" i="36" s="1"/>
  <c r="BD44" i="36"/>
  <c r="BT44" i="36" s="1"/>
  <c r="BU44" i="36" s="1"/>
  <c r="AZ9" i="36"/>
  <c r="AW35" i="36"/>
  <c r="BB10" i="36"/>
  <c r="BB43" i="36"/>
  <c r="BA34" i="36"/>
  <c r="CO40" i="36"/>
  <c r="AX23" i="36"/>
  <c r="AX30" i="36"/>
  <c r="CO12" i="36"/>
  <c r="AW29" i="36"/>
  <c r="AZ38" i="36"/>
  <c r="AV35" i="36"/>
  <c r="CO22" i="36"/>
  <c r="AW5" i="36"/>
  <c r="AX42" i="36"/>
  <c r="AX12" i="36"/>
  <c r="BB29" i="36"/>
  <c r="BB36" i="36"/>
  <c r="CO28" i="36"/>
  <c r="BA38" i="36"/>
  <c r="BA17" i="36"/>
  <c r="BB7" i="36"/>
  <c r="BB44" i="36"/>
  <c r="AV9" i="36"/>
  <c r="CO35" i="36"/>
  <c r="AX10" i="36"/>
  <c r="BD43" i="36"/>
  <c r="BT43" i="36" s="1"/>
  <c r="BU43" i="36" s="1"/>
  <c r="AW34" i="36"/>
  <c r="AZ40" i="36"/>
  <c r="BA23" i="36"/>
  <c r="BA30" i="36"/>
  <c r="AW44" i="36"/>
  <c r="CO10" i="36"/>
  <c r="AW43" i="36"/>
  <c r="AZ22" i="36"/>
  <c r="CO5" i="36"/>
  <c r="BA42" i="36"/>
  <c r="BA12" i="36"/>
  <c r="AX29" i="36"/>
  <c r="AV36" i="36"/>
  <c r="AZ28" i="36"/>
  <c r="AW38" i="36"/>
  <c r="AW17" i="36"/>
  <c r="AV7" i="36"/>
  <c r="AX44" i="36"/>
  <c r="BD9" i="36"/>
  <c r="AZ35" i="36"/>
  <c r="BA10" i="36"/>
  <c r="AX43" i="36"/>
  <c r="CO34" i="36"/>
  <c r="BD40" i="36"/>
  <c r="AW23" i="36"/>
  <c r="AW30" i="36"/>
  <c r="BA7" i="36"/>
  <c r="AV22" i="36"/>
  <c r="AZ5" i="36"/>
  <c r="AW42" i="36"/>
  <c r="AW12" i="36"/>
  <c r="BA29" i="36"/>
  <c r="BD36" i="36"/>
  <c r="BT36" i="36" s="1"/>
  <c r="BU36" i="36" s="1"/>
  <c r="AV28" i="36"/>
  <c r="CO38" i="36"/>
  <c r="CO17" i="36"/>
  <c r="AX7" i="36"/>
  <c r="BA44" i="36"/>
  <c r="BB9" i="36"/>
  <c r="BB35" i="36"/>
  <c r="AW10" i="36"/>
  <c r="BA43" i="36"/>
  <c r="AZ34" i="36"/>
  <c r="AV40" i="36"/>
  <c r="CO23" i="36"/>
  <c r="CO30" i="36"/>
  <c r="CO42" i="36"/>
  <c r="AX36" i="36"/>
  <c r="BB22" i="36"/>
  <c r="AV5" i="36"/>
  <c r="BB34" i="36"/>
  <c r="AZ23" i="36"/>
  <c r="AZ30" i="36"/>
  <c r="BB40" i="36"/>
  <c r="CA56" i="36"/>
  <c r="CC40" i="36"/>
  <c r="CC56" i="36" s="1"/>
  <c r="CB40" i="36"/>
  <c r="CB56" i="36" s="1"/>
  <c r="CD40" i="36"/>
  <c r="CD56" i="36" s="1"/>
  <c r="BZ57" i="36"/>
  <c r="CP53" i="36" s="1"/>
  <c r="CB52" i="34"/>
  <c r="CC23" i="36"/>
  <c r="CB23" i="36"/>
  <c r="CB53" i="36" s="1"/>
  <c r="CA53" i="36"/>
  <c r="Q57" i="34"/>
  <c r="O60" i="34" s="1"/>
  <c r="CD12" i="34"/>
  <c r="CD52" i="34" s="1"/>
  <c r="CC29" i="34"/>
  <c r="CC54" i="34" s="1"/>
  <c r="CA54" i="34"/>
  <c r="CB29" i="34"/>
  <c r="CB54" i="34" s="1"/>
  <c r="CC55" i="34"/>
  <c r="CO50" i="34"/>
  <c r="AZ31" i="34"/>
  <c r="AZ26" i="34"/>
  <c r="AZ46" i="34"/>
  <c r="BA27" i="34"/>
  <c r="AW33" i="34"/>
  <c r="AX10" i="34"/>
  <c r="AZ14" i="34"/>
  <c r="AZ28" i="34"/>
  <c r="BA41" i="34"/>
  <c r="BA25" i="34"/>
  <c r="BB39" i="34"/>
  <c r="AZ45" i="34"/>
  <c r="BD17" i="34"/>
  <c r="BT17" i="34" s="1"/>
  <c r="BU17" i="34" s="1"/>
  <c r="AZ15" i="34"/>
  <c r="BB32" i="34"/>
  <c r="BD16" i="34"/>
  <c r="BT16" i="34" s="1"/>
  <c r="BU16" i="34" s="1"/>
  <c r="CO7" i="34"/>
  <c r="AV30" i="34"/>
  <c r="CO36" i="34"/>
  <c r="AV31" i="34"/>
  <c r="AV26" i="34"/>
  <c r="BB46" i="34"/>
  <c r="AW27" i="34"/>
  <c r="CO33" i="34"/>
  <c r="BA10" i="34"/>
  <c r="BD14" i="34"/>
  <c r="BT14" i="34" s="1"/>
  <c r="BU14" i="34" s="1"/>
  <c r="AV28" i="34"/>
  <c r="AW41" i="34"/>
  <c r="AW25" i="34"/>
  <c r="AV39" i="34"/>
  <c r="AV45" i="34"/>
  <c r="AV17" i="34"/>
  <c r="BB15" i="34"/>
  <c r="AV32" i="34"/>
  <c r="AX16" i="34"/>
  <c r="AZ7" i="34"/>
  <c r="BD30" i="34"/>
  <c r="BT30" i="34" s="1"/>
  <c r="BU30" i="34" s="1"/>
  <c r="AZ36" i="34"/>
  <c r="BD31" i="34"/>
  <c r="BT31" i="34" s="1"/>
  <c r="BU31" i="34" s="1"/>
  <c r="BD26" i="34"/>
  <c r="BT26" i="34" s="1"/>
  <c r="BU26" i="34" s="1"/>
  <c r="BD46" i="34"/>
  <c r="BT46" i="34" s="1"/>
  <c r="BU46" i="34" s="1"/>
  <c r="CO27" i="34"/>
  <c r="AZ33" i="34"/>
  <c r="AW10" i="34"/>
  <c r="AV14" i="34"/>
  <c r="BD28" i="34"/>
  <c r="BT28" i="34" s="1"/>
  <c r="BU28" i="34" s="1"/>
  <c r="CO41" i="34"/>
  <c r="CO25" i="34"/>
  <c r="BD39" i="34"/>
  <c r="BT39" i="34" s="1"/>
  <c r="BU39" i="34" s="1"/>
  <c r="BD45" i="34"/>
  <c r="BT45" i="34" s="1"/>
  <c r="BU45" i="34" s="1"/>
  <c r="BB17" i="34"/>
  <c r="AV15" i="34"/>
  <c r="AX32" i="34"/>
  <c r="BA16" i="34"/>
  <c r="BD7" i="34"/>
  <c r="BT7" i="34" s="1"/>
  <c r="BU7" i="34" s="1"/>
  <c r="BB30" i="34"/>
  <c r="BD36" i="34"/>
  <c r="BT36" i="34" s="1"/>
  <c r="BU36" i="34" s="1"/>
  <c r="BB16" i="34"/>
  <c r="BB31" i="34"/>
  <c r="BB26" i="34"/>
  <c r="AV46" i="34"/>
  <c r="AZ27" i="34"/>
  <c r="AV33" i="34"/>
  <c r="CO10" i="34"/>
  <c r="BB14" i="34"/>
  <c r="BB28" i="34"/>
  <c r="AZ41" i="34"/>
  <c r="AZ25" i="34"/>
  <c r="AX39" i="34"/>
  <c r="BB45" i="34"/>
  <c r="AX17" i="34"/>
  <c r="BD15" i="34"/>
  <c r="BT15" i="34" s="1"/>
  <c r="BU15" i="34" s="1"/>
  <c r="BA32" i="34"/>
  <c r="AW16" i="34"/>
  <c r="BB7" i="34"/>
  <c r="AX30" i="34"/>
  <c r="AV36" i="34"/>
  <c r="CO14" i="34"/>
  <c r="CO45" i="34"/>
  <c r="BD32" i="34"/>
  <c r="BT32" i="34" s="1"/>
  <c r="BU32" i="34" s="1"/>
  <c r="AX31" i="34"/>
  <c r="AX26" i="34"/>
  <c r="AX46" i="34"/>
  <c r="BD27" i="34"/>
  <c r="BT27" i="34" s="1"/>
  <c r="BU27" i="34" s="1"/>
  <c r="BD33" i="34"/>
  <c r="BT33" i="34" s="1"/>
  <c r="BU33" i="34" s="1"/>
  <c r="AZ10" i="34"/>
  <c r="AX14" i="34"/>
  <c r="AX28" i="34"/>
  <c r="BD41" i="34"/>
  <c r="BT41" i="34" s="1"/>
  <c r="BU41" i="34" s="1"/>
  <c r="BB25" i="34"/>
  <c r="BA39" i="34"/>
  <c r="AX45" i="34"/>
  <c r="BA17" i="34"/>
  <c r="AX15" i="34"/>
  <c r="AW32" i="34"/>
  <c r="CO16" i="34"/>
  <c r="AV7" i="34"/>
  <c r="BA30" i="34"/>
  <c r="BB36" i="34"/>
  <c r="BA33" i="34"/>
  <c r="BA31" i="34"/>
  <c r="BA26" i="34"/>
  <c r="BA46" i="34"/>
  <c r="BB27" i="34"/>
  <c r="BB33" i="34"/>
  <c r="BD10" i="34"/>
  <c r="BT10" i="34" s="1"/>
  <c r="BU10" i="34" s="1"/>
  <c r="BA14" i="34"/>
  <c r="BA28" i="34"/>
  <c r="AV41" i="34"/>
  <c r="BD25" i="34"/>
  <c r="BT25" i="34" s="1"/>
  <c r="BU25" i="34" s="1"/>
  <c r="AW39" i="34"/>
  <c r="BA45" i="34"/>
  <c r="AW17" i="34"/>
  <c r="BA15" i="34"/>
  <c r="CO32" i="34"/>
  <c r="AZ16" i="34"/>
  <c r="AX7" i="34"/>
  <c r="AW30" i="34"/>
  <c r="AX36" i="34"/>
  <c r="AX27" i="34"/>
  <c r="AZ17" i="34"/>
  <c r="CO15" i="34"/>
  <c r="AZ30" i="34"/>
  <c r="AW36" i="34"/>
  <c r="AW31" i="34"/>
  <c r="AW26" i="34"/>
  <c r="AW46" i="34"/>
  <c r="AV27" i="34"/>
  <c r="AX33" i="34"/>
  <c r="AV10" i="34"/>
  <c r="AW14" i="34"/>
  <c r="AW28" i="34"/>
  <c r="BB41" i="34"/>
  <c r="AV25" i="34"/>
  <c r="CO39" i="34"/>
  <c r="AW45" i="34"/>
  <c r="CO17" i="34"/>
  <c r="AW15" i="34"/>
  <c r="AZ32" i="34"/>
  <c r="AV16" i="34"/>
  <c r="BA7" i="34"/>
  <c r="CO30" i="34"/>
  <c r="BA36" i="34"/>
  <c r="CO31" i="34"/>
  <c r="CO26" i="34"/>
  <c r="CO46" i="34"/>
  <c r="BB10" i="34"/>
  <c r="CO28" i="34"/>
  <c r="AX41" i="34"/>
  <c r="AX25" i="34"/>
  <c r="AZ39" i="34"/>
  <c r="AW7" i="34"/>
  <c r="BD40" i="34"/>
  <c r="AX5" i="34"/>
  <c r="BD29" i="34"/>
  <c r="CO42" i="34"/>
  <c r="BD18" i="34"/>
  <c r="BT18" i="34" s="1"/>
  <c r="BU18" i="34" s="1"/>
  <c r="CO8" i="34"/>
  <c r="CO19" i="34"/>
  <c r="BA37" i="34"/>
  <c r="AW13" i="34"/>
  <c r="BD6" i="34"/>
  <c r="BT6" i="34" s="1"/>
  <c r="BU6" i="34" s="1"/>
  <c r="AZ34" i="34"/>
  <c r="AX12" i="34"/>
  <c r="AZ43" i="34"/>
  <c r="AW9" i="34"/>
  <c r="AX44" i="34"/>
  <c r="CO20" i="34"/>
  <c r="AV11" i="34"/>
  <c r="BA23" i="34"/>
  <c r="AZ35" i="34"/>
  <c r="AZ22" i="34"/>
  <c r="AW21" i="34"/>
  <c r="AW38" i="34"/>
  <c r="AV24" i="34"/>
  <c r="AZ21" i="34"/>
  <c r="AZ38" i="34"/>
  <c r="CO34" i="34"/>
  <c r="BD12" i="34"/>
  <c r="AX40" i="34"/>
  <c r="BA5" i="34"/>
  <c r="AX29" i="34"/>
  <c r="AZ42" i="34"/>
  <c r="AV18" i="34"/>
  <c r="AZ8" i="34"/>
  <c r="AZ19" i="34"/>
  <c r="AW37" i="34"/>
  <c r="CO13" i="34"/>
  <c r="AX6" i="34"/>
  <c r="BD34" i="34"/>
  <c r="BA12" i="34"/>
  <c r="BB43" i="34"/>
  <c r="CO9" i="34"/>
  <c r="BA44" i="34"/>
  <c r="AZ20" i="34"/>
  <c r="BB11" i="34"/>
  <c r="AW23" i="34"/>
  <c r="BB35" i="34"/>
  <c r="AV22" i="34"/>
  <c r="CO21" i="34"/>
  <c r="CO38" i="34"/>
  <c r="AX24" i="34"/>
  <c r="BA24" i="34"/>
  <c r="BA13" i="34"/>
  <c r="BA9" i="34"/>
  <c r="AW20" i="34"/>
  <c r="BA40" i="34"/>
  <c r="AW5" i="34"/>
  <c r="BA29" i="34"/>
  <c r="BD42" i="34"/>
  <c r="BT42" i="34" s="1"/>
  <c r="BU42" i="34" s="1"/>
  <c r="BB18" i="34"/>
  <c r="AV8" i="34"/>
  <c r="BB19" i="34"/>
  <c r="CO37" i="34"/>
  <c r="AZ13" i="34"/>
  <c r="BA6" i="34"/>
  <c r="AV34" i="34"/>
  <c r="AW12" i="34"/>
  <c r="BD43" i="34"/>
  <c r="BT43" i="34" s="1"/>
  <c r="BU43" i="34" s="1"/>
  <c r="AZ9" i="34"/>
  <c r="AW44" i="34"/>
  <c r="AV20" i="34"/>
  <c r="AX11" i="34"/>
  <c r="CO23" i="34"/>
  <c r="AV35" i="34"/>
  <c r="BD22" i="34"/>
  <c r="BT22" i="34" s="1"/>
  <c r="BU22" i="34" s="1"/>
  <c r="AW40" i="34"/>
  <c r="CO5" i="34"/>
  <c r="AW29" i="34"/>
  <c r="AV42" i="34"/>
  <c r="AX18" i="34"/>
  <c r="BB8" i="34"/>
  <c r="AV19" i="34"/>
  <c r="AZ37" i="34"/>
  <c r="BD13" i="34"/>
  <c r="BT13" i="34" s="1"/>
  <c r="BU13" i="34" s="1"/>
  <c r="AW6" i="34"/>
  <c r="BB34" i="34"/>
  <c r="CO12" i="34"/>
  <c r="AV43" i="34"/>
  <c r="BD9" i="34"/>
  <c r="CO44" i="34"/>
  <c r="BB20" i="34"/>
  <c r="BA11" i="34"/>
  <c r="AZ23" i="34"/>
  <c r="BD35" i="34"/>
  <c r="BT35" i="34" s="1"/>
  <c r="BU35" i="34" s="1"/>
  <c r="BB22" i="34"/>
  <c r="BB21" i="34"/>
  <c r="AV38" i="34"/>
  <c r="AW24" i="34"/>
  <c r="AX37" i="34"/>
  <c r="BB44" i="34"/>
  <c r="CO40" i="34"/>
  <c r="AZ5" i="34"/>
  <c r="CO29" i="34"/>
  <c r="BB42" i="34"/>
  <c r="BA18" i="34"/>
  <c r="BD8" i="34"/>
  <c r="BT8" i="34" s="1"/>
  <c r="BU8" i="34" s="1"/>
  <c r="BD19" i="34"/>
  <c r="BT19" i="34" s="1"/>
  <c r="BU19" i="34" s="1"/>
  <c r="AV37" i="34"/>
  <c r="AV13" i="34"/>
  <c r="CO6" i="34"/>
  <c r="AX34" i="34"/>
  <c r="AZ12" i="34"/>
  <c r="AX43" i="34"/>
  <c r="BB9" i="34"/>
  <c r="AZ44" i="34"/>
  <c r="BD20" i="34"/>
  <c r="BT20" i="34" s="1"/>
  <c r="BU20" i="34" s="1"/>
  <c r="AW11" i="34"/>
  <c r="AV23" i="34"/>
  <c r="AX35" i="34"/>
  <c r="AX22" i="34"/>
  <c r="BD21" i="34"/>
  <c r="BT21" i="34" s="1"/>
  <c r="BU21" i="34" s="1"/>
  <c r="BB38" i="34"/>
  <c r="CO24" i="34"/>
  <c r="AW42" i="34"/>
  <c r="CO43" i="34"/>
  <c r="AZ40" i="34"/>
  <c r="AV5" i="34"/>
  <c r="AZ29" i="34"/>
  <c r="AX42" i="34"/>
  <c r="AW18" i="34"/>
  <c r="AX8" i="34"/>
  <c r="AX19" i="34"/>
  <c r="BD37" i="34"/>
  <c r="BT37" i="34" s="1"/>
  <c r="BU37" i="34" s="1"/>
  <c r="BB13" i="34"/>
  <c r="AZ6" i="34"/>
  <c r="BA34" i="34"/>
  <c r="AV12" i="34"/>
  <c r="BA43" i="34"/>
  <c r="AV9" i="34"/>
  <c r="BD44" i="34"/>
  <c r="BT44" i="34" s="1"/>
  <c r="BU44" i="34" s="1"/>
  <c r="AX20" i="34"/>
  <c r="CO11" i="34"/>
  <c r="BB23" i="34"/>
  <c r="BA35" i="34"/>
  <c r="BA22" i="34"/>
  <c r="AV21" i="34"/>
  <c r="BD38" i="34"/>
  <c r="BT38" i="34" s="1"/>
  <c r="BU38" i="34" s="1"/>
  <c r="AZ24" i="34"/>
  <c r="AW8" i="34"/>
  <c r="AV6" i="34"/>
  <c r="BB40" i="34"/>
  <c r="BD5" i="34"/>
  <c r="BB29" i="34"/>
  <c r="BA42" i="34"/>
  <c r="CO18" i="34"/>
  <c r="BA8" i="34"/>
  <c r="BA19" i="34"/>
  <c r="BB37" i="34"/>
  <c r="AX13" i="34"/>
  <c r="BB6" i="34"/>
  <c r="AW34" i="34"/>
  <c r="BB12" i="34"/>
  <c r="AW43" i="34"/>
  <c r="AX9" i="34"/>
  <c r="AV44" i="34"/>
  <c r="BA20" i="34"/>
  <c r="AZ11" i="34"/>
  <c r="BD23" i="34"/>
  <c r="AW35" i="34"/>
  <c r="AW22" i="34"/>
  <c r="AX21" i="34"/>
  <c r="AX38" i="34"/>
  <c r="BB24" i="34"/>
  <c r="AZ18" i="34"/>
  <c r="AW19" i="34"/>
  <c r="AV40" i="34"/>
  <c r="BB5" i="34"/>
  <c r="AV29" i="34"/>
  <c r="AX23" i="34"/>
  <c r="CO22" i="34"/>
  <c r="BA21" i="34"/>
  <c r="BA38" i="34"/>
  <c r="BD11" i="34"/>
  <c r="BT11" i="34" s="1"/>
  <c r="BU11" i="34" s="1"/>
  <c r="CO35" i="34"/>
  <c r="BD24" i="34"/>
  <c r="BT24" i="34" s="1"/>
  <c r="BU24" i="34" s="1"/>
  <c r="Q57" i="36"/>
  <c r="CO53" i="34"/>
  <c r="BZ57" i="34"/>
  <c r="CP50" i="34" s="1"/>
  <c r="CA50" i="34"/>
  <c r="CB5" i="34"/>
  <c r="CB50" i="34" s="1"/>
  <c r="CD5" i="34"/>
  <c r="CD50" i="34" s="1"/>
  <c r="CC5" i="34"/>
  <c r="CC50" i="34" s="1"/>
  <c r="CA59" i="34"/>
  <c r="CA63" i="34"/>
  <c r="CA65" i="34"/>
  <c r="CA60" i="34"/>
  <c r="CA64" i="34"/>
  <c r="CO55" i="34"/>
  <c r="CA51" i="36"/>
  <c r="CC9" i="36"/>
  <c r="CC51" i="36" s="1"/>
  <c r="CB9" i="36"/>
  <c r="CB51" i="36" s="1"/>
  <c r="CD9" i="36"/>
  <c r="CD51" i="36" s="1"/>
  <c r="M23" i="25"/>
  <c r="N23" i="25" s="1"/>
  <c r="S25" i="37"/>
  <c r="F36" i="44" s="1"/>
  <c r="M24" i="25"/>
  <c r="N24" i="25" s="1"/>
  <c r="Q24" i="25" s="1"/>
  <c r="S26" i="37"/>
  <c r="F37" i="44" s="1"/>
  <c r="M46" i="25"/>
  <c r="N46" i="25" s="1"/>
  <c r="Q46" i="25" s="1"/>
  <c r="S48" i="37"/>
  <c r="F47" i="44" s="1"/>
  <c r="M7" i="25"/>
  <c r="N7" i="25" s="1"/>
  <c r="Q7" i="25" s="1"/>
  <c r="S9" i="37"/>
  <c r="F18" i="44" s="1"/>
  <c r="M45" i="25"/>
  <c r="N45" i="25" s="1"/>
  <c r="Q45" i="25" s="1"/>
  <c r="S47" i="37"/>
  <c r="F46" i="44" s="1"/>
  <c r="M15" i="25"/>
  <c r="N15" i="25" s="1"/>
  <c r="Q15" i="25" s="1"/>
  <c r="S17" i="37"/>
  <c r="F24" i="44" s="1"/>
  <c r="M20" i="25"/>
  <c r="N20" i="25" s="1"/>
  <c r="Q20" i="25" s="1"/>
  <c r="S22" i="37"/>
  <c r="F12" i="44" s="1"/>
  <c r="M42" i="25"/>
  <c r="N42" i="25" s="1"/>
  <c r="Q42" i="25" s="1"/>
  <c r="S44" i="37"/>
  <c r="F45" i="44" s="1"/>
  <c r="M5" i="25"/>
  <c r="N5" i="25" s="1"/>
  <c r="Q5" i="25" s="1"/>
  <c r="S7" i="37"/>
  <c r="F23" i="44" s="1"/>
  <c r="M34" i="25"/>
  <c r="N34" i="25" s="1"/>
  <c r="S36" i="37"/>
  <c r="F26" i="44" s="1"/>
  <c r="M38" i="25"/>
  <c r="N38" i="25" s="1"/>
  <c r="Q38" i="25" s="1"/>
  <c r="S40" i="37"/>
  <c r="F43" i="44" s="1"/>
  <c r="M35" i="25"/>
  <c r="N35" i="25" s="1"/>
  <c r="Q35" i="25" s="1"/>
  <c r="S37" i="37"/>
  <c r="F31" i="44" s="1"/>
  <c r="M6" i="25"/>
  <c r="N6" i="25" s="1"/>
  <c r="Q6" i="25" s="1"/>
  <c r="S8" i="37"/>
  <c r="F21" i="44" s="1"/>
  <c r="M41" i="25"/>
  <c r="N41" i="25" s="1"/>
  <c r="Q41" i="25" s="1"/>
  <c r="S43" i="37"/>
  <c r="F44" i="44" s="1"/>
  <c r="M28" i="25"/>
  <c r="N28" i="25" s="1"/>
  <c r="Q28" i="25" s="1"/>
  <c r="S30" i="37"/>
  <c r="F39" i="44" s="1"/>
  <c r="M22" i="25"/>
  <c r="N22" i="25" s="1"/>
  <c r="Q22" i="25" s="1"/>
  <c r="S24" i="37"/>
  <c r="F11" i="44" s="1"/>
  <c r="M37" i="25"/>
  <c r="N37" i="25" s="1"/>
  <c r="Q37" i="25" s="1"/>
  <c r="S39" i="37"/>
  <c r="F10" i="44" s="1"/>
  <c r="M32" i="25"/>
  <c r="N32" i="25" s="1"/>
  <c r="Q32" i="25" s="1"/>
  <c r="S34" i="37"/>
  <c r="F42" i="44" s="1"/>
  <c r="M8" i="25"/>
  <c r="N8" i="25" s="1"/>
  <c r="Q8" i="25" s="1"/>
  <c r="S10" i="37"/>
  <c r="F33" i="44" s="1"/>
  <c r="M12" i="25"/>
  <c r="N12" i="25" s="1"/>
  <c r="S14" i="37"/>
  <c r="F34" i="44" s="1"/>
  <c r="M43" i="25"/>
  <c r="N43" i="25" s="1"/>
  <c r="Q43" i="25" s="1"/>
  <c r="S45" i="37"/>
  <c r="F14" i="44" s="1"/>
  <c r="M19" i="25"/>
  <c r="N19" i="25" s="1"/>
  <c r="Q19" i="25" s="1"/>
  <c r="S21" i="37"/>
  <c r="F22" i="44" s="1"/>
  <c r="M25" i="25"/>
  <c r="N25" i="25" s="1"/>
  <c r="Q25" i="25" s="1"/>
  <c r="S27" i="37"/>
  <c r="F38" i="44" s="1"/>
  <c r="M33" i="25"/>
  <c r="N33" i="25" s="1"/>
  <c r="Q33" i="25" s="1"/>
  <c r="S35" i="37"/>
  <c r="F13" i="44" s="1"/>
  <c r="M27" i="25"/>
  <c r="N27" i="25" s="1"/>
  <c r="Q27" i="25" s="1"/>
  <c r="S29" i="37"/>
  <c r="F30" i="44" s="1"/>
  <c r="M29" i="25"/>
  <c r="N29" i="25" s="1"/>
  <c r="S31" i="37"/>
  <c r="F40" i="44" s="1"/>
  <c r="M10" i="25"/>
  <c r="N10" i="25" s="1"/>
  <c r="Q10" i="25" s="1"/>
  <c r="S12" i="37"/>
  <c r="F7" i="44" s="1"/>
  <c r="M13" i="25"/>
  <c r="N13" i="25" s="1"/>
  <c r="Q13" i="25" s="1"/>
  <c r="S15" i="37"/>
  <c r="F15" i="44" s="1"/>
  <c r="M26" i="25"/>
  <c r="N26" i="25" s="1"/>
  <c r="Q26" i="25" s="1"/>
  <c r="S28" i="37"/>
  <c r="F17" i="44" s="1"/>
  <c r="M39" i="25"/>
  <c r="N39" i="25" s="1"/>
  <c r="Q39" i="25" s="1"/>
  <c r="S41" i="37"/>
  <c r="F20" i="44" s="1"/>
  <c r="M30" i="25"/>
  <c r="N30" i="25" s="1"/>
  <c r="Q30" i="25" s="1"/>
  <c r="S32" i="37"/>
  <c r="F25" i="44" s="1"/>
  <c r="M40" i="25"/>
  <c r="S42" i="37"/>
  <c r="F32" i="44" s="1"/>
  <c r="M16" i="25"/>
  <c r="N16" i="25" s="1"/>
  <c r="Q16" i="25" s="1"/>
  <c r="S18" i="37"/>
  <c r="F28" i="44" s="1"/>
  <c r="M17" i="25"/>
  <c r="N17" i="25" s="1"/>
  <c r="Q17" i="25" s="1"/>
  <c r="S19" i="37"/>
  <c r="F19" i="44" s="1"/>
  <c r="M36" i="25"/>
  <c r="N36" i="25" s="1"/>
  <c r="Q36" i="25" s="1"/>
  <c r="S38" i="37"/>
  <c r="F8" i="44" s="1"/>
  <c r="M44" i="25"/>
  <c r="N44" i="25" s="1"/>
  <c r="Q44" i="25" s="1"/>
  <c r="S46" i="37"/>
  <c r="F27" i="44" s="1"/>
  <c r="M31" i="25"/>
  <c r="N31" i="25" s="1"/>
  <c r="Q31" i="25" s="1"/>
  <c r="S33" i="37"/>
  <c r="F41" i="44" s="1"/>
  <c r="O5" i="29"/>
  <c r="O15" i="29" s="1"/>
  <c r="H50" i="28"/>
  <c r="I21" i="28"/>
  <c r="H21" i="28"/>
  <c r="G52" i="28"/>
  <c r="H56" i="28"/>
  <c r="I56" i="28"/>
  <c r="H9" i="28"/>
  <c r="I9" i="28"/>
  <c r="G51" i="28"/>
  <c r="H53" i="28"/>
  <c r="I53" i="28"/>
  <c r="I54" i="28"/>
  <c r="H54" i="28"/>
  <c r="I55" i="28"/>
  <c r="H55" i="28"/>
  <c r="O53" i="28"/>
  <c r="S23" i="28"/>
  <c r="L53" i="28"/>
  <c r="L54" i="28"/>
  <c r="P57" i="25"/>
  <c r="Q9" i="25"/>
  <c r="M11" i="25"/>
  <c r="N11" i="25" s="1"/>
  <c r="Q11" i="25" s="1"/>
  <c r="R57" i="20"/>
  <c r="BL26" i="42" l="1"/>
  <c r="BK26" i="42"/>
  <c r="BR16" i="42"/>
  <c r="BQ16" i="42"/>
  <c r="BL21" i="42"/>
  <c r="L55" i="28"/>
  <c r="BM13" i="42"/>
  <c r="BK13" i="42"/>
  <c r="BM37" i="42"/>
  <c r="BK31" i="42"/>
  <c r="BK37" i="42"/>
  <c r="L51" i="28"/>
  <c r="L50" i="28"/>
  <c r="L52" i="28"/>
  <c r="S34" i="28"/>
  <c r="N57" i="28"/>
  <c r="L56" i="28"/>
  <c r="BS7" i="42"/>
  <c r="BR7" i="42"/>
  <c r="BK21" i="42"/>
  <c r="BK24" i="42"/>
  <c r="BR27" i="42"/>
  <c r="CE57" i="42"/>
  <c r="BL10" i="42"/>
  <c r="BM10" i="42"/>
  <c r="BK25" i="42"/>
  <c r="BR30" i="42"/>
  <c r="AD62" i="44"/>
  <c r="AE68" i="44"/>
  <c r="AD61" i="44"/>
  <c r="AE67" i="44"/>
  <c r="AB6" i="44"/>
  <c r="L28" i="44"/>
  <c r="V28" i="44" s="1"/>
  <c r="AA28" i="44"/>
  <c r="AB28" i="44" s="1"/>
  <c r="AG28" i="44" s="1"/>
  <c r="AA17" i="44"/>
  <c r="AB17" i="44" s="1"/>
  <c r="AG17" i="44" s="1"/>
  <c r="L17" i="44"/>
  <c r="V17" i="44" s="1"/>
  <c r="L30" i="44"/>
  <c r="V30" i="44" s="1"/>
  <c r="AA30" i="44"/>
  <c r="AB30" i="44" s="1"/>
  <c r="AG30" i="44" s="1"/>
  <c r="L10" i="44"/>
  <c r="V10" i="44" s="1"/>
  <c r="AA10" i="44"/>
  <c r="AB10" i="44" s="1"/>
  <c r="AG10" i="44" s="1"/>
  <c r="L21" i="44"/>
  <c r="V21" i="44" s="1"/>
  <c r="AA21" i="44"/>
  <c r="AB21" i="44" s="1"/>
  <c r="AG21" i="44" s="1"/>
  <c r="L23" i="44"/>
  <c r="V23" i="44" s="1"/>
  <c r="AA23" i="44"/>
  <c r="AB23" i="44" s="1"/>
  <c r="AG23" i="44" s="1"/>
  <c r="L36" i="44"/>
  <c r="V36" i="44" s="1"/>
  <c r="AA36" i="44"/>
  <c r="AB36" i="44" s="1"/>
  <c r="AG36" i="44" s="1"/>
  <c r="V6" i="44"/>
  <c r="L41" i="44"/>
  <c r="V41" i="44" s="1"/>
  <c r="AA41" i="44"/>
  <c r="AB41" i="44" s="1"/>
  <c r="AG41" i="44" s="1"/>
  <c r="L27" i="44"/>
  <c r="V27" i="44" s="1"/>
  <c r="AA27" i="44"/>
  <c r="AB27" i="44" s="1"/>
  <c r="AG27" i="44" s="1"/>
  <c r="L32" i="44"/>
  <c r="V32" i="44" s="1"/>
  <c r="AA32" i="44"/>
  <c r="AB32" i="44" s="1"/>
  <c r="AG32" i="44" s="1"/>
  <c r="L31" i="44"/>
  <c r="V31" i="44" s="1"/>
  <c r="AA31" i="44"/>
  <c r="AB31" i="44" s="1"/>
  <c r="AG31" i="44" s="1"/>
  <c r="L45" i="44"/>
  <c r="V45" i="44" s="1"/>
  <c r="AA45" i="44"/>
  <c r="AB45" i="44" s="1"/>
  <c r="AG45" i="44" s="1"/>
  <c r="L38" i="44"/>
  <c r="V38" i="44" s="1"/>
  <c r="AA38" i="44"/>
  <c r="AB38" i="44" s="1"/>
  <c r="AG38" i="44" s="1"/>
  <c r="L33" i="44"/>
  <c r="V33" i="44" s="1"/>
  <c r="AA33" i="44"/>
  <c r="AB33" i="44" s="1"/>
  <c r="AG33" i="44" s="1"/>
  <c r="AA39" i="44"/>
  <c r="AB39" i="44" s="1"/>
  <c r="AG39" i="44" s="1"/>
  <c r="L39" i="44"/>
  <c r="V39" i="44" s="1"/>
  <c r="AA43" i="44"/>
  <c r="AB43" i="44" s="1"/>
  <c r="AG43" i="44" s="1"/>
  <c r="L43" i="44"/>
  <c r="V43" i="44" s="1"/>
  <c r="AA47" i="44"/>
  <c r="AB47" i="44" s="1"/>
  <c r="AG47" i="44" s="1"/>
  <c r="L47" i="44"/>
  <c r="V47" i="44" s="1"/>
  <c r="L22" i="44"/>
  <c r="V22" i="44" s="1"/>
  <c r="AA22" i="44"/>
  <c r="AB22" i="44" s="1"/>
  <c r="AG22" i="44" s="1"/>
  <c r="L24" i="44"/>
  <c r="V24" i="44" s="1"/>
  <c r="AA24" i="44"/>
  <c r="AB24" i="44" s="1"/>
  <c r="AG24" i="44" s="1"/>
  <c r="F60" i="44"/>
  <c r="BA46" i="37"/>
  <c r="AW46" i="37" s="1"/>
  <c r="AF46" i="37"/>
  <c r="BA42" i="37"/>
  <c r="AW42" i="37" s="1"/>
  <c r="AF42" i="37"/>
  <c r="AF15" i="37"/>
  <c r="AF35" i="37"/>
  <c r="AF14" i="37"/>
  <c r="AF24" i="37"/>
  <c r="BA37" i="37"/>
  <c r="AW37" i="37" s="1"/>
  <c r="AF37" i="37"/>
  <c r="BA44" i="37"/>
  <c r="AW44" i="37" s="1"/>
  <c r="AF44" i="37"/>
  <c r="AF9" i="37"/>
  <c r="AF38" i="37"/>
  <c r="AF32" i="37"/>
  <c r="AF12" i="37"/>
  <c r="AF53" i="37" s="1"/>
  <c r="AZ53" i="37" s="1"/>
  <c r="AV53" i="37" s="1"/>
  <c r="BA27" i="37"/>
  <c r="AW27" i="37" s="1"/>
  <c r="AF27" i="37"/>
  <c r="BA10" i="37"/>
  <c r="AW10" i="37" s="1"/>
  <c r="AF10" i="37"/>
  <c r="BA30" i="37"/>
  <c r="AW30" i="37" s="1"/>
  <c r="AF30" i="37"/>
  <c r="BA40" i="37"/>
  <c r="AW40" i="37" s="1"/>
  <c r="AF40" i="37"/>
  <c r="AF22" i="37"/>
  <c r="BA48" i="37"/>
  <c r="AW48" i="37" s="1"/>
  <c r="AF48" i="37"/>
  <c r="AF19" i="37"/>
  <c r="AF41" i="37"/>
  <c r="AF31" i="37"/>
  <c r="BA21" i="37"/>
  <c r="AW21" i="37" s="1"/>
  <c r="AF21" i="37"/>
  <c r="AF34" i="37"/>
  <c r="AF43" i="37"/>
  <c r="AF36" i="37"/>
  <c r="BA17" i="37"/>
  <c r="AW17" i="37" s="1"/>
  <c r="AF17" i="37"/>
  <c r="AF26" i="37"/>
  <c r="BA33" i="37"/>
  <c r="AW33" i="37" s="1"/>
  <c r="AF33" i="37"/>
  <c r="BA18" i="37"/>
  <c r="AW18" i="37" s="1"/>
  <c r="AF18" i="37"/>
  <c r="BA28" i="37"/>
  <c r="AW28" i="37" s="1"/>
  <c r="AF28" i="37"/>
  <c r="BA29" i="37"/>
  <c r="AW29" i="37" s="1"/>
  <c r="AF29" i="37"/>
  <c r="AF45" i="37"/>
  <c r="BA39" i="37"/>
  <c r="AW39" i="37" s="1"/>
  <c r="AF39" i="37"/>
  <c r="BA8" i="37"/>
  <c r="AW8" i="37" s="1"/>
  <c r="AF8" i="37"/>
  <c r="BA7" i="37"/>
  <c r="AW7" i="37" s="1"/>
  <c r="AF7" i="37"/>
  <c r="AF47" i="37"/>
  <c r="BA25" i="37"/>
  <c r="AW25" i="37" s="1"/>
  <c r="AF25" i="37"/>
  <c r="BS27" i="42"/>
  <c r="BS30" i="42"/>
  <c r="BK38" i="42"/>
  <c r="BQ6" i="42"/>
  <c r="BR6" i="42"/>
  <c r="BC57" i="42"/>
  <c r="BR37" i="42"/>
  <c r="BS37" i="42"/>
  <c r="BQ37" i="42"/>
  <c r="BS44" i="42"/>
  <c r="BR44" i="42"/>
  <c r="BQ44" i="42"/>
  <c r="BL8" i="42"/>
  <c r="BM8" i="42" s="1"/>
  <c r="BK8" i="42"/>
  <c r="BI53" i="42"/>
  <c r="BJ23" i="42"/>
  <c r="BR11" i="42"/>
  <c r="BQ11" i="42"/>
  <c r="BS11" i="42"/>
  <c r="BM7" i="42"/>
  <c r="BK7" i="42"/>
  <c r="BL7" i="42"/>
  <c r="BV29" i="42"/>
  <c r="BU54" i="42"/>
  <c r="BS26" i="42"/>
  <c r="BQ26" i="42"/>
  <c r="BR26" i="42"/>
  <c r="BI54" i="42"/>
  <c r="BJ29" i="42"/>
  <c r="BO54" i="42"/>
  <c r="BP29" i="42"/>
  <c r="AW52" i="41"/>
  <c r="AS52" i="41" s="1"/>
  <c r="AC59" i="41"/>
  <c r="AW59" i="41" s="1"/>
  <c r="AS59" i="41" s="1"/>
  <c r="BL16" i="42"/>
  <c r="BK16" i="42"/>
  <c r="BM16" i="42"/>
  <c r="BR33" i="42"/>
  <c r="BS33" i="42"/>
  <c r="BQ33" i="42"/>
  <c r="BK20" i="42"/>
  <c r="BM20" i="42"/>
  <c r="BL20" i="42"/>
  <c r="BS15" i="42"/>
  <c r="BQ15" i="42"/>
  <c r="BR15" i="42"/>
  <c r="BM33" i="42"/>
  <c r="BK33" i="42"/>
  <c r="BL33" i="42"/>
  <c r="BJ40" i="42"/>
  <c r="BI56" i="42"/>
  <c r="BL44" i="42"/>
  <c r="BM44" i="42"/>
  <c r="BK44" i="42"/>
  <c r="BI55" i="42"/>
  <c r="BJ34" i="42"/>
  <c r="BR20" i="42"/>
  <c r="BS20" i="42"/>
  <c r="BQ20" i="42"/>
  <c r="BQ46" i="42"/>
  <c r="BR46" i="42"/>
  <c r="BS46" i="42" s="1"/>
  <c r="AX57" i="42"/>
  <c r="BQ25" i="42"/>
  <c r="BR25" i="42"/>
  <c r="BS25" i="42" s="1"/>
  <c r="CP55" i="36"/>
  <c r="BR19" i="42"/>
  <c r="BS19" i="42"/>
  <c r="BQ19" i="42"/>
  <c r="BO51" i="42"/>
  <c r="BP9" i="42"/>
  <c r="BU56" i="42"/>
  <c r="BV40" i="42"/>
  <c r="BP5" i="42"/>
  <c r="BO50" i="42"/>
  <c r="BR38" i="42"/>
  <c r="BS38" i="42" s="1"/>
  <c r="BQ38" i="42"/>
  <c r="BK11" i="42"/>
  <c r="BL11" i="42"/>
  <c r="BM11" i="42"/>
  <c r="BL46" i="42"/>
  <c r="BM46" i="42" s="1"/>
  <c r="BK46" i="42"/>
  <c r="BR31" i="42"/>
  <c r="BS31" i="42" s="1"/>
  <c r="BQ31" i="42"/>
  <c r="BN38" i="34"/>
  <c r="BO38" i="34" s="1"/>
  <c r="BL15" i="42"/>
  <c r="BM15" i="42"/>
  <c r="BK15" i="42"/>
  <c r="BU53" i="42"/>
  <c r="BV23" i="42"/>
  <c r="BR24" i="42"/>
  <c r="BS24" i="42" s="1"/>
  <c r="BQ24" i="42"/>
  <c r="BS17" i="42"/>
  <c r="BQ17" i="42"/>
  <c r="BR17" i="42"/>
  <c r="BA57" i="42"/>
  <c r="BU55" i="42"/>
  <c r="BV34" i="42"/>
  <c r="BQ39" i="42"/>
  <c r="BS39" i="42"/>
  <c r="BR39" i="42"/>
  <c r="BV12" i="42"/>
  <c r="BU52" i="42"/>
  <c r="BR22" i="42"/>
  <c r="BS22" i="42"/>
  <c r="BQ22" i="42"/>
  <c r="BL27" i="42"/>
  <c r="BK27" i="42"/>
  <c r="BM27" i="42"/>
  <c r="BR14" i="42"/>
  <c r="BS14" i="42" s="1"/>
  <c r="BQ14" i="42"/>
  <c r="BM6" i="42"/>
  <c r="BK6" i="42"/>
  <c r="BL6" i="42"/>
  <c r="BO56" i="42"/>
  <c r="BP40" i="42"/>
  <c r="AU25" i="41"/>
  <c r="AF25" i="41"/>
  <c r="BL19" i="42"/>
  <c r="BM19" i="42"/>
  <c r="BK19" i="42"/>
  <c r="BL36" i="42"/>
  <c r="BM36" i="42"/>
  <c r="BK36" i="42"/>
  <c r="BR21" i="42"/>
  <c r="BQ21" i="42"/>
  <c r="BS21" i="42"/>
  <c r="AY57" i="42"/>
  <c r="BR35" i="42"/>
  <c r="BS35" i="42"/>
  <c r="BQ35" i="42"/>
  <c r="BQ10" i="42"/>
  <c r="BR10" i="42"/>
  <c r="BS10" i="42"/>
  <c r="BQ43" i="42"/>
  <c r="BS43" i="42"/>
  <c r="BR43" i="42"/>
  <c r="BL30" i="42"/>
  <c r="BK30" i="42"/>
  <c r="BM30" i="42"/>
  <c r="BL43" i="42"/>
  <c r="BK43" i="42"/>
  <c r="BM43" i="42"/>
  <c r="BR18" i="42"/>
  <c r="BS18" i="42"/>
  <c r="BQ18" i="42"/>
  <c r="BP12" i="42"/>
  <c r="BO52" i="42"/>
  <c r="BR42" i="42"/>
  <c r="BS42" i="42" s="1"/>
  <c r="BQ42" i="42"/>
  <c r="BQ8" i="42"/>
  <c r="BR8" i="42"/>
  <c r="BS8" i="42" s="1"/>
  <c r="BL28" i="42"/>
  <c r="BM28" i="42" s="1"/>
  <c r="BK28" i="42"/>
  <c r="AF42" i="41"/>
  <c r="AU42" i="41"/>
  <c r="BL22" i="42"/>
  <c r="BM22" i="42"/>
  <c r="BK22" i="42"/>
  <c r="BM17" i="42"/>
  <c r="BK17" i="42"/>
  <c r="BL17" i="42"/>
  <c r="BE57" i="42"/>
  <c r="BO55" i="42"/>
  <c r="BP34" i="42"/>
  <c r="BI50" i="42"/>
  <c r="BJ5" i="42"/>
  <c r="BI52" i="42"/>
  <c r="BJ12" i="42"/>
  <c r="BM18" i="42"/>
  <c r="BK18" i="42"/>
  <c r="BL18" i="42"/>
  <c r="BK42" i="42"/>
  <c r="BL42" i="42"/>
  <c r="BM42" i="42" s="1"/>
  <c r="BO53" i="42"/>
  <c r="BP23" i="42"/>
  <c r="BK35" i="42"/>
  <c r="BM35" i="42"/>
  <c r="BL35" i="42"/>
  <c r="BB57" i="42"/>
  <c r="BV5" i="42"/>
  <c r="BU50" i="42"/>
  <c r="AU7" i="41"/>
  <c r="AF7" i="41"/>
  <c r="BV9" i="42"/>
  <c r="BU51" i="42"/>
  <c r="AW57" i="42"/>
  <c r="BI51" i="42"/>
  <c r="BJ9" i="42"/>
  <c r="BH30" i="36"/>
  <c r="BI30" i="36" s="1"/>
  <c r="BK30" i="36" s="1"/>
  <c r="BB53" i="36"/>
  <c r="AX53" i="34"/>
  <c r="BH14" i="38"/>
  <c r="BI14" i="38" s="1"/>
  <c r="BJ14" i="38" s="1"/>
  <c r="BN30" i="38"/>
  <c r="BO30" i="38" s="1"/>
  <c r="BP30" i="38" s="1"/>
  <c r="BA51" i="34"/>
  <c r="BN31" i="34"/>
  <c r="BO31" i="34" s="1"/>
  <c r="BQ31" i="34" s="1"/>
  <c r="BR31" i="34" s="1"/>
  <c r="BN17" i="34"/>
  <c r="BO17" i="34" s="1"/>
  <c r="BR17" i="34" s="1"/>
  <c r="BN6" i="38"/>
  <c r="BO6" i="38" s="1"/>
  <c r="CA57" i="38"/>
  <c r="BN42" i="38"/>
  <c r="BO42" i="38" s="1"/>
  <c r="BP42" i="38" s="1"/>
  <c r="BN33" i="34"/>
  <c r="BO33" i="34" s="1"/>
  <c r="BR33" i="34" s="1"/>
  <c r="BN7" i="38"/>
  <c r="BO7" i="38" s="1"/>
  <c r="BQ7" i="38" s="1"/>
  <c r="BH11" i="38"/>
  <c r="BI11" i="38" s="1"/>
  <c r="BK11" i="38" s="1"/>
  <c r="AW53" i="38"/>
  <c r="BH42" i="38"/>
  <c r="BI42" i="38" s="1"/>
  <c r="BN28" i="38"/>
  <c r="BO28" i="38" s="1"/>
  <c r="BH20" i="36"/>
  <c r="BI20" i="36" s="1"/>
  <c r="BK20" i="36" s="1"/>
  <c r="BH6" i="36"/>
  <c r="BI6" i="36" s="1"/>
  <c r="BL6" i="36" s="1"/>
  <c r="BH21" i="38"/>
  <c r="BI21" i="38" s="1"/>
  <c r="BN35" i="34"/>
  <c r="BO35" i="34" s="1"/>
  <c r="BR35" i="34" s="1"/>
  <c r="BN36" i="34"/>
  <c r="BO36" i="34" s="1"/>
  <c r="BR36" i="34" s="1"/>
  <c r="BN46" i="34"/>
  <c r="BO46" i="34" s="1"/>
  <c r="BQ46" i="34" s="1"/>
  <c r="BR46" i="34" s="1"/>
  <c r="CD29" i="34"/>
  <c r="CD54" i="34" s="1"/>
  <c r="BN21" i="38"/>
  <c r="BO21" i="38" s="1"/>
  <c r="CB57" i="38"/>
  <c r="BN41" i="38"/>
  <c r="BO41" i="38" s="1"/>
  <c r="AW53" i="36"/>
  <c r="BN38" i="36"/>
  <c r="BO38" i="36" s="1"/>
  <c r="BQ38" i="36" s="1"/>
  <c r="BR38" i="36" s="1"/>
  <c r="BH31" i="36"/>
  <c r="BI31" i="36" s="1"/>
  <c r="BK31" i="36" s="1"/>
  <c r="BL31" i="36" s="1"/>
  <c r="BN41" i="36"/>
  <c r="BO41" i="36" s="1"/>
  <c r="BQ41" i="36" s="1"/>
  <c r="BR41" i="36" s="1"/>
  <c r="BN46" i="36"/>
  <c r="BO46" i="36" s="1"/>
  <c r="BP46" i="36" s="1"/>
  <c r="CA61" i="36"/>
  <c r="BN11" i="38"/>
  <c r="BO11" i="38" s="1"/>
  <c r="BP11" i="38" s="1"/>
  <c r="BB53" i="38"/>
  <c r="BA54" i="36"/>
  <c r="AX51" i="38"/>
  <c r="AW54" i="34"/>
  <c r="BH28" i="38"/>
  <c r="BI28" i="38" s="1"/>
  <c r="BK28" i="38" s="1"/>
  <c r="BL28" i="38" s="1"/>
  <c r="BN37" i="36"/>
  <c r="BO37" i="36" s="1"/>
  <c r="BR37" i="36" s="1"/>
  <c r="BH26" i="36"/>
  <c r="BI26" i="36" s="1"/>
  <c r="BL26" i="36" s="1"/>
  <c r="BN16" i="36"/>
  <c r="BO16" i="36" s="1"/>
  <c r="BR16" i="36" s="1"/>
  <c r="BA52" i="38"/>
  <c r="BN46" i="38"/>
  <c r="BO46" i="38" s="1"/>
  <c r="BQ46" i="38" s="1"/>
  <c r="BR46" i="38" s="1"/>
  <c r="BA50" i="34"/>
  <c r="BH25" i="34"/>
  <c r="BI25" i="34" s="1"/>
  <c r="BK25" i="34" s="1"/>
  <c r="BL25" i="34" s="1"/>
  <c r="BH43" i="36"/>
  <c r="BI43" i="36" s="1"/>
  <c r="BL43" i="36" s="1"/>
  <c r="BN19" i="38"/>
  <c r="BO19" i="38" s="1"/>
  <c r="BR19" i="38" s="1"/>
  <c r="BH32" i="38"/>
  <c r="BI32" i="38" s="1"/>
  <c r="BN21" i="34"/>
  <c r="BO21" i="34" s="1"/>
  <c r="BR21" i="34" s="1"/>
  <c r="BH11" i="34"/>
  <c r="BI11" i="34" s="1"/>
  <c r="BL11" i="34" s="1"/>
  <c r="AX56" i="34"/>
  <c r="BH28" i="34"/>
  <c r="BI28" i="34" s="1"/>
  <c r="BJ28" i="34" s="1"/>
  <c r="BH36" i="34"/>
  <c r="BI36" i="34" s="1"/>
  <c r="BJ36" i="34" s="1"/>
  <c r="BH43" i="34"/>
  <c r="BI43" i="34" s="1"/>
  <c r="BK43" i="34" s="1"/>
  <c r="AW52" i="34"/>
  <c r="BN15" i="34"/>
  <c r="BO15" i="34" s="1"/>
  <c r="BR15" i="34" s="1"/>
  <c r="BN30" i="34"/>
  <c r="BO30" i="34" s="1"/>
  <c r="BR30" i="34" s="1"/>
  <c r="BH22" i="38"/>
  <c r="BI22" i="38" s="1"/>
  <c r="BL22" i="38" s="1"/>
  <c r="BN31" i="36"/>
  <c r="BO31" i="36" s="1"/>
  <c r="BQ31" i="36" s="1"/>
  <c r="BR31" i="36" s="1"/>
  <c r="BN24" i="36"/>
  <c r="BO24" i="36" s="1"/>
  <c r="BQ24" i="36" s="1"/>
  <c r="BR24" i="36" s="1"/>
  <c r="AW56" i="38"/>
  <c r="AX54" i="38"/>
  <c r="AX50" i="38"/>
  <c r="BH17" i="38"/>
  <c r="BI17" i="38" s="1"/>
  <c r="BK17" i="38" s="1"/>
  <c r="BH41" i="38"/>
  <c r="BI41" i="38" s="1"/>
  <c r="BK41" i="38" s="1"/>
  <c r="BL41" i="38" s="1"/>
  <c r="BN27" i="38"/>
  <c r="BO27" i="38" s="1"/>
  <c r="BQ27" i="38" s="1"/>
  <c r="BA55" i="38"/>
  <c r="BX43" i="38"/>
  <c r="BW43" i="38"/>
  <c r="BV43" i="38"/>
  <c r="BW35" i="38"/>
  <c r="BX35" i="38"/>
  <c r="BV35" i="38"/>
  <c r="BX17" i="38"/>
  <c r="BW17" i="38"/>
  <c r="BV17" i="38"/>
  <c r="BN24" i="38"/>
  <c r="BO24" i="38" s="1"/>
  <c r="BW28" i="38"/>
  <c r="BX28" i="38" s="1"/>
  <c r="BV28" i="38"/>
  <c r="BD50" i="38"/>
  <c r="BT5" i="38"/>
  <c r="AZ51" i="38"/>
  <c r="BN9" i="38"/>
  <c r="BB52" i="38"/>
  <c r="BW33" i="38"/>
  <c r="BX33" i="38"/>
  <c r="BV33" i="38"/>
  <c r="CP50" i="38"/>
  <c r="CP19" i="38"/>
  <c r="CP41" i="38"/>
  <c r="CP10" i="38"/>
  <c r="CP30" i="38"/>
  <c r="CP12" i="38"/>
  <c r="CP34" i="38"/>
  <c r="CP53" i="38"/>
  <c r="CP14" i="38"/>
  <c r="CP36" i="38"/>
  <c r="CP22" i="38"/>
  <c r="CP9" i="38"/>
  <c r="CP26" i="38"/>
  <c r="CP24" i="38"/>
  <c r="CP27" i="38"/>
  <c r="CP46" i="38"/>
  <c r="CP18" i="38"/>
  <c r="CP29" i="38"/>
  <c r="CP11" i="38"/>
  <c r="CP25" i="38"/>
  <c r="CP20" i="38"/>
  <c r="CP17" i="38"/>
  <c r="CP5" i="38"/>
  <c r="CP56" i="38"/>
  <c r="CP54" i="38"/>
  <c r="CP28" i="38"/>
  <c r="CP35" i="38"/>
  <c r="CP38" i="38"/>
  <c r="CP8" i="38"/>
  <c r="CP51" i="38"/>
  <c r="CP39" i="38"/>
  <c r="CP16" i="38"/>
  <c r="CP43" i="38"/>
  <c r="CP13" i="38"/>
  <c r="CP42" i="38"/>
  <c r="CP23" i="38"/>
  <c r="CP37" i="38"/>
  <c r="CP31" i="38"/>
  <c r="CP32" i="38"/>
  <c r="CP45" i="38"/>
  <c r="CP21" i="38"/>
  <c r="CP40" i="38"/>
  <c r="CP15" i="38"/>
  <c r="CP6" i="38"/>
  <c r="CP44" i="38"/>
  <c r="CP33" i="38"/>
  <c r="CP7" i="38"/>
  <c r="CP52" i="38"/>
  <c r="CP55" i="38"/>
  <c r="CD29" i="38"/>
  <c r="CD54" i="38" s="1"/>
  <c r="CC54" i="38"/>
  <c r="CP56" i="36"/>
  <c r="BB54" i="36"/>
  <c r="BV27" i="38"/>
  <c r="BW27" i="38"/>
  <c r="BX27" i="38"/>
  <c r="AZ56" i="38"/>
  <c r="BN40" i="38"/>
  <c r="AV56" i="38"/>
  <c r="BH40" i="38"/>
  <c r="BW46" i="38"/>
  <c r="BX46" i="38" s="1"/>
  <c r="BV46" i="38"/>
  <c r="AZ55" i="38"/>
  <c r="BN34" i="38"/>
  <c r="BW32" i="38"/>
  <c r="BX32" i="38" s="1"/>
  <c r="BV32" i="38"/>
  <c r="BN33" i="38"/>
  <c r="BO33" i="38" s="1"/>
  <c r="AX52" i="38"/>
  <c r="BB56" i="38"/>
  <c r="BN23" i="38"/>
  <c r="AZ53" i="38"/>
  <c r="AV53" i="38"/>
  <c r="BH23" i="38"/>
  <c r="BN26" i="38"/>
  <c r="BO26" i="38" s="1"/>
  <c r="BB54" i="38"/>
  <c r="BB55" i="38"/>
  <c r="BA54" i="38"/>
  <c r="BH43" i="38"/>
  <c r="BI43" i="38" s="1"/>
  <c r="BT29" i="38"/>
  <c r="BD54" i="38"/>
  <c r="AW52" i="38"/>
  <c r="BW15" i="38"/>
  <c r="BV15" i="38"/>
  <c r="BX15" i="38"/>
  <c r="AV50" i="38"/>
  <c r="BH5" i="38"/>
  <c r="BV8" i="38"/>
  <c r="BW8" i="38"/>
  <c r="BX8" i="38" s="1"/>
  <c r="BA51" i="38"/>
  <c r="BX6" i="38"/>
  <c r="BW6" i="38"/>
  <c r="BV6" i="38"/>
  <c r="BH12" i="38"/>
  <c r="AV52" i="38"/>
  <c r="BW41" i="38"/>
  <c r="BX41" i="38" s="1"/>
  <c r="BV41" i="38"/>
  <c r="AZ52" i="38"/>
  <c r="BN12" i="38"/>
  <c r="BB51" i="38"/>
  <c r="BD56" i="38"/>
  <c r="BT40" i="38"/>
  <c r="AW55" i="38"/>
  <c r="AX56" i="38"/>
  <c r="BH45" i="38"/>
  <c r="BI45" i="38" s="1"/>
  <c r="BH27" i="38"/>
  <c r="BI27" i="38" s="1"/>
  <c r="BH38" i="38"/>
  <c r="BI38" i="38" s="1"/>
  <c r="BD51" i="38"/>
  <c r="BT9" i="38"/>
  <c r="BW21" i="38"/>
  <c r="BV21" i="38"/>
  <c r="BX21" i="38"/>
  <c r="BV16" i="38"/>
  <c r="BW16" i="38"/>
  <c r="BX16" i="38"/>
  <c r="BV13" i="38"/>
  <c r="BW13" i="38"/>
  <c r="BX13" i="38"/>
  <c r="BA56" i="34"/>
  <c r="BH46" i="34"/>
  <c r="BI46" i="34" s="1"/>
  <c r="BJ46" i="34" s="1"/>
  <c r="BH39" i="34"/>
  <c r="BI39" i="34" s="1"/>
  <c r="BL39" i="34" s="1"/>
  <c r="BH32" i="34"/>
  <c r="BI32" i="34" s="1"/>
  <c r="BK32" i="34" s="1"/>
  <c r="BL32" i="34" s="1"/>
  <c r="BH27" i="34"/>
  <c r="BI27" i="34" s="1"/>
  <c r="BK27" i="34" s="1"/>
  <c r="BN30" i="36"/>
  <c r="BO30" i="36" s="1"/>
  <c r="BQ30" i="36" s="1"/>
  <c r="BA50" i="36"/>
  <c r="BH39" i="36"/>
  <c r="BI39" i="36" s="1"/>
  <c r="BJ39" i="36" s="1"/>
  <c r="BH32" i="36"/>
  <c r="BI32" i="36" s="1"/>
  <c r="BK32" i="36" s="1"/>
  <c r="BL32" i="36" s="1"/>
  <c r="BN33" i="36"/>
  <c r="BO33" i="36" s="1"/>
  <c r="BR33" i="36" s="1"/>
  <c r="BN15" i="36"/>
  <c r="BO15" i="36" s="1"/>
  <c r="BR15" i="36" s="1"/>
  <c r="BH19" i="38"/>
  <c r="BI19" i="38" s="1"/>
  <c r="BX37" i="38"/>
  <c r="BV37" i="38"/>
  <c r="BW37" i="38"/>
  <c r="AW51" i="38"/>
  <c r="BW22" i="38"/>
  <c r="BX22" i="38"/>
  <c r="BV22" i="38"/>
  <c r="BN39" i="38"/>
  <c r="BO39" i="38" s="1"/>
  <c r="BN13" i="38"/>
  <c r="BO13" i="38" s="1"/>
  <c r="BN44" i="38"/>
  <c r="BO44" i="38" s="1"/>
  <c r="BN36" i="38"/>
  <c r="BO36" i="38" s="1"/>
  <c r="BN37" i="38"/>
  <c r="BO37" i="38" s="1"/>
  <c r="BH18" i="38"/>
  <c r="BI18" i="38" s="1"/>
  <c r="BN35" i="38"/>
  <c r="BO35" i="38" s="1"/>
  <c r="BN25" i="38"/>
  <c r="BO25" i="38" s="1"/>
  <c r="BN18" i="38"/>
  <c r="BO18" i="38" s="1"/>
  <c r="BD52" i="38"/>
  <c r="BT12" i="38"/>
  <c r="BV18" i="38"/>
  <c r="BW18" i="38"/>
  <c r="BX18" i="38"/>
  <c r="BW19" i="38"/>
  <c r="BX19" i="38"/>
  <c r="BV19" i="38"/>
  <c r="CD29" i="36"/>
  <c r="CD54" i="36" s="1"/>
  <c r="BW31" i="38"/>
  <c r="BX31" i="38" s="1"/>
  <c r="BV31" i="38"/>
  <c r="BH24" i="38"/>
  <c r="BI24" i="38" s="1"/>
  <c r="BV39" i="38"/>
  <c r="BW39" i="38"/>
  <c r="BX39" i="38"/>
  <c r="BH10" i="38"/>
  <c r="BI10" i="38" s="1"/>
  <c r="BN20" i="38"/>
  <c r="BO20" i="38" s="1"/>
  <c r="BV44" i="38"/>
  <c r="BW44" i="38"/>
  <c r="BX44" i="38"/>
  <c r="BN16" i="38"/>
  <c r="BO16" i="38" s="1"/>
  <c r="AX55" i="38"/>
  <c r="BH7" i="38"/>
  <c r="BI7" i="38" s="1"/>
  <c r="BN22" i="38"/>
  <c r="BO22" i="38" s="1"/>
  <c r="BN31" i="38"/>
  <c r="BO31" i="38" s="1"/>
  <c r="BV25" i="38"/>
  <c r="BW25" i="38"/>
  <c r="BX25" i="38" s="1"/>
  <c r="BN17" i="38"/>
  <c r="BO17" i="38" s="1"/>
  <c r="BH29" i="38"/>
  <c r="AV54" i="38"/>
  <c r="CD23" i="38"/>
  <c r="CD53" i="38" s="1"/>
  <c r="CC53" i="38"/>
  <c r="BN20" i="34"/>
  <c r="BO20" i="34" s="1"/>
  <c r="BR20" i="34" s="1"/>
  <c r="BN17" i="36"/>
  <c r="BO17" i="36" s="1"/>
  <c r="BP17" i="36" s="1"/>
  <c r="AX50" i="36"/>
  <c r="BA51" i="36"/>
  <c r="BH41" i="36"/>
  <c r="BI41" i="36" s="1"/>
  <c r="BK41" i="36" s="1"/>
  <c r="BL41" i="36" s="1"/>
  <c r="BH46" i="36"/>
  <c r="BI46" i="36" s="1"/>
  <c r="BK46" i="36" s="1"/>
  <c r="BL46" i="36" s="1"/>
  <c r="BN25" i="36"/>
  <c r="BO25" i="36" s="1"/>
  <c r="BQ25" i="36" s="1"/>
  <c r="BR25" i="36" s="1"/>
  <c r="BN32" i="36"/>
  <c r="BO32" i="36" s="1"/>
  <c r="BP32" i="36" s="1"/>
  <c r="BW14" i="38"/>
  <c r="BX14" i="38" s="1"/>
  <c r="BV14" i="38"/>
  <c r="BH35" i="38"/>
  <c r="BI35" i="38" s="1"/>
  <c r="BW45" i="38"/>
  <c r="BX45" i="38" s="1"/>
  <c r="BV45" i="38"/>
  <c r="BH6" i="38"/>
  <c r="BI6" i="38" s="1"/>
  <c r="BN8" i="38"/>
  <c r="BO8" i="38" s="1"/>
  <c r="BH31" i="38"/>
  <c r="BI31" i="38" s="1"/>
  <c r="BH8" i="38"/>
  <c r="BI8" i="38" s="1"/>
  <c r="BN45" i="38"/>
  <c r="BO45" i="38" s="1"/>
  <c r="BH30" i="38"/>
  <c r="BI30" i="38" s="1"/>
  <c r="BH33" i="38"/>
  <c r="BI33" i="38" s="1"/>
  <c r="BA50" i="38"/>
  <c r="BH20" i="38"/>
  <c r="BI20" i="38" s="1"/>
  <c r="BX11" i="38"/>
  <c r="BW11" i="38"/>
  <c r="BV11" i="38"/>
  <c r="BN10" i="38"/>
  <c r="BO10" i="38" s="1"/>
  <c r="BW26" i="38"/>
  <c r="BX26" i="38"/>
  <c r="BV26" i="38"/>
  <c r="BW24" i="38"/>
  <c r="BX24" i="38" s="1"/>
  <c r="BV24" i="38"/>
  <c r="AV51" i="38"/>
  <c r="BH9" i="38"/>
  <c r="BN19" i="34"/>
  <c r="BO19" i="34" s="1"/>
  <c r="BQ19" i="34" s="1"/>
  <c r="BH8" i="34"/>
  <c r="BI8" i="34" s="1"/>
  <c r="BJ8" i="34" s="1"/>
  <c r="BH6" i="34"/>
  <c r="BI6" i="34" s="1"/>
  <c r="BJ6" i="34" s="1"/>
  <c r="BN13" i="34"/>
  <c r="BO13" i="34" s="1"/>
  <c r="BP13" i="34" s="1"/>
  <c r="AX52" i="34"/>
  <c r="BN28" i="34"/>
  <c r="BO28" i="34" s="1"/>
  <c r="BQ28" i="34" s="1"/>
  <c r="BR28" i="34" s="1"/>
  <c r="BH10" i="34"/>
  <c r="BI10" i="34" s="1"/>
  <c r="BK10" i="34" s="1"/>
  <c r="BH41" i="34"/>
  <c r="BI41" i="34" s="1"/>
  <c r="BJ41" i="34" s="1"/>
  <c r="BN27" i="34"/>
  <c r="BO27" i="34" s="1"/>
  <c r="BQ27" i="34" s="1"/>
  <c r="BH10" i="36"/>
  <c r="BI10" i="36" s="1"/>
  <c r="BK10" i="36" s="1"/>
  <c r="AW55" i="36"/>
  <c r="BH28" i="36"/>
  <c r="BI28" i="36" s="1"/>
  <c r="BK28" i="36" s="1"/>
  <c r="BL28" i="36" s="1"/>
  <c r="AW56" i="36"/>
  <c r="BH14" i="36"/>
  <c r="BI14" i="36" s="1"/>
  <c r="BJ14" i="36" s="1"/>
  <c r="BH11" i="36"/>
  <c r="BI11" i="36" s="1"/>
  <c r="BK11" i="36" s="1"/>
  <c r="BH16" i="36"/>
  <c r="BI16" i="36" s="1"/>
  <c r="BJ16" i="36" s="1"/>
  <c r="BV7" i="38"/>
  <c r="BX7" i="38"/>
  <c r="BW7" i="38"/>
  <c r="BT34" i="38"/>
  <c r="BD55" i="38"/>
  <c r="BH37" i="38"/>
  <c r="BI37" i="38" s="1"/>
  <c r="AZ54" i="38"/>
  <c r="BN29" i="38"/>
  <c r="AV55" i="38"/>
  <c r="BH34" i="38"/>
  <c r="AW50" i="38"/>
  <c r="BX36" i="38"/>
  <c r="BV36" i="38"/>
  <c r="BW36" i="38"/>
  <c r="BN14" i="38"/>
  <c r="BO14" i="38" s="1"/>
  <c r="BN15" i="38"/>
  <c r="BO15" i="38" s="1"/>
  <c r="AX53" i="38"/>
  <c r="BN43" i="38"/>
  <c r="BO43" i="38" s="1"/>
  <c r="BH26" i="38"/>
  <c r="BI26" i="38" s="1"/>
  <c r="BH46" i="38"/>
  <c r="BI46" i="38" s="1"/>
  <c r="AW54" i="38"/>
  <c r="BN32" i="38"/>
  <c r="BO32" i="38" s="1"/>
  <c r="BX30" i="38"/>
  <c r="BW30" i="38"/>
  <c r="BV30" i="38"/>
  <c r="BH39" i="38"/>
  <c r="BI39" i="38" s="1"/>
  <c r="O60" i="38"/>
  <c r="S6" i="29"/>
  <c r="BN8" i="34"/>
  <c r="BO8" i="34" s="1"/>
  <c r="BP8" i="34" s="1"/>
  <c r="BH42" i="34"/>
  <c r="BI42" i="34" s="1"/>
  <c r="BJ42" i="34" s="1"/>
  <c r="AX51" i="36"/>
  <c r="BB50" i="36"/>
  <c r="BH8" i="36"/>
  <c r="BI8" i="36" s="1"/>
  <c r="BJ8" i="36" s="1"/>
  <c r="BN13" i="36"/>
  <c r="BO13" i="36" s="1"/>
  <c r="BR13" i="36" s="1"/>
  <c r="CA61" i="38"/>
  <c r="BN5" i="38"/>
  <c r="AZ50" i="38"/>
  <c r="BW10" i="38"/>
  <c r="BV10" i="38"/>
  <c r="BX10" i="38"/>
  <c r="BD53" i="38"/>
  <c r="BT23" i="38"/>
  <c r="BH36" i="38"/>
  <c r="BI36" i="38" s="1"/>
  <c r="BH44" i="38"/>
  <c r="BI44" i="38" s="1"/>
  <c r="BA53" i="38"/>
  <c r="BB50" i="38"/>
  <c r="BX20" i="38"/>
  <c r="BW20" i="38"/>
  <c r="BV20" i="38"/>
  <c r="BW38" i="38"/>
  <c r="BX38" i="38" s="1"/>
  <c r="BV38" i="38"/>
  <c r="BH13" i="38"/>
  <c r="BI13" i="38" s="1"/>
  <c r="BH25" i="38"/>
  <c r="BI25" i="38" s="1"/>
  <c r="BH16" i="38"/>
  <c r="BI16" i="38" s="1"/>
  <c r="BN38" i="38"/>
  <c r="BO38" i="38" s="1"/>
  <c r="BA56" i="38"/>
  <c r="BH15" i="38"/>
  <c r="BI15" i="38" s="1"/>
  <c r="BW42" i="38"/>
  <c r="BX42" i="38" s="1"/>
  <c r="BV42" i="38"/>
  <c r="CB57" i="34"/>
  <c r="AX51" i="34"/>
  <c r="BV44" i="34"/>
  <c r="BW44" i="34"/>
  <c r="BX44" i="34" s="1"/>
  <c r="BX20" i="34"/>
  <c r="BW20" i="34"/>
  <c r="BV20" i="34"/>
  <c r="BN11" i="34"/>
  <c r="BO11" i="34" s="1"/>
  <c r="BX13" i="34"/>
  <c r="BW13" i="34"/>
  <c r="BV13" i="34"/>
  <c r="AW56" i="34"/>
  <c r="BV43" i="34"/>
  <c r="BX43" i="34"/>
  <c r="BW43" i="34"/>
  <c r="BN24" i="34"/>
  <c r="BO24" i="34" s="1"/>
  <c r="BH37" i="34"/>
  <c r="BI37" i="34" s="1"/>
  <c r="BD52" i="34"/>
  <c r="BT12" i="34"/>
  <c r="AZ55" i="34"/>
  <c r="BN34" i="34"/>
  <c r="BD54" i="34"/>
  <c r="BT29" i="34"/>
  <c r="BH14" i="34"/>
  <c r="BI14" i="34" s="1"/>
  <c r="BN14" i="34"/>
  <c r="BO14" i="34" s="1"/>
  <c r="BN39" i="34"/>
  <c r="BO39" i="34" s="1"/>
  <c r="BD56" i="36"/>
  <c r="BT40" i="36"/>
  <c r="BH17" i="36"/>
  <c r="BI17" i="36" s="1"/>
  <c r="BX43" i="36"/>
  <c r="BW43" i="36"/>
  <c r="BV43" i="36"/>
  <c r="AX55" i="36"/>
  <c r="BH36" i="36"/>
  <c r="BI36" i="36" s="1"/>
  <c r="BD53" i="36"/>
  <c r="BT23" i="36"/>
  <c r="BH7" i="36"/>
  <c r="BI7" i="36" s="1"/>
  <c r="BN39" i="36"/>
  <c r="BO39" i="36" s="1"/>
  <c r="BN14" i="36"/>
  <c r="BO14" i="36" s="1"/>
  <c r="BN11" i="36"/>
  <c r="BO11" i="36" s="1"/>
  <c r="BW37" i="36"/>
  <c r="BV37" i="36"/>
  <c r="BX37" i="36"/>
  <c r="BV25" i="36"/>
  <c r="BW25" i="36"/>
  <c r="BX25" i="36" s="1"/>
  <c r="BH33" i="36"/>
  <c r="BI33" i="36" s="1"/>
  <c r="BH24" i="36"/>
  <c r="BI24" i="36" s="1"/>
  <c r="BN45" i="36"/>
  <c r="BO45" i="36" s="1"/>
  <c r="BX20" i="36"/>
  <c r="BV20" i="36"/>
  <c r="BW20" i="36"/>
  <c r="BW6" i="36"/>
  <c r="BX6" i="36"/>
  <c r="BV6" i="36"/>
  <c r="CA57" i="34"/>
  <c r="CP24" i="34"/>
  <c r="CP26" i="34"/>
  <c r="CP8" i="34"/>
  <c r="CP30" i="34"/>
  <c r="CP22" i="34"/>
  <c r="CP18" i="34"/>
  <c r="CP42" i="34"/>
  <c r="CP43" i="34"/>
  <c r="CP12" i="34"/>
  <c r="CP14" i="34"/>
  <c r="CP13" i="34"/>
  <c r="CP27" i="34"/>
  <c r="CP34" i="34"/>
  <c r="CP32" i="34"/>
  <c r="CP15" i="34"/>
  <c r="CP20" i="34"/>
  <c r="CP31" i="34"/>
  <c r="CP36" i="34"/>
  <c r="CP44" i="34"/>
  <c r="CP39" i="34"/>
  <c r="CP11" i="34"/>
  <c r="CP40" i="34"/>
  <c r="CP17" i="34"/>
  <c r="CP35" i="34"/>
  <c r="CP46" i="34"/>
  <c r="CP19" i="34"/>
  <c r="CP21" i="34"/>
  <c r="CP45" i="34"/>
  <c r="CP7" i="34"/>
  <c r="CP37" i="34"/>
  <c r="CP10" i="34"/>
  <c r="CP25" i="34"/>
  <c r="CP6" i="34"/>
  <c r="CP38" i="34"/>
  <c r="CP28" i="34"/>
  <c r="CP16" i="34"/>
  <c r="CP33" i="34"/>
  <c r="CP41" i="34"/>
  <c r="CP9" i="34"/>
  <c r="CP52" i="34"/>
  <c r="CP56" i="34"/>
  <c r="CP55" i="34"/>
  <c r="CP5" i="34"/>
  <c r="CP29" i="34"/>
  <c r="CP23" i="34"/>
  <c r="BW38" i="34"/>
  <c r="BX38" i="34" s="1"/>
  <c r="BV38" i="34"/>
  <c r="AV51" i="34"/>
  <c r="BH9" i="34"/>
  <c r="BV19" i="34"/>
  <c r="BX19" i="34"/>
  <c r="BW19" i="34"/>
  <c r="BV22" i="34"/>
  <c r="BX22" i="34"/>
  <c r="BW22" i="34"/>
  <c r="BW42" i="34"/>
  <c r="BX42" i="34" s="1"/>
  <c r="BV42" i="34"/>
  <c r="BN44" i="34"/>
  <c r="BO44" i="34" s="1"/>
  <c r="BA53" i="34"/>
  <c r="BX6" i="34"/>
  <c r="BW6" i="34"/>
  <c r="BV6" i="34"/>
  <c r="AX50" i="34"/>
  <c r="BH15" i="34"/>
  <c r="BI15" i="34" s="1"/>
  <c r="BQ15" i="34"/>
  <c r="BV10" i="34"/>
  <c r="BX10" i="34"/>
  <c r="BW10" i="34"/>
  <c r="BH16" i="34"/>
  <c r="BI16" i="34" s="1"/>
  <c r="BW45" i="34"/>
  <c r="BX45" i="34" s="1"/>
  <c r="BV45" i="34"/>
  <c r="BW14" i="34"/>
  <c r="BX14" i="34" s="1"/>
  <c r="BV14" i="34"/>
  <c r="BN25" i="34"/>
  <c r="BO25" i="34" s="1"/>
  <c r="BB51" i="36"/>
  <c r="AW52" i="36"/>
  <c r="BH38" i="36"/>
  <c r="BI38" i="36" s="1"/>
  <c r="AW54" i="36"/>
  <c r="BH35" i="36"/>
  <c r="BI35" i="36" s="1"/>
  <c r="BD54" i="36"/>
  <c r="BT29" i="36"/>
  <c r="BN28" i="36"/>
  <c r="BO28" i="36" s="1"/>
  <c r="AZ54" i="36"/>
  <c r="BN29" i="36"/>
  <c r="AX56" i="36"/>
  <c r="BW17" i="36"/>
  <c r="BX17" i="36"/>
  <c r="BV17" i="36"/>
  <c r="BW22" i="36"/>
  <c r="BV22" i="36"/>
  <c r="BX22" i="36"/>
  <c r="BW45" i="36"/>
  <c r="BX45" i="36" s="1"/>
  <c r="BV45" i="36"/>
  <c r="BV13" i="36"/>
  <c r="BW13" i="36"/>
  <c r="BX13" i="36"/>
  <c r="BN8" i="36"/>
  <c r="BO8" i="36" s="1"/>
  <c r="BW41" i="36"/>
  <c r="BX41" i="36" s="1"/>
  <c r="BV41" i="36"/>
  <c r="BV46" i="36"/>
  <c r="BW46" i="36"/>
  <c r="BX46" i="36" s="1"/>
  <c r="BH13" i="36"/>
  <c r="BI13" i="36" s="1"/>
  <c r="CD23" i="34"/>
  <c r="CD53" i="34" s="1"/>
  <c r="CC53" i="34"/>
  <c r="CC57" i="34" s="1"/>
  <c r="BX36" i="36"/>
  <c r="BV36" i="36"/>
  <c r="BW36" i="36"/>
  <c r="BX30" i="36"/>
  <c r="BV30" i="36"/>
  <c r="BW30" i="36"/>
  <c r="AV54" i="34"/>
  <c r="BH29" i="34"/>
  <c r="BH22" i="34"/>
  <c r="BI22" i="34" s="1"/>
  <c r="BB52" i="34"/>
  <c r="BN42" i="34"/>
  <c r="BO42" i="34" s="1"/>
  <c r="BN43" i="34"/>
  <c r="BO43" i="34" s="1"/>
  <c r="BH18" i="34"/>
  <c r="BI18" i="34" s="1"/>
  <c r="BB51" i="34"/>
  <c r="BV8" i="34"/>
  <c r="BW8" i="34"/>
  <c r="BX8" i="34" s="1"/>
  <c r="BH24" i="34"/>
  <c r="BI24" i="34" s="1"/>
  <c r="AV55" i="34"/>
  <c r="BH34" i="34"/>
  <c r="BA54" i="34"/>
  <c r="BH13" i="34"/>
  <c r="BI13" i="34" s="1"/>
  <c r="BD56" i="34"/>
  <c r="BT40" i="34"/>
  <c r="BH17" i="34"/>
  <c r="BI17" i="34" s="1"/>
  <c r="BW41" i="34"/>
  <c r="BX41" i="34" s="1"/>
  <c r="BV41" i="34"/>
  <c r="BN32" i="34"/>
  <c r="BO32" i="34" s="1"/>
  <c r="BW36" i="34"/>
  <c r="BX36" i="34"/>
  <c r="BV36" i="34"/>
  <c r="BX39" i="34"/>
  <c r="BV39" i="34"/>
  <c r="BW39" i="34"/>
  <c r="BW46" i="34"/>
  <c r="BX46" i="34" s="1"/>
  <c r="BV46" i="34"/>
  <c r="BN10" i="34"/>
  <c r="BO10" i="34" s="1"/>
  <c r="BN41" i="34"/>
  <c r="BO41" i="34" s="1"/>
  <c r="BB56" i="36"/>
  <c r="BN44" i="36"/>
  <c r="BO44" i="36" s="1"/>
  <c r="BH42" i="36"/>
  <c r="BI42" i="36" s="1"/>
  <c r="AZ51" i="36"/>
  <c r="BN9" i="36"/>
  <c r="BB52" i="36"/>
  <c r="BV10" i="36"/>
  <c r="BW10" i="36"/>
  <c r="BX10" i="36"/>
  <c r="BW28" i="36"/>
  <c r="BX28" i="36" s="1"/>
  <c r="BV28" i="36"/>
  <c r="AW51" i="36"/>
  <c r="AV52" i="36"/>
  <c r="BH12" i="36"/>
  <c r="BD55" i="36"/>
  <c r="BT34" i="36"/>
  <c r="BV38" i="36"/>
  <c r="BW38" i="36"/>
  <c r="BX38" i="36" s="1"/>
  <c r="BH27" i="36"/>
  <c r="BI27" i="36" s="1"/>
  <c r="BH21" i="36"/>
  <c r="BI21" i="36" s="1"/>
  <c r="BW24" i="36"/>
  <c r="BX24" i="36" s="1"/>
  <c r="BV24" i="36"/>
  <c r="BV39" i="36"/>
  <c r="BX39" i="36"/>
  <c r="BW39" i="36"/>
  <c r="BH19" i="36"/>
  <c r="BI19" i="36" s="1"/>
  <c r="BN19" i="36"/>
  <c r="BO19" i="36" s="1"/>
  <c r="BV31" i="36"/>
  <c r="BW31" i="36"/>
  <c r="BX31" i="36" s="1"/>
  <c r="BV32" i="36"/>
  <c r="BW32" i="36"/>
  <c r="BX32" i="36" s="1"/>
  <c r="CP51" i="34"/>
  <c r="BW37" i="34"/>
  <c r="BX37" i="34"/>
  <c r="BV37" i="34"/>
  <c r="AZ53" i="34"/>
  <c r="BN23" i="34"/>
  <c r="BH37" i="36"/>
  <c r="BI37" i="36" s="1"/>
  <c r="BW24" i="34"/>
  <c r="BX24" i="34" s="1"/>
  <c r="BV24" i="34"/>
  <c r="BB50" i="34"/>
  <c r="BH35" i="34"/>
  <c r="BI35" i="34" s="1"/>
  <c r="AW55" i="34"/>
  <c r="BB54" i="34"/>
  <c r="BN22" i="34"/>
  <c r="BO22" i="34" s="1"/>
  <c r="AV52" i="34"/>
  <c r="BH12" i="34"/>
  <c r="BX21" i="34"/>
  <c r="BW21" i="34"/>
  <c r="BV21" i="34"/>
  <c r="BN18" i="34"/>
  <c r="BO18" i="34" s="1"/>
  <c r="BD51" i="34"/>
  <c r="BT9" i="34"/>
  <c r="BN6" i="34"/>
  <c r="BO6" i="34" s="1"/>
  <c r="AW50" i="34"/>
  <c r="BN37" i="34"/>
  <c r="BO37" i="34" s="1"/>
  <c r="BH7" i="34"/>
  <c r="BI7" i="34" s="1"/>
  <c r="BH45" i="34"/>
  <c r="BI45" i="34" s="1"/>
  <c r="BN45" i="34"/>
  <c r="BO45" i="34" s="1"/>
  <c r="BV32" i="34"/>
  <c r="BW32" i="34"/>
  <c r="BX32" i="34" s="1"/>
  <c r="BV15" i="34"/>
  <c r="BX15" i="34"/>
  <c r="BW15" i="34"/>
  <c r="BX26" i="34"/>
  <c r="BW26" i="34"/>
  <c r="BV26" i="34"/>
  <c r="BW16" i="34"/>
  <c r="BV16" i="34"/>
  <c r="BX16" i="34"/>
  <c r="CP50" i="36"/>
  <c r="CP24" i="36"/>
  <c r="CP43" i="36"/>
  <c r="CP6" i="36"/>
  <c r="CP19" i="36"/>
  <c r="CP39" i="36"/>
  <c r="CP18" i="36"/>
  <c r="CP26" i="36"/>
  <c r="CP15" i="36"/>
  <c r="CP41" i="36"/>
  <c r="CP25" i="36"/>
  <c r="CP12" i="36"/>
  <c r="CP35" i="36"/>
  <c r="CP16" i="36"/>
  <c r="CP42" i="36"/>
  <c r="CP30" i="36"/>
  <c r="CP46" i="36"/>
  <c r="CP38" i="36"/>
  <c r="CP20" i="36"/>
  <c r="CP21" i="36"/>
  <c r="CP36" i="36"/>
  <c r="CP32" i="36"/>
  <c r="CP13" i="36"/>
  <c r="CP10" i="36"/>
  <c r="CP7" i="36"/>
  <c r="CP8" i="36"/>
  <c r="CP11" i="36"/>
  <c r="CP45" i="36"/>
  <c r="CP27" i="36"/>
  <c r="CP33" i="36"/>
  <c r="CP28" i="36"/>
  <c r="CP17" i="36"/>
  <c r="CP44" i="36"/>
  <c r="CP37" i="36"/>
  <c r="CP14" i="36"/>
  <c r="CP22" i="36"/>
  <c r="CP31" i="36"/>
  <c r="CP34" i="36"/>
  <c r="CP9" i="36"/>
  <c r="CP23" i="36"/>
  <c r="CP40" i="36"/>
  <c r="CP29" i="36"/>
  <c r="CP52" i="36"/>
  <c r="CP5" i="36"/>
  <c r="AZ50" i="36"/>
  <c r="BN5" i="36"/>
  <c r="BN10" i="36"/>
  <c r="BO10" i="36" s="1"/>
  <c r="BH44" i="36"/>
  <c r="BI44" i="36" s="1"/>
  <c r="AV51" i="36"/>
  <c r="BH9" i="36"/>
  <c r="AX52" i="36"/>
  <c r="BW44" i="36"/>
  <c r="BX44" i="36" s="1"/>
  <c r="BV44" i="36"/>
  <c r="BW42" i="36"/>
  <c r="BX42" i="36" s="1"/>
  <c r="BV42" i="36"/>
  <c r="BN35" i="36"/>
  <c r="BO35" i="36" s="1"/>
  <c r="AV54" i="36"/>
  <c r="BH29" i="36"/>
  <c r="BX16" i="36"/>
  <c r="BV16" i="36"/>
  <c r="BW16" i="36"/>
  <c r="BN27" i="36"/>
  <c r="BO27" i="36" s="1"/>
  <c r="BN21" i="36"/>
  <c r="BO21" i="36" s="1"/>
  <c r="BN20" i="36"/>
  <c r="BO20" i="36" s="1"/>
  <c r="BN6" i="36"/>
  <c r="BO6" i="36" s="1"/>
  <c r="BV11" i="36"/>
  <c r="BX11" i="36"/>
  <c r="BW11" i="36"/>
  <c r="BW14" i="36"/>
  <c r="BX14" i="36" s="1"/>
  <c r="BV14" i="36"/>
  <c r="BN26" i="36"/>
  <c r="BO26" i="36" s="1"/>
  <c r="BH18" i="36"/>
  <c r="BI18" i="36" s="1"/>
  <c r="BN22" i="36"/>
  <c r="BO22" i="36" s="1"/>
  <c r="BW26" i="36"/>
  <c r="BV26" i="36"/>
  <c r="BX26" i="36"/>
  <c r="AV56" i="34"/>
  <c r="BH40" i="34"/>
  <c r="BD53" i="34"/>
  <c r="BT23" i="34"/>
  <c r="BD50" i="34"/>
  <c r="BT5" i="34"/>
  <c r="BA55" i="34"/>
  <c r="AZ54" i="34"/>
  <c r="BN29" i="34"/>
  <c r="AZ52" i="34"/>
  <c r="BN12" i="34"/>
  <c r="BA52" i="34"/>
  <c r="BX7" i="34"/>
  <c r="BV7" i="34"/>
  <c r="BW7" i="34"/>
  <c r="BV31" i="34"/>
  <c r="BW31" i="34"/>
  <c r="BX31" i="34" s="1"/>
  <c r="AZ53" i="36"/>
  <c r="BN23" i="36"/>
  <c r="AV56" i="36"/>
  <c r="BH40" i="36"/>
  <c r="AX54" i="36"/>
  <c r="AX53" i="36"/>
  <c r="BV7" i="36"/>
  <c r="BW7" i="36"/>
  <c r="BX7" i="36"/>
  <c r="BD52" i="36"/>
  <c r="BT12" i="36"/>
  <c r="AV53" i="36"/>
  <c r="BH23" i="36"/>
  <c r="BD50" i="36"/>
  <c r="BT5" i="36"/>
  <c r="BN36" i="36"/>
  <c r="BO36" i="36" s="1"/>
  <c r="BH45" i="36"/>
  <c r="BI45" i="36" s="1"/>
  <c r="CB57" i="36"/>
  <c r="O60" i="36"/>
  <c r="U11" i="29"/>
  <c r="U17" i="29" s="1"/>
  <c r="AZ51" i="34"/>
  <c r="BN9" i="34"/>
  <c r="CA61" i="34"/>
  <c r="CP54" i="34"/>
  <c r="BW11" i="34"/>
  <c r="BX11" i="34"/>
  <c r="BV11" i="34"/>
  <c r="BH19" i="34"/>
  <c r="BI19" i="34" s="1"/>
  <c r="BB56" i="34"/>
  <c r="BB53" i="34"/>
  <c r="AV50" i="34"/>
  <c r="BH5" i="34"/>
  <c r="AX55" i="34"/>
  <c r="BH20" i="34"/>
  <c r="BI20" i="34" s="1"/>
  <c r="BD55" i="34"/>
  <c r="BT34" i="34"/>
  <c r="AX54" i="34"/>
  <c r="BH38" i="34"/>
  <c r="BI38" i="34" s="1"/>
  <c r="AW51" i="34"/>
  <c r="BH26" i="34"/>
  <c r="BI26" i="34" s="1"/>
  <c r="BH30" i="34"/>
  <c r="BI30" i="34" s="1"/>
  <c r="BW25" i="34"/>
  <c r="BX25" i="34" s="1"/>
  <c r="BV25" i="34"/>
  <c r="BN26" i="34"/>
  <c r="BO26" i="34" s="1"/>
  <c r="BN16" i="34"/>
  <c r="BO16" i="34" s="1"/>
  <c r="BW28" i="34"/>
  <c r="BX28" i="34" s="1"/>
  <c r="BV28" i="34"/>
  <c r="CD23" i="36"/>
  <c r="CD53" i="36" s="1"/>
  <c r="CC53" i="36"/>
  <c r="CC57" i="36" s="1"/>
  <c r="BB55" i="36"/>
  <c r="AZ55" i="36"/>
  <c r="BN34" i="36"/>
  <c r="BN7" i="36"/>
  <c r="BO7" i="36" s="1"/>
  <c r="BT9" i="36"/>
  <c r="BD51" i="36"/>
  <c r="BA52" i="36"/>
  <c r="BA53" i="36"/>
  <c r="AW50" i="36"/>
  <c r="BH22" i="36"/>
  <c r="BI22" i="36" s="1"/>
  <c r="BA56" i="36"/>
  <c r="BX35" i="36"/>
  <c r="BV35" i="36"/>
  <c r="BW35" i="36"/>
  <c r="BH25" i="36"/>
  <c r="BI25" i="36" s="1"/>
  <c r="BX18" i="36"/>
  <c r="BW18" i="36"/>
  <c r="BV18" i="36"/>
  <c r="BW33" i="36"/>
  <c r="BX33" i="36"/>
  <c r="BV33" i="36"/>
  <c r="BH15" i="36"/>
  <c r="BI15" i="36" s="1"/>
  <c r="CA57" i="36"/>
  <c r="CP53" i="34"/>
  <c r="BX27" i="34"/>
  <c r="BV27" i="34"/>
  <c r="BW27" i="34"/>
  <c r="BW8" i="36"/>
  <c r="BX8" i="36" s="1"/>
  <c r="BV8" i="36"/>
  <c r="BQ38" i="34"/>
  <c r="BR38" i="34" s="1"/>
  <c r="BP38" i="34"/>
  <c r="AZ56" i="34"/>
  <c r="BN40" i="34"/>
  <c r="AV53" i="34"/>
  <c r="BH23" i="34"/>
  <c r="AZ50" i="34"/>
  <c r="BN5" i="34"/>
  <c r="BW35" i="34"/>
  <c r="BV35" i="34"/>
  <c r="BX35" i="34"/>
  <c r="BB55" i="34"/>
  <c r="BH44" i="34"/>
  <c r="BI44" i="34" s="1"/>
  <c r="AW53" i="34"/>
  <c r="BH21" i="34"/>
  <c r="BI21" i="34" s="1"/>
  <c r="BX18" i="34"/>
  <c r="BW18" i="34"/>
  <c r="BV18" i="34"/>
  <c r="BN7" i="34"/>
  <c r="BO7" i="34" s="1"/>
  <c r="BH31" i="34"/>
  <c r="BI31" i="34" s="1"/>
  <c r="BP31" i="34"/>
  <c r="BW33" i="34"/>
  <c r="BV33" i="34"/>
  <c r="BX33" i="34"/>
  <c r="BW30" i="34"/>
  <c r="BX30" i="34"/>
  <c r="BV30" i="34"/>
  <c r="BW17" i="34"/>
  <c r="BV17" i="34"/>
  <c r="BX17" i="34"/>
  <c r="BH33" i="34"/>
  <c r="BI33" i="34" s="1"/>
  <c r="AV50" i="36"/>
  <c r="BH5" i="36"/>
  <c r="BN43" i="36"/>
  <c r="BO43" i="36" s="1"/>
  <c r="BN42" i="36"/>
  <c r="BO42" i="36" s="1"/>
  <c r="AZ56" i="36"/>
  <c r="BN40" i="36"/>
  <c r="BA55" i="36"/>
  <c r="AV55" i="36"/>
  <c r="BH34" i="36"/>
  <c r="AZ52" i="36"/>
  <c r="BN12" i="36"/>
  <c r="BV19" i="36"/>
  <c r="BW19" i="36"/>
  <c r="BX19" i="36"/>
  <c r="BV15" i="36"/>
  <c r="BX15" i="36"/>
  <c r="BW15" i="36"/>
  <c r="BN18" i="36"/>
  <c r="BO18" i="36" s="1"/>
  <c r="BX27" i="36"/>
  <c r="BV27" i="36"/>
  <c r="BW27" i="36"/>
  <c r="BV21" i="36"/>
  <c r="BX21" i="36"/>
  <c r="BW21" i="36"/>
  <c r="CP51" i="36"/>
  <c r="CP54" i="36"/>
  <c r="S53" i="37"/>
  <c r="M53" i="25"/>
  <c r="S56" i="37"/>
  <c r="S52" i="37"/>
  <c r="S55" i="37"/>
  <c r="AZ11" i="37"/>
  <c r="AV11" i="37" s="1"/>
  <c r="S58" i="37"/>
  <c r="S54" i="37"/>
  <c r="S57" i="37"/>
  <c r="M56" i="25"/>
  <c r="N40" i="25"/>
  <c r="N56" i="25" s="1"/>
  <c r="Q56" i="25" s="1"/>
  <c r="M54" i="25"/>
  <c r="M52" i="25"/>
  <c r="M50" i="25"/>
  <c r="N50" i="25"/>
  <c r="Q50" i="25" s="1"/>
  <c r="M55" i="25"/>
  <c r="S61" i="37"/>
  <c r="S66" i="37" s="1"/>
  <c r="AH16" i="37"/>
  <c r="BB16" i="37" s="1"/>
  <c r="AH20" i="37"/>
  <c r="BB20" i="37" s="1"/>
  <c r="AH23" i="37"/>
  <c r="BB23" i="37" s="1"/>
  <c r="AH13" i="37"/>
  <c r="BB13" i="37" s="1"/>
  <c r="AC59" i="36"/>
  <c r="AC59" i="34"/>
  <c r="O34" i="29"/>
  <c r="O33" i="29"/>
  <c r="O35" i="29"/>
  <c r="O30" i="29"/>
  <c r="I51" i="28"/>
  <c r="H51" i="28"/>
  <c r="G57" i="28"/>
  <c r="H52" i="28"/>
  <c r="I52" i="28"/>
  <c r="O57" i="28"/>
  <c r="N51" i="25"/>
  <c r="Q51" i="25" s="1"/>
  <c r="Q34" i="25"/>
  <c r="N55" i="25"/>
  <c r="Q55" i="25" s="1"/>
  <c r="N53" i="25"/>
  <c r="Q53" i="25" s="1"/>
  <c r="Q23" i="25"/>
  <c r="Q29" i="25"/>
  <c r="N54" i="25"/>
  <c r="Q54" i="25" s="1"/>
  <c r="Q12" i="25"/>
  <c r="N52" i="25"/>
  <c r="Q52" i="25" s="1"/>
  <c r="M51" i="25"/>
  <c r="V6" i="29"/>
  <c r="BJ6" i="36" l="1"/>
  <c r="BL39" i="36"/>
  <c r="BP15" i="34"/>
  <c r="L57" i="28"/>
  <c r="BJ26" i="36"/>
  <c r="BK26" i="36"/>
  <c r="BL30" i="36"/>
  <c r="BJ30" i="36"/>
  <c r="BK11" i="34"/>
  <c r="BK41" i="34"/>
  <c r="BL41" i="34" s="1"/>
  <c r="BL27" i="34"/>
  <c r="AG6" i="44"/>
  <c r="BJ27" i="34"/>
  <c r="BL16" i="36"/>
  <c r="BK16" i="36"/>
  <c r="BR11" i="38"/>
  <c r="BP17" i="34"/>
  <c r="BQ17" i="34"/>
  <c r="CD57" i="34"/>
  <c r="BV51" i="42"/>
  <c r="BW9" i="42"/>
  <c r="BW51" i="42" s="1"/>
  <c r="BY9" i="42"/>
  <c r="BY51" i="42" s="1"/>
  <c r="BX9" i="42"/>
  <c r="BX51" i="42" s="1"/>
  <c r="BP55" i="42"/>
  <c r="BR34" i="42"/>
  <c r="BR55" i="42" s="1"/>
  <c r="BS34" i="42"/>
  <c r="BS55" i="42" s="1"/>
  <c r="BQ34" i="42"/>
  <c r="BQ55" i="42" s="1"/>
  <c r="BQ23" i="42"/>
  <c r="BQ53" i="42" s="1"/>
  <c r="BP53" i="42"/>
  <c r="BR23" i="42"/>
  <c r="BR53" i="42" s="1"/>
  <c r="BR9" i="42"/>
  <c r="BR51" i="42" s="1"/>
  <c r="BS9" i="42"/>
  <c r="BS51" i="42" s="1"/>
  <c r="BP51" i="42"/>
  <c r="BQ9" i="42"/>
  <c r="BQ51" i="42" s="1"/>
  <c r="BK34" i="42"/>
  <c r="BK55" i="42" s="1"/>
  <c r="BL34" i="42"/>
  <c r="BL55" i="42" s="1"/>
  <c r="BJ55" i="42"/>
  <c r="BM34" i="42"/>
  <c r="BM55" i="42" s="1"/>
  <c r="BQ29" i="42"/>
  <c r="BQ54" i="42" s="1"/>
  <c r="BP54" i="42"/>
  <c r="BR29" i="42"/>
  <c r="BR54" i="42" s="1"/>
  <c r="BP52" i="42"/>
  <c r="BQ12" i="42"/>
  <c r="BQ52" i="42" s="1"/>
  <c r="BR12" i="42"/>
  <c r="BR52" i="42" s="1"/>
  <c r="BX12" i="42"/>
  <c r="BX52" i="42" s="1"/>
  <c r="BW12" i="42"/>
  <c r="BW52" i="42" s="1"/>
  <c r="BV52" i="42"/>
  <c r="BU57" i="42"/>
  <c r="BL29" i="42"/>
  <c r="BL54" i="42" s="1"/>
  <c r="BK29" i="42"/>
  <c r="BK54" i="42" s="1"/>
  <c r="BJ54" i="42"/>
  <c r="BJ53" i="42"/>
  <c r="BL23" i="42"/>
  <c r="BL53" i="42" s="1"/>
  <c r="BK23" i="42"/>
  <c r="BK53" i="42" s="1"/>
  <c r="BK9" i="42"/>
  <c r="BK51" i="42" s="1"/>
  <c r="BJ51" i="42"/>
  <c r="BM9" i="42"/>
  <c r="BM51" i="42" s="1"/>
  <c r="BL9" i="42"/>
  <c r="BL51" i="42" s="1"/>
  <c r="BV63" i="42"/>
  <c r="BV60" i="42"/>
  <c r="BV59" i="42"/>
  <c r="BV65" i="42"/>
  <c r="BY5" i="42"/>
  <c r="BY50" i="42" s="1"/>
  <c r="BW5" i="42"/>
  <c r="BW50" i="42" s="1"/>
  <c r="BV50" i="42"/>
  <c r="BV64" i="42"/>
  <c r="BX5" i="42"/>
  <c r="BX50" i="42" s="1"/>
  <c r="BL12" i="42"/>
  <c r="BL52" i="42" s="1"/>
  <c r="BK12" i="42"/>
  <c r="BK52" i="42" s="1"/>
  <c r="BJ52" i="42"/>
  <c r="BR40" i="42"/>
  <c r="BR56" i="42" s="1"/>
  <c r="BQ40" i="42"/>
  <c r="BQ56" i="42" s="1"/>
  <c r="BP56" i="42"/>
  <c r="BS40" i="42"/>
  <c r="BS56" i="42" s="1"/>
  <c r="BW29" i="42"/>
  <c r="BW54" i="42" s="1"/>
  <c r="BV54" i="42"/>
  <c r="BX29" i="42"/>
  <c r="BX54" i="42" s="1"/>
  <c r="BO57" i="42"/>
  <c r="BJ59" i="42"/>
  <c r="BM5" i="42"/>
  <c r="BM50" i="42" s="1"/>
  <c r="BJ65" i="42"/>
  <c r="BL5" i="42"/>
  <c r="BL50" i="42" s="1"/>
  <c r="BJ63" i="42"/>
  <c r="BJ50" i="42"/>
  <c r="BJ60" i="42"/>
  <c r="BJ64" i="42"/>
  <c r="BK5" i="42"/>
  <c r="BK50" i="42" s="1"/>
  <c r="BV55" i="42"/>
  <c r="BX34" i="42"/>
  <c r="BX55" i="42" s="1"/>
  <c r="BW34" i="42"/>
  <c r="BW55" i="42" s="1"/>
  <c r="BY34" i="42"/>
  <c r="BY55" i="42" s="1"/>
  <c r="BX23" i="42"/>
  <c r="BX53" i="42" s="1"/>
  <c r="BW23" i="42"/>
  <c r="BW53" i="42" s="1"/>
  <c r="BV53" i="42"/>
  <c r="BP50" i="42"/>
  <c r="BP59" i="42"/>
  <c r="BR5" i="42"/>
  <c r="BR50" i="42" s="1"/>
  <c r="BS5" i="42"/>
  <c r="BS50" i="42" s="1"/>
  <c r="BP63" i="42"/>
  <c r="BQ5" i="42"/>
  <c r="BQ50" i="42" s="1"/>
  <c r="BP60" i="42"/>
  <c r="BP65" i="42"/>
  <c r="BP64" i="42"/>
  <c r="BI57" i="42"/>
  <c r="BV56" i="42"/>
  <c r="BW40" i="42"/>
  <c r="BW56" i="42" s="1"/>
  <c r="BX40" i="42"/>
  <c r="BX56" i="42" s="1"/>
  <c r="BY40" i="42"/>
  <c r="BY56" i="42" s="1"/>
  <c r="BJ56" i="42"/>
  <c r="BL40" i="42"/>
  <c r="BL56" i="42" s="1"/>
  <c r="BK40" i="42"/>
  <c r="BK56" i="42" s="1"/>
  <c r="BM40" i="42"/>
  <c r="BM56" i="42" s="1"/>
  <c r="BP28" i="34"/>
  <c r="BK14" i="38"/>
  <c r="BL14" i="38" s="1"/>
  <c r="BP31" i="36"/>
  <c r="BK14" i="36"/>
  <c r="BL14" i="36" s="1"/>
  <c r="BP33" i="34"/>
  <c r="BQ33" i="34"/>
  <c r="BJ41" i="36"/>
  <c r="BR13" i="34"/>
  <c r="BQ13" i="34"/>
  <c r="BQ16" i="36"/>
  <c r="BJ28" i="36"/>
  <c r="BJ10" i="36"/>
  <c r="BP16" i="36"/>
  <c r="BQ21" i="34"/>
  <c r="BL20" i="36"/>
  <c r="BQ30" i="34"/>
  <c r="BP21" i="34"/>
  <c r="BP30" i="34"/>
  <c r="BJ41" i="38"/>
  <c r="BQ11" i="38"/>
  <c r="BJ32" i="34"/>
  <c r="BR30" i="38"/>
  <c r="BP24" i="36"/>
  <c r="BL6" i="34"/>
  <c r="BJ46" i="36"/>
  <c r="BK46" i="34"/>
  <c r="BL46" i="34" s="1"/>
  <c r="BP35" i="34"/>
  <c r="BR19" i="34"/>
  <c r="BQ30" i="38"/>
  <c r="BR27" i="34"/>
  <c r="BP33" i="36"/>
  <c r="BQ35" i="34"/>
  <c r="BP19" i="34"/>
  <c r="BP27" i="34"/>
  <c r="BQ33" i="36"/>
  <c r="BR17" i="36"/>
  <c r="BQ17" i="36"/>
  <c r="BJ25" i="34"/>
  <c r="BQ36" i="34"/>
  <c r="BJ11" i="38"/>
  <c r="BP36" i="34"/>
  <c r="BL11" i="38"/>
  <c r="BL36" i="34"/>
  <c r="BP25" i="36"/>
  <c r="BJ11" i="34"/>
  <c r="BK6" i="36"/>
  <c r="AZ57" i="38"/>
  <c r="BJ22" i="38"/>
  <c r="BK22" i="38"/>
  <c r="BK6" i="34"/>
  <c r="BP7" i="38"/>
  <c r="BP41" i="36"/>
  <c r="BJ11" i="36"/>
  <c r="BK28" i="34"/>
  <c r="BL28" i="34" s="1"/>
  <c r="BP46" i="34"/>
  <c r="BP38" i="36"/>
  <c r="BR7" i="38"/>
  <c r="BQ42" i="38"/>
  <c r="BR42" i="38" s="1"/>
  <c r="BJ32" i="36"/>
  <c r="BQ6" i="38"/>
  <c r="BP6" i="38"/>
  <c r="BR6" i="38"/>
  <c r="BP20" i="34"/>
  <c r="BQ46" i="36"/>
  <c r="BR46" i="36" s="1"/>
  <c r="AW57" i="36"/>
  <c r="BK39" i="36"/>
  <c r="BJ28" i="38"/>
  <c r="BP19" i="38"/>
  <c r="BQ28" i="38"/>
  <c r="BR28" i="38" s="1"/>
  <c r="BP28" i="38"/>
  <c r="BQ20" i="34"/>
  <c r="BQ19" i="38"/>
  <c r="BK42" i="38"/>
  <c r="BL42" i="38" s="1"/>
  <c r="BJ42" i="38"/>
  <c r="BQ32" i="36"/>
  <c r="BR32" i="36" s="1"/>
  <c r="BP37" i="36"/>
  <c r="CD57" i="36"/>
  <c r="BJ43" i="36"/>
  <c r="BL43" i="34"/>
  <c r="BK8" i="36"/>
  <c r="BL8" i="36" s="1"/>
  <c r="BQ37" i="36"/>
  <c r="BK43" i="36"/>
  <c r="BJ43" i="34"/>
  <c r="BJ20" i="36"/>
  <c r="BK21" i="38"/>
  <c r="BJ21" i="38"/>
  <c r="BL21" i="38"/>
  <c r="BJ31" i="36"/>
  <c r="BK36" i="34"/>
  <c r="BP13" i="36"/>
  <c r="BP46" i="38"/>
  <c r="BQ41" i="38"/>
  <c r="BR41" i="38" s="1"/>
  <c r="BP41" i="38"/>
  <c r="BR30" i="36"/>
  <c r="BK8" i="34"/>
  <c r="BL8" i="34" s="1"/>
  <c r="BQ8" i="34"/>
  <c r="BR8" i="34" s="1"/>
  <c r="BP30" i="36"/>
  <c r="BL10" i="36"/>
  <c r="BB57" i="38"/>
  <c r="BP21" i="38"/>
  <c r="BQ21" i="38"/>
  <c r="BR21" i="38"/>
  <c r="BK42" i="34"/>
  <c r="BL42" i="34" s="1"/>
  <c r="AV57" i="36"/>
  <c r="AX57" i="36"/>
  <c r="BP27" i="38"/>
  <c r="BR27" i="38"/>
  <c r="BJ17" i="38"/>
  <c r="BL17" i="38"/>
  <c r="BK32" i="38"/>
  <c r="BL32" i="38" s="1"/>
  <c r="BJ32" i="38"/>
  <c r="BA57" i="34"/>
  <c r="AX57" i="38"/>
  <c r="BT53" i="38"/>
  <c r="BU23" i="38"/>
  <c r="BK39" i="38"/>
  <c r="BL39" i="38"/>
  <c r="BJ39" i="38"/>
  <c r="BQ43" i="38"/>
  <c r="BP43" i="38"/>
  <c r="BR43" i="38"/>
  <c r="BK31" i="38"/>
  <c r="BL31" i="38" s="1"/>
  <c r="BJ31" i="38"/>
  <c r="BK35" i="38"/>
  <c r="BL35" i="38"/>
  <c r="BJ35" i="38"/>
  <c r="BP25" i="38"/>
  <c r="BQ25" i="38"/>
  <c r="BR25" i="38" s="1"/>
  <c r="BJ45" i="38"/>
  <c r="BK45" i="38"/>
  <c r="BL45" i="38" s="1"/>
  <c r="BN55" i="38"/>
  <c r="BO34" i="38"/>
  <c r="BT50" i="38"/>
  <c r="BU5" i="38"/>
  <c r="BL11" i="36"/>
  <c r="BQ13" i="36"/>
  <c r="BJ15" i="38"/>
  <c r="BL15" i="38"/>
  <c r="BK15" i="38"/>
  <c r="AW57" i="38"/>
  <c r="BQ8" i="38"/>
  <c r="BR8" i="38" s="1"/>
  <c r="BP8" i="38"/>
  <c r="BQ35" i="38"/>
  <c r="BP35" i="38"/>
  <c r="BR35" i="38"/>
  <c r="BT54" i="38"/>
  <c r="BU29" i="38"/>
  <c r="BD57" i="38"/>
  <c r="BJ10" i="34"/>
  <c r="BP15" i="36"/>
  <c r="BQ15" i="38"/>
  <c r="BP15" i="38"/>
  <c r="BR15" i="38"/>
  <c r="BH55" i="38"/>
  <c r="BI34" i="38"/>
  <c r="BK20" i="38"/>
  <c r="BJ20" i="38"/>
  <c r="BL20" i="38"/>
  <c r="BJ6" i="38"/>
  <c r="BL6" i="38"/>
  <c r="BK6" i="38"/>
  <c r="BP31" i="38"/>
  <c r="BQ31" i="38"/>
  <c r="BR31" i="38" s="1"/>
  <c r="BR20" i="38"/>
  <c r="BQ20" i="38"/>
  <c r="BP20" i="38"/>
  <c r="BK18" i="38"/>
  <c r="BJ18" i="38"/>
  <c r="BL18" i="38"/>
  <c r="BA57" i="38"/>
  <c r="BL43" i="38"/>
  <c r="BJ43" i="38"/>
  <c r="BK43" i="38"/>
  <c r="BO23" i="38"/>
  <c r="BN53" i="38"/>
  <c r="BL10" i="34"/>
  <c r="BA57" i="36"/>
  <c r="BQ15" i="36"/>
  <c r="BQ38" i="38"/>
  <c r="BR38" i="38" s="1"/>
  <c r="BP38" i="38"/>
  <c r="BU34" i="38"/>
  <c r="BT55" i="38"/>
  <c r="BQ22" i="38"/>
  <c r="BR22" i="38"/>
  <c r="BP22" i="38"/>
  <c r="BL10" i="38"/>
  <c r="BJ10" i="38"/>
  <c r="BK10" i="38"/>
  <c r="BR37" i="38"/>
  <c r="BP37" i="38"/>
  <c r="BQ37" i="38"/>
  <c r="BT56" i="38"/>
  <c r="BU40" i="38"/>
  <c r="BH52" i="38"/>
  <c r="BI12" i="38"/>
  <c r="BB57" i="36"/>
  <c r="BJ16" i="38"/>
  <c r="BK16" i="38"/>
  <c r="BL16" i="38"/>
  <c r="BQ32" i="38"/>
  <c r="BR32" i="38" s="1"/>
  <c r="BP32" i="38"/>
  <c r="BN54" i="38"/>
  <c r="BO29" i="38"/>
  <c r="BJ33" i="38"/>
  <c r="BK33" i="38"/>
  <c r="BL33" i="38"/>
  <c r="CD57" i="38"/>
  <c r="BK7" i="38"/>
  <c r="BL7" i="38"/>
  <c r="BJ7" i="38"/>
  <c r="BQ36" i="38"/>
  <c r="BR36" i="38"/>
  <c r="BP36" i="38"/>
  <c r="BU9" i="38"/>
  <c r="BT51" i="38"/>
  <c r="BH56" i="38"/>
  <c r="BI40" i="38"/>
  <c r="BQ24" i="38"/>
  <c r="BR24" i="38" s="1"/>
  <c r="BP24" i="38"/>
  <c r="BJ39" i="34"/>
  <c r="BK25" i="38"/>
  <c r="BL25" i="38" s="1"/>
  <c r="BJ25" i="38"/>
  <c r="BQ14" i="38"/>
  <c r="BR14" i="38" s="1"/>
  <c r="BP14" i="38"/>
  <c r="BJ30" i="38"/>
  <c r="BL30" i="38"/>
  <c r="BK30" i="38"/>
  <c r="BT52" i="38"/>
  <c r="BU12" i="38"/>
  <c r="BQ44" i="38"/>
  <c r="BP44" i="38"/>
  <c r="BR44" i="38"/>
  <c r="BI5" i="38"/>
  <c r="BH50" i="38"/>
  <c r="BQ33" i="38"/>
  <c r="BR33" i="38"/>
  <c r="BP33" i="38"/>
  <c r="BK39" i="34"/>
  <c r="AW57" i="34"/>
  <c r="BL13" i="38"/>
  <c r="BJ13" i="38"/>
  <c r="BK13" i="38"/>
  <c r="BK44" i="38"/>
  <c r="BL44" i="38" s="1"/>
  <c r="BJ44" i="38"/>
  <c r="BN50" i="38"/>
  <c r="BO5" i="38"/>
  <c r="BJ46" i="38"/>
  <c r="BK46" i="38"/>
  <c r="BL46" i="38" s="1"/>
  <c r="BL37" i="38"/>
  <c r="BJ37" i="38"/>
  <c r="BK37" i="38"/>
  <c r="BR10" i="38"/>
  <c r="BQ10" i="38"/>
  <c r="BP10" i="38"/>
  <c r="BQ45" i="38"/>
  <c r="BR45" i="38" s="1"/>
  <c r="BP45" i="38"/>
  <c r="BH54" i="38"/>
  <c r="BI29" i="38"/>
  <c r="BR16" i="38"/>
  <c r="BQ16" i="38"/>
  <c r="BP16" i="38"/>
  <c r="BR13" i="38"/>
  <c r="BQ13" i="38"/>
  <c r="BP13" i="38"/>
  <c r="BJ38" i="38"/>
  <c r="BK38" i="38"/>
  <c r="BL38" i="38" s="1"/>
  <c r="BO12" i="38"/>
  <c r="BN52" i="38"/>
  <c r="AV57" i="38"/>
  <c r="BR26" i="38"/>
  <c r="BP26" i="38"/>
  <c r="BQ26" i="38"/>
  <c r="BN56" i="38"/>
  <c r="BO40" i="38"/>
  <c r="BN51" i="38"/>
  <c r="BO9" i="38"/>
  <c r="BK36" i="38"/>
  <c r="BL36" i="38"/>
  <c r="BJ36" i="38"/>
  <c r="BK26" i="38"/>
  <c r="BJ26" i="38"/>
  <c r="BL26" i="38"/>
  <c r="BH51" i="38"/>
  <c r="BI9" i="38"/>
  <c r="BJ8" i="38"/>
  <c r="BK8" i="38"/>
  <c r="BL8" i="38" s="1"/>
  <c r="BQ17" i="38"/>
  <c r="BP17" i="38"/>
  <c r="BR17" i="38"/>
  <c r="BK24" i="38"/>
  <c r="BL24" i="38" s="1"/>
  <c r="BJ24" i="38"/>
  <c r="BQ18" i="38"/>
  <c r="BP18" i="38"/>
  <c r="BR18" i="38"/>
  <c r="BQ39" i="38"/>
  <c r="BP39" i="38"/>
  <c r="BR39" i="38"/>
  <c r="BL19" i="38"/>
  <c r="BK19" i="38"/>
  <c r="BJ19" i="38"/>
  <c r="BJ27" i="38"/>
  <c r="BK27" i="38"/>
  <c r="BL27" i="38"/>
  <c r="BI23" i="38"/>
  <c r="BH53" i="38"/>
  <c r="CC57" i="38"/>
  <c r="BN54" i="34"/>
  <c r="BO29" i="34"/>
  <c r="BT53" i="34"/>
  <c r="BU23" i="34"/>
  <c r="BH52" i="34"/>
  <c r="BI12" i="34"/>
  <c r="BN51" i="36"/>
  <c r="BO9" i="36"/>
  <c r="BU40" i="34"/>
  <c r="BT56" i="34"/>
  <c r="BK15" i="34"/>
  <c r="BJ15" i="34"/>
  <c r="BL15" i="34"/>
  <c r="BR39" i="36"/>
  <c r="BP39" i="36"/>
  <c r="BQ39" i="36"/>
  <c r="BT52" i="34"/>
  <c r="BU12" i="34"/>
  <c r="BO40" i="36"/>
  <c r="BN56" i="36"/>
  <c r="BH55" i="36"/>
  <c r="BI34" i="36"/>
  <c r="BR16" i="34"/>
  <c r="BQ16" i="34"/>
  <c r="BP16" i="34"/>
  <c r="BR6" i="34"/>
  <c r="BQ6" i="34"/>
  <c r="BP6" i="34"/>
  <c r="BL21" i="36"/>
  <c r="BK21" i="36"/>
  <c r="BJ21" i="36"/>
  <c r="BK35" i="36"/>
  <c r="BL35" i="36"/>
  <c r="BJ35" i="36"/>
  <c r="BQ25" i="34"/>
  <c r="BR25" i="34" s="1"/>
  <c r="BP25" i="34"/>
  <c r="AX57" i="34"/>
  <c r="BR39" i="34"/>
  <c r="BQ39" i="34"/>
  <c r="BP39" i="34"/>
  <c r="BP42" i="36"/>
  <c r="BQ42" i="36"/>
  <c r="BR42" i="36" s="1"/>
  <c r="BJ25" i="36"/>
  <c r="BK25" i="36"/>
  <c r="BL25" i="36" s="1"/>
  <c r="BQ26" i="34"/>
  <c r="BR26" i="34"/>
  <c r="BP26" i="34"/>
  <c r="BU34" i="34"/>
  <c r="BT55" i="34"/>
  <c r="BJ19" i="34"/>
  <c r="BK19" i="34"/>
  <c r="BL19" i="34"/>
  <c r="BU12" i="36"/>
  <c r="BT52" i="36"/>
  <c r="BH56" i="34"/>
  <c r="BI40" i="34"/>
  <c r="BH54" i="36"/>
  <c r="BI29" i="36"/>
  <c r="BH51" i="36"/>
  <c r="BI9" i="36"/>
  <c r="BT51" i="34"/>
  <c r="BU9" i="34"/>
  <c r="BQ22" i="34"/>
  <c r="BR22" i="34"/>
  <c r="BP22" i="34"/>
  <c r="BJ27" i="36"/>
  <c r="BK27" i="36"/>
  <c r="BL27" i="36"/>
  <c r="BJ42" i="36"/>
  <c r="BK42" i="36"/>
  <c r="BL42" i="36" s="1"/>
  <c r="BQ41" i="34"/>
  <c r="BR41" i="34" s="1"/>
  <c r="BP41" i="34"/>
  <c r="BJ13" i="34"/>
  <c r="BL13" i="34"/>
  <c r="BK13" i="34"/>
  <c r="BL18" i="34"/>
  <c r="BK18" i="34"/>
  <c r="BJ18" i="34"/>
  <c r="BL13" i="36"/>
  <c r="BK13" i="36"/>
  <c r="BJ13" i="36"/>
  <c r="BK7" i="36"/>
  <c r="BJ7" i="36"/>
  <c r="BL7" i="36"/>
  <c r="BJ17" i="36"/>
  <c r="BK17" i="36"/>
  <c r="BL17" i="36"/>
  <c r="BQ14" i="34"/>
  <c r="BR14" i="34" s="1"/>
  <c r="BP14" i="34"/>
  <c r="BJ37" i="34"/>
  <c r="BK37" i="34"/>
  <c r="BL37" i="34"/>
  <c r="BL21" i="34"/>
  <c r="BK21" i="34"/>
  <c r="BJ21" i="34"/>
  <c r="BN50" i="34"/>
  <c r="BO5" i="34"/>
  <c r="BJ15" i="36"/>
  <c r="BL15" i="36"/>
  <c r="BK15" i="36"/>
  <c r="BR22" i="36"/>
  <c r="BQ22" i="36"/>
  <c r="BP22" i="36"/>
  <c r="BQ6" i="36"/>
  <c r="BP6" i="36"/>
  <c r="BR6" i="36"/>
  <c r="BQ44" i="36"/>
  <c r="BR44" i="36" s="1"/>
  <c r="BP44" i="36"/>
  <c r="BP10" i="34"/>
  <c r="BR10" i="34"/>
  <c r="BQ10" i="34"/>
  <c r="BQ43" i="34"/>
  <c r="BP43" i="34"/>
  <c r="BR43" i="34"/>
  <c r="BT53" i="36"/>
  <c r="BU23" i="36"/>
  <c r="BU40" i="36"/>
  <c r="BT56" i="36"/>
  <c r="BK14" i="34"/>
  <c r="BL14" i="34" s="1"/>
  <c r="BJ14" i="34"/>
  <c r="BQ24" i="34"/>
  <c r="BR24" i="34" s="1"/>
  <c r="BP24" i="34"/>
  <c r="BR11" i="34"/>
  <c r="BP11" i="34"/>
  <c r="BQ11" i="34"/>
  <c r="AZ57" i="34"/>
  <c r="BT51" i="36"/>
  <c r="BU9" i="36"/>
  <c r="BJ20" i="34"/>
  <c r="BL20" i="34"/>
  <c r="BK20" i="34"/>
  <c r="BN51" i="34"/>
  <c r="BO9" i="34"/>
  <c r="BL18" i="36"/>
  <c r="BJ18" i="36"/>
  <c r="BK18" i="36"/>
  <c r="BP20" i="36"/>
  <c r="BR20" i="36"/>
  <c r="BQ20" i="36"/>
  <c r="BP35" i="36"/>
  <c r="BR35" i="36"/>
  <c r="BQ35" i="36"/>
  <c r="BK44" i="36"/>
  <c r="BL44" i="36" s="1"/>
  <c r="BJ44" i="36"/>
  <c r="BQ45" i="34"/>
  <c r="BR45" i="34" s="1"/>
  <c r="BP45" i="34"/>
  <c r="BR18" i="34"/>
  <c r="BQ18" i="34"/>
  <c r="BP18" i="34"/>
  <c r="BR19" i="36"/>
  <c r="BQ19" i="36"/>
  <c r="BP19" i="36"/>
  <c r="BQ32" i="34"/>
  <c r="BR32" i="34" s="1"/>
  <c r="BP32" i="34"/>
  <c r="BH55" i="34"/>
  <c r="BI34" i="34"/>
  <c r="BQ42" i="34"/>
  <c r="BR42" i="34" s="1"/>
  <c r="BP42" i="34"/>
  <c r="BO29" i="36"/>
  <c r="BN54" i="36"/>
  <c r="BP45" i="36"/>
  <c r="BQ45" i="36"/>
  <c r="BR45" i="36" s="1"/>
  <c r="BU29" i="34"/>
  <c r="BT54" i="34"/>
  <c r="BJ38" i="34"/>
  <c r="BK38" i="34"/>
  <c r="BL38" i="34" s="1"/>
  <c r="BP18" i="36"/>
  <c r="BR18" i="36"/>
  <c r="BQ18" i="36"/>
  <c r="BK33" i="34"/>
  <c r="BJ33" i="34"/>
  <c r="BL33" i="34"/>
  <c r="BH53" i="34"/>
  <c r="BI23" i="34"/>
  <c r="BP7" i="36"/>
  <c r="BR7" i="36"/>
  <c r="BQ7" i="36"/>
  <c r="BK30" i="34"/>
  <c r="BJ30" i="34"/>
  <c r="BL30" i="34"/>
  <c r="BR36" i="36"/>
  <c r="BQ36" i="36"/>
  <c r="BP36" i="36"/>
  <c r="BH56" i="36"/>
  <c r="BI40" i="36"/>
  <c r="BQ26" i="36"/>
  <c r="BP26" i="36"/>
  <c r="BR26" i="36"/>
  <c r="BR21" i="36"/>
  <c r="BQ21" i="36"/>
  <c r="BP21" i="36"/>
  <c r="BR10" i="36"/>
  <c r="BP10" i="36"/>
  <c r="BQ10" i="36"/>
  <c r="BJ45" i="34"/>
  <c r="BK45" i="34"/>
  <c r="BL45" i="34" s="1"/>
  <c r="BJ35" i="34"/>
  <c r="BK35" i="34"/>
  <c r="BL35" i="34"/>
  <c r="BK19" i="36"/>
  <c r="BJ19" i="36"/>
  <c r="BL19" i="36"/>
  <c r="BT55" i="36"/>
  <c r="BU34" i="36"/>
  <c r="BK24" i="36"/>
  <c r="BL24" i="36" s="1"/>
  <c r="BJ24" i="36"/>
  <c r="BL36" i="36"/>
  <c r="BJ36" i="36"/>
  <c r="BK36" i="36"/>
  <c r="BR43" i="36"/>
  <c r="BQ43" i="36"/>
  <c r="BP43" i="36"/>
  <c r="BK31" i="34"/>
  <c r="BL31" i="34" s="1"/>
  <c r="BJ31" i="34"/>
  <c r="BJ44" i="34"/>
  <c r="BK44" i="34"/>
  <c r="BL44" i="34" s="1"/>
  <c r="BN55" i="36"/>
  <c r="BO34" i="36"/>
  <c r="BJ26" i="34"/>
  <c r="BK26" i="34"/>
  <c r="BL26" i="34"/>
  <c r="BH50" i="34"/>
  <c r="BI5" i="34"/>
  <c r="BU5" i="36"/>
  <c r="BT50" i="36"/>
  <c r="BN52" i="34"/>
  <c r="BO12" i="34"/>
  <c r="BU5" i="34"/>
  <c r="BT50" i="34"/>
  <c r="BP27" i="36"/>
  <c r="BR27" i="36"/>
  <c r="BQ27" i="36"/>
  <c r="BO5" i="36"/>
  <c r="BN50" i="36"/>
  <c r="BK7" i="34"/>
  <c r="BL7" i="34"/>
  <c r="BJ7" i="34"/>
  <c r="BB57" i="34"/>
  <c r="BL37" i="36"/>
  <c r="BK37" i="36"/>
  <c r="BJ37" i="36"/>
  <c r="BN53" i="34"/>
  <c r="BO23" i="34"/>
  <c r="BK24" i="34"/>
  <c r="BL24" i="34" s="1"/>
  <c r="BJ24" i="34"/>
  <c r="BJ22" i="34"/>
  <c r="BK22" i="34"/>
  <c r="BL22" i="34"/>
  <c r="BQ28" i="36"/>
  <c r="BR28" i="36" s="1"/>
  <c r="BP28" i="36"/>
  <c r="BJ38" i="36"/>
  <c r="BK38" i="36"/>
  <c r="BL38" i="36" s="1"/>
  <c r="BL16" i="34"/>
  <c r="BJ16" i="34"/>
  <c r="BK16" i="34"/>
  <c r="BP44" i="34"/>
  <c r="BQ44" i="34"/>
  <c r="BR44" i="34" s="1"/>
  <c r="BL33" i="36"/>
  <c r="BK33" i="36"/>
  <c r="BJ33" i="36"/>
  <c r="BR11" i="36"/>
  <c r="BQ11" i="36"/>
  <c r="BP11" i="36"/>
  <c r="BO34" i="34"/>
  <c r="BN55" i="34"/>
  <c r="BH53" i="36"/>
  <c r="BI23" i="36"/>
  <c r="BO12" i="36"/>
  <c r="BN52" i="36"/>
  <c r="BI5" i="36"/>
  <c r="BH50" i="36"/>
  <c r="BP7" i="34"/>
  <c r="BR7" i="34"/>
  <c r="BQ7" i="34"/>
  <c r="BN56" i="34"/>
  <c r="BO40" i="34"/>
  <c r="BK22" i="36"/>
  <c r="BL22" i="36"/>
  <c r="BJ22" i="36"/>
  <c r="AV57" i="34"/>
  <c r="BK45" i="36"/>
  <c r="BL45" i="36" s="1"/>
  <c r="BJ45" i="36"/>
  <c r="BD57" i="36"/>
  <c r="BN53" i="36"/>
  <c r="BO23" i="36"/>
  <c r="BD57" i="34"/>
  <c r="AZ57" i="36"/>
  <c r="BR37" i="34"/>
  <c r="BQ37" i="34"/>
  <c r="BP37" i="34"/>
  <c r="BH52" i="36"/>
  <c r="BI12" i="36"/>
  <c r="BJ17" i="34"/>
  <c r="BL17" i="34"/>
  <c r="BK17" i="34"/>
  <c r="BI29" i="34"/>
  <c r="BH54" i="34"/>
  <c r="BQ8" i="36"/>
  <c r="BR8" i="36" s="1"/>
  <c r="BP8" i="36"/>
  <c r="BT54" i="36"/>
  <c r="BU29" i="36"/>
  <c r="BH51" i="34"/>
  <c r="BI9" i="34"/>
  <c r="BP14" i="36"/>
  <c r="BQ14" i="36"/>
  <c r="BR14" i="36" s="1"/>
  <c r="AX13" i="37"/>
  <c r="AI13" i="37"/>
  <c r="AX23" i="37"/>
  <c r="AI23" i="37"/>
  <c r="AX20" i="37"/>
  <c r="AI20" i="37"/>
  <c r="AX16" i="37"/>
  <c r="AI16" i="37"/>
  <c r="Q40" i="25"/>
  <c r="M57" i="25"/>
  <c r="AF55" i="37"/>
  <c r="AZ55" i="37" s="1"/>
  <c r="AV55" i="37" s="1"/>
  <c r="AF58" i="37"/>
  <c r="AZ58" i="37" s="1"/>
  <c r="AV58" i="37" s="1"/>
  <c r="AF57" i="37"/>
  <c r="AF56" i="37"/>
  <c r="AZ56" i="37" s="1"/>
  <c r="AV56" i="37" s="1"/>
  <c r="AF54" i="37"/>
  <c r="AZ54" i="37" s="1"/>
  <c r="AV54" i="37" s="1"/>
  <c r="AZ7" i="37"/>
  <c r="AV7" i="37" s="1"/>
  <c r="AF52" i="37"/>
  <c r="AZ52" i="37" s="1"/>
  <c r="AV52" i="37" s="1"/>
  <c r="S59" i="37"/>
  <c r="AH29" i="37"/>
  <c r="BB29" i="37" s="1"/>
  <c r="AZ29" i="37"/>
  <c r="AV29" i="37" s="1"/>
  <c r="AZ34" i="37"/>
  <c r="AV34" i="37" s="1"/>
  <c r="AZ36" i="37"/>
  <c r="AV36" i="37" s="1"/>
  <c r="AH48" i="37"/>
  <c r="BB48" i="37" s="1"/>
  <c r="AZ48" i="37"/>
  <c r="AV48" i="37" s="1"/>
  <c r="AH10" i="37"/>
  <c r="BB10" i="37" s="1"/>
  <c r="AZ10" i="37"/>
  <c r="AV10" i="37" s="1"/>
  <c r="AZ47" i="37"/>
  <c r="AV47" i="37" s="1"/>
  <c r="AH46" i="37"/>
  <c r="BB46" i="37" s="1"/>
  <c r="AZ46" i="37"/>
  <c r="AV46" i="37" s="1"/>
  <c r="AH28" i="37"/>
  <c r="BB28" i="37" s="1"/>
  <c r="AZ28" i="37"/>
  <c r="AV28" i="37" s="1"/>
  <c r="AH8" i="37"/>
  <c r="BB8" i="37" s="1"/>
  <c r="AZ8" i="37"/>
  <c r="AV8" i="37" s="1"/>
  <c r="AH18" i="37"/>
  <c r="BB18" i="37" s="1"/>
  <c r="AZ18" i="37"/>
  <c r="AV18" i="37" s="1"/>
  <c r="AZ31" i="37"/>
  <c r="AV31" i="37" s="1"/>
  <c r="AZ43" i="37"/>
  <c r="AV43" i="37" s="1"/>
  <c r="AZ22" i="37"/>
  <c r="AV22" i="37" s="1"/>
  <c r="AH27" i="37"/>
  <c r="BB27" i="37" s="1"/>
  <c r="AZ27" i="37"/>
  <c r="AV27" i="37" s="1"/>
  <c r="AZ24" i="37"/>
  <c r="AV24" i="37" s="1"/>
  <c r="AZ15" i="37"/>
  <c r="AV15" i="37" s="1"/>
  <c r="AZ38" i="37"/>
  <c r="AV38" i="37" s="1"/>
  <c r="AZ14" i="37"/>
  <c r="AV14" i="37" s="1"/>
  <c r="AH33" i="37"/>
  <c r="BB33" i="37" s="1"/>
  <c r="AZ33" i="37"/>
  <c r="AV33" i="37" s="1"/>
  <c r="AH39" i="37"/>
  <c r="BB39" i="37" s="1"/>
  <c r="AZ39" i="37"/>
  <c r="AV39" i="37" s="1"/>
  <c r="AZ19" i="37"/>
  <c r="AV19" i="37" s="1"/>
  <c r="AH21" i="37"/>
  <c r="BB21" i="37" s="1"/>
  <c r="AZ21" i="37"/>
  <c r="AV21" i="37" s="1"/>
  <c r="AH40" i="37"/>
  <c r="BB40" i="37" s="1"/>
  <c r="AZ40" i="37"/>
  <c r="AV40" i="37" s="1"/>
  <c r="AZ12" i="37"/>
  <c r="AV12" i="37" s="1"/>
  <c r="AH42" i="37"/>
  <c r="AZ42" i="37"/>
  <c r="AV42" i="37" s="1"/>
  <c r="AZ32" i="37"/>
  <c r="AV32" i="37" s="1"/>
  <c r="AH37" i="37"/>
  <c r="BB37" i="37" s="1"/>
  <c r="AZ37" i="37"/>
  <c r="AV37" i="37" s="1"/>
  <c r="AZ9" i="37"/>
  <c r="AV9" i="37" s="1"/>
  <c r="AZ35" i="37"/>
  <c r="AV35" i="37" s="1"/>
  <c r="AH25" i="37"/>
  <c r="AZ25" i="37"/>
  <c r="AV25" i="37" s="1"/>
  <c r="AZ45" i="37"/>
  <c r="AV45" i="37" s="1"/>
  <c r="AH17" i="37"/>
  <c r="BB17" i="37" s="1"/>
  <c r="AZ17" i="37"/>
  <c r="AV17" i="37" s="1"/>
  <c r="AZ26" i="37"/>
  <c r="AV26" i="37" s="1"/>
  <c r="AZ41" i="37"/>
  <c r="AV41" i="37" s="1"/>
  <c r="AH30" i="37"/>
  <c r="BB30" i="37" s="1"/>
  <c r="AZ30" i="37"/>
  <c r="AV30" i="37" s="1"/>
  <c r="AH44" i="37"/>
  <c r="BB44" i="37" s="1"/>
  <c r="AZ44" i="37"/>
  <c r="AV44" i="37" s="1"/>
  <c r="AF61" i="37"/>
  <c r="AZ61" i="37" s="1"/>
  <c r="AV61" i="37" s="1"/>
  <c r="AH7" i="37"/>
  <c r="S11" i="29"/>
  <c r="S17" i="29" s="1"/>
  <c r="O17" i="29"/>
  <c r="O22" i="29" s="1"/>
  <c r="O31" i="29"/>
  <c r="O29" i="29"/>
  <c r="H57" i="28"/>
  <c r="I57" i="28"/>
  <c r="N57" i="25"/>
  <c r="Q57" i="25" s="1"/>
  <c r="BS29" i="42" l="1"/>
  <c r="BS54" i="42" s="1"/>
  <c r="BY23" i="42"/>
  <c r="BY53" i="42" s="1"/>
  <c r="BP57" i="42"/>
  <c r="BQ57" i="42"/>
  <c r="BR57" i="42"/>
  <c r="BP61" i="42"/>
  <c r="BM23" i="42"/>
  <c r="BM53" i="42" s="1"/>
  <c r="BV61" i="42"/>
  <c r="BM29" i="42"/>
  <c r="BM54" i="42" s="1"/>
  <c r="BJ57" i="42"/>
  <c r="BX57" i="42"/>
  <c r="BL57" i="42"/>
  <c r="BY29" i="42"/>
  <c r="BY54" i="42" s="1"/>
  <c r="BM12" i="42"/>
  <c r="BM52" i="42" s="1"/>
  <c r="BV57" i="42"/>
  <c r="BS12" i="42"/>
  <c r="BS52" i="42" s="1"/>
  <c r="BS23" i="42"/>
  <c r="BS53" i="42" s="1"/>
  <c r="BW57" i="42"/>
  <c r="BK57" i="42"/>
  <c r="BJ61" i="42"/>
  <c r="BY12" i="42"/>
  <c r="BY52" i="42" s="1"/>
  <c r="BW40" i="38"/>
  <c r="BW56" i="38" s="1"/>
  <c r="BX40" i="38"/>
  <c r="BX56" i="38" s="1"/>
  <c r="BU56" i="38"/>
  <c r="BV40" i="38"/>
  <c r="BV56" i="38" s="1"/>
  <c r="BO64" i="38"/>
  <c r="BO59" i="38"/>
  <c r="BO60" i="38"/>
  <c r="BR5" i="38"/>
  <c r="BR50" i="38" s="1"/>
  <c r="BO50" i="38"/>
  <c r="BO63" i="38"/>
  <c r="BQ5" i="38"/>
  <c r="BQ50" i="38" s="1"/>
  <c r="BO65" i="38"/>
  <c r="BP5" i="38"/>
  <c r="BP50" i="38" s="1"/>
  <c r="BN57" i="38"/>
  <c r="BW12" i="38"/>
  <c r="BU52" i="38"/>
  <c r="BV12" i="38"/>
  <c r="BV52" i="38" s="1"/>
  <c r="BW9" i="38"/>
  <c r="BW51" i="38" s="1"/>
  <c r="BV9" i="38"/>
  <c r="BV51" i="38" s="1"/>
  <c r="BU51" i="38"/>
  <c r="BX9" i="38"/>
  <c r="BX51" i="38" s="1"/>
  <c r="BT57" i="34"/>
  <c r="BJ9" i="38"/>
  <c r="BJ51" i="38" s="1"/>
  <c r="BL9" i="38"/>
  <c r="BL51" i="38" s="1"/>
  <c r="BK9" i="38"/>
  <c r="BK51" i="38" s="1"/>
  <c r="BI51" i="38"/>
  <c r="BO51" i="38"/>
  <c r="BR9" i="38"/>
  <c r="BR51" i="38" s="1"/>
  <c r="BP9" i="38"/>
  <c r="BP51" i="38" s="1"/>
  <c r="BQ9" i="38"/>
  <c r="BQ51" i="38" s="1"/>
  <c r="BO53" i="38"/>
  <c r="BP23" i="38"/>
  <c r="BP53" i="38" s="1"/>
  <c r="BQ23" i="38"/>
  <c r="BQ53" i="38" s="1"/>
  <c r="BW5" i="38"/>
  <c r="BW50" i="38" s="1"/>
  <c r="BX5" i="38"/>
  <c r="BX50" i="38" s="1"/>
  <c r="BU65" i="38"/>
  <c r="BV5" i="38"/>
  <c r="BV50" i="38" s="1"/>
  <c r="BU60" i="38"/>
  <c r="BU64" i="38"/>
  <c r="BU50" i="38"/>
  <c r="BU63" i="38"/>
  <c r="BU59" i="38"/>
  <c r="BO52" i="38"/>
  <c r="BP12" i="38"/>
  <c r="BP52" i="38" s="1"/>
  <c r="BQ12" i="38"/>
  <c r="BU55" i="38"/>
  <c r="BX34" i="38"/>
  <c r="BX55" i="38" s="1"/>
  <c r="BV34" i="38"/>
  <c r="BV55" i="38" s="1"/>
  <c r="BW34" i="38"/>
  <c r="BW55" i="38" s="1"/>
  <c r="BT57" i="38"/>
  <c r="BP40" i="38"/>
  <c r="BP56" i="38" s="1"/>
  <c r="BQ40" i="38"/>
  <c r="BQ56" i="38" s="1"/>
  <c r="BR40" i="38"/>
  <c r="BR56" i="38" s="1"/>
  <c r="BO56" i="38"/>
  <c r="BJ29" i="38"/>
  <c r="BJ54" i="38" s="1"/>
  <c r="BK29" i="38"/>
  <c r="BK54" i="38" s="1"/>
  <c r="BI54" i="38"/>
  <c r="BH57" i="38"/>
  <c r="BO54" i="38"/>
  <c r="BP29" i="38"/>
  <c r="BP54" i="38" s="1"/>
  <c r="BQ29" i="38"/>
  <c r="BP34" i="38"/>
  <c r="BP55" i="38" s="1"/>
  <c r="BQ34" i="38"/>
  <c r="BQ55" i="38" s="1"/>
  <c r="BO55" i="38"/>
  <c r="BR34" i="38"/>
  <c r="BR55" i="38" s="1"/>
  <c r="BI64" i="38"/>
  <c r="BI50" i="38"/>
  <c r="BL5" i="38"/>
  <c r="BL50" i="38" s="1"/>
  <c r="BI60" i="38"/>
  <c r="BI65" i="38"/>
  <c r="BJ5" i="38"/>
  <c r="BJ50" i="38" s="1"/>
  <c r="BK5" i="38"/>
  <c r="BK50" i="38" s="1"/>
  <c r="BI63" i="38"/>
  <c r="BI59" i="38"/>
  <c r="BK12" i="38"/>
  <c r="BJ12" i="38"/>
  <c r="BJ52" i="38" s="1"/>
  <c r="BI52" i="38"/>
  <c r="BI55" i="38"/>
  <c r="BK34" i="38"/>
  <c r="BK55" i="38" s="1"/>
  <c r="BJ34" i="38"/>
  <c r="BJ55" i="38" s="1"/>
  <c r="BL34" i="38"/>
  <c r="BL55" i="38" s="1"/>
  <c r="BW29" i="38"/>
  <c r="BU54" i="38"/>
  <c r="BV29" i="38"/>
  <c r="BV54" i="38" s="1"/>
  <c r="BV23" i="38"/>
  <c r="BV53" i="38" s="1"/>
  <c r="BU53" i="38"/>
  <c r="BW23" i="38"/>
  <c r="BK23" i="38"/>
  <c r="BK53" i="38" s="1"/>
  <c r="BI53" i="38"/>
  <c r="BJ23" i="38"/>
  <c r="BJ53" i="38" s="1"/>
  <c r="BJ40" i="38"/>
  <c r="BJ56" i="38" s="1"/>
  <c r="BK40" i="38"/>
  <c r="BK56" i="38" s="1"/>
  <c r="BI56" i="38"/>
  <c r="BL40" i="38"/>
  <c r="BL56" i="38" s="1"/>
  <c r="BO50" i="36"/>
  <c r="BR5" i="36"/>
  <c r="BR50" i="36" s="1"/>
  <c r="BQ5" i="36"/>
  <c r="BQ50" i="36" s="1"/>
  <c r="BP5" i="36"/>
  <c r="BP50" i="36" s="1"/>
  <c r="BO64" i="36"/>
  <c r="BO65" i="36"/>
  <c r="BO63" i="36"/>
  <c r="BO59" i="36"/>
  <c r="BO60" i="36"/>
  <c r="BO59" i="34"/>
  <c r="BR5" i="34"/>
  <c r="BR50" i="34" s="1"/>
  <c r="BO65" i="34"/>
  <c r="BQ5" i="34"/>
  <c r="BQ50" i="34" s="1"/>
  <c r="BO64" i="34"/>
  <c r="BO50" i="34"/>
  <c r="BP5" i="34"/>
  <c r="BP50" i="34" s="1"/>
  <c r="BO60" i="34"/>
  <c r="BO63" i="34"/>
  <c r="BI52" i="36"/>
  <c r="BK12" i="36"/>
  <c r="BK52" i="36" s="1"/>
  <c r="BJ12" i="36"/>
  <c r="BJ52" i="36" s="1"/>
  <c r="BH57" i="36"/>
  <c r="BU60" i="36"/>
  <c r="BU59" i="36"/>
  <c r="BU50" i="36"/>
  <c r="BU65" i="36"/>
  <c r="BW5" i="36"/>
  <c r="BW50" i="36" s="1"/>
  <c r="BV5" i="36"/>
  <c r="BV50" i="36" s="1"/>
  <c r="BU64" i="36"/>
  <c r="BX5" i="36"/>
  <c r="BX50" i="36" s="1"/>
  <c r="BU63" i="36"/>
  <c r="BJ34" i="34"/>
  <c r="BJ55" i="34" s="1"/>
  <c r="BL34" i="34"/>
  <c r="BL55" i="34" s="1"/>
  <c r="BK34" i="34"/>
  <c r="BK55" i="34" s="1"/>
  <c r="BI55" i="34"/>
  <c r="BP9" i="34"/>
  <c r="BP51" i="34" s="1"/>
  <c r="BO51" i="34"/>
  <c r="BR9" i="34"/>
  <c r="BR51" i="34" s="1"/>
  <c r="BQ9" i="34"/>
  <c r="BQ51" i="34" s="1"/>
  <c r="BV40" i="36"/>
  <c r="BV56" i="36" s="1"/>
  <c r="BX40" i="36"/>
  <c r="BX56" i="36" s="1"/>
  <c r="BU56" i="36"/>
  <c r="BW40" i="36"/>
  <c r="BW56" i="36" s="1"/>
  <c r="BN57" i="34"/>
  <c r="BI54" i="36"/>
  <c r="BK29" i="36"/>
  <c r="BK54" i="36" s="1"/>
  <c r="BJ29" i="36"/>
  <c r="BJ54" i="36" s="1"/>
  <c r="BP34" i="34"/>
  <c r="BP55" i="34" s="1"/>
  <c r="BR34" i="34"/>
  <c r="BR55" i="34" s="1"/>
  <c r="BQ34" i="34"/>
  <c r="BQ55" i="34" s="1"/>
  <c r="BO55" i="34"/>
  <c r="BI50" i="36"/>
  <c r="BI59" i="36"/>
  <c r="BI65" i="36"/>
  <c r="BI60" i="36"/>
  <c r="BL5" i="36"/>
  <c r="BL50" i="36" s="1"/>
  <c r="BK5" i="36"/>
  <c r="BK50" i="36" s="1"/>
  <c r="BI64" i="36"/>
  <c r="BI63" i="36"/>
  <c r="BJ5" i="36"/>
  <c r="BJ50" i="36" s="1"/>
  <c r="BI59" i="34"/>
  <c r="BI63" i="34"/>
  <c r="BI65" i="34"/>
  <c r="BK5" i="34"/>
  <c r="BK50" i="34" s="1"/>
  <c r="BL5" i="34"/>
  <c r="BL50" i="34" s="1"/>
  <c r="BI50" i="34"/>
  <c r="BI64" i="34"/>
  <c r="BJ5" i="34"/>
  <c r="BJ50" i="34" s="1"/>
  <c r="BI60" i="34"/>
  <c r="BU54" i="34"/>
  <c r="BV29" i="34"/>
  <c r="BV54" i="34" s="1"/>
  <c r="BW29" i="34"/>
  <c r="BW54" i="34" s="1"/>
  <c r="BU53" i="36"/>
  <c r="BW23" i="36"/>
  <c r="BW53" i="36" s="1"/>
  <c r="BV23" i="36"/>
  <c r="BV53" i="36" s="1"/>
  <c r="BI52" i="34"/>
  <c r="BK12" i="34"/>
  <c r="BK52" i="34" s="1"/>
  <c r="BJ12" i="34"/>
  <c r="BJ52" i="34" s="1"/>
  <c r="BT57" i="36"/>
  <c r="BI55" i="36"/>
  <c r="BJ34" i="36"/>
  <c r="BJ55" i="36" s="1"/>
  <c r="BK34" i="36"/>
  <c r="BK55" i="36" s="1"/>
  <c r="BL34" i="36"/>
  <c r="BL55" i="36" s="1"/>
  <c r="BQ23" i="36"/>
  <c r="BQ53" i="36" s="1"/>
  <c r="BP23" i="36"/>
  <c r="BP53" i="36" s="1"/>
  <c r="BO53" i="36"/>
  <c r="BH57" i="34"/>
  <c r="BJ40" i="34"/>
  <c r="BJ56" i="34" s="1"/>
  <c r="BK40" i="34"/>
  <c r="BK56" i="34" s="1"/>
  <c r="BL40" i="34"/>
  <c r="BL56" i="34" s="1"/>
  <c r="BI56" i="34"/>
  <c r="BW34" i="34"/>
  <c r="BW55" i="34" s="1"/>
  <c r="BU55" i="34"/>
  <c r="BV34" i="34"/>
  <c r="BV55" i="34" s="1"/>
  <c r="BX34" i="34"/>
  <c r="BX55" i="34" s="1"/>
  <c r="BO56" i="36"/>
  <c r="BQ40" i="36"/>
  <c r="BQ56" i="36" s="1"/>
  <c r="BR40" i="36"/>
  <c r="BR56" i="36" s="1"/>
  <c r="BP40" i="36"/>
  <c r="BP56" i="36" s="1"/>
  <c r="BI54" i="34"/>
  <c r="BK29" i="34"/>
  <c r="BK54" i="34" s="1"/>
  <c r="BJ29" i="34"/>
  <c r="BJ54" i="34" s="1"/>
  <c r="BP40" i="34"/>
  <c r="BP56" i="34" s="1"/>
  <c r="BQ40" i="34"/>
  <c r="BQ56" i="34" s="1"/>
  <c r="BO56" i="34"/>
  <c r="BR40" i="34"/>
  <c r="BR56" i="34" s="1"/>
  <c r="BO52" i="36"/>
  <c r="BQ12" i="36"/>
  <c r="BQ52" i="36" s="1"/>
  <c r="BP12" i="36"/>
  <c r="BP52" i="36" s="1"/>
  <c r="BK40" i="36"/>
  <c r="BK56" i="36" s="1"/>
  <c r="BJ40" i="36"/>
  <c r="BJ56" i="36" s="1"/>
  <c r="BI56" i="36"/>
  <c r="BL40" i="36"/>
  <c r="BL56" i="36" s="1"/>
  <c r="BW12" i="34"/>
  <c r="BW52" i="34" s="1"/>
  <c r="BU52" i="34"/>
  <c r="BV12" i="34"/>
  <c r="BV52" i="34" s="1"/>
  <c r="BV23" i="34"/>
  <c r="BV53" i="34" s="1"/>
  <c r="BU53" i="34"/>
  <c r="BW23" i="34"/>
  <c r="BW53" i="34" s="1"/>
  <c r="BI51" i="34"/>
  <c r="BL9" i="34"/>
  <c r="BL51" i="34" s="1"/>
  <c r="BK9" i="34"/>
  <c r="BK51" i="34" s="1"/>
  <c r="BJ9" i="34"/>
  <c r="BJ51" i="34" s="1"/>
  <c r="BI53" i="36"/>
  <c r="BK23" i="36"/>
  <c r="BK53" i="36" s="1"/>
  <c r="BJ23" i="36"/>
  <c r="BJ53" i="36" s="1"/>
  <c r="BU50" i="34"/>
  <c r="BW5" i="34"/>
  <c r="BW50" i="34" s="1"/>
  <c r="BX5" i="34"/>
  <c r="BX50" i="34" s="1"/>
  <c r="BU64" i="34"/>
  <c r="BU63" i="34"/>
  <c r="BU60" i="34"/>
  <c r="BV5" i="34"/>
  <c r="BV50" i="34" s="1"/>
  <c r="BU59" i="34"/>
  <c r="BU65" i="34"/>
  <c r="BU51" i="34"/>
  <c r="BW9" i="34"/>
  <c r="BW51" i="34" s="1"/>
  <c r="BV9" i="34"/>
  <c r="BV51" i="34" s="1"/>
  <c r="BX9" i="34"/>
  <c r="BX51" i="34" s="1"/>
  <c r="BU56" i="34"/>
  <c r="BX40" i="34"/>
  <c r="BX56" i="34" s="1"/>
  <c r="BV40" i="34"/>
  <c r="BV56" i="34" s="1"/>
  <c r="BW40" i="34"/>
  <c r="BW56" i="34" s="1"/>
  <c r="BO53" i="34"/>
  <c r="BQ23" i="34"/>
  <c r="BQ53" i="34" s="1"/>
  <c r="BP23" i="34"/>
  <c r="BP53" i="34" s="1"/>
  <c r="BQ12" i="34"/>
  <c r="BQ52" i="34" s="1"/>
  <c r="BP12" i="34"/>
  <c r="BP52" i="34" s="1"/>
  <c r="BO52" i="34"/>
  <c r="BP29" i="36"/>
  <c r="BP54" i="36" s="1"/>
  <c r="BQ29" i="36"/>
  <c r="BQ54" i="36" s="1"/>
  <c r="BO54" i="36"/>
  <c r="BW9" i="36"/>
  <c r="BW51" i="36" s="1"/>
  <c r="BU51" i="36"/>
  <c r="BX9" i="36"/>
  <c r="BX51" i="36" s="1"/>
  <c r="BV9" i="36"/>
  <c r="BV51" i="36" s="1"/>
  <c r="BU52" i="36"/>
  <c r="BW12" i="36"/>
  <c r="BW52" i="36" s="1"/>
  <c r="BV12" i="36"/>
  <c r="BV52" i="36" s="1"/>
  <c r="BO54" i="34"/>
  <c r="BP29" i="34"/>
  <c r="BP54" i="34" s="1"/>
  <c r="BQ29" i="34"/>
  <c r="BQ54" i="34" s="1"/>
  <c r="BU54" i="36"/>
  <c r="BW29" i="36"/>
  <c r="BW54" i="36" s="1"/>
  <c r="BV29" i="36"/>
  <c r="BV54" i="36" s="1"/>
  <c r="BN57" i="36"/>
  <c r="BP34" i="36"/>
  <c r="BP55" i="36" s="1"/>
  <c r="BR34" i="36"/>
  <c r="BR55" i="36" s="1"/>
  <c r="BQ34" i="36"/>
  <c r="BQ55" i="36" s="1"/>
  <c r="BO55" i="36"/>
  <c r="BU55" i="36"/>
  <c r="BV34" i="36"/>
  <c r="BV55" i="36" s="1"/>
  <c r="BW34" i="36"/>
  <c r="BW55" i="36" s="1"/>
  <c r="BX34" i="36"/>
  <c r="BX55" i="36" s="1"/>
  <c r="BK23" i="34"/>
  <c r="BK53" i="34" s="1"/>
  <c r="BI53" i="34"/>
  <c r="BJ23" i="34"/>
  <c r="BJ53" i="34" s="1"/>
  <c r="BL9" i="36"/>
  <c r="BL51" i="36" s="1"/>
  <c r="BI51" i="36"/>
  <c r="BK9" i="36"/>
  <c r="BK51" i="36" s="1"/>
  <c r="BJ9" i="36"/>
  <c r="BJ51" i="36" s="1"/>
  <c r="BO51" i="36"/>
  <c r="BP9" i="36"/>
  <c r="BP51" i="36" s="1"/>
  <c r="BQ9" i="36"/>
  <c r="BQ51" i="36" s="1"/>
  <c r="BR9" i="36"/>
  <c r="BR51" i="36" s="1"/>
  <c r="AX28" i="37"/>
  <c r="AI28" i="37"/>
  <c r="AX30" i="37"/>
  <c r="AI30" i="37"/>
  <c r="AX33" i="37"/>
  <c r="AI33" i="37"/>
  <c r="AX40" i="37"/>
  <c r="AI40" i="37"/>
  <c r="AX46" i="37"/>
  <c r="AI46" i="37"/>
  <c r="AX29" i="37"/>
  <c r="AI29" i="37"/>
  <c r="AX37" i="37"/>
  <c r="AI37" i="37"/>
  <c r="AX21" i="37"/>
  <c r="AI21" i="37"/>
  <c r="AX18" i="37"/>
  <c r="AI18" i="37"/>
  <c r="AX17" i="37"/>
  <c r="AI17" i="37"/>
  <c r="AX10" i="37"/>
  <c r="AI10" i="37"/>
  <c r="AX8" i="37"/>
  <c r="AI8" i="37"/>
  <c r="AX44" i="37"/>
  <c r="AI44" i="37"/>
  <c r="AX39" i="37"/>
  <c r="AI39" i="37"/>
  <c r="AX27" i="37"/>
  <c r="AI27" i="37"/>
  <c r="AX48" i="37"/>
  <c r="AI48" i="37"/>
  <c r="BB25" i="37"/>
  <c r="AF59" i="37"/>
  <c r="AZ59" i="37" s="1"/>
  <c r="AV59" i="37" s="1"/>
  <c r="AZ57" i="37"/>
  <c r="AV57" i="37" s="1"/>
  <c r="BB42" i="37"/>
  <c r="BB7" i="37"/>
  <c r="O16" i="29"/>
  <c r="O21" i="29" s="1"/>
  <c r="O25" i="29" s="1"/>
  <c r="N35" i="29"/>
  <c r="N34" i="29"/>
  <c r="N30" i="29"/>
  <c r="N29" i="29"/>
  <c r="N33" i="29"/>
  <c r="BY57" i="42" l="1"/>
  <c r="BM57" i="42"/>
  <c r="BS57" i="42"/>
  <c r="BX23" i="34"/>
  <c r="BX53" i="34" s="1"/>
  <c r="BU61" i="36"/>
  <c r="BI61" i="38"/>
  <c r="BU61" i="38"/>
  <c r="BR29" i="34"/>
  <c r="BR54" i="34" s="1"/>
  <c r="BR23" i="34"/>
  <c r="BR53" i="34" s="1"/>
  <c r="BX29" i="36"/>
  <c r="BX54" i="36" s="1"/>
  <c r="BX12" i="36"/>
  <c r="BX52" i="36" s="1"/>
  <c r="BR29" i="36"/>
  <c r="BR54" i="36" s="1"/>
  <c r="BR12" i="34"/>
  <c r="BR52" i="34" s="1"/>
  <c r="BL29" i="36"/>
  <c r="BL54" i="36" s="1"/>
  <c r="BO61" i="38"/>
  <c r="BX23" i="36"/>
  <c r="BX53" i="36" s="1"/>
  <c r="BL12" i="36"/>
  <c r="BL52" i="36" s="1"/>
  <c r="BQ54" i="38"/>
  <c r="BR29" i="38"/>
  <c r="BR54" i="38" s="1"/>
  <c r="BR23" i="38"/>
  <c r="BR53" i="38" s="1"/>
  <c r="BW52" i="38"/>
  <c r="BX12" i="38"/>
  <c r="BX52" i="38" s="1"/>
  <c r="BQ52" i="38"/>
  <c r="BR12" i="38"/>
  <c r="BR52" i="38" s="1"/>
  <c r="BV57" i="38"/>
  <c r="BL23" i="38"/>
  <c r="BL53" i="38" s="1"/>
  <c r="BK52" i="38"/>
  <c r="BK57" i="38" s="1"/>
  <c r="BL12" i="38"/>
  <c r="BL52" i="38" s="1"/>
  <c r="BI57" i="38"/>
  <c r="BP57" i="38"/>
  <c r="BW54" i="38"/>
  <c r="BX29" i="38"/>
  <c r="BX54" i="38" s="1"/>
  <c r="BR12" i="36"/>
  <c r="BR52" i="36" s="1"/>
  <c r="BL29" i="34"/>
  <c r="BL54" i="34" s="1"/>
  <c r="BL29" i="38"/>
  <c r="BL54" i="38" s="1"/>
  <c r="BW53" i="38"/>
  <c r="BX23" i="38"/>
  <c r="BX53" i="38" s="1"/>
  <c r="BJ57" i="38"/>
  <c r="BU57" i="38"/>
  <c r="BO57" i="38"/>
  <c r="BV57" i="34"/>
  <c r="BP57" i="34"/>
  <c r="BO61" i="36"/>
  <c r="BI61" i="34"/>
  <c r="BI61" i="36"/>
  <c r="BO57" i="34"/>
  <c r="BJ57" i="36"/>
  <c r="BX12" i="34"/>
  <c r="BX52" i="34" s="1"/>
  <c r="BV57" i="36"/>
  <c r="BQ57" i="34"/>
  <c r="BJ57" i="34"/>
  <c r="BR23" i="36"/>
  <c r="BR53" i="36" s="1"/>
  <c r="BI57" i="34"/>
  <c r="BW57" i="36"/>
  <c r="BP57" i="36"/>
  <c r="BI57" i="36"/>
  <c r="BL23" i="34"/>
  <c r="BL53" i="34" s="1"/>
  <c r="BW57" i="34"/>
  <c r="BL12" i="34"/>
  <c r="BL52" i="34" s="1"/>
  <c r="BX29" i="34"/>
  <c r="BX54" i="34" s="1"/>
  <c r="BK57" i="36"/>
  <c r="BQ57" i="36"/>
  <c r="BU57" i="34"/>
  <c r="BK57" i="34"/>
  <c r="BU57" i="36"/>
  <c r="BO61" i="34"/>
  <c r="BU61" i="34"/>
  <c r="BL23" i="36"/>
  <c r="BL53" i="36" s="1"/>
  <c r="BO57" i="36"/>
  <c r="AX7" i="37"/>
  <c r="AI7" i="37"/>
  <c r="AX42" i="37"/>
  <c r="AI42" i="37"/>
  <c r="AX25" i="37"/>
  <c r="AI25" i="37"/>
  <c r="O26" i="29"/>
  <c r="N31" i="29"/>
  <c r="M35" i="29"/>
  <c r="M34" i="29"/>
  <c r="M33" i="29"/>
  <c r="L29" i="29"/>
  <c r="L30" i="29"/>
  <c r="L34" i="29"/>
  <c r="L33" i="29"/>
  <c r="L35" i="29"/>
  <c r="M29" i="29"/>
  <c r="M30" i="29"/>
  <c r="BR57" i="36" l="1"/>
  <c r="BR57" i="34"/>
  <c r="BL57" i="36"/>
  <c r="BQ57" i="38"/>
  <c r="BW57" i="38"/>
  <c r="BR57" i="38"/>
  <c r="BX57" i="36"/>
  <c r="BL57" i="34"/>
  <c r="BX57" i="38"/>
  <c r="BL57" i="38"/>
  <c r="BX57" i="34"/>
  <c r="N16" i="29"/>
  <c r="N21" i="29" s="1"/>
  <c r="N17" i="29"/>
  <c r="N22" i="29" s="1"/>
  <c r="L31" i="29"/>
  <c r="M31" i="29"/>
  <c r="N25" i="29" l="1"/>
  <c r="N26" i="29"/>
  <c r="L17" i="29"/>
  <c r="L22" i="29" s="1"/>
  <c r="M16" i="29"/>
  <c r="M21" i="29" s="1"/>
  <c r="M17" i="29"/>
  <c r="M22" i="29" s="1"/>
  <c r="L16" i="29"/>
  <c r="L21" i="29" s="1"/>
  <c r="L25" i="29" l="1"/>
  <c r="M26" i="29"/>
  <c r="M25" i="29"/>
  <c r="L26" i="29"/>
  <c r="AE31" i="39"/>
  <c r="AE38" i="39"/>
  <c r="AE44" i="39"/>
  <c r="AF44" i="39" s="1"/>
  <c r="AE12" i="39"/>
  <c r="AE35" i="39"/>
  <c r="AF35" i="39" s="1"/>
  <c r="AE19" i="39"/>
  <c r="AE11" i="39"/>
  <c r="AE42" i="39"/>
  <c r="AE23" i="39"/>
  <c r="AE33" i="39"/>
  <c r="AE9" i="39"/>
  <c r="AF9" i="39" s="1"/>
  <c r="AE28" i="39"/>
  <c r="AF28" i="39" s="1"/>
  <c r="AE40" i="39"/>
  <c r="AE32" i="39"/>
  <c r="AE16" i="39"/>
  <c r="AE8" i="39"/>
  <c r="AF8" i="39" s="1"/>
  <c r="AE29" i="39"/>
  <c r="AE21" i="39"/>
  <c r="Y12" i="37" l="1"/>
  <c r="J7" i="44" s="1"/>
  <c r="Y47" i="37"/>
  <c r="J46" i="44" s="1"/>
  <c r="Y31" i="37"/>
  <c r="J40" i="44" s="1"/>
  <c r="Y32" i="37"/>
  <c r="J25" i="44" s="1"/>
  <c r="W57" i="37"/>
  <c r="Y36" i="37"/>
  <c r="J26" i="44" s="1"/>
  <c r="Y41" i="37"/>
  <c r="J20" i="44" s="1"/>
  <c r="W52" i="37"/>
  <c r="Y9" i="37"/>
  <c r="J18" i="44" s="1"/>
  <c r="W55" i="37"/>
  <c r="Y26" i="37"/>
  <c r="J37" i="44" s="1"/>
  <c r="Y34" i="37"/>
  <c r="J42" i="44" s="1"/>
  <c r="Y45" i="37"/>
  <c r="J14" i="44" s="1"/>
  <c r="Y24" i="37"/>
  <c r="J11" i="44" s="1"/>
  <c r="Y11" i="37"/>
  <c r="J16" i="44" s="1"/>
  <c r="Y19" i="37"/>
  <c r="J19" i="44" s="1"/>
  <c r="Y14" i="37"/>
  <c r="J34" i="44" s="1"/>
  <c r="Y22" i="37"/>
  <c r="J12" i="44" s="1"/>
  <c r="Y15" i="37"/>
  <c r="J15" i="44" s="1"/>
  <c r="Y35" i="37"/>
  <c r="J13" i="44" s="1"/>
  <c r="Y43" i="37"/>
  <c r="J44" i="44" s="1"/>
  <c r="Y38" i="37"/>
  <c r="J8" i="44" s="1"/>
  <c r="W56" i="37"/>
  <c r="W53" i="37"/>
  <c r="W54" i="37"/>
  <c r="W58" i="37"/>
  <c r="AJ19" i="39"/>
  <c r="AJ29" i="39"/>
  <c r="AJ35" i="39"/>
  <c r="AJ21" i="39"/>
  <c r="AJ12" i="39"/>
  <c r="AJ6" i="39"/>
  <c r="AJ9" i="39"/>
  <c r="AJ8" i="39"/>
  <c r="AJ16" i="39"/>
  <c r="AJ23" i="39"/>
  <c r="AJ44" i="39"/>
  <c r="AJ33" i="39"/>
  <c r="AJ32" i="39"/>
  <c r="AJ42" i="39"/>
  <c r="AJ38" i="39"/>
  <c r="AJ28" i="39"/>
  <c r="AF21" i="39"/>
  <c r="AS24" i="37" s="1"/>
  <c r="AJ40" i="39"/>
  <c r="AJ11" i="39"/>
  <c r="AJ31" i="39"/>
  <c r="AF29" i="39"/>
  <c r="AF42" i="39"/>
  <c r="AS45" i="37" s="1"/>
  <c r="AF12" i="39"/>
  <c r="AF11" i="39"/>
  <c r="AS14" i="37" s="1"/>
  <c r="AF19" i="39"/>
  <c r="AF38" i="39"/>
  <c r="AS41" i="37" s="1"/>
  <c r="AF16" i="39"/>
  <c r="AF33" i="39"/>
  <c r="AS36" i="37" s="1"/>
  <c r="AS38" i="37"/>
  <c r="P38" i="37"/>
  <c r="W61" i="37"/>
  <c r="W66" i="37" s="1"/>
  <c r="AS11" i="37"/>
  <c r="P11" i="37"/>
  <c r="BR33" i="45" s="1"/>
  <c r="AS31" i="37"/>
  <c r="P31" i="37"/>
  <c r="BR47" i="45" s="1"/>
  <c r="AS15" i="37"/>
  <c r="P15" i="37"/>
  <c r="AS12" i="37"/>
  <c r="P12" i="37"/>
  <c r="AS47" i="37"/>
  <c r="P47" i="37"/>
  <c r="AF32" i="39"/>
  <c r="AF6" i="39"/>
  <c r="AF40" i="39"/>
  <c r="AS43" i="37" s="1"/>
  <c r="AF23" i="39"/>
  <c r="AF31" i="39"/>
  <c r="AT47" i="37" l="1"/>
  <c r="Q47" i="37" s="1"/>
  <c r="BR45" i="45"/>
  <c r="AT38" i="37"/>
  <c r="Q38" i="37" s="1"/>
  <c r="BR9" i="45"/>
  <c r="AT15" i="37"/>
  <c r="Q15" i="37" s="1"/>
  <c r="BR16" i="45"/>
  <c r="BS47" i="45"/>
  <c r="AY47" i="45"/>
  <c r="AT12" i="37"/>
  <c r="Q12" i="37" s="1"/>
  <c r="BR7" i="45"/>
  <c r="BS33" i="45"/>
  <c r="AY33" i="45"/>
  <c r="J60" i="44"/>
  <c r="Y61" i="37"/>
  <c r="AA3" i="37" s="1"/>
  <c r="W59" i="37"/>
  <c r="AT11" i="37"/>
  <c r="Q11" i="37" s="1"/>
  <c r="P53" i="37"/>
  <c r="AT53" i="37" s="1"/>
  <c r="AT31" i="37"/>
  <c r="Q31" i="37" s="1"/>
  <c r="AF49" i="39"/>
  <c r="P41" i="37"/>
  <c r="AS19" i="37"/>
  <c r="P45" i="37"/>
  <c r="P24" i="37"/>
  <c r="P36" i="37"/>
  <c r="BR22" i="45" s="1"/>
  <c r="P14" i="37"/>
  <c r="BR36" i="45" s="1"/>
  <c r="O61" i="37"/>
  <c r="AS61" i="37" s="1"/>
  <c r="P9" i="37"/>
  <c r="P35" i="37"/>
  <c r="AS35" i="37"/>
  <c r="P26" i="37"/>
  <c r="BR39" i="45" s="1"/>
  <c r="AS9" i="37"/>
  <c r="AS26" i="37"/>
  <c r="AS22" i="37"/>
  <c r="P22" i="37"/>
  <c r="P19" i="37"/>
  <c r="P34" i="37"/>
  <c r="P43" i="37"/>
  <c r="BR43" i="45" s="1"/>
  <c r="AS34" i="37"/>
  <c r="AS32" i="37"/>
  <c r="P32" i="37"/>
  <c r="AY22" i="45" l="1"/>
  <c r="BS22" i="45"/>
  <c r="BS36" i="45"/>
  <c r="AY36" i="45"/>
  <c r="AT32" i="37"/>
  <c r="Q32" i="37" s="1"/>
  <c r="BR26" i="45"/>
  <c r="AT24" i="37"/>
  <c r="Q24" i="37" s="1"/>
  <c r="BR13" i="45"/>
  <c r="AY43" i="45"/>
  <c r="BS43" i="45"/>
  <c r="BS39" i="45"/>
  <c r="AY39" i="45"/>
  <c r="AT45" i="37"/>
  <c r="Q45" i="37" s="1"/>
  <c r="BR14" i="45"/>
  <c r="BS9" i="45"/>
  <c r="AY9" i="45"/>
  <c r="AT22" i="37"/>
  <c r="Q22" i="37" s="1"/>
  <c r="BR12" i="45"/>
  <c r="BS16" i="45"/>
  <c r="AY16" i="45"/>
  <c r="AT34" i="37"/>
  <c r="Q34" i="37" s="1"/>
  <c r="BR48" i="45"/>
  <c r="AT35" i="37"/>
  <c r="Q35" i="37" s="1"/>
  <c r="BR15" i="45"/>
  <c r="AT41" i="37"/>
  <c r="Q41" i="37" s="1"/>
  <c r="BR31" i="45"/>
  <c r="AT19" i="37"/>
  <c r="Q19" i="37" s="1"/>
  <c r="BR19" i="45"/>
  <c r="BS45" i="45"/>
  <c r="AY45" i="45"/>
  <c r="BS7" i="45"/>
  <c r="AY7" i="45"/>
  <c r="P52" i="37"/>
  <c r="AT52" i="37" s="1"/>
  <c r="BR21" i="45"/>
  <c r="AM35" i="37" a="1"/>
  <c r="AM35" i="37" s="1"/>
  <c r="K19" i="44"/>
  <c r="L19" i="44" s="1"/>
  <c r="V19" i="44" s="1"/>
  <c r="AG19" i="37"/>
  <c r="BA19" i="37" s="1"/>
  <c r="AW19" i="37" s="1"/>
  <c r="K11" i="44"/>
  <c r="L11" i="44" s="1"/>
  <c r="V11" i="44" s="1"/>
  <c r="AG24" i="37"/>
  <c r="BA24" i="37" s="1"/>
  <c r="AW24" i="37" s="1"/>
  <c r="K13" i="44"/>
  <c r="AA13" i="44" s="1"/>
  <c r="AB13" i="44" s="1"/>
  <c r="AG13" i="44" s="1"/>
  <c r="AG35" i="37"/>
  <c r="BA35" i="37" s="1"/>
  <c r="AW35" i="37" s="1"/>
  <c r="K26" i="44"/>
  <c r="AA26" i="44" s="1"/>
  <c r="AB26" i="44" s="1"/>
  <c r="AG26" i="44" s="1"/>
  <c r="AG36" i="37"/>
  <c r="BA36" i="37" s="1"/>
  <c r="AW36" i="37" s="1"/>
  <c r="K25" i="44"/>
  <c r="L25" i="44" s="1"/>
  <c r="V25" i="44" s="1"/>
  <c r="AG32" i="37"/>
  <c r="K42" i="44"/>
  <c r="AA42" i="44" s="1"/>
  <c r="AB42" i="44" s="1"/>
  <c r="AG42" i="44" s="1"/>
  <c r="AG34" i="37"/>
  <c r="AH34" i="37" s="1"/>
  <c r="BB34" i="37" s="1"/>
  <c r="AI34" i="37" s="1"/>
  <c r="K37" i="44"/>
  <c r="L37" i="44" s="1"/>
  <c r="V37" i="44" s="1"/>
  <c r="AG26" i="37"/>
  <c r="BA26" i="37" s="1"/>
  <c r="AW26" i="37" s="1"/>
  <c r="K15" i="44"/>
  <c r="L15" i="44" s="1"/>
  <c r="V15" i="44" s="1"/>
  <c r="AG15" i="37"/>
  <c r="AH15" i="37" s="1"/>
  <c r="BB15" i="37" s="1"/>
  <c r="K7" i="44"/>
  <c r="AA7" i="44" s="1"/>
  <c r="AG12" i="37"/>
  <c r="BA12" i="37" s="1"/>
  <c r="AW12" i="37" s="1"/>
  <c r="K44" i="44"/>
  <c r="AA44" i="44" s="1"/>
  <c r="AB44" i="44" s="1"/>
  <c r="AG44" i="44" s="1"/>
  <c r="AG43" i="37"/>
  <c r="AH43" i="37" s="1"/>
  <c r="K20" i="44"/>
  <c r="AA20" i="44" s="1"/>
  <c r="AB20" i="44" s="1"/>
  <c r="AG20" i="44" s="1"/>
  <c r="AG41" i="37"/>
  <c r="BA41" i="37" s="1"/>
  <c r="AW41" i="37" s="1"/>
  <c r="K8" i="44"/>
  <c r="L8" i="44" s="1"/>
  <c r="V8" i="44" s="1"/>
  <c r="AG38" i="37"/>
  <c r="BA38" i="37" s="1"/>
  <c r="AW38" i="37" s="1"/>
  <c r="K14" i="44"/>
  <c r="L14" i="44" s="1"/>
  <c r="V14" i="44" s="1"/>
  <c r="AG45" i="37"/>
  <c r="AH45" i="37" s="1"/>
  <c r="BB45" i="37" s="1"/>
  <c r="AI45" i="37" s="1"/>
  <c r="K16" i="44"/>
  <c r="L16" i="44" s="1"/>
  <c r="V16" i="44" s="1"/>
  <c r="AG11" i="37"/>
  <c r="K34" i="44"/>
  <c r="L34" i="44" s="1"/>
  <c r="V34" i="44" s="1"/>
  <c r="AG14" i="37"/>
  <c r="AH14" i="37" s="1"/>
  <c r="K40" i="44"/>
  <c r="L40" i="44" s="1"/>
  <c r="V40" i="44" s="1"/>
  <c r="AG31" i="37"/>
  <c r="AH31" i="37" s="1"/>
  <c r="BB31" i="37" s="1"/>
  <c r="K12" i="44"/>
  <c r="L12" i="44" s="1"/>
  <c r="V12" i="44" s="1"/>
  <c r="AG22" i="37"/>
  <c r="BA22" i="37" s="1"/>
  <c r="AW22" i="37" s="1"/>
  <c r="K46" i="44"/>
  <c r="AA46" i="44" s="1"/>
  <c r="AB46" i="44" s="1"/>
  <c r="AG46" i="44" s="1"/>
  <c r="AG47" i="37"/>
  <c r="AH47" i="37" s="1"/>
  <c r="BB47" i="37" s="1"/>
  <c r="AX47" i="37" s="1"/>
  <c r="K18" i="44"/>
  <c r="L18" i="44" s="1"/>
  <c r="V18" i="44" s="1"/>
  <c r="AG9" i="37"/>
  <c r="AG52" i="37" s="1"/>
  <c r="BA52" i="37" s="1"/>
  <c r="AW52" i="37" s="1"/>
  <c r="AD47" i="37"/>
  <c r="AL47" i="37" s="1"/>
  <c r="Y66" i="37"/>
  <c r="AD22" i="37"/>
  <c r="AL22" i="37" s="1"/>
  <c r="AD43" i="37"/>
  <c r="AL43" i="37" s="1"/>
  <c r="AD31" i="37"/>
  <c r="AL31" i="37" s="1"/>
  <c r="AD19" i="37"/>
  <c r="AL19" i="37" s="1"/>
  <c r="AM26" i="37" a="1"/>
  <c r="AM26" i="37" s="1"/>
  <c r="AD36" i="37"/>
  <c r="AL36" i="37" s="1"/>
  <c r="AD15" i="37"/>
  <c r="AL15" i="37" s="1"/>
  <c r="AD24" i="37"/>
  <c r="AL24" i="37" s="1"/>
  <c r="AM12" i="37" a="1"/>
  <c r="AM12" i="37" s="1"/>
  <c r="AD45" i="37"/>
  <c r="AL45" i="37" s="1"/>
  <c r="AM38" i="37" a="1"/>
  <c r="AM38" i="37" s="1"/>
  <c r="AM9" i="37" a="1"/>
  <c r="AM9" i="37" s="1"/>
  <c r="AD32" i="37"/>
  <c r="AL32" i="37" s="1"/>
  <c r="AM41" i="37" a="1"/>
  <c r="AM41" i="37" s="1"/>
  <c r="AD14" i="37"/>
  <c r="AL14" i="37" s="1"/>
  <c r="AD34" i="37"/>
  <c r="AL34" i="37" s="1"/>
  <c r="AD11" i="37"/>
  <c r="Z55" i="37"/>
  <c r="Z52" i="37"/>
  <c r="Z56" i="37"/>
  <c r="BA32" i="37"/>
  <c r="AW32" i="37" s="1"/>
  <c r="Z54" i="37"/>
  <c r="Z53" i="37"/>
  <c r="Z61" i="37"/>
  <c r="Z58" i="37"/>
  <c r="AD15" i="41"/>
  <c r="AJ15" i="41" a="1"/>
  <c r="AJ15" i="41" s="1"/>
  <c r="AA15" i="41"/>
  <c r="AI15" i="41" s="1"/>
  <c r="AD26" i="41"/>
  <c r="AA26" i="41"/>
  <c r="AJ26" i="41" a="1"/>
  <c r="AJ26" i="41" s="1"/>
  <c r="Z55" i="41"/>
  <c r="AD12" i="41"/>
  <c r="AA12" i="41"/>
  <c r="AI12" i="41" s="1"/>
  <c r="AJ12" i="41" a="1"/>
  <c r="AJ12" i="41" s="1"/>
  <c r="AJ19" i="41" a="1"/>
  <c r="AJ19" i="41" s="1"/>
  <c r="AD19" i="41"/>
  <c r="AA19" i="41"/>
  <c r="AI19" i="41" s="1"/>
  <c r="AD43" i="41"/>
  <c r="AA43" i="41"/>
  <c r="AJ43" i="41" a="1"/>
  <c r="AJ43" i="41" s="1"/>
  <c r="Z58" i="41"/>
  <c r="AA24" i="41"/>
  <c r="AI24" i="41" s="1"/>
  <c r="AD24" i="41"/>
  <c r="AJ24" i="41" a="1"/>
  <c r="AJ24" i="41" s="1"/>
  <c r="AD9" i="41"/>
  <c r="AA9" i="41"/>
  <c r="AJ9" i="41" a="1"/>
  <c r="AJ9" i="41" s="1"/>
  <c r="Z61" i="41"/>
  <c r="W8" i="29" s="1"/>
  <c r="Z52" i="41"/>
  <c r="AA47" i="41"/>
  <c r="AI47" i="41" s="1"/>
  <c r="AD47" i="41"/>
  <c r="AJ47" i="41" a="1"/>
  <c r="AJ47" i="41" s="1"/>
  <c r="AD22" i="41"/>
  <c r="AA22" i="41"/>
  <c r="AI22" i="41" s="1"/>
  <c r="AJ22" i="41" a="1"/>
  <c r="AJ22" i="41" s="1"/>
  <c r="AD41" i="41"/>
  <c r="AA41" i="41"/>
  <c r="AI41" i="41" s="1"/>
  <c r="AJ41" i="41" a="1"/>
  <c r="AJ41" i="41" s="1"/>
  <c r="AA35" i="41"/>
  <c r="AI35" i="41" s="1"/>
  <c r="AD35" i="41"/>
  <c r="AJ35" i="41" a="1"/>
  <c r="AJ35" i="41" s="1"/>
  <c r="AD38" i="41"/>
  <c r="AA38" i="41"/>
  <c r="AI38" i="41" s="1"/>
  <c r="AJ38" i="41" a="1"/>
  <c r="AJ38" i="41" s="1"/>
  <c r="Z57" i="41"/>
  <c r="AD36" i="41"/>
  <c r="AA36" i="41"/>
  <c r="AJ36" i="41" a="1"/>
  <c r="AJ36" i="41" s="1"/>
  <c r="AD45" i="41"/>
  <c r="AA45" i="41"/>
  <c r="AI45" i="41" s="1"/>
  <c r="AJ45" i="41" a="1"/>
  <c r="AJ45" i="41" s="1"/>
  <c r="Z57" i="37"/>
  <c r="Z53" i="41"/>
  <c r="AA11" i="41"/>
  <c r="AD11" i="41"/>
  <c r="AJ11" i="41" a="1"/>
  <c r="AJ11" i="41" s="1"/>
  <c r="Z56" i="41"/>
  <c r="AD32" i="41"/>
  <c r="AA32" i="41"/>
  <c r="AI32" i="41" s="1"/>
  <c r="AJ32" i="41" a="1"/>
  <c r="AJ32" i="41" s="1"/>
  <c r="Z54" i="41"/>
  <c r="AA14" i="41"/>
  <c r="AJ14" i="41" a="1"/>
  <c r="AJ14" i="41" s="1"/>
  <c r="AD14" i="41"/>
  <c r="AA34" i="41"/>
  <c r="AI34" i="41" s="1"/>
  <c r="AD34" i="41"/>
  <c r="AJ34" i="41" a="1"/>
  <c r="AJ34" i="41" s="1"/>
  <c r="AD31" i="41"/>
  <c r="AJ31" i="41" a="1"/>
  <c r="AJ31" i="41" s="1"/>
  <c r="AA31" i="41"/>
  <c r="AT9" i="37"/>
  <c r="Q9" i="37" s="1"/>
  <c r="P56" i="37"/>
  <c r="AT56" i="37" s="1"/>
  <c r="AT43" i="37"/>
  <c r="Q43" i="37" s="1"/>
  <c r="P58" i="37"/>
  <c r="AT58" i="37" s="1"/>
  <c r="AT14" i="37"/>
  <c r="Q14" i="37" s="1"/>
  <c r="P54" i="37"/>
  <c r="AT26" i="37"/>
  <c r="Q26" i="37" s="1"/>
  <c r="P55" i="37"/>
  <c r="AT55" i="37" s="1"/>
  <c r="AT36" i="37"/>
  <c r="Q36" i="37" s="1"/>
  <c r="P57" i="37"/>
  <c r="AT57" i="37" s="1"/>
  <c r="P61" i="37"/>
  <c r="AT61" i="37" s="1"/>
  <c r="Q61" i="37" s="1"/>
  <c r="V8" i="29" l="1"/>
  <c r="W46" i="29" s="1"/>
  <c r="BS15" i="45"/>
  <c r="AY15" i="45"/>
  <c r="BS13" i="45"/>
  <c r="AY13" i="45"/>
  <c r="BS14" i="45"/>
  <c r="AY14" i="45"/>
  <c r="BS26" i="45"/>
  <c r="AY26" i="45"/>
  <c r="AY48" i="45"/>
  <c r="BS48" i="45"/>
  <c r="AY19" i="45"/>
  <c r="BS19" i="45"/>
  <c r="AG55" i="37"/>
  <c r="BA55" i="37" s="1"/>
  <c r="AW55" i="37" s="1"/>
  <c r="AY31" i="45"/>
  <c r="BS31" i="45"/>
  <c r="BS12" i="45"/>
  <c r="AY12" i="45"/>
  <c r="L13" i="44"/>
  <c r="V13" i="44" s="1"/>
  <c r="AD35" i="37"/>
  <c r="AL35" i="37" s="1"/>
  <c r="AO35" i="37" s="1"/>
  <c r="AP35" i="37" s="1"/>
  <c r="AA19" i="44"/>
  <c r="AB19" i="44" s="1"/>
  <c r="AG19" i="44" s="1"/>
  <c r="BS21" i="45"/>
  <c r="AY21" i="45"/>
  <c r="BR50" i="45"/>
  <c r="BA43" i="37"/>
  <c r="AW43" i="37" s="1"/>
  <c r="BA45" i="37"/>
  <c r="AW45" i="37" s="1"/>
  <c r="L42" i="44"/>
  <c r="V42" i="44" s="1"/>
  <c r="AA15" i="44"/>
  <c r="AB15" i="44" s="1"/>
  <c r="AG15" i="44" s="1"/>
  <c r="L7" i="44"/>
  <c r="V7" i="44" s="1"/>
  <c r="AA25" i="44"/>
  <c r="AB25" i="44" s="1"/>
  <c r="AG25" i="44" s="1"/>
  <c r="AA37" i="44"/>
  <c r="AB37" i="44" s="1"/>
  <c r="AG37" i="44" s="1"/>
  <c r="L20" i="44"/>
  <c r="V20" i="44" s="1"/>
  <c r="BA15" i="37"/>
  <c r="AW15" i="37" s="1"/>
  <c r="AM22" i="37" a="1"/>
  <c r="AM22" i="37" s="1"/>
  <c r="AO22" i="37" s="1"/>
  <c r="AP22" i="37" s="1"/>
  <c r="AA8" i="44"/>
  <c r="AB8" i="44" s="1"/>
  <c r="AG8" i="44" s="1"/>
  <c r="AA11" i="44"/>
  <c r="AB11" i="44" s="1"/>
  <c r="AG11" i="44" s="1"/>
  <c r="AA16" i="44"/>
  <c r="AB16" i="44" s="1"/>
  <c r="AG16" i="44" s="1"/>
  <c r="K60" i="44"/>
  <c r="BA14" i="37"/>
  <c r="AW14" i="37" s="1"/>
  <c r="AH26" i="37"/>
  <c r="AH55" i="37" s="1"/>
  <c r="BB55" i="37" s="1"/>
  <c r="AX55" i="37" s="1"/>
  <c r="AA14" i="44"/>
  <c r="AB14" i="44" s="1"/>
  <c r="AG14" i="44" s="1"/>
  <c r="L44" i="44"/>
  <c r="V44" i="44" s="1"/>
  <c r="AA12" i="44"/>
  <c r="AB12" i="44" s="1"/>
  <c r="AG12" i="44" s="1"/>
  <c r="AA34" i="44"/>
  <c r="AB34" i="44" s="1"/>
  <c r="AG34" i="44" s="1"/>
  <c r="AA18" i="44"/>
  <c r="AB18" i="44" s="1"/>
  <c r="AG18" i="44" s="1"/>
  <c r="AA40" i="44"/>
  <c r="AB40" i="44" s="1"/>
  <c r="AG40" i="44" s="1"/>
  <c r="L26" i="44"/>
  <c r="V26" i="44" s="1"/>
  <c r="L46" i="44"/>
  <c r="V46" i="44" s="1"/>
  <c r="BA9" i="37"/>
  <c r="AW9" i="37" s="1"/>
  <c r="AH9" i="37"/>
  <c r="AH52" i="37" s="1"/>
  <c r="BB52" i="37" s="1"/>
  <c r="AX52" i="37" s="1"/>
  <c r="AM43" i="37" a="1"/>
  <c r="AM43" i="37" s="1"/>
  <c r="AO43" i="37" s="1"/>
  <c r="AP43" i="37" s="1"/>
  <c r="AM47" i="37" a="1"/>
  <c r="AM47" i="37" s="1"/>
  <c r="AO47" i="37" s="1"/>
  <c r="AP47" i="37" s="1"/>
  <c r="AM15" i="37" a="1"/>
  <c r="AM15" i="37" s="1"/>
  <c r="AO15" i="37" s="1"/>
  <c r="AP15" i="37" s="1"/>
  <c r="AM14" i="37" a="1"/>
  <c r="AM14" i="37" s="1"/>
  <c r="AO14" i="37" s="1"/>
  <c r="AP14" i="37" s="1"/>
  <c r="AD9" i="37"/>
  <c r="AL9" i="37" s="1"/>
  <c r="AO9" i="37" s="1"/>
  <c r="AP9" i="37" s="1"/>
  <c r="AM32" i="37" a="1"/>
  <c r="AM32" i="37" s="1"/>
  <c r="AO32" i="37" s="1"/>
  <c r="AP32" i="37" s="1"/>
  <c r="AD38" i="37"/>
  <c r="AL38" i="37" s="1"/>
  <c r="AO38" i="37" s="1"/>
  <c r="AP38" i="37" s="1"/>
  <c r="AB7" i="44"/>
  <c r="AM45" i="37" a="1"/>
  <c r="AM45" i="37" s="1"/>
  <c r="AO45" i="37" s="1"/>
  <c r="AP45" i="37" s="1"/>
  <c r="AM36" i="37" a="1"/>
  <c r="AM36" i="37" s="1"/>
  <c r="AO36" i="37" s="1"/>
  <c r="AP36" i="37" s="1"/>
  <c r="AM19" i="37" a="1"/>
  <c r="AM19" i="37" s="1"/>
  <c r="AO19" i="37" s="1"/>
  <c r="AP19" i="37" s="1"/>
  <c r="AD12" i="37"/>
  <c r="AL12" i="37" s="1"/>
  <c r="AO12" i="37" s="1"/>
  <c r="AP12" i="37" s="1"/>
  <c r="AD26" i="37"/>
  <c r="AL26" i="37" s="1"/>
  <c r="AO26" i="37" s="1"/>
  <c r="AP26" i="37" s="1"/>
  <c r="AM11" i="37" a="1"/>
  <c r="AM11" i="37" s="1"/>
  <c r="AM31" i="37" a="1"/>
  <c r="AM31" i="37" s="1"/>
  <c r="AO31" i="37" s="1"/>
  <c r="AP31" i="37" s="1"/>
  <c r="AM16" i="37" a="1"/>
  <c r="AM16" i="37" s="1"/>
  <c r="AD16" i="37"/>
  <c r="AL16" i="37" s="1"/>
  <c r="AD41" i="37"/>
  <c r="AL41" i="37" s="1"/>
  <c r="AO41" i="37" s="1"/>
  <c r="AP41" i="37" s="1"/>
  <c r="AM40" i="37" a="1"/>
  <c r="AM40" i="37" s="1"/>
  <c r="AD40" i="37"/>
  <c r="AL40" i="37" s="1"/>
  <c r="AM44" i="37" a="1"/>
  <c r="AM44" i="37" s="1"/>
  <c r="AD44" i="37"/>
  <c r="AL44" i="37" s="1"/>
  <c r="AM30" i="37" a="1"/>
  <c r="AM30" i="37" s="1"/>
  <c r="AD30" i="37"/>
  <c r="AL30" i="37" s="1"/>
  <c r="AA61" i="37"/>
  <c r="AD7" i="37"/>
  <c r="AM7" i="37" a="1"/>
  <c r="AM7" i="37" s="1"/>
  <c r="AM24" i="37" a="1"/>
  <c r="AM24" i="37" s="1"/>
  <c r="AO24" i="37" s="1"/>
  <c r="AP24" i="37" s="1"/>
  <c r="AD25" i="37"/>
  <c r="AL25" i="37" s="1"/>
  <c r="AM25" i="37" a="1"/>
  <c r="AM25" i="37" s="1"/>
  <c r="AM17" i="37" a="1"/>
  <c r="AM17" i="37" s="1"/>
  <c r="AD17" i="37"/>
  <c r="AL17" i="37" s="1"/>
  <c r="AD18" i="37"/>
  <c r="AL18" i="37" s="1"/>
  <c r="AM18" i="37" a="1"/>
  <c r="AM18" i="37" s="1"/>
  <c r="AD42" i="37"/>
  <c r="AL42" i="37" s="1"/>
  <c r="AM42" i="37" a="1"/>
  <c r="AM42" i="37" s="1"/>
  <c r="AM8" i="37" a="1"/>
  <c r="AM8" i="37" s="1"/>
  <c r="AD8" i="37"/>
  <c r="AL8" i="37" s="1"/>
  <c r="AM29" i="37" a="1"/>
  <c r="AM29" i="37" s="1"/>
  <c r="AD29" i="37"/>
  <c r="AL29" i="37" s="1"/>
  <c r="AD33" i="37"/>
  <c r="AL33" i="37" s="1"/>
  <c r="AM33" i="37" a="1"/>
  <c r="AM33" i="37" s="1"/>
  <c r="AM48" i="37" a="1"/>
  <c r="AM48" i="37" s="1"/>
  <c r="AD48" i="37"/>
  <c r="AL48" i="37" s="1"/>
  <c r="AM37" i="37" a="1"/>
  <c r="AM37" i="37" s="1"/>
  <c r="AD37" i="37"/>
  <c r="AL37" i="37" s="1"/>
  <c r="AM46" i="37" a="1"/>
  <c r="AM46" i="37" s="1"/>
  <c r="AD46" i="37"/>
  <c r="AL46" i="37" s="1"/>
  <c r="AM34" i="37" a="1"/>
  <c r="AM34" i="37" s="1"/>
  <c r="AO34" i="37" s="1"/>
  <c r="AP34" i="37" s="1"/>
  <c r="AD39" i="37"/>
  <c r="AL39" i="37" s="1"/>
  <c r="AM39" i="37" a="1"/>
  <c r="AM39" i="37" s="1"/>
  <c r="AM28" i="37" a="1"/>
  <c r="AM28" i="37" s="1"/>
  <c r="AD28" i="37"/>
  <c r="AL28" i="37" s="1"/>
  <c r="AM13" i="37" a="1"/>
  <c r="AM13" i="37" s="1"/>
  <c r="AD13" i="37"/>
  <c r="AL13" i="37" s="1"/>
  <c r="AD27" i="37"/>
  <c r="AL27" i="37" s="1"/>
  <c r="AM27" i="37" a="1"/>
  <c r="AM27" i="37" s="1"/>
  <c r="AD10" i="37"/>
  <c r="AL10" i="37" s="1"/>
  <c r="AM10" i="37" a="1"/>
  <c r="AM10" i="37" s="1"/>
  <c r="AM23" i="37" a="1"/>
  <c r="AM23" i="37" s="1"/>
  <c r="AD23" i="37"/>
  <c r="AL23" i="37" s="1"/>
  <c r="AM21" i="37" a="1"/>
  <c r="AM21" i="37" s="1"/>
  <c r="AD21" i="37"/>
  <c r="AL21" i="37" s="1"/>
  <c r="AM20" i="37" a="1"/>
  <c r="AM20" i="37" s="1"/>
  <c r="AD20" i="37"/>
  <c r="AL20" i="37" s="1"/>
  <c r="AH35" i="37"/>
  <c r="BB35" i="37" s="1"/>
  <c r="AI35" i="37" s="1"/>
  <c r="AH19" i="37"/>
  <c r="BB19" i="37" s="1"/>
  <c r="AX19" i="37" s="1"/>
  <c r="AH36" i="37"/>
  <c r="BB36" i="37" s="1"/>
  <c r="AH38" i="37"/>
  <c r="BB38" i="37" s="1"/>
  <c r="AX38" i="37" s="1"/>
  <c r="BA31" i="37"/>
  <c r="AW31" i="37" s="1"/>
  <c r="AX45" i="37"/>
  <c r="AH41" i="37"/>
  <c r="BB41" i="37" s="1"/>
  <c r="AX41" i="37" s="1"/>
  <c r="AG57" i="37"/>
  <c r="BA57" i="37" s="1"/>
  <c r="AW57" i="37" s="1"/>
  <c r="AX34" i="37"/>
  <c r="BA34" i="37"/>
  <c r="AW34" i="37" s="1"/>
  <c r="W18" i="29"/>
  <c r="AH32" i="37"/>
  <c r="BB32" i="37" s="1"/>
  <c r="AX32" i="37" s="1"/>
  <c r="AG56" i="37"/>
  <c r="BA56" i="37" s="1"/>
  <c r="AW56" i="37" s="1"/>
  <c r="AI47" i="37"/>
  <c r="AG58" i="37"/>
  <c r="BA58" i="37" s="1"/>
  <c r="AW58" i="37" s="1"/>
  <c r="AH12" i="37"/>
  <c r="BB12" i="37" s="1"/>
  <c r="AX12" i="37" s="1"/>
  <c r="AG53" i="37"/>
  <c r="BA53" i="37" s="1"/>
  <c r="AW53" i="37" s="1"/>
  <c r="BA47" i="37"/>
  <c r="AW47" i="37" s="1"/>
  <c r="AH11" i="37"/>
  <c r="BB11" i="37" s="1"/>
  <c r="BA11" i="37"/>
  <c r="AW11" i="37" s="1"/>
  <c r="AH22" i="37"/>
  <c r="BB22" i="37" s="1"/>
  <c r="AX22" i="37" s="1"/>
  <c r="AL11" i="37"/>
  <c r="AH24" i="37"/>
  <c r="BB24" i="37" s="1"/>
  <c r="AI24" i="37" s="1"/>
  <c r="AG54" i="37"/>
  <c r="BA54" i="37" s="1"/>
  <c r="AW54" i="37" s="1"/>
  <c r="W11" i="29"/>
  <c r="W17" i="29" s="1"/>
  <c r="Z59" i="37"/>
  <c r="AG61" i="37"/>
  <c r="BA61" i="37" s="1"/>
  <c r="AW61" i="37" s="1"/>
  <c r="Z65" i="37"/>
  <c r="Z66" i="37" s="1"/>
  <c r="AL38" i="41"/>
  <c r="AM38" i="41" s="1"/>
  <c r="AL15" i="41"/>
  <c r="AM15" i="41" s="1"/>
  <c r="AL32" i="41"/>
  <c r="AM32" i="41" s="1"/>
  <c r="AX34" i="41"/>
  <c r="AT34" i="41" s="1"/>
  <c r="AE34" i="41"/>
  <c r="AY34" i="41" s="1"/>
  <c r="AX32" i="41"/>
  <c r="AT32" i="41" s="1"/>
  <c r="AE32" i="41"/>
  <c r="AY32" i="41" s="1"/>
  <c r="AL45" i="41"/>
  <c r="AM45" i="41" s="1"/>
  <c r="AX38" i="41"/>
  <c r="AT38" i="41" s="1"/>
  <c r="AE38" i="41"/>
  <c r="AY38" i="41" s="1"/>
  <c r="AL22" i="41"/>
  <c r="AM22" i="41" s="1"/>
  <c r="AJ61" i="41"/>
  <c r="AI43" i="41"/>
  <c r="AA58" i="41"/>
  <c r="AL34" i="41"/>
  <c r="AM34" i="41" s="1"/>
  <c r="AX45" i="41"/>
  <c r="AT45" i="41" s="1"/>
  <c r="AE45" i="41"/>
  <c r="AY45" i="41" s="1"/>
  <c r="AX22" i="41"/>
  <c r="AT22" i="41" s="1"/>
  <c r="AE22" i="41"/>
  <c r="AY22" i="41" s="1"/>
  <c r="AI9" i="41"/>
  <c r="AA52" i="41"/>
  <c r="AA61" i="41"/>
  <c r="AD65" i="37" s="1"/>
  <c r="AX43" i="41"/>
  <c r="AT43" i="41" s="1"/>
  <c r="AE43" i="41"/>
  <c r="AD58" i="41"/>
  <c r="AX58" i="41" s="1"/>
  <c r="AT58" i="41" s="1"/>
  <c r="AX14" i="41"/>
  <c r="AT14" i="41" s="1"/>
  <c r="AD54" i="41"/>
  <c r="AX54" i="41" s="1"/>
  <c r="AT54" i="41" s="1"/>
  <c r="AE14" i="41"/>
  <c r="AX35" i="41"/>
  <c r="AT35" i="41" s="1"/>
  <c r="AE35" i="41"/>
  <c r="AY35" i="41" s="1"/>
  <c r="AX9" i="41"/>
  <c r="AT9" i="41" s="1"/>
  <c r="AE9" i="41"/>
  <c r="AD61" i="41"/>
  <c r="AX61" i="41" s="1"/>
  <c r="AT61" i="41" s="1"/>
  <c r="AD52" i="41"/>
  <c r="AL19" i="41"/>
  <c r="AM19" i="41" s="1"/>
  <c r="AI26" i="41"/>
  <c r="AA55" i="41"/>
  <c r="AX12" i="41"/>
  <c r="AT12" i="41" s="1"/>
  <c r="AE12" i="41"/>
  <c r="AY12" i="41" s="1"/>
  <c r="AD53" i="41"/>
  <c r="AX53" i="41" s="1"/>
  <c r="AT53" i="41" s="1"/>
  <c r="AX11" i="41"/>
  <c r="AT11" i="41" s="1"/>
  <c r="AE11" i="41"/>
  <c r="AA57" i="41"/>
  <c r="AI36" i="41"/>
  <c r="AL35" i="41"/>
  <c r="AM35" i="41" s="1"/>
  <c r="AX19" i="41"/>
  <c r="AT19" i="41" s="1"/>
  <c r="AE19" i="41"/>
  <c r="AY19" i="41" s="1"/>
  <c r="AX26" i="41"/>
  <c r="AT26" i="41" s="1"/>
  <c r="AE26" i="41"/>
  <c r="AD55" i="41"/>
  <c r="AX55" i="41" s="1"/>
  <c r="AT55" i="41" s="1"/>
  <c r="AA56" i="41"/>
  <c r="AI31" i="41"/>
  <c r="AI14" i="41"/>
  <c r="AA54" i="41"/>
  <c r="AA53" i="41"/>
  <c r="AI11" i="41"/>
  <c r="AD57" i="41"/>
  <c r="AX57" i="41" s="1"/>
  <c r="AT57" i="41" s="1"/>
  <c r="AX36" i="41"/>
  <c r="AT36" i="41" s="1"/>
  <c r="AE36" i="41"/>
  <c r="AX47" i="41"/>
  <c r="AT47" i="41" s="1"/>
  <c r="AE47" i="41"/>
  <c r="AY47" i="41" s="1"/>
  <c r="AX24" i="41"/>
  <c r="AT24" i="41" s="1"/>
  <c r="AE24" i="41"/>
  <c r="AY24" i="41" s="1"/>
  <c r="AL41" i="41"/>
  <c r="AM41" i="41" s="1"/>
  <c r="AL47" i="41"/>
  <c r="AM47" i="41" s="1"/>
  <c r="AL24" i="41"/>
  <c r="AM24" i="41" s="1"/>
  <c r="AX31" i="41"/>
  <c r="AT31" i="41" s="1"/>
  <c r="AD56" i="41"/>
  <c r="AX56" i="41" s="1"/>
  <c r="AT56" i="41" s="1"/>
  <c r="AE31" i="41"/>
  <c r="AX41" i="41"/>
  <c r="AT41" i="41" s="1"/>
  <c r="AE41" i="41"/>
  <c r="AY41" i="41" s="1"/>
  <c r="Z59" i="41"/>
  <c r="AL12" i="41"/>
  <c r="AM12" i="41" s="1"/>
  <c r="AX15" i="41"/>
  <c r="AT15" i="41" s="1"/>
  <c r="AE15" i="41"/>
  <c r="AY15" i="41" s="1"/>
  <c r="AX15" i="37"/>
  <c r="AI15" i="37"/>
  <c r="AX31" i="37"/>
  <c r="AI31" i="37"/>
  <c r="BB14" i="37"/>
  <c r="P59" i="37"/>
  <c r="AT59" i="37" s="1"/>
  <c r="AT54" i="37"/>
  <c r="BB43" i="37"/>
  <c r="AH58" i="37"/>
  <c r="BB58" i="37" s="1"/>
  <c r="AX58" i="37" s="1"/>
  <c r="V18" i="29" l="1"/>
  <c r="AL56" i="37"/>
  <c r="BB9" i="37"/>
  <c r="AI9" i="37" s="1"/>
  <c r="BS50" i="45"/>
  <c r="AY50" i="45"/>
  <c r="V60" i="44"/>
  <c r="BB26" i="37"/>
  <c r="AX26" i="37" s="1"/>
  <c r="AA60" i="44"/>
  <c r="AL57" i="37"/>
  <c r="L60" i="44"/>
  <c r="AX35" i="37"/>
  <c r="AO11" i="37"/>
  <c r="AP11" i="37" s="1"/>
  <c r="AO13" i="37"/>
  <c r="AP13" i="37" s="1"/>
  <c r="AI19" i="37"/>
  <c r="AL55" i="37"/>
  <c r="AL54" i="37"/>
  <c r="AD58" i="37"/>
  <c r="AO8" i="37"/>
  <c r="AP8" i="37" s="1"/>
  <c r="AG7" i="44"/>
  <c r="AB60" i="44"/>
  <c r="AB61" i="44"/>
  <c r="AB62" i="44"/>
  <c r="AL58" i="37"/>
  <c r="AD56" i="37"/>
  <c r="AI38" i="37"/>
  <c r="AD54" i="37"/>
  <c r="AM61" i="37"/>
  <c r="AO37" i="37"/>
  <c r="AP37" i="37" s="1"/>
  <c r="AO44" i="37"/>
  <c r="AP44" i="37" s="1"/>
  <c r="AD55" i="37"/>
  <c r="AO23" i="37"/>
  <c r="AP23" i="37" s="1"/>
  <c r="AO28" i="37"/>
  <c r="AP28" i="37" s="1"/>
  <c r="AO25" i="37"/>
  <c r="AP25" i="37" s="1"/>
  <c r="AD57" i="37"/>
  <c r="AO48" i="37"/>
  <c r="AP48" i="37" s="1"/>
  <c r="AO40" i="37"/>
  <c r="AP40" i="37" s="1"/>
  <c r="AO42" i="37"/>
  <c r="AP42" i="37" s="1"/>
  <c r="AO20" i="37"/>
  <c r="AP20" i="37" s="1"/>
  <c r="AO10" i="37"/>
  <c r="AP10" i="37" s="1"/>
  <c r="AO39" i="37"/>
  <c r="AP39" i="37" s="1"/>
  <c r="AL7" i="37"/>
  <c r="AL61" i="37" s="1"/>
  <c r="AD52" i="37"/>
  <c r="AO33" i="37"/>
  <c r="AP33" i="37" s="1"/>
  <c r="AP56" i="37" s="1"/>
  <c r="AO18" i="37"/>
  <c r="AP18" i="37" s="1"/>
  <c r="AO16" i="37"/>
  <c r="AP16" i="37" s="1"/>
  <c r="AD61" i="37"/>
  <c r="AD66" i="37" s="1"/>
  <c r="AD53" i="37"/>
  <c r="AO21" i="37"/>
  <c r="AP21" i="37" s="1"/>
  <c r="AO27" i="37"/>
  <c r="AP27" i="37" s="1"/>
  <c r="AO46" i="37"/>
  <c r="AP46" i="37" s="1"/>
  <c r="AO29" i="37"/>
  <c r="AP29" i="37" s="1"/>
  <c r="AO17" i="37"/>
  <c r="AP17" i="37" s="1"/>
  <c r="AO30" i="37"/>
  <c r="AP30" i="37" s="1"/>
  <c r="AH57" i="37"/>
  <c r="BB57" i="37" s="1"/>
  <c r="AX57" i="37" s="1"/>
  <c r="AH56" i="37"/>
  <c r="BB56" i="37" s="1"/>
  <c r="AX56" i="37" s="1"/>
  <c r="AI32" i="37"/>
  <c r="AI41" i="37"/>
  <c r="AL53" i="37"/>
  <c r="AG59" i="37"/>
  <c r="BA59" i="37" s="1"/>
  <c r="AW59" i="37" s="1"/>
  <c r="AX24" i="37"/>
  <c r="AI22" i="37"/>
  <c r="AI12" i="37"/>
  <c r="AH53" i="37"/>
  <c r="BB53" i="37" s="1"/>
  <c r="AX53" i="37" s="1"/>
  <c r="AH54" i="37"/>
  <c r="AH61" i="37"/>
  <c r="BB61" i="37" s="1"/>
  <c r="AI61" i="37" s="1"/>
  <c r="V11" i="29"/>
  <c r="V17" i="29" s="1"/>
  <c r="AU15" i="41"/>
  <c r="AF15" i="41"/>
  <c r="AY11" i="41"/>
  <c r="AE53" i="41"/>
  <c r="AY53" i="41" s="1"/>
  <c r="AU53" i="41" s="1"/>
  <c r="AX52" i="41"/>
  <c r="AT52" i="41" s="1"/>
  <c r="AD59" i="41"/>
  <c r="AX59" i="41" s="1"/>
  <c r="AT59" i="41" s="1"/>
  <c r="AF38" i="41"/>
  <c r="AU38" i="41"/>
  <c r="AY26" i="41"/>
  <c r="AE55" i="41"/>
  <c r="AY55" i="41" s="1"/>
  <c r="AU55" i="41" s="1"/>
  <c r="AF45" i="41"/>
  <c r="AU45" i="41"/>
  <c r="AI53" i="41"/>
  <c r="AL11" i="41"/>
  <c r="AM11" i="41" s="1"/>
  <c r="AM53" i="41" s="1"/>
  <c r="AY9" i="41"/>
  <c r="AE61" i="41"/>
  <c r="AY61" i="41" s="1"/>
  <c r="AE52" i="41"/>
  <c r="AY43" i="41"/>
  <c r="AE58" i="41"/>
  <c r="AY58" i="41" s="1"/>
  <c r="AU58" i="41" s="1"/>
  <c r="AU41" i="41"/>
  <c r="AF41" i="41"/>
  <c r="AF24" i="41"/>
  <c r="AU24" i="41"/>
  <c r="AF19" i="41"/>
  <c r="AU19" i="41"/>
  <c r="AF12" i="41"/>
  <c r="AU12" i="41"/>
  <c r="AF32" i="41"/>
  <c r="AU32" i="41"/>
  <c r="AU35" i="41"/>
  <c r="AF35" i="41"/>
  <c r="AE57" i="41"/>
  <c r="AY57" i="41" s="1"/>
  <c r="AU57" i="41" s="1"/>
  <c r="AY36" i="41"/>
  <c r="AU47" i="41"/>
  <c r="AF47" i="41"/>
  <c r="AI54" i="41"/>
  <c r="AL14" i="41"/>
  <c r="AM14" i="41" s="1"/>
  <c r="AM54" i="41" s="1"/>
  <c r="AA59" i="41"/>
  <c r="AL43" i="41"/>
  <c r="AM43" i="41" s="1"/>
  <c r="AM58" i="41" s="1"/>
  <c r="AI58" i="41"/>
  <c r="AU34" i="41"/>
  <c r="AF34" i="41"/>
  <c r="AU22" i="41"/>
  <c r="AF22" i="41"/>
  <c r="AY31" i="41"/>
  <c r="AE56" i="41"/>
  <c r="AY56" i="41" s="1"/>
  <c r="AU56" i="41" s="1"/>
  <c r="AI56" i="41"/>
  <c r="AL31" i="41"/>
  <c r="AM31" i="41" s="1"/>
  <c r="AM56" i="41" s="1"/>
  <c r="AL36" i="41"/>
  <c r="AM36" i="41" s="1"/>
  <c r="AM57" i="41" s="1"/>
  <c r="AI57" i="41"/>
  <c r="AL26" i="41"/>
  <c r="AM26" i="41" s="1"/>
  <c r="AM55" i="41" s="1"/>
  <c r="AI55" i="41"/>
  <c r="AE54" i="41"/>
  <c r="AY54" i="41" s="1"/>
  <c r="AU54" i="41" s="1"/>
  <c r="AY14" i="41"/>
  <c r="AL9" i="41"/>
  <c r="AM9" i="41" s="1"/>
  <c r="AI61" i="41"/>
  <c r="AI52" i="41"/>
  <c r="AX14" i="37"/>
  <c r="AI14" i="37"/>
  <c r="AX11" i="37"/>
  <c r="AI11" i="37"/>
  <c r="AX36" i="37"/>
  <c r="AI36" i="37"/>
  <c r="AX43" i="37"/>
  <c r="AI43" i="37"/>
  <c r="AI26" i="37" l="1"/>
  <c r="AX9" i="37"/>
  <c r="AP53" i="37"/>
  <c r="AP54" i="37"/>
  <c r="AP58" i="37"/>
  <c r="AG62" i="44"/>
  <c r="AB68" i="44"/>
  <c r="AA62" i="44"/>
  <c r="AP57" i="37"/>
  <c r="AB66" i="44"/>
  <c r="AG60" i="44"/>
  <c r="AG61" i="44"/>
  <c r="AA61" i="44"/>
  <c r="AB67" i="44"/>
  <c r="AD59" i="37"/>
  <c r="AP55" i="37"/>
  <c r="AO7" i="37"/>
  <c r="AP7" i="37" s="1"/>
  <c r="AL52" i="37"/>
  <c r="AL59" i="37" s="1"/>
  <c r="AX61" i="37"/>
  <c r="AH59" i="37"/>
  <c r="BB59" i="37" s="1"/>
  <c r="AX59" i="37" s="1"/>
  <c r="BB54" i="37"/>
  <c r="AX54" i="37" s="1"/>
  <c r="AM62" i="41"/>
  <c r="AL62" i="41" s="1"/>
  <c r="AM61" i="41"/>
  <c r="AL61" i="41" s="1"/>
  <c r="AM52" i="41"/>
  <c r="AM59" i="41" s="1"/>
  <c r="AM63" i="41"/>
  <c r="AL63" i="41" s="1"/>
  <c r="AF9" i="41"/>
  <c r="AU9" i="41"/>
  <c r="AU14" i="41"/>
  <c r="AF14" i="41"/>
  <c r="AU31" i="41"/>
  <c r="AF31" i="41"/>
  <c r="AF61" i="41"/>
  <c r="AU61" i="41"/>
  <c r="AU11" i="41"/>
  <c r="AF11" i="41"/>
  <c r="AU43" i="41"/>
  <c r="AF43" i="41"/>
  <c r="AI59" i="41"/>
  <c r="AU36" i="41"/>
  <c r="AF36" i="41"/>
  <c r="AY52" i="41"/>
  <c r="AU52" i="41" s="1"/>
  <c r="AE59" i="41"/>
  <c r="AY59" i="41" s="1"/>
  <c r="AU59" i="41" s="1"/>
  <c r="AF26" i="41"/>
  <c r="AU26" i="41"/>
  <c r="AP63" i="37" l="1"/>
  <c r="AO63" i="37" s="1"/>
  <c r="AP52" i="37"/>
  <c r="AP59" i="37" s="1"/>
  <c r="AP62" i="37"/>
  <c r="AO62" i="37" s="1"/>
  <c r="AP61" i="37"/>
  <c r="AO61" i="37" s="1"/>
  <c r="V19" i="29"/>
  <c r="AO62" i="41"/>
  <c r="W19" i="29"/>
  <c r="AR62"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Currie</author>
    <author>tc={36512505-6CA3-42C9-85EB-DA5549E3DD69}</author>
  </authors>
  <commentList>
    <comment ref="AI16" authorId="0" shapeId="0" xr:uid="{01D4DE9C-C26F-4D95-803C-7DDC7C4966E7}">
      <text>
        <r>
          <rPr>
            <b/>
            <sz val="9"/>
            <color indexed="81"/>
            <rFont val="Tahoma"/>
            <family val="2"/>
          </rPr>
          <t>Simon Currie:</t>
        </r>
        <r>
          <rPr>
            <sz val="9"/>
            <color indexed="81"/>
            <rFont val="Tahoma"/>
            <family val="2"/>
          </rPr>
          <t xml:space="preserve">
Confirmed with Jeff, £56m variance vs £39m plan
</t>
        </r>
      </text>
    </comment>
    <comment ref="BG20" authorId="0" shapeId="0" xr:uid="{58A7DBAB-C159-4E04-9862-D494EB4B3ABD}">
      <text>
        <r>
          <rPr>
            <b/>
            <sz val="9"/>
            <color indexed="81"/>
            <rFont val="Tahoma"/>
            <family val="2"/>
          </rPr>
          <t>Simon Currie:</t>
        </r>
        <r>
          <rPr>
            <sz val="9"/>
            <color indexed="81"/>
            <rFont val="Tahoma"/>
            <family val="2"/>
          </rPr>
          <t xml:space="preserve">
Plan deficit reduced from £19m</t>
        </r>
      </text>
    </comment>
    <comment ref="BG21" authorId="0" shapeId="0" xr:uid="{570CC563-BB16-4D7D-BFF2-58754B5B515A}">
      <text>
        <r>
          <rPr>
            <b/>
            <sz val="9"/>
            <color indexed="81"/>
            <rFont val="Tahoma"/>
            <family val="2"/>
          </rPr>
          <t>Simon Currie:</t>
        </r>
        <r>
          <rPr>
            <sz val="9"/>
            <color indexed="81"/>
            <rFont val="Tahoma"/>
            <family val="2"/>
          </rPr>
          <t xml:space="preserve">
Plan deficit reduced from £30m</t>
        </r>
      </text>
    </comment>
    <comment ref="BG22" authorId="0" shapeId="0" xr:uid="{A7CBC965-E5F2-4B64-8792-3C73A488F53E}">
      <text>
        <r>
          <rPr>
            <b/>
            <sz val="9"/>
            <color indexed="81"/>
            <rFont val="Tahoma"/>
            <family val="2"/>
          </rPr>
          <t>Simon Currie:</t>
        </r>
        <r>
          <rPr>
            <sz val="9"/>
            <color indexed="81"/>
            <rFont val="Tahoma"/>
            <family val="2"/>
          </rPr>
          <t xml:space="preserve">
Plan deficit reduced from £50m</t>
        </r>
      </text>
    </comment>
    <comment ref="BG24" authorId="0" shapeId="0" xr:uid="{654F429A-1905-466F-864F-B981D0A804E6}">
      <text>
        <r>
          <rPr>
            <b/>
            <sz val="9"/>
            <color indexed="81"/>
            <rFont val="Tahoma"/>
            <family val="2"/>
          </rPr>
          <t>Simon Currie:</t>
        </r>
        <r>
          <rPr>
            <sz val="9"/>
            <color indexed="81"/>
            <rFont val="Tahoma"/>
            <family val="2"/>
          </rPr>
          <t xml:space="preserve">
Plan deficit reduced from £40m </t>
        </r>
      </text>
    </comment>
    <comment ref="BG25" authorId="0" shapeId="0" xr:uid="{3F8C4FA0-CF4C-4DEB-85C7-363F30901223}">
      <text>
        <r>
          <rPr>
            <b/>
            <sz val="9"/>
            <color indexed="81"/>
            <rFont val="Tahoma"/>
            <family val="2"/>
          </rPr>
          <t>Simon Currie:</t>
        </r>
        <r>
          <rPr>
            <sz val="9"/>
            <color indexed="81"/>
            <rFont val="Tahoma"/>
            <family val="2"/>
          </rPr>
          <t xml:space="preserve">
Plan reduced from £69m</t>
        </r>
      </text>
    </comment>
    <comment ref="AI38" authorId="1" shapeId="0" xr:uid="{36512505-6CA3-42C9-85EB-DA5549E3DD69}">
      <text>
        <t>[Threaded comment]
Your version of Excel allows you to read this threaded comment; however, any edits to it will get removed if the file is opened in a newer version of Excel. Learn more: https://go.microsoft.com/fwlink/?linkid=870924
Comment:
    Includes £30m hit on 3Ts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<sst xmlns="http://schemas.openxmlformats.org/spreadsheetml/2006/main" count="8778" uniqueCount="1217">
  <si>
    <t>Baseline</t>
  </si>
  <si>
    <t>Base growth</t>
  </si>
  <si>
    <t>Convergence</t>
  </si>
  <si>
    <t>ERF</t>
  </si>
  <si>
    <t>2024/25 Microsoft Licence (£k)</t>
  </si>
  <si>
    <t>2024/25 Additional capacity allocation (£k)</t>
  </si>
  <si>
    <t>2024/25 COVID Testing Allocation (£k)</t>
  </si>
  <si>
    <t>ICB</t>
  </si>
  <si>
    <t>NHS Greater Manchester ICB</t>
  </si>
  <si>
    <t>AfC Recurrent Pay Funding (£k)</t>
  </si>
  <si>
    <t>DDRB Recurrent Pay Funding (£k)</t>
  </si>
  <si>
    <t>Inflation Funding (£k)</t>
  </si>
  <si>
    <t>Allocations (ICB core services)</t>
  </si>
  <si>
    <t>R23</t>
  </si>
  <si>
    <t>Region</t>
  </si>
  <si>
    <t>ICB23</t>
  </si>
  <si>
    <t>System Name</t>
  </si>
  <si>
    <t>Y63</t>
  </si>
  <si>
    <t>North East and Yorkshire</t>
  </si>
  <si>
    <t>QOQ</t>
  </si>
  <si>
    <t>NHS Humber and North Yorkshire ICB</t>
  </si>
  <si>
    <t>QHM</t>
  </si>
  <si>
    <t>NHS North East and North Cumbria ICB</t>
  </si>
  <si>
    <t>QF7</t>
  </si>
  <si>
    <t>NHS South Yorkshire ICB</t>
  </si>
  <si>
    <t>QWO</t>
  </si>
  <si>
    <t>NHS West Yorkshire ICB</t>
  </si>
  <si>
    <t>Y62</t>
  </si>
  <si>
    <t>North West</t>
  </si>
  <si>
    <t>QYG</t>
  </si>
  <si>
    <t>NHS Cheshire and Merseyside ICB</t>
  </si>
  <si>
    <t>QOP</t>
  </si>
  <si>
    <t>QE1</t>
  </si>
  <si>
    <t>NHS Lancashire and South Cumbria ICB</t>
  </si>
  <si>
    <t>Y60</t>
  </si>
  <si>
    <t>Midlands</t>
  </si>
  <si>
    <t>QHL</t>
  </si>
  <si>
    <t>NHS Birmingham and Solihull ICB</t>
  </si>
  <si>
    <t>QUA</t>
  </si>
  <si>
    <t>NHS Black Country ICB</t>
  </si>
  <si>
    <t>QWU</t>
  </si>
  <si>
    <t>NHS Coventry and Warwickshire ICB</t>
  </si>
  <si>
    <t>QJ2</t>
  </si>
  <si>
    <t>NHS Derby and Derbyshire ICB</t>
  </si>
  <si>
    <t>QGH</t>
  </si>
  <si>
    <t>NHS Herefordshire and Worcestershire ICB</t>
  </si>
  <si>
    <t>QK1</t>
  </si>
  <si>
    <t>NHS Leicester, Leicestershire and Rutland ICB</t>
  </si>
  <si>
    <t>QJM</t>
  </si>
  <si>
    <t>NHS Lincolnshire ICB</t>
  </si>
  <si>
    <t>QPM</t>
  </si>
  <si>
    <t>NHS Northamptonshire ICB</t>
  </si>
  <si>
    <t>QT1</t>
  </si>
  <si>
    <t>NHS Nottingham and Nottinghamshire ICB</t>
  </si>
  <si>
    <t>QOC</t>
  </si>
  <si>
    <t>NHS Shropshire, Telford and Wrekin ICB</t>
  </si>
  <si>
    <t>QNC</t>
  </si>
  <si>
    <t>NHS Staffordshire and Stoke-on-Trent ICB</t>
  </si>
  <si>
    <t>Y61</t>
  </si>
  <si>
    <t>East of England</t>
  </si>
  <si>
    <t>QHG</t>
  </si>
  <si>
    <t>NHS Bedfordshire, Luton and Milton Keynes ICB</t>
  </si>
  <si>
    <t>QUE</t>
  </si>
  <si>
    <t>NHS Cambridgeshire and Peterborough ICB</t>
  </si>
  <si>
    <t>QM7</t>
  </si>
  <si>
    <t>NHS Hertfordshire and West Essex ICB</t>
  </si>
  <si>
    <t>QH8</t>
  </si>
  <si>
    <t>NHS Mid and South Essex ICB</t>
  </si>
  <si>
    <t>QMM</t>
  </si>
  <si>
    <t>NHS Norfolk and Waveney ICB</t>
  </si>
  <si>
    <t>QJG</t>
  </si>
  <si>
    <t>NHS Suffolk and North East Essex ICB</t>
  </si>
  <si>
    <t>Y56</t>
  </si>
  <si>
    <t>London</t>
  </si>
  <si>
    <t>QMJ</t>
  </si>
  <si>
    <t>NHS North Central London ICB</t>
  </si>
  <si>
    <t>QMF</t>
  </si>
  <si>
    <t>NHS North East London ICB</t>
  </si>
  <si>
    <t>QRV</t>
  </si>
  <si>
    <t>NHS North West London ICB</t>
  </si>
  <si>
    <t>QKK</t>
  </si>
  <si>
    <t>NHS South East London ICB</t>
  </si>
  <si>
    <t>QWE</t>
  </si>
  <si>
    <t>NHS South West London ICB</t>
  </si>
  <si>
    <t>Y59</t>
  </si>
  <si>
    <t>South East</t>
  </si>
  <si>
    <t>QU9</t>
  </si>
  <si>
    <t>NHS Buckinghamshire, Oxfordshire and Berkshire West ICB</t>
  </si>
  <si>
    <t>QNQ</t>
  </si>
  <si>
    <t>NHS Frimley ICB</t>
  </si>
  <si>
    <t>QRL</t>
  </si>
  <si>
    <t>NHS Hampshire and Isle Of Wight ICB</t>
  </si>
  <si>
    <t>QKS</t>
  </si>
  <si>
    <t>NHS Kent and Medway ICB</t>
  </si>
  <si>
    <t>QXU</t>
  </si>
  <si>
    <t>NHS Surrey Heartlands ICB</t>
  </si>
  <si>
    <t>QNX</t>
  </si>
  <si>
    <t>NHS Sussex ICB</t>
  </si>
  <si>
    <t>Y58</t>
  </si>
  <si>
    <t>South West</t>
  </si>
  <si>
    <t>QOX</t>
  </si>
  <si>
    <t>NHS Bath and North East Somerset, Swindon and Wiltshire ICB</t>
  </si>
  <si>
    <t>QUY</t>
  </si>
  <si>
    <t>NHS Bristol, North Somerset and South Gloucestershire ICB</t>
  </si>
  <si>
    <t>QT6</t>
  </si>
  <si>
    <t>NHS Cornwall and The Isles Of Scilly ICB</t>
  </si>
  <si>
    <t>QJK</t>
  </si>
  <si>
    <t>NHS Devon ICB</t>
  </si>
  <si>
    <t>QVV</t>
  </si>
  <si>
    <t>NHS Dorset ICB</t>
  </si>
  <si>
    <t>QR1</t>
  </si>
  <si>
    <t>NHS Gloucestershire ICB</t>
  </si>
  <si>
    <t>QSL</t>
  </si>
  <si>
    <t>NHS Somerset ICB</t>
  </si>
  <si>
    <t>Sort</t>
  </si>
  <si>
    <t>Total</t>
  </si>
  <si>
    <t>ENGLAND</t>
  </si>
  <si>
    <t>Original 24/25 Recurrent Allocation (£k)</t>
  </si>
  <si>
    <t>Updated 24/25 Recurrent Allocaiton (£k)</t>
  </si>
  <si>
    <t>Change (%)</t>
  </si>
  <si>
    <t>Change (£k)</t>
  </si>
  <si>
    <t>Change due to baseline (£k)</t>
  </si>
  <si>
    <t>Change due to Additional funding (£k)</t>
  </si>
  <si>
    <t>o/w Base growth SR21 Stretch removal</t>
  </si>
  <si>
    <t>o/w Convergence reductions</t>
  </si>
  <si>
    <t>Old allocations growth</t>
  </si>
  <si>
    <t>New allocaitons growth</t>
  </si>
  <si>
    <t>2024/25 Base growth (%) - OLD</t>
  </si>
  <si>
    <t>2024/25 Base growth (%) - UPDATED</t>
  </si>
  <si>
    <t>Base growth change (%)</t>
  </si>
  <si>
    <t>Cost of base growth update (£k)</t>
  </si>
  <si>
    <t>2024/25 Convergence (%) - OLD</t>
  </si>
  <si>
    <t>New Convergence (%)</t>
  </si>
  <si>
    <t>Convergence change (%)</t>
  </si>
  <si>
    <t>Cost (£k)</t>
  </si>
  <si>
    <t>Total Cost (£k)</t>
  </si>
  <si>
    <t>New 24/25 Allocaitons</t>
  </si>
  <si>
    <t>% of allocation</t>
  </si>
  <si>
    <t>note adjusted by the old convergence which would be the true £s impact</t>
  </si>
  <si>
    <t>Baseline construction 2024/25</t>
  </si>
  <si>
    <t>2023/24 Recurrent baseline
(£k)</t>
  </si>
  <si>
    <t>2023/24 COVID 
(£k)</t>
  </si>
  <si>
    <t>2023/24 Adjusted recurrent baseline 
(£k)</t>
  </si>
  <si>
    <t>2023/24 COVID (£k)</t>
  </si>
  <si>
    <t>IDK how this was calculated</t>
  </si>
  <si>
    <t>is this 24/25?</t>
  </si>
  <si>
    <t>2023/24 Distance from target inc COVID
(%)</t>
  </si>
  <si>
    <t xml:space="preserve"> </t>
  </si>
  <si>
    <t>2024/25 Recurrent allocation (£k)</t>
  </si>
  <si>
    <t>Population</t>
  </si>
  <si>
    <t>2024/25 Recurrent allocation £/head</t>
  </si>
  <si>
    <t>2024/25 Recurrent allocation growth 
(%)</t>
  </si>
  <si>
    <t>2024/25 Additional elective funding (£k)</t>
  </si>
  <si>
    <t>2024/25 Total allocation (£k)</t>
  </si>
  <si>
    <t>2024/25 Total allocation growth (%)</t>
  </si>
  <si>
    <t>2024/25 Additional discharge allocation
(£k)</t>
  </si>
  <si>
    <t>2024/25 Ambulance Capacity Funding (£k)</t>
  </si>
  <si>
    <t>2024/25 FTA adjustment (£k)</t>
  </si>
  <si>
    <t>2024/25 IFRS16 (£k)</t>
  </si>
  <si>
    <t>2024/25 Combined allocation (inc. COVID, Additional elective, discharge and capacity)
(£k)</t>
  </si>
  <si>
    <t>Old GDP Deflator</t>
  </si>
  <si>
    <t>Av: -0.45%</t>
  </si>
  <si>
    <t>GDP Deflator</t>
  </si>
  <si>
    <t>&lt;- Goal Seek</t>
  </si>
  <si>
    <t>Changing base growth</t>
  </si>
  <si>
    <t>Max: -0.62%</t>
  </si>
  <si>
    <t>No longer works for the 0.2% increase</t>
  </si>
  <si>
    <t>New GDP Deflator</t>
  </si>
  <si>
    <t>1.3% to 2.8%</t>
  </si>
  <si>
    <t>2.7% to 4.7%</t>
  </si>
  <si>
    <t>1%/6.5%+3.5%</t>
  </si>
  <si>
    <t>90% to 45% scalar</t>
  </si>
  <si>
    <t>£1bn to £1.5bn</t>
  </si>
  <si>
    <t>Impact of 1% GDP deflator</t>
  </si>
  <si>
    <t>Comments</t>
  </si>
  <si>
    <t>Acute funding</t>
  </si>
  <si>
    <t>Other base growth</t>
  </si>
  <si>
    <t>Capacity</t>
  </si>
  <si>
    <t>£0.5bn</t>
  </si>
  <si>
    <t>£1bn</t>
  </si>
  <si>
    <t>£1.5bn</t>
  </si>
  <si>
    <t>Potential increase</t>
  </si>
  <si>
    <t>Deficit impact</t>
  </si>
  <si>
    <t>Impact efficiency metric</t>
  </si>
  <si>
    <t>IS provider leakage</t>
  </si>
  <si>
    <t>Primary care impact</t>
  </si>
  <si>
    <t>MHIS impact</t>
  </si>
  <si>
    <t>ICB Core</t>
  </si>
  <si>
    <t>Money to ICBs</t>
  </si>
  <si>
    <t>Specialised Convergence</t>
  </si>
  <si>
    <t>Maybe</t>
  </si>
  <si>
    <t>c95%</t>
  </si>
  <si>
    <t>Yes</t>
  </si>
  <si>
    <t>Cost of applying positive convergence to those below target, applying a minimum floor of CUF to those above target, and adjusting for specialised drugs. This should have an impact on deficits - impacts 2.2% efficiency target</t>
  </si>
  <si>
    <t>On</t>
  </si>
  <si>
    <t>ICB GP</t>
  </si>
  <si>
    <t>2% inflation funded in allocations - so the difference is x%-2%</t>
  </si>
  <si>
    <t>Leakage</t>
  </si>
  <si>
    <t>ICB convergence</t>
  </si>
  <si>
    <t>Any remaining funding could be used to reduce the negative convergence for those ICBs above target (or this could be a specific measure). Given almost all ICBs are in deficit this would reduce the deficit</t>
  </si>
  <si>
    <t>Off</t>
  </si>
  <si>
    <t>ICB RCA</t>
  </si>
  <si>
    <t>Chosen not to fund</t>
  </si>
  <si>
    <t>SR21 Stretch</t>
  </si>
  <si>
    <t>Yes c£30m</t>
  </si>
  <si>
    <t>Applied a -0.3% to base growth in 24/25 for the SR21 stretch efficiency. Money would flow to ICBs who are almost all in deficit and they could reduce the convergence ask on the providers in their system that required it the most - impacts 2.2% efficiency target</t>
  </si>
  <si>
    <t>Specialised</t>
  </si>
  <si>
    <t>To Other ICB streams (DC)</t>
  </si>
  <si>
    <t>Acute capacity (ICB)</t>
  </si>
  <si>
    <t>Proposed 0.8%</t>
  </si>
  <si>
    <t>tbc</t>
  </si>
  <si>
    <t>POD</t>
  </si>
  <si>
    <t>Acute capacity (Spec)</t>
  </si>
  <si>
    <t>No</t>
  </si>
  <si>
    <t>Armed Forces</t>
  </si>
  <si>
    <t>Spent on other issues</t>
  </si>
  <si>
    <t>Acute capacity (ODC)</t>
  </si>
  <si>
    <t>Health &amp; Justice</t>
  </si>
  <si>
    <t>Prescribing</t>
  </si>
  <si>
    <t>£350m</t>
  </si>
  <si>
    <t>Based on x the prescribing pressure looks to be £250-500m, building additional funding into allocations for this would allieviate some of this pressure. Funding would flow to ICBs who are almost all in deficit assuming no strings were attached to this money it could flow to where it is needed to solve deficits</t>
  </si>
  <si>
    <t>Public Health</t>
  </si>
  <si>
    <t>Potential further knock-on to the 50% that’s GP related (again above 2%)</t>
  </si>
  <si>
    <t>To non-ICBs (RCA etc)</t>
  </si>
  <si>
    <t>NHSE/I Admin/Programme</t>
  </si>
  <si>
    <t>System View</t>
  </si>
  <si>
    <t>NHS Digital</t>
  </si>
  <si>
    <t>Assumed to support system position</t>
  </si>
  <si>
    <t>GDP deflator (2024/25)</t>
  </si>
  <si>
    <t>£100-200m</t>
  </si>
  <si>
    <t>No - tariff</t>
  </si>
  <si>
    <t>Yes c10%</t>
  </si>
  <si>
    <t>Yes (above 2%)</t>
  </si>
  <si>
    <t>WTE</t>
  </si>
  <si>
    <t>Chosen not to fund - would go to ICBs</t>
  </si>
  <si>
    <t>Solving deficits</t>
  </si>
  <si>
    <t>Ambulance</t>
  </si>
  <si>
    <t>FYE of funding distributed in 2023/24</t>
  </si>
  <si>
    <t>SDF</t>
  </si>
  <si>
    <t>Currently choosing to fund</t>
  </si>
  <si>
    <t>Amount to those in surplus</t>
  </si>
  <si>
    <t>Doesn’t support system position</t>
  </si>
  <si>
    <t>To ICB core</t>
  </si>
  <si>
    <t>o/w IS Leakage</t>
  </si>
  <si>
    <t>To ICB core deficit</t>
  </si>
  <si>
    <t>To Other ICB</t>
  </si>
  <si>
    <t>Solving deficits (ignoring leakage)</t>
  </si>
  <si>
    <t>o/w Other Leakage</t>
  </si>
  <si>
    <t>Amount to surplus (ignoring leakage)</t>
  </si>
  <si>
    <t>Before</t>
  </si>
  <si>
    <t>Surplus/Deficit</t>
  </si>
  <si>
    <t>To Non-ICB</t>
  </si>
  <si>
    <t>Deficits</t>
  </si>
  <si>
    <t>Surplus</t>
  </si>
  <si>
    <t>To help with deficit</t>
  </si>
  <si>
    <t>Doesn’t help with deficit</t>
  </si>
  <si>
    <t>Deficit</t>
  </si>
  <si>
    <t>Balance</t>
  </si>
  <si>
    <t>Original NEL growth</t>
  </si>
  <si>
    <t>Additional growth</t>
  </si>
  <si>
    <t>New NEL growth</t>
  </si>
  <si>
    <t>Provider view</t>
  </si>
  <si>
    <t>1% NEL</t>
  </si>
  <si>
    <t>GDP deflator (catchup)</t>
  </si>
  <si>
    <t>£280-460m</t>
  </si>
  <si>
    <t>0.8%-1.1% -  £35m per 0.1%</t>
  </si>
  <si>
    <t>c50%</t>
  </si>
  <si>
    <t>Reinstate original £0.5bn capacity</t>
  </si>
  <si>
    <t>£500m</t>
  </si>
  <si>
    <t>Capacity funding was due to increase from £1bn in 23/24 to £1.5bn in 24/25, this was slashed to fund the initial £0.5bn conversations, we could in theory reinstate this. We would expect them to deliver more from this money so no improvement in the deficit</t>
  </si>
  <si>
    <t>Population growth adjustment</t>
  </si>
  <si>
    <t>c0.5%</t>
  </si>
  <si>
    <t>Allocations were formed on 0.43% population growth, the current estimate is 0.97%. Would only fund those that this caused a pressure which is 39/42 ICBs. Given almost all ICBs are in deficit this would reduce the deficit</t>
  </si>
  <si>
    <t>Original prescribing growth</t>
  </si>
  <si>
    <t>New Prescribing growth</t>
  </si>
  <si>
    <t>Original CHC growth</t>
  </si>
  <si>
    <t>Considerations</t>
  </si>
  <si>
    <t>GDP deflator ties our hands on tariff but will likely already be an issue at the AS - maybe already bring this to 1.9% (1.6%+flex)</t>
  </si>
  <si>
    <t>New CHC growth</t>
  </si>
  <si>
    <t>GDP deflator have to look at Provider-level rather than at ICB level? - Caveat but ultimatley fine at ICB. Maybe this might make them do less efficiency rather than getting a higher surplus</t>
  </si>
  <si>
    <t>Prescribing/CHC</t>
  </si>
  <si>
    <t>Prescribing/CHC unlikely to fully solve pressure</t>
  </si>
  <si>
    <t>1% both</t>
  </si>
  <si>
    <t>Convergence hits our 2.2% efficiency target (that we're already under due to 0.3% SR)</t>
  </si>
  <si>
    <t>NEL/UEC would lead to leakage if we explicitly set out what it was for and forced them to put it into contracts</t>
  </si>
  <si>
    <t>CHC</t>
  </si>
  <si>
    <t>Inter-system flows</t>
  </si>
  <si>
    <t>Population growth - would require SL analysis</t>
  </si>
  <si>
    <t>MHIS</t>
  </si>
  <si>
    <t>Potential funding</t>
  </si>
  <si>
    <t>Impact efficiency metric?</t>
  </si>
  <si>
    <t>% goes towards deficits</t>
  </si>
  <si>
    <t>Commentary</t>
  </si>
  <si>
    <t>Specialised convergence</t>
  </si>
  <si>
    <t>£60-80m</t>
  </si>
  <si>
    <t>SR21 stretch</t>
  </si>
  <si>
    <t>£300m</t>
  </si>
  <si>
    <t>0.3%-0.6%</t>
  </si>
  <si>
    <t>GDP deflator is currently 1.3%, expecting this to be 1.6%-1.9% in the AS, this funding will not be new money as it will reflect higher pressure next year thus no benefit to deficits</t>
  </si>
  <si>
    <t>0.8%-1.1%</t>
  </si>
  <si>
    <t>Assuming catchup for; 20/21-23/24=0%, 21/22-23/24=0.8%, 22/23-23/24=1.1%. This will be new funding that will help deficits. This will be built into tariff therefore attracting tariff leakage to IS and the funding cannot be targeted towards deficits meaning funding will go to Community/MH providers that tend to have smaller deficits than Acute providers</t>
  </si>
  <si>
    <t>Acute capacity funding</t>
  </si>
  <si>
    <t>c£75m/0.1%</t>
  </si>
  <si>
    <t>0-70%</t>
  </si>
  <si>
    <t>0.9% in 23/24 and 0.2% in 24/25 was built into allocations for acute capacity growth. If this was increased more funding would flow to the Acute providers who tend to have a greater proportion of deficits. However this could also come with strings attached buying more capacity which would not lead to reduced deficits</t>
  </si>
  <si>
    <t>£250-500m</t>
  </si>
  <si>
    <t>c£500m</t>
  </si>
  <si>
    <t>c£100m/0.1%</t>
  </si>
  <si>
    <t>maybe top in annex</t>
  </si>
  <si>
    <t>maybe expect all ICBs to improve by 1% - whats left (hopefully gets rid of the smaller deficits)</t>
  </si>
  <si>
    <t>convergence_2024_25</t>
  </si>
  <si>
    <t>p-specialised-commissioning-convergence</t>
  </si>
  <si>
    <t>2023/24 Adjusted recurrent baseline physical health services 
(£k)</t>
  </si>
  <si>
    <t>2023/24 Adjusted recurrent baseline HCDD 
(£k)</t>
  </si>
  <si>
    <t>2023/24 Adjusted recurrent baseline incl HCDD (£k)</t>
  </si>
  <si>
    <t>2023/24 Fair shares target inc. COVID</t>
  </si>
  <si>
    <t>2023/24 Distance from target (%)</t>
  </si>
  <si>
    <t>2024/25 Base growth (%)</t>
  </si>
  <si>
    <t>2024/25 Convergence (%)</t>
  </si>
  <si>
    <t>2024/25 Physical Health Services + HCDD recurrent allocation (£k)</t>
  </si>
  <si>
    <t>2024/25 Physical Health Services + HCDD recurrent allocation £/head</t>
  </si>
  <si>
    <t>2024/25 Post-convergence distance from target (%)</t>
  </si>
  <si>
    <t>2024/25 Physical Health Services + HCDD allocation growth (%)</t>
  </si>
  <si>
    <t>2024/25 HCDD total (£k)</t>
  </si>
  <si>
    <t>2024/25 Physical Health Services recurrent allocation (£k)</t>
  </si>
  <si>
    <t>2024/25 Physical Health Services recurrent allocation £/head</t>
  </si>
  <si>
    <t>2024/25 Physical Health Services allocation growth (%)</t>
  </si>
  <si>
    <t>old convergence</t>
  </si>
  <si>
    <t>Old</t>
  </si>
  <si>
    <t>Floor adj</t>
  </si>
  <si>
    <t>Further floor</t>
  </si>
  <si>
    <t>2023/24 Physical Health Services + HCDD recurrent baseline (£k)</t>
  </si>
  <si>
    <t>MHIS Scalar</t>
  </si>
  <si>
    <t>Spec</t>
  </si>
  <si>
    <t>Comm stream</t>
  </si>
  <si>
    <t>CONTROL</t>
  </si>
  <si>
    <t>Baselines</t>
  </si>
  <si>
    <t>Previous £s growth</t>
  </si>
  <si>
    <t>New £s</t>
  </si>
  <si>
    <t>Old %s</t>
  </si>
  <si>
    <t>Impact of % changes</t>
  </si>
  <si>
    <t>New %s</t>
  </si>
  <si>
    <t>On/Off</t>
  </si>
  <si>
    <t>Var</t>
  </si>
  <si>
    <t>Input</t>
  </si>
  <si>
    <t>ICB conv</t>
  </si>
  <si>
    <t>Acute capacity (ICB</t>
  </si>
  <si>
    <t>Spec conv</t>
  </si>
  <si>
    <t>Spec floor</t>
  </si>
  <si>
    <t>New deficit</t>
  </si>
  <si>
    <t>Specialised floor</t>
  </si>
  <si>
    <t>In floor</t>
  </si>
  <si>
    <t>?</t>
  </si>
  <si>
    <t>Analysis of distributing a further £500m</t>
  </si>
  <si>
    <t>Var to national weighted population growth</t>
  </si>
  <si>
    <t>Var (£)</t>
  </si>
  <si>
    <t>baseline+base growth</t>
  </si>
  <si>
    <t>Old Convergence (£k)</t>
  </si>
  <si>
    <t>New convergence (%)</t>
  </si>
  <si>
    <t>New Convergence (£)</t>
  </si>
  <si>
    <t>Old rec</t>
  </si>
  <si>
    <t>2024/25 Target(£k)</t>
  </si>
  <si>
    <t>2024/25 Post-convergence target 
(%)</t>
  </si>
  <si>
    <t>var (£k)</t>
  </si>
  <si>
    <t>2024/25 Post-convergence distance from target 
(%)</t>
  </si>
  <si>
    <t>Old Post-convergence DfT</t>
  </si>
  <si>
    <t>Impact of changing base growth (scaled up to £500m)</t>
  </si>
  <si>
    <t>New convergence</t>
  </si>
  <si>
    <t>Impact of changing convergence</t>
  </si>
  <si>
    <t>Base growth 1 - GDP Deflator (ICB Core)</t>
  </si>
  <si>
    <t>Base growth 1 - GDP Deflator (Other streams) - purely notional</t>
  </si>
  <si>
    <t>Base growth 1 - GDP Deflator (ICB Core leakage)</t>
  </si>
  <si>
    <t>Base growth 2 - UEC (ICB Core)</t>
  </si>
  <si>
    <t>Base growth 2 - UEC (Other streams) - purely notional</t>
  </si>
  <si>
    <t>Base growth 2 - UEC (ICB Core Leakage)</t>
  </si>
  <si>
    <t>Base growth 3 - Prescribing/CHC</t>
  </si>
  <si>
    <t>New</t>
  </si>
  <si>
    <t>Good</t>
  </si>
  <si>
    <t>Bad</t>
  </si>
  <si>
    <t>Allocations</t>
  </si>
  <si>
    <t>Base Growth</t>
  </si>
  <si>
    <t>Population growth</t>
  </si>
  <si>
    <t>2024/25 Microsoft Liscense (£k)</t>
  </si>
  <si>
    <t>2024/25 Combined allocation (inc. COVID, AEditional elective, discharge and capacity)
(£k)</t>
  </si>
  <si>
    <t>Surpluses</t>
  </si>
  <si>
    <t>23/24 AfC</t>
  </si>
  <si>
    <t>23/24 DDRB</t>
  </si>
  <si>
    <t>Growth</t>
  </si>
  <si>
    <t>Due to the increase from £300m to £500m</t>
  </si>
  <si>
    <t>ProvSector</t>
  </si>
  <si>
    <t>Provider org code</t>
  </si>
  <si>
    <t>Provider name</t>
  </si>
  <si>
    <t>Provider system code</t>
  </si>
  <si>
    <t>Of which is:
Acute</t>
  </si>
  <si>
    <t>Of which is:
Mental Health</t>
  </si>
  <si>
    <t>Of which is:
Community Services</t>
  </si>
  <si>
    <t>Of which is:
Secondary Dental (NHS standard contract)</t>
  </si>
  <si>
    <t>Of which is:
Community Dental (GDS contract)</t>
  </si>
  <si>
    <t>Of which is:
Delegated Primary Care Other</t>
  </si>
  <si>
    <t>Of which is:
Ambulance</t>
  </si>
  <si>
    <t>Of which is:
Other patient care</t>
  </si>
  <si>
    <t>Total contract income relating to other operating income</t>
  </si>
  <si>
    <t>NEL</t>
  </si>
  <si>
    <t>Acute</t>
  </si>
  <si>
    <t>RXL</t>
  </si>
  <si>
    <t>BLACKPOOL TEACHING HOSPITALS NHS FOUNDATION TRUST</t>
  </si>
  <si>
    <t>RXR</t>
  </si>
  <si>
    <t>EAST LANCASHIRE HOSPITALS NHS TRUST</t>
  </si>
  <si>
    <t>Mental Health</t>
  </si>
  <si>
    <t>RW5</t>
  </si>
  <si>
    <t>LANCASHIRE AND SOUTH CUMBRIA NHS FOUNDATION TRUST</t>
  </si>
  <si>
    <t>RXN</t>
  </si>
  <si>
    <t>LANCASHIRE TEACHING HOSPITALS NHS FOUNDATION TRUST</t>
  </si>
  <si>
    <t>RX7</t>
  </si>
  <si>
    <t>NORTH WEST AMBULANCE SERVICE NHS TRUST</t>
  </si>
  <si>
    <t>RTX</t>
  </si>
  <si>
    <t>UNIVERSITY HOSPITALS OF MORECAMBE BAY NHS FOUNDATION TRUST</t>
  </si>
  <si>
    <t>RFF</t>
  </si>
  <si>
    <t>BARNSLEY HOSPITAL NHS FOUNDATION TRUST</t>
  </si>
  <si>
    <t>RP5</t>
  </si>
  <si>
    <t>DONCASTER AND BASSETLAW TEACHING HOSPITALS NHS FOUNDATION TRUST</t>
  </si>
  <si>
    <t>RXE</t>
  </si>
  <si>
    <t>ROTHERHAM DONCASTER AND SOUTH HUMBER NHS FOUNDATION TRUST</t>
  </si>
  <si>
    <t>RCU</t>
  </si>
  <si>
    <t>SHEFFIELD CHILDREN'S NHS FOUNDATION TRUST</t>
  </si>
  <si>
    <t>TAH</t>
  </si>
  <si>
    <t>SHEFFIELD HEALTH AND SOCIAL CARE NHS FOUNDATION TRUST</t>
  </si>
  <si>
    <t>RHQ</t>
  </si>
  <si>
    <t>SHEFFIELD TEACHING HOSPITALS NHS FOUNDATION TRUST</t>
  </si>
  <si>
    <t>RFR</t>
  </si>
  <si>
    <t>THE ROTHERHAM NHS FOUNDATION TRUST</t>
  </si>
  <si>
    <t>RWP</t>
  </si>
  <si>
    <t>WORCESTERSHIRE ACUTE HOSPITALS NHS TRUST</t>
  </si>
  <si>
    <t>Community</t>
  </si>
  <si>
    <t>R1A</t>
  </si>
  <si>
    <t>HEREFORDSHIRE AND WORCESTERSHIRE HEALTH AND CARE NHS TRUST</t>
  </si>
  <si>
    <t>RLQ</t>
  </si>
  <si>
    <t>WYE VALLEY NHS TRUST</t>
  </si>
  <si>
    <t>R1L</t>
  </si>
  <si>
    <t>ESSEX PARTNERSHIP UNIVERSITY NHS FOUNDATION TRUST</t>
  </si>
  <si>
    <t>RAJ</t>
  </si>
  <si>
    <t>MID AND SOUTH ESSEX NHS FOUNDATION TRUST</t>
  </si>
  <si>
    <t>RC9</t>
  </si>
  <si>
    <t>BEDFORDSHIRE HOSPITALS NHS FOUNDATION TRUST</t>
  </si>
  <si>
    <t>RD8</t>
  </si>
  <si>
    <t>MILTON KEYNES UNIVERSITY HOSPITAL NHS FOUNDATION TRUST</t>
  </si>
  <si>
    <t>RXT</t>
  </si>
  <si>
    <t>BIRMINGHAM AND SOLIHULL MENTAL HEALTH NHS FOUNDATION TRUST</t>
  </si>
  <si>
    <t>RYW</t>
  </si>
  <si>
    <t>BIRMINGHAM COMMUNITY HEALTHCARE NHS FOUNDATION TRUST</t>
  </si>
  <si>
    <t>RQ3</t>
  </si>
  <si>
    <t>BIRMINGHAM WOMEN'S AND CHILDREN'S NHS FOUNDATION TRUST</t>
  </si>
  <si>
    <t>RRJ</t>
  </si>
  <si>
    <t>THE ROYAL ORTHOPAEDIC HOSPITAL NHS FOUNDATION TRUST</t>
  </si>
  <si>
    <t>RRK</t>
  </si>
  <si>
    <t>UNIVERSITY HOSPITALS BIRMINGHAM NHS FOUNDATION TRUST</t>
  </si>
  <si>
    <t>RXP</t>
  </si>
  <si>
    <t>COUNTY DURHAM AND DARLINGTON NHS FOUNDATION TRUST</t>
  </si>
  <si>
    <t>RX4</t>
  </si>
  <si>
    <t>CUMBRIA, NORTHUMBERLAND, TYNE AND WEAR NHS FOUNDATION TRUST</t>
  </si>
  <si>
    <t>RR7</t>
  </si>
  <si>
    <t>GATESHEAD HEALTH NHS FOUNDATION TRUST</t>
  </si>
  <si>
    <t>RNN</t>
  </si>
  <si>
    <t>NORTH CUMBRIA INTEGRATED CARE NHS FOUNDATION TRUST</t>
  </si>
  <si>
    <t>RX6</t>
  </si>
  <si>
    <t>NORTH EAST AMBULANCE SERVICE NHS FOUNDATION TRUST</t>
  </si>
  <si>
    <t>RVW</t>
  </si>
  <si>
    <t>NORTH TEES AND HARTLEPOOL NHS FOUNDATION TRUST</t>
  </si>
  <si>
    <t>RTF</t>
  </si>
  <si>
    <t>NORTHUMBRIA HEALTHCARE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</si>
  <si>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</si>
  <si>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</si>
  <si>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</si>
  <si>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</si>
  <si>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</si>
  <si>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</si>
  <si>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</si>
  <si>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</si>
  <si>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RFS</t>
  </si>
  <si>
    <t>CHESTERFIELD ROYAL HOSPITAL NHS FOUNDATION TRUST</t>
  </si>
  <si>
    <t>RY8</t>
  </si>
  <si>
    <t>DERBYSHIRE COMMUNITY HEALTH SERVICES NHS FOUNDATION TRUST</t>
  </si>
  <si>
    <t>RXM</t>
  </si>
  <si>
    <t>DERBYSHIRE HEALTHCARE NHS FOUNDATION TRUST</t>
  </si>
  <si>
    <t>RX9</t>
  </si>
  <si>
    <t>EAST MIDLANDS AMBULANCE SERVICE NHS TRUST</t>
  </si>
  <si>
    <t>RTG</t>
  </si>
  <si>
    <t>UNIVERSITY HOSPITALS OF DERBY AND BURTON NHS FOUNDATION TRUST</t>
  </si>
  <si>
    <t>RYC</t>
  </si>
  <si>
    <t>EAST OF ENGLAND AMBULANCE SERVICE NHS TRUST</t>
  </si>
  <si>
    <t>RDE</t>
  </si>
  <si>
    <t>EAST SUFFOLK AND NORTH ESSEX NHS FOUNDATION TRUST</t>
  </si>
  <si>
    <t>RGR</t>
  </si>
  <si>
    <t>WEST SUFFOLK NHS FOUNDATION TRUST</t>
  </si>
  <si>
    <t>RWV</t>
  </si>
  <si>
    <t>DEVON PARTNERSHIP NHS TRUST</t>
  </si>
  <si>
    <t>RH8</t>
  </si>
  <si>
    <t>ROYAL DEVON UNIVERSITY HEALTHCARE NHS FOUNDATION TRUST</t>
  </si>
  <si>
    <t>RA9</t>
  </si>
  <si>
    <t>TORBAY AND SOUTH DEVON NHS FOUNDATION TRUST</t>
  </si>
  <si>
    <t>RK9</t>
  </si>
  <si>
    <t>UNIVERSITY HOSPITALS PLYMOUTH NHS TRUST</t>
  </si>
  <si>
    <t>RY5</t>
  </si>
  <si>
    <t>LINCOLNSHIRE COMMUNITY HEALTH SERVICES NHS TRUST</t>
  </si>
  <si>
    <t>RP7</t>
  </si>
  <si>
    <t>LINCOLNSHIRE PARTNERSHIP NHS FOUNDATION TRUST</t>
  </si>
  <si>
    <t>RWD</t>
  </si>
  <si>
    <t>UNITED LINCOLNSHIRE HOSPITALS NHS TRUST</t>
  </si>
  <si>
    <t>RT5</t>
  </si>
  <si>
    <t>LEICESTERSHIRE PARTNERSHIP NHS TRUST</t>
  </si>
  <si>
    <t>RWE</t>
  </si>
  <si>
    <t>UNIVERSITY HOSPITALS OF LEICESTER NHS TRUST</t>
  </si>
  <si>
    <t>RJ1</t>
  </si>
  <si>
    <t>GUY'S AND ST THOMAS' NHS FOUNDATION TRUST</t>
  </si>
  <si>
    <t>RJZ</t>
  </si>
  <si>
    <t>KING'S COLLEGE HOSPITAL NHS FOUNDATION TRUST</t>
  </si>
  <si>
    <t>RJ2</t>
  </si>
  <si>
    <t>LEWISHAM AND GREENWICH NHS TRUST</t>
  </si>
  <si>
    <t>RPG</t>
  </si>
  <si>
    <t>OXLEAS NHS FOUNDATION TRUST</t>
  </si>
  <si>
    <t>RV5</t>
  </si>
  <si>
    <t>SOUTH LONDON AND MAUDSLEY NHS FOUNDATION TRUST</t>
  </si>
  <si>
    <t>RN7</t>
  </si>
  <si>
    <t>DARTFORD AND GRAVESHAM NHS TRUST</t>
  </si>
  <si>
    <t>RVV</t>
  </si>
  <si>
    <t>EAST KENT HOSPITALS UNIVERSITY NHS FOUNDATION TRUST</t>
  </si>
  <si>
    <t>RXY</t>
  </si>
  <si>
    <t>KENT AND MEDWAY NHS AND SOCIAL CARE PARTNERSHIP TRUST</t>
  </si>
  <si>
    <t>RYY</t>
  </si>
  <si>
    <t>KENT COMMUNITY HEALTH NHS FOUNDATION TRUST</t>
  </si>
  <si>
    <t>RWF</t>
  </si>
  <si>
    <t>MAIDSTONE AND TUNBRIDGE WELLS NHS TRUST</t>
  </si>
  <si>
    <t>RPA</t>
  </si>
  <si>
    <t>MEDWAY NHS FOUNDATION TRUST</t>
  </si>
  <si>
    <t>RWH</t>
  </si>
  <si>
    <t>EAST AND NORTH HERTFORDSHIRE NHS TRUST</t>
  </si>
  <si>
    <t>RY4</t>
  </si>
  <si>
    <t>HERTFORDSHIRE COMMUNITY NHS TRUST</t>
  </si>
  <si>
    <t>RWR</t>
  </si>
  <si>
    <t>HERTFORDSHIRE PARTNERSHIP UNIVERSITY NHS FOUNDATION TRUST</t>
  </si>
  <si>
    <t>RQW</t>
  </si>
  <si>
    <t>THE PRINCESS ALEXANDRA HOSPITAL NHS TRUST</t>
  </si>
  <si>
    <t>RWG</t>
  </si>
  <si>
    <t>WEST HERTFORDSHIRE TEACHING HOSPITALS NHS TRUST</t>
  </si>
  <si>
    <t>RF4</t>
  </si>
  <si>
    <t>BARKING, HAVERING AND REDBRIDGE UNIVERSITY HOSPITALS NHS TRUST</t>
  </si>
  <si>
    <t>R1H</t>
  </si>
  <si>
    <t>BARTS HEALTH NHS TRUST</t>
  </si>
  <si>
    <t>RWK</t>
  </si>
  <si>
    <t>EAST LONDON NHS FOUNDATION TRUST</t>
  </si>
  <si>
    <t>RQX</t>
  </si>
  <si>
    <t>HOMERTON HEALTHCARE NHS FOUNDATION TRUST</t>
  </si>
  <si>
    <t>RAT</t>
  </si>
  <si>
    <t>NORTH EAST LONDON NHS FOUNDATION TRUST</t>
  </si>
  <si>
    <t>RRP</t>
  </si>
  <si>
    <t>BARNET, ENFIELD AND HARINGEY MENTAL HEALTH NHS TRUST</t>
  </si>
  <si>
    <t>TAF</t>
  </si>
  <si>
    <t>CAMDEN AND ISLINGTON NHS FOUNDATION TRUST</t>
  </si>
  <si>
    <t>RP4</t>
  </si>
  <si>
    <t>GREAT ORMOND STREET HOSPITAL FOR CHILDREN NHS FOUNDATION TRUST</t>
  </si>
  <si>
    <t>RP6</t>
  </si>
  <si>
    <t>MOORFIELDS EYE HOSPITAL NHS FOUNDATION TRUST</t>
  </si>
  <si>
    <t>RAP</t>
  </si>
  <si>
    <t>NORTH MIDDLESEX UNIVERSITY HOSPITAL NHS TRUST</t>
  </si>
  <si>
    <t>RAL</t>
  </si>
  <si>
    <t>ROYAL FREE LONDON NHS FOUNDATION TRUST</t>
  </si>
  <si>
    <t>RAN</t>
  </si>
  <si>
    <t>ROYAL NATIONAL ORTHOPAEDIC HOSPITAL NHS TRUST</t>
  </si>
  <si>
    <t>RNK</t>
  </si>
  <si>
    <t>TAVISTOCK AND PORTMAN NHS FOUNDATION TRUST</t>
  </si>
  <si>
    <t>RRV</t>
  </si>
  <si>
    <t>UNIVERSITY COLLEGE LONDON HOSPITALS NHS FOUNDATION TRUST</t>
  </si>
  <si>
    <t>RKE</t>
  </si>
  <si>
    <t>WHITTINGTON HEALTH NHS TRUST</t>
  </si>
  <si>
    <t>RGP</t>
  </si>
  <si>
    <t>JAMES PAGET UNIVERSITY HOSPITALS NHS FOUNDATION TRUST</t>
  </si>
  <si>
    <t>RM1</t>
  </si>
  <si>
    <t>NORFOLK AND NORWICH UNIVERSITY HOSPITALS NHS FOUNDATION TRUST</t>
  </si>
  <si>
    <t>RMY</t>
  </si>
  <si>
    <t>NORFOLK AND SUFFOLK NHS FOUNDATION TRUST</t>
  </si>
  <si>
    <t>RY3</t>
  </si>
  <si>
    <t>NORFOLK COMMUNITY HEALTH AND CARE NHS TRUST</t>
  </si>
  <si>
    <t>RCX</t>
  </si>
  <si>
    <t>QUEEN ELIZABETH HOSPITAL KING'S LYNN NHS FOUNDATION TRUST</t>
  </si>
  <si>
    <t>RRE</t>
  </si>
  <si>
    <t>MIDLANDS PARTNERSHIP NHS FOUNDATION TRUST</t>
  </si>
  <si>
    <t>RLY</t>
  </si>
  <si>
    <t>NORTH STAFFORDSHIRE COMBINED HEALTHCARE NHS TRUST</t>
  </si>
  <si>
    <t>RJE</t>
  </si>
  <si>
    <t>UNIVERSITY HOSPITALS OF NORTH MIDLANDS NHS TRUST</t>
  </si>
  <si>
    <t>RDU</t>
  </si>
  <si>
    <t>FRIMLEY HEALTH NHS FOUNDATION TRUST</t>
  </si>
  <si>
    <t>RXC</t>
  </si>
  <si>
    <t>EAST SUSSEX HEALTHCARE NHS TRUST</t>
  </si>
  <si>
    <t>RPC</t>
  </si>
  <si>
    <t>QUEEN VICTORIA HOSPITAL NHS FOUNDATION TRUST</t>
  </si>
  <si>
    <t>RDR</t>
  </si>
  <si>
    <t>SUSSEX COMMUNITY NHS FOUNDATION TRUST</t>
  </si>
  <si>
    <t>RX2</t>
  </si>
  <si>
    <t>SUSSEX PARTNERSHIP NHS FOUNDATION TRUST</t>
  </si>
  <si>
    <t>RYR</t>
  </si>
  <si>
    <t>UNIVERSITY HOSPITALS SUSSEX NHS FOUNDATION TRUST</t>
  </si>
  <si>
    <t>RXW</t>
  </si>
  <si>
    <t>THE SHREWSBURY AND TELFORD HOSPITAL NHS TRUST</t>
  </si>
  <si>
    <t>R1D</t>
  </si>
  <si>
    <t>SHROPSHIRE COMMUNITY HEALTH NHS TRUST</t>
  </si>
  <si>
    <t>RL1</t>
  </si>
  <si>
    <t>THE ROBERT JONES AND AGNES HUNT ORTHOPAEDIC HOSPITAL NHS FOUNDATION TRUST</t>
  </si>
  <si>
    <t>RMC</t>
  </si>
  <si>
    <t>BOLTON NHS FOUNDATION TRUST</t>
  </si>
  <si>
    <t>RXV</t>
  </si>
  <si>
    <t>GREATER MANCHESTER MENTAL HEALTH NHS FOUNDATION TRUST</t>
  </si>
  <si>
    <t>R0A</t>
  </si>
  <si>
    <t>MANCHESTER UNIVERSITY NHS FOUNDATION TRUST</t>
  </si>
  <si>
    <t>RT2</t>
  </si>
  <si>
    <t>PENNINE CARE NHS FOUNDATION TRUST</t>
  </si>
  <si>
    <t>RM3</t>
  </si>
  <si>
    <t>NORTHERN CARE ALLIANCE NHS FOUNDATION TRUST</t>
  </si>
  <si>
    <t>RWJ</t>
  </si>
  <si>
    <t>STOCKPORT NHS FOUNDATION TRUST</t>
  </si>
  <si>
    <t>RMP</t>
  </si>
  <si>
    <t>TAMESIDE AND GLOSSOP INTEGRATED CARE NHS FOUNDATION TRUST</t>
  </si>
  <si>
    <t>RBV</t>
  </si>
  <si>
    <t>THE CHRISTIE NHS FOUNDATION TRUST</t>
  </si>
  <si>
    <t>RRF</t>
  </si>
  <si>
    <t>WRIGHTINGTON, WIGAN AND LEIGH NHS FOUNDATION TRUST</t>
  </si>
  <si>
    <t>RCD</t>
  </si>
  <si>
    <t>HARROGATE AND DISTRICT NHS FOUNDATION TRUST</t>
  </si>
  <si>
    <t>RWA</t>
  </si>
  <si>
    <t>HULL UNIVERSITY TEACHING HOSPITALS NHS TRUST</t>
  </si>
  <si>
    <t>RV9</t>
  </si>
  <si>
    <t>HUMBER TEACHING NHS FOUNDATION TRUST</t>
  </si>
  <si>
    <t>RJL</t>
  </si>
  <si>
    <t>NORTHERN LINCOLNSHIRE AND GOOLE NHS FOUNDATION TRUST</t>
  </si>
  <si>
    <t>RCB</t>
  </si>
  <si>
    <t>YORK AND SCARBOROUGH TEACHING HOSPITALS NHS FOUNDATION TRUST</t>
  </si>
  <si>
    <t>RN3</t>
  </si>
  <si>
    <t>GREAT WESTERN HOSPITALS NHS FOUNDATION TRUST</t>
  </si>
  <si>
    <t>RD1</t>
  </si>
  <si>
    <t>ROYAL UNITED HOSPITALS BATH NHS FOUNDATION TRUST</t>
  </si>
  <si>
    <t>RNZ</t>
  </si>
  <si>
    <t>SALISBURY NHS FOUNDATION TRUST</t>
  </si>
  <si>
    <t>RNQ</t>
  </si>
  <si>
    <t>KETTERING GENERAL HOSPITAL NHS FOUNDATION TRUST</t>
  </si>
  <si>
    <t>RNS</t>
  </si>
  <si>
    <t>NORTHAMPTON GENERAL HOSPITAL NHS TRUST</t>
  </si>
  <si>
    <t>RP1</t>
  </si>
  <si>
    <t>NORTHAMPTONSHIRE HEALTHCARE NHS FOUNDATION TRUST</t>
  </si>
  <si>
    <t>RTQ</t>
  </si>
  <si>
    <t>GLOUCESTERSHIRE HEALTH AND CARE NHS FOUNDATION TRUST</t>
  </si>
  <si>
    <t>RTE</t>
  </si>
  <si>
    <t>GLOUCESTERSHIRE HOSPITALS NHS FOUNDATION TRUST</t>
  </si>
  <si>
    <t>RN5</t>
  </si>
  <si>
    <t>HAMPSHIRE HOSPITALS NHS FOUNDATION TRUST</t>
  </si>
  <si>
    <t>R1F</t>
  </si>
  <si>
    <t>ISLE OF WIGHT NHS TRUST</t>
  </si>
  <si>
    <t>RHU</t>
  </si>
  <si>
    <t>PORTSMOUTH HOSPITALS UNIVERSITY NHS TRUST</t>
  </si>
  <si>
    <t>R1C</t>
  </si>
  <si>
    <t>SOLENT NHS TRUST</t>
  </si>
  <si>
    <t>RYE</t>
  </si>
  <si>
    <t>SOUTH CENTRAL AMBULANCE SERVICE NHS FOUNDATION TRUST</t>
  </si>
  <si>
    <t>RW1</t>
  </si>
  <si>
    <t>SOUTHERN HEALTH NHS FOUNDATION TRUST</t>
  </si>
  <si>
    <t>RHM</t>
  </si>
  <si>
    <t>UNIVERSITY HOSPITAL SOUTHAMPTON NHS FOUNDATION TRUST</t>
  </si>
  <si>
    <t>RV3</t>
  </si>
  <si>
    <t>CENTRAL AND NORTH WEST LONDON NHS FOUNDATION TRUST</t>
  </si>
  <si>
    <t>RYX</t>
  </si>
  <si>
    <t>CENTRAL LONDON COMMUNITY HEALTHCARE NHS TRUST</t>
  </si>
  <si>
    <t>RQM</t>
  </si>
  <si>
    <t>CHELSEA AND WESTMINSTER HOSPITAL NHS FOUNDATION TRUST</t>
  </si>
  <si>
    <t>RYJ</t>
  </si>
  <si>
    <t>IMPERIAL COLLEGE HEALTHCARE NHS TRUST</t>
  </si>
  <si>
    <t>RRU</t>
  </si>
  <si>
    <t>LONDON AMBULANCE SERVICE NHS TRUST</t>
  </si>
  <si>
    <t>R1K</t>
  </si>
  <si>
    <t>LONDON NORTH WEST UNIVERSITY HEALTHCARE NHS TRUST</t>
  </si>
  <si>
    <t>RAS</t>
  </si>
  <si>
    <t>THE HILLINGDON HOSPITALS NHS FOUNDATION TRUST</t>
  </si>
  <si>
    <t>RKL</t>
  </si>
  <si>
    <t>WEST LONDON NHS TRUST</t>
  </si>
  <si>
    <t>RH5</t>
  </si>
  <si>
    <t>SOMERSET NHS FOUNDATION TRUST</t>
  </si>
  <si>
    <t>RX1</t>
  </si>
  <si>
    <t>NOTTINGHAM UNIVERSITY HOSPITALS NHS TRUST</t>
  </si>
  <si>
    <t>RHA</t>
  </si>
  <si>
    <t>NOTTINGHAMSHIRE HEALTHCARE NHS FOUNDATION TRUST</t>
  </si>
  <si>
    <t>RK5</t>
  </si>
  <si>
    <t>SHERWOOD FOREST HOSPITALS NHS FOUNDATION TRUST</t>
  </si>
  <si>
    <t>RJ8</t>
  </si>
  <si>
    <t>CORNWALL PARTNERSHIP NHS FOUNDATION TRUST</t>
  </si>
  <si>
    <t>REF</t>
  </si>
  <si>
    <t>ROYAL CORNWALL HOSPITALS NHS TRUST</t>
  </si>
  <si>
    <t>RWX</t>
  </si>
  <si>
    <t>BERKSHIRE HEALTHCARE NHS FOUNDATION TRUST</t>
  </si>
  <si>
    <t>RXQ</t>
  </si>
  <si>
    <t>BUCKINGHAMSHIRE HEALTHCARE NHS TRUST</t>
  </si>
  <si>
    <t>RNU</t>
  </si>
  <si>
    <t>OXFORD HEALTH NHS FOUNDATION TRUST</t>
  </si>
  <si>
    <t>RTH</t>
  </si>
  <si>
    <t>OXFORD UNIVERSITY HOSPITALS NHS FOUNDATION TRUST</t>
  </si>
  <si>
    <t>RHW</t>
  </si>
  <si>
    <t>ROYAL BERKSHIRE NHS FOUNDATION TRUST</t>
  </si>
  <si>
    <t>TAJ</t>
  </si>
  <si>
    <t>BLACK COUNTRY HEALTHCARE NHS FOUNDATION TRUST</t>
  </si>
  <si>
    <t>RYK</t>
  </si>
  <si>
    <t>DUDLEY INTEGRATED HEALTH AND CARE NHS TRUST</t>
  </si>
  <si>
    <t>RXK</t>
  </si>
  <si>
    <t>SANDWELL AND WEST BIRMINGHAM HOSPITALS NHS TRUST</t>
  </si>
  <si>
    <t>RNA</t>
  </si>
  <si>
    <t>THE DUDLEY GROUP NHS FOUNDATION TRUST</t>
  </si>
  <si>
    <t>RL4</t>
  </si>
  <si>
    <t>THE ROYAL WOLVERHAMPTON NHS TRUST</t>
  </si>
  <si>
    <t>RBK</t>
  </si>
  <si>
    <t>WALSALL HEALTHCARE NHS TRUST</t>
  </si>
  <si>
    <t>RYA</t>
  </si>
  <si>
    <t>WEST MIDLANDS AMBULANCE SERVICE UNIVERSITY NHS FOUNDATION TRUST</t>
  </si>
  <si>
    <t>RGT</t>
  </si>
  <si>
    <t>CAMBRIDGE UNIVERSITY HOSPITALS NHS FOUNDATION TRUST</t>
  </si>
  <si>
    <t>RT1</t>
  </si>
  <si>
    <t>CAMBRIDGESHIRE AND PETERBOROUGH NHS FOUNDATION TRUST</t>
  </si>
  <si>
    <t>RYV</t>
  </si>
  <si>
    <t>CAMBRIDGESHIRE COMMUNITY SERVICES NHS TRUST</t>
  </si>
  <si>
    <t>RGN</t>
  </si>
  <si>
    <t>NORTH WEST ANGLIA NHS FOUNDATION TRUST</t>
  </si>
  <si>
    <t>RGM</t>
  </si>
  <si>
    <t>ROYAL PAPWORTH HOSPITAL NHS FOUNDATION TRUST</t>
  </si>
  <si>
    <t>RVN</t>
  </si>
  <si>
    <t>AVON AND WILTSHIRE MENTAL HEALTH PARTNERSHIP NHS TRUST</t>
  </si>
  <si>
    <t>RVJ</t>
  </si>
  <si>
    <t>NORTH BRISTOL NHS TRUST</t>
  </si>
  <si>
    <t>RA7</t>
  </si>
  <si>
    <t>UNIVERSITY HOSPITALS BRISTOL AND WESTON NHS FOUNDATION TRUST</t>
  </si>
  <si>
    <t>RBD</t>
  </si>
  <si>
    <t>DORSET COUNTY HOSPITAL NHS FOUNDATION TRUST</t>
  </si>
  <si>
    <t>RDY</t>
  </si>
  <si>
    <t>DORSET HEALTHCARE UNIVERSITY NHS FOUNDATION TRUST</t>
  </si>
  <si>
    <t>RYF</t>
  </si>
  <si>
    <t>SOUTH WESTERN AMBULANCE SERVICE NHS FOUNDATION TRUST</t>
  </si>
  <si>
    <t>R0D</t>
  </si>
  <si>
    <t>UNIVERSITY HOSPITALS DORSET NHS FOUNDATION TRUST</t>
  </si>
  <si>
    <t>RJ6</t>
  </si>
  <si>
    <t>CROYDON HEALTH SERVICES NHS TRUST</t>
  </si>
  <si>
    <t>RVR</t>
  </si>
  <si>
    <t>EPSOM AND ST HELIER UNIVERSITY HOSPITALS NHS TRUST</t>
  </si>
  <si>
    <t>RY9</t>
  </si>
  <si>
    <t>HOUNSLOW AND RICHMOND COMMUNITY HEALTHCARE NHS TRUST</t>
  </si>
  <si>
    <t>RAX</t>
  </si>
  <si>
    <t>KINGSTON HOSPITAL NHS FOUNDATION TRUST</t>
  </si>
  <si>
    <t>RQY</t>
  </si>
  <si>
    <t>SOUTH WEST LONDON AND ST GEORGE'S MENTAL HEALTH NHS TRUST</t>
  </si>
  <si>
    <t>RJ7</t>
  </si>
  <si>
    <t>ST GEORGE'S UNIVERSITY HOSPITALS NHS FOUNDATION TRUST</t>
  </si>
  <si>
    <t>RPY</t>
  </si>
  <si>
    <t>THE ROYAL MARSDEN NHS FOUNDATION TRUST</t>
  </si>
  <si>
    <t>RCF</t>
  </si>
  <si>
    <t>AIREDALE NHS FOUNDATION TRUST</t>
  </si>
  <si>
    <t>TAD</t>
  </si>
  <si>
    <t>BRADFORD DISTRICT CARE NHS FOUNDATION TRUST</t>
  </si>
  <si>
    <t>RAE</t>
  </si>
  <si>
    <t>BRADFORD TEACHING HOSPITALS NHS FOUNDATION TRUST</t>
  </si>
  <si>
    <t>RWY</t>
  </si>
  <si>
    <t>CALDERDALE AND HUDDERSFIELD NHS FOUNDATION TRUST</t>
  </si>
  <si>
    <t>RGD</t>
  </si>
  <si>
    <t>LEEDS AND YORK PARTNERSHIP NHS FOUNDATION TRUST</t>
  </si>
  <si>
    <t>RY6</t>
  </si>
  <si>
    <t>LEEDS COMMUNITY HEALTHCARE NHS TRUST</t>
  </si>
  <si>
    <t>RR8</t>
  </si>
  <si>
    <t>THE LEEDS TEACHING HOSPITALS NHS TRUST</t>
  </si>
  <si>
    <t>RXF</t>
  </si>
  <si>
    <t>THE MID YORKSHIRE HOSPITALS NHS TRUST</t>
  </si>
  <si>
    <t>RXG</t>
  </si>
  <si>
    <t>SOUTH WEST YORKSHIRE PARTNERSHIP NHS FOUNDATION TRUST</t>
  </si>
  <si>
    <t>RX8</t>
  </si>
  <si>
    <t>YORKSHIRE AMBULANCE SERVICE NHS TRUST</t>
  </si>
  <si>
    <t>RYG</t>
  </si>
  <si>
    <t>COVENTRY AND WARWICKSHIRE PARTNERSHIP NHS TRUST</t>
  </si>
  <si>
    <t>RLT</t>
  </si>
  <si>
    <t>GEORGE ELIOT HOSPITAL NHS TRUST</t>
  </si>
  <si>
    <t>RJC</t>
  </si>
  <si>
    <t>SOUTH WARWICKSHIRE UNIVERSITY NHS FOUNDATION TRUST</t>
  </si>
  <si>
    <t>RKB</t>
  </si>
  <si>
    <t>UNIVERSITY HOSPITALS COVENTRY AND WARWICKSHIRE NHS TRUST</t>
  </si>
  <si>
    <t>RTK</t>
  </si>
  <si>
    <t>ASHFORD AND ST PETER'S HOSPITALS NHS FOUNDATION TRUST</t>
  </si>
  <si>
    <t>RA2</t>
  </si>
  <si>
    <t>ROYAL SURREY NHS FOUNDATION TRUST</t>
  </si>
  <si>
    <t>RYD</t>
  </si>
  <si>
    <t>SOUTH EAST COAST AMBULANCE SERVICE NHS FOUNDATION TRUST</t>
  </si>
  <si>
    <t>RXX</t>
  </si>
  <si>
    <t>SURREY AND BORDERS PARTNERSHIP NHS FOUNDATION TRUST</t>
  </si>
  <si>
    <t>RTP</t>
  </si>
  <si>
    <t>SURREY AND SUSSEX HEALTHCARE NHS TRUST</t>
  </si>
  <si>
    <t>RBS</t>
  </si>
  <si>
    <t>ALDER HEY CHILDREN'S NHS FOUNDATION TRUST</t>
  </si>
  <si>
    <t>RY2</t>
  </si>
  <si>
    <t>BRIDGEWATER COMMUNITY HEALTHCARE NHS FOUNDATION TRUST</t>
  </si>
  <si>
    <t>RXA</t>
  </si>
  <si>
    <t>CHESHIRE AND WIRRAL PARTNERSHIP NHS FOUNDATION TRUST</t>
  </si>
  <si>
    <t>RJR</t>
  </si>
  <si>
    <t>COUNTESS OF CHESTER HOSPITAL NHS FOUNDATION TRUST</t>
  </si>
  <si>
    <t>RJN</t>
  </si>
  <si>
    <t>EAST CHESHIRE NHS TRUST</t>
  </si>
  <si>
    <t>RBQ</t>
  </si>
  <si>
    <t>LIVERPOOL HEART AND CHEST HOSPITAL NHS FOUNDATION TRUST</t>
  </si>
  <si>
    <t>REM</t>
  </si>
  <si>
    <t>LIVERPOOL UNIVERSITY HOSPITALS NHS FOUNDATION TRUST</t>
  </si>
  <si>
    <t>REP</t>
  </si>
  <si>
    <t>LIVERPOOL WOMEN'S NHS FOUNDATION TRUST</t>
  </si>
  <si>
    <t>RW4</t>
  </si>
  <si>
    <t>MERSEY CARE NHS FOUNDATION TRUST</t>
  </si>
  <si>
    <t>RBT</t>
  </si>
  <si>
    <t>MID CHESHIRE HOSPITALS NHS FOUNDATION TRUST</t>
  </si>
  <si>
    <t>REN</t>
  </si>
  <si>
    <t>THE CLATTERBRIDGE CANCER CENTRE NHS FOUNDATION TRUST</t>
  </si>
  <si>
    <t>RET</t>
  </si>
  <si>
    <t>THE WALTON CENTRE NHS FOUNDATION TRUST</t>
  </si>
  <si>
    <t>RWW</t>
  </si>
  <si>
    <t>WARRINGTON AND HALTON TEACHING HOSPITALS NHS FOUNDATION TRUST</t>
  </si>
  <si>
    <t>RY7</t>
  </si>
  <si>
    <t>WIRRAL COMMUNITY HEALTH AND CARE NHS FOUNDATION TRUST</t>
  </si>
  <si>
    <t>RBL</t>
  </si>
  <si>
    <t>WIRRAL UNIVERSITY TEACHING HOSPITAL NHS FOUNDATION TRUST</t>
  </si>
  <si>
    <t>RBN</t>
  </si>
  <si>
    <t>MERSEY AND WEST LANCASHIRE TEACHING HOSPITALS NHS TRUST</t>
  </si>
  <si>
    <t>RVY</t>
  </si>
  <si>
    <t>SOUTHPORT AND ORMSKIRK HOSPITAL NHS TRUST</t>
  </si>
  <si>
    <t>&lt;0</t>
  </si>
  <si>
    <t>&gt;0</t>
  </si>
  <si>
    <t>ICS IA funding assessment</t>
  </si>
  <si>
    <t>OF WHICH;</t>
  </si>
  <si>
    <t>System</t>
  </si>
  <si>
    <t>Name</t>
  </si>
  <si>
    <t>Allocation</t>
  </si>
  <si>
    <t>Year to Date</t>
  </si>
  <si>
    <t>YTD efficiency variance 
£'m</t>
  </si>
  <si>
    <t>YTD efficiency variance ICB
£'m</t>
  </si>
  <si>
    <t>YTD variance Prescribing ICB</t>
  </si>
  <si>
    <t>YTD variance CHC</t>
  </si>
  <si>
    <t>YTD efficiency variance Provider
£'m</t>
  </si>
  <si>
    <t>System reported risk
£'m</t>
  </si>
  <si>
    <t>Expected Forecast (before dental benefit but incl. all IA impacts)</t>
  </si>
  <si>
    <t>Expected performance based on July</t>
  </si>
  <si>
    <t>Revise dental benefit</t>
  </si>
  <si>
    <t>1. Gets to original plan with add'l funding
2. Gets to improved plan with add'l funding
3. Improved plan with add'l funding &amp; stretch
4. Requires additional stretch to hit plan
5. Will not get to plan even with stretch</t>
  </si>
  <si>
    <t>Group</t>
  </si>
  <si>
    <t>YTD
£m</t>
  </si>
  <si>
    <t>Forecast
£m</t>
  </si>
  <si>
    <t>Plan
£m</t>
  </si>
  <si>
    <t>Actual
£m</t>
  </si>
  <si>
    <t>Variance
£m</t>
  </si>
  <si>
    <t>Variance
%</t>
  </si>
  <si>
    <t>Other ICB variance</t>
  </si>
  <si>
    <t>YTD variance (provider) agency</t>
  </si>
  <si>
    <t>Other Provider variance</t>
  </si>
  <si>
    <t>System reported risk+FOT</t>
  </si>
  <si>
    <t>Dental Underspend excl</t>
  </si>
  <si>
    <t>Direct cost of IA so far</t>
  </si>
  <si>
    <t>Direct cost of IA to come</t>
  </si>
  <si>
    <t>ERF upside/risk excl.</t>
  </si>
  <si>
    <t>Note - asked for mid-case, should push them all more</t>
  </si>
  <si>
    <t>ERF benefit from reduced threshold</t>
  </si>
  <si>
    <t>Provider basis for funding disribution</t>
  </si>
  <si>
    <t xml:space="preserve">Additonal IA funding </t>
  </si>
  <si>
    <t>New ERF target</t>
  </si>
  <si>
    <t>Dental benefit as per region</t>
  </si>
  <si>
    <t>High under spend per national team</t>
  </si>
  <si>
    <t>Low under spend per national team</t>
  </si>
  <si>
    <t>Revised dental adjustment</t>
  </si>
  <si>
    <t>Remove H2 IA costs</t>
  </si>
  <si>
    <t>Likely year end position with dental and less H2 IA</t>
  </si>
  <si>
    <t>Year end deficit before stretch</t>
  </si>
  <si>
    <t>Stretch improve- ment</t>
  </si>
  <si>
    <t>Year end target surplus/ deficit</t>
  </si>
  <si>
    <t>Original plan for the year</t>
  </si>
  <si>
    <t>Change to plan</t>
  </si>
  <si>
    <t>Revised plan for the year</t>
  </si>
  <si>
    <t>Variance to plan</t>
  </si>
  <si>
    <t>Memo: YTD variance less IA and dental</t>
  </si>
  <si>
    <t>Stretch as % allocation</t>
  </si>
  <si>
    <t>Target variance to plan as % allocation</t>
  </si>
  <si>
    <t>ICS</t>
  </si>
  <si>
    <t>ICS Name</t>
  </si>
  <si>
    <t>Org Code</t>
  </si>
  <si>
    <t>Org Name</t>
  </si>
  <si>
    <t>23/24 FY FOT @ M6</t>
  </si>
  <si>
    <t>Net risk
(org level)</t>
  </si>
  <si>
    <t>Net risk
(system wide)</t>
  </si>
  <si>
    <t>Total RAFOT</t>
  </si>
  <si>
    <t>System code</t>
  </si>
  <si>
    <t>YTD plan £m</t>
  </si>
  <si>
    <t>YTD actual £m</t>
  </si>
  <si>
    <t>YTD variance £m</t>
  </si>
  <si>
    <t>Full Year plan £m</t>
  </si>
  <si>
    <t>Forecast £m</t>
  </si>
  <si>
    <t>Forecast variance £m</t>
  </si>
  <si>
    <t>YTD movement in variance £m</t>
  </si>
  <si>
    <t>FOT movement in variance £m</t>
  </si>
  <si>
    <t>Net Risk</t>
  </si>
  <si>
    <t>Risk adjusted FOT</t>
  </si>
  <si>
    <t>Trust</t>
  </si>
  <si>
    <t>Bath, NE Som &amp; Wiltshire</t>
  </si>
  <si>
    <t>Bedfordshire, Luton and Milton Keynes ICS</t>
  </si>
  <si>
    <t>E</t>
  </si>
  <si>
    <t>Bedfordshire, Luton &amp; MK</t>
  </si>
  <si>
    <t>Cambridgeshire and Peterborough ICS</t>
  </si>
  <si>
    <t>IA and prescribing</t>
  </si>
  <si>
    <t>Birmingham &amp; Solihull</t>
  </si>
  <si>
    <t>Hertfordshire and West Essex ICS</t>
  </si>
  <si>
    <t>Unclear on IA assumption. This is the one Zoe least confident in.</t>
  </si>
  <si>
    <t>Black Country</t>
  </si>
  <si>
    <t>Suffolk and North East Essex ICS</t>
  </si>
  <si>
    <t>Break even covering IA</t>
  </si>
  <si>
    <t>Bristol, N Som &amp; S Glouc</t>
  </si>
  <si>
    <t>North Central London ICS</t>
  </si>
  <si>
    <t>Lon</t>
  </si>
  <si>
    <t>FOT excludes dental. IA is direct (they have the wider) assume at current rate</t>
  </si>
  <si>
    <t>Bucks, Oxfordsh &amp; Berksh W</t>
  </si>
  <si>
    <t>North West London ICS</t>
  </si>
  <si>
    <t>Cambs &amp; Peterborough</t>
  </si>
  <si>
    <t>Coventry and Warwickshire ICS</t>
  </si>
  <si>
    <t>Mid</t>
  </si>
  <si>
    <t>Cheshire &amp; Merseyside</t>
  </si>
  <si>
    <t>Bristol, North Somerset and South Gloucestershire ICS</t>
  </si>
  <si>
    <t>SW</t>
  </si>
  <si>
    <t>£4m dental which won't be carried to surplus</t>
  </si>
  <si>
    <t>Cornwall &amp; Isles Of Scilly</t>
  </si>
  <si>
    <t>Cornwall and The Isles Of Scilly ICS</t>
  </si>
  <si>
    <t>Coventry &amp; Warwickshire</t>
  </si>
  <si>
    <t>Devon ICS</t>
  </si>
  <si>
    <t>30m of reserves needed for 24/25? Already reflected dental</t>
  </si>
  <si>
    <t>Devon</t>
  </si>
  <si>
    <t>Dorset ICS</t>
  </si>
  <si>
    <t>with £20m risk if no IA money</t>
  </si>
  <si>
    <t>Dorset</t>
  </si>
  <si>
    <t>Gloucestershire ICS</t>
  </si>
  <si>
    <t>Frimley Health &amp; Care</t>
  </si>
  <si>
    <t>Somerset ICS</t>
  </si>
  <si>
    <t>Gloucestershire</t>
  </si>
  <si>
    <t>Herefordshire and Worcestershire ICS</t>
  </si>
  <si>
    <t>Greater Manchester</t>
  </si>
  <si>
    <t>Humber and North Yorkshire ICS</t>
  </si>
  <si>
    <t>NEY</t>
  </si>
  <si>
    <t>FOT adjusted to remove ERF clawback risk</t>
  </si>
  <si>
    <t>Hampshire &amp; Isle Of Wight</t>
  </si>
  <si>
    <t>North East and North Cumbria ICS</t>
  </si>
  <si>
    <t>Healthier Lanc &amp; S Cumbria</t>
  </si>
  <si>
    <t>Kent and Medway ICS</t>
  </si>
  <si>
    <t>SE</t>
  </si>
  <si>
    <t>IA Continue, absolute def forecast</t>
  </si>
  <si>
    <t>Herefordsh &amp; Worcestersh</t>
  </si>
  <si>
    <t>Mid and South Essex ICS</t>
  </si>
  <si>
    <t>Dental to confirm but would improve the £80m</t>
  </si>
  <si>
    <t>Hertfordshire &amp; West Essex</t>
  </si>
  <si>
    <t>Black Country ICS</t>
  </si>
  <si>
    <t>Humber &amp; North Yorkshire</t>
  </si>
  <si>
    <t>Norfolk and Waveney ICS</t>
  </si>
  <si>
    <t>QE &amp; James Paget struggling, UEC is awful and may need to invest</t>
  </si>
  <si>
    <t>Joined Up Care Derbyshire</t>
  </si>
  <si>
    <t>Birmingham and Solihull ICS</t>
  </si>
  <si>
    <t>Kent &amp; Medway</t>
  </si>
  <si>
    <t>West Yorkshire ICS</t>
  </si>
  <si>
    <t>Leicester, LS &amp; Rutland</t>
  </si>
  <si>
    <t>Cheshire and Merseyside ICS</t>
  </si>
  <si>
    <t>NW</t>
  </si>
  <si>
    <t>Regional view more like £550m for all three systems</t>
  </si>
  <si>
    <t>Lincolnshire</t>
  </si>
  <si>
    <t>North East London ICS</t>
  </si>
  <si>
    <t>Mid &amp; South Essex</t>
  </si>
  <si>
    <t>South West London ICS</t>
  </si>
  <si>
    <t>Norfolk &amp; Waveney H&amp;C</t>
  </si>
  <si>
    <t>Hampshire and Isle of Wight ICS</t>
  </si>
  <si>
    <t>small</t>
  </si>
  <si>
    <t>IA Continue, absolute def forecast (unclear if dental in HIoW ytd)</t>
  </si>
  <si>
    <t>North Central London</t>
  </si>
  <si>
    <t>Lincolnshire ICS</t>
  </si>
  <si>
    <t>North East &amp; North Cumbria</t>
  </si>
  <si>
    <t>Bath and North East Somerset, Swindon and Wiltshire ICS</t>
  </si>
  <si>
    <t>Totall £10 SW risk on  diagnsotic mobile</t>
  </si>
  <si>
    <t>North East London H&amp;C</t>
  </si>
  <si>
    <t>Leicester, Leicestershire and Rutland ICS</t>
  </si>
  <si>
    <t>North West London</t>
  </si>
  <si>
    <t>Buckinghamshire, Oxfordshire and Berkshire West ICS</t>
  </si>
  <si>
    <t>Northamptonshire</t>
  </si>
  <si>
    <t>Surrey Heartlands ICS</t>
  </si>
  <si>
    <t>Nottingham &amp; Nottinghamsh</t>
  </si>
  <si>
    <t>Sussex ICS</t>
  </si>
  <si>
    <t>IA Continue, absolute def forecast (incl. £30m 3T)</t>
  </si>
  <si>
    <t>Shropsh &amp; Telford &amp; Wrekin</t>
  </si>
  <si>
    <t>Frimley ICS</t>
  </si>
  <si>
    <t>Somerset</t>
  </si>
  <si>
    <t>South East London ICS</t>
  </si>
  <si>
    <t>South East London</t>
  </si>
  <si>
    <t>South Yorkshire ICS</t>
  </si>
  <si>
    <t>South West London</t>
  </si>
  <si>
    <t>Derby and Derbyshire ICS</t>
  </si>
  <si>
    <t>South Yorkshire</t>
  </si>
  <si>
    <t>Lancashire and South Cumbria ICS</t>
  </si>
  <si>
    <t>Staffordshire &amp; Stoke</t>
  </si>
  <si>
    <t>Northamptonshire ICS</t>
  </si>
  <si>
    <t>Suffolk &amp; North East Essex</t>
  </si>
  <si>
    <t>Greater Manchester ICS</t>
  </si>
  <si>
    <t>Surrey Heartlands H&amp;C</t>
  </si>
  <si>
    <t>Nottingham and Nottinghamshire ICS</t>
  </si>
  <si>
    <t>Sussex H&amp;C Partnership</t>
  </si>
  <si>
    <t>Staffordshire and Stoke On Trent ICS</t>
  </si>
  <si>
    <t>West Yorkshire</t>
  </si>
  <si>
    <t>Shropshire, Telford and Wrekin ICS</t>
  </si>
  <si>
    <t>Less funding lost to B/S</t>
  </si>
  <si>
    <t>Gross variance to plan</t>
  </si>
  <si>
    <t>SE dental £50m, query if HIoW have played in</t>
  </si>
  <si>
    <t>Year end system overspend</t>
  </si>
  <si>
    <t>Lincolnshire Comm Health</t>
  </si>
  <si>
    <t>2023/24 Fair shares target (inc. COVID)</t>
  </si>
  <si>
    <t>Option</t>
  </si>
  <si>
    <t>Description</t>
  </si>
  <si>
    <t>% DfT</t>
  </si>
  <si>
    <t>£ DfT</t>
  </si>
  <si>
    <t>Cost above option 1</t>
  </si>
  <si>
    <t>Use original 24/25 DfT</t>
  </si>
  <si>
    <t>2a</t>
  </si>
  <si>
    <t>Increase target by £s value</t>
  </si>
  <si>
    <t>2b</t>
  </si>
  <si>
    <t>Mix of 2a/b</t>
  </si>
  <si>
    <t>Option 1 - keeping the old DfT and therefore the old convergence</t>
  </si>
  <si>
    <t>Option 2 - adding the £s to the target</t>
  </si>
  <si>
    <t>Option 3a - giving them a fair shares of the baseline quantum</t>
  </si>
  <si>
    <t>Option 3b - giving them a fair shares of the scaled baseline quantum</t>
  </si>
  <si>
    <t>Ambulance Adjustment (£k) - From Manish</t>
  </si>
  <si>
    <t>M5 Recurrent Baseline Adjustments (£k) - From Caroline</t>
  </si>
  <si>
    <t>Updated recurrent baseline</t>
  </si>
  <si>
    <t>Updated recurrent  baseline+base growth</t>
  </si>
  <si>
    <t>Old baseline</t>
  </si>
  <si>
    <t>old target</t>
  </si>
  <si>
    <t>Old baseline+growth</t>
  </si>
  <si>
    <t>Old target+growth</t>
  </si>
  <si>
    <t>Old DfT</t>
  </si>
  <si>
    <t>Implied target</t>
  </si>
  <si>
    <t>£s DfT</t>
  </si>
  <si>
    <t>Old convergence (%)</t>
  </si>
  <si>
    <t>Old convergence (£m)</t>
  </si>
  <si>
    <t>Recurrent position</t>
  </si>
  <si>
    <t>Old post convergence DfT</t>
  </si>
  <si>
    <t>Implied target adj</t>
  </si>
  <si>
    <t>Old target</t>
  </si>
  <si>
    <t>baseline adjs</t>
  </si>
  <si>
    <t>New target</t>
  </si>
  <si>
    <t>New target+base growth</t>
  </si>
  <si>
    <t>baseline+growth</t>
  </si>
  <si>
    <t>New DfT</t>
  </si>
  <si>
    <t>DFT (£)</t>
  </si>
  <si>
    <t>Change in DfT</t>
  </si>
  <si>
    <t>Convergence (%)</t>
  </si>
  <si>
    <t>Convergence (£)</t>
  </si>
  <si>
    <t>New dfT post convergence</t>
  </si>
  <si>
    <t>Scaled</t>
  </si>
  <si>
    <t>Allocations 2024/25</t>
  </si>
  <si>
    <t xml:space="preserve">Remove 0.3% stretch efficiency included in allocation. </t>
  </si>
  <si>
    <t xml:space="preserve">Reduce convergence efficiency for those ICBs above target. </t>
  </si>
  <si>
    <t xml:space="preserve">Cost of proposed specialised convergence policy vs original convergence assumed in allocations. </t>
  </si>
  <si>
    <t>Ambulance capacity</t>
  </si>
  <si>
    <t>Other options (not proposed)</t>
  </si>
  <si>
    <t xml:space="preserve">39/42 ICBs have seen higher population growth than expected in allocations. Proposal to fund those with pressure for shortfall. Allocations were formed on 0.43% population growth,  current estimate is 0.97%. </t>
  </si>
  <si>
    <t>Discretion of use</t>
  </si>
  <si>
    <t>depends on expectation</t>
  </si>
  <si>
    <t>Capacity funding was due to increase from £1bn in 23/24 to £1.5bn in 24/25, this was reduced to fund the initial £0.5bn conversations, we could in theory reinstate this. Deficit impact depends on expectations</t>
  </si>
  <si>
    <t>Other - not deficit impacting</t>
  </si>
  <si>
    <t>Proposed deployment</t>
  </si>
  <si>
    <t>Additional funding</t>
  </si>
  <si>
    <t>Money req to hold Acute flat</t>
  </si>
  <si>
    <t>Money towards deficits</t>
  </si>
  <si>
    <t>280-460</t>
  </si>
  <si>
    <t>Spec Conv</t>
  </si>
  <si>
    <t>Variance to plan if stretch achieved</t>
  </si>
  <si>
    <t>Memo: IA funding lost to bottom line</t>
  </si>
  <si>
    <t>National view of likely outturn 17/11/23</t>
  </si>
  <si>
    <t/>
  </si>
  <si>
    <t>c75%</t>
  </si>
  <si>
    <t>c65%</t>
  </si>
  <si>
    <t>MHIS on top</t>
  </si>
  <si>
    <t>National view of likely outturn</t>
  </si>
  <si>
    <t>Original Growth</t>
  </si>
  <si>
    <t>£s Total</t>
  </si>
  <si>
    <t>% Total</t>
  </si>
  <si>
    <t>New Growth</t>
  </si>
  <si>
    <t>Additional acute capacity funded at 0.9% in 23/24 and 0.2% in 24/25. Revising up the 0.2% would flow more funding to Acute providers who tend to have a greater proportion of deficits. The proposal is a further 0.4%/0.7% - additional funding has been included for MHIS</t>
  </si>
  <si>
    <t>7% CHC and 13.5% Prescribing pressure net of the £330m inflation funding</t>
  </si>
  <si>
    <t>Option 1</t>
  </si>
  <si>
    <t>Option 2</t>
  </si>
  <si>
    <t>1.8%-4.7% 
£600m-£1,500m</t>
  </si>
  <si>
    <t>c500m</t>
  </si>
  <si>
    <t>Comparing 20/21-23/24; 20/21 &amp; 21/22 are lower than expected, and 22/23 &amp; 23/24 are higher than expected. Potential inclusion of 1.5% for energy in 23/24. Can lead to 1.8% (taking just 23/24+1.5% on energy)-2.4% (taking all years+1.5% on energy)-4.7% (taking the last two years excl energy). This would be built into tariff therefore flowing to all providers (regardless of deficit) + leakage to IS</t>
  </si>
  <si>
    <t>Deficit funding</t>
  </si>
  <si>
    <t>Actual deficit improving</t>
  </si>
  <si>
    <t>Option 1 goes to all ICBs whereas the convergence reductions in Option 2 are targeted at those below target who are more in deficit leading to more funding improving deficits</t>
  </si>
  <si>
    <t>Option 2 leads to more money being available to reduce deficits due to no MHIS payable on the convergence adjustment</t>
  </si>
  <si>
    <t>GDP deflator is currently 1.3%, this is now 1.7%</t>
  </si>
  <si>
    <t>Variation</t>
  </si>
  <si>
    <t>Option 2 - Acute</t>
  </si>
  <si>
    <t>Funding available is £1,475m (£1,300m+£100m GDP deflator+£75m for Ambulance) - currently set it so they're equal (but above the funding available)</t>
  </si>
  <si>
    <t>Option 1 - Total</t>
  </si>
  <si>
    <t>Option 2 - Total</t>
  </si>
  <si>
    <t>Option 1 - Est Deficit</t>
  </si>
  <si>
    <t>Option 2 - Est Deficit</t>
  </si>
  <si>
    <t>Nov-23 GDP Deflator</t>
  </si>
  <si>
    <t>Not in floor</t>
  </si>
  <si>
    <t>Yes c£70m</t>
  </si>
  <si>
    <t>Cost</t>
  </si>
  <si>
    <t>Yes c£25m</t>
  </si>
  <si>
    <t>£s Total (ICB &amp; Spec comm)</t>
  </si>
  <si>
    <t>Options</t>
  </si>
  <si>
    <t>Cost per x</t>
  </si>
  <si>
    <t>£80m</t>
  </si>
  <si>
    <t>£120m/10% scalar</t>
  </si>
  <si>
    <t>£70m/0.1%</t>
  </si>
  <si>
    <t>1.8%-4.7%=£600m-£2bn</t>
  </si>
  <si>
    <t>0.5%=£500m</t>
  </si>
  <si>
    <t>Removing SR21 stretch</t>
  </si>
  <si>
    <t>Scenario 1</t>
  </si>
  <si>
    <t>Scenario 2</t>
  </si>
  <si>
    <t>Scenario 3</t>
  </si>
  <si>
    <t>Change</t>
  </si>
  <si>
    <t>Full</t>
  </si>
  <si>
    <t>Acute capacity (above 0.2%)</t>
  </si>
  <si>
    <t>ICB convergence (scalar)</t>
  </si>
  <si>
    <t>GDP Deflator (x% catchup)</t>
  </si>
  <si>
    <t>Prescribing/CHC (x% of £675m pressure covered)</t>
  </si>
  <si>
    <t>1.8% GDP catchup</t>
  </si>
  <si>
    <t>GPD Deflator</t>
  </si>
  <si>
    <t>Acute (ODC)</t>
  </si>
  <si>
    <t>Further Spec</t>
  </si>
  <si>
    <t>New Money</t>
  </si>
  <si>
    <t>New Deficit</t>
  </si>
  <si>
    <t>HIDE</t>
  </si>
  <si>
    <t>All figures in £000's unless stated otherwise</t>
  </si>
  <si>
    <t>Forecast Financial performance</t>
  </si>
  <si>
    <t>Sys Code</t>
  </si>
  <si>
    <t>Target for the year</t>
  </si>
  <si>
    <t>Surplus / (Deficit)</t>
  </si>
  <si>
    <t>Variance to target</t>
  </si>
  <si>
    <t>National</t>
  </si>
  <si>
    <t>Change in £s</t>
  </si>
  <si>
    <t>Change in %s</t>
  </si>
  <si>
    <t>IS provider impact</t>
  </si>
  <si>
    <t>Breakdown of savings</t>
  </si>
  <si>
    <t>System stretch</t>
  </si>
  <si>
    <t>Central reserves</t>
  </si>
  <si>
    <t>Technical measures which generate money</t>
  </si>
  <si>
    <t>UEC reserve</t>
  </si>
  <si>
    <t>Deployment</t>
  </si>
  <si>
    <t>GDP Deflator pressure</t>
  </si>
  <si>
    <t>Ambulance funding pressure</t>
  </si>
  <si>
    <t>Other pressures</t>
  </si>
  <si>
    <t>Leave funding in systems but expect improvement</t>
  </si>
  <si>
    <t>Savings which generate money</t>
  </si>
  <si>
    <t>Total Funding</t>
  </si>
  <si>
    <t>Residual reserves</t>
  </si>
  <si>
    <t>Subtotal</t>
  </si>
  <si>
    <t>To be deployed into systems</t>
  </si>
  <si>
    <t>Fund 23/24 pressure £675m</t>
  </si>
  <si>
    <t>Prescribing &amp; CHC/FNC</t>
  </si>
  <si>
    <t>Reinstate original £0.5bn UEC capacity</t>
  </si>
  <si>
    <t>Funding in systems already (dental, BCF)</t>
  </si>
  <si>
    <t>Specialised Commissioning Convergence - 2024/25</t>
  </si>
  <si>
    <t>2023/24</t>
  </si>
  <si>
    <t>2024/25</t>
  </si>
  <si>
    <t>calculations</t>
  </si>
  <si>
    <t>2023/24 Physical Health Services adjusted recurrent baseline inc base growth (£k)</t>
  </si>
  <si>
    <t>2023/24 HCDD total (£k)</t>
  </si>
  <si>
    <t>2023/24 Physical Health Services + HCDD recurrent allocation (£k)</t>
  </si>
  <si>
    <t>2023/24 Other popn adjustment (£k)</t>
  </si>
  <si>
    <t>2023/24 Other recurrent allocation adjustments (£k)</t>
  </si>
  <si>
    <t>2023/24 Registered Population</t>
  </si>
  <si>
    <t>2023/24 Physical Health Services + HCDD recurrent baseline £/head</t>
  </si>
  <si>
    <t>2024/25 Physical Health Services + HCDD baseline inc base growth (£k)</t>
  </si>
  <si>
    <t>2024/25 Fair shares target (£k)</t>
  </si>
  <si>
    <t>2024/25 Distance from target (%)</t>
  </si>
  <si>
    <t>2024/25 Interim Physical Health Services + HCDD recurrent allocation (£k)</t>
  </si>
  <si>
    <t>Convergence (£k)</t>
  </si>
  <si>
    <t>2024/25 Interim Post-convergence distance from target (%)</t>
  </si>
  <si>
    <t>2024/25 HCDD allocation %</t>
  </si>
  <si>
    <t>2024/25 HCDD allocation growth %</t>
  </si>
  <si>
    <t>2024/25 HCDD total £/head</t>
  </si>
  <si>
    <t>2024/25 Interim Physical Health Services recurrent allocation (£k)</t>
  </si>
  <si>
    <t>2024/25 Registered Population</t>
  </si>
  <si>
    <t>2024/25 Interim Physical Health Services recurrent allocation £/head</t>
  </si>
  <si>
    <t>2024/25 Interim Physical Health Services allocation growth (%)</t>
  </si>
  <si>
    <t>2024/25 COVID (£k)</t>
  </si>
  <si>
    <t>2024/25 ERF (£k)</t>
  </si>
  <si>
    <t>Start</t>
  </si>
  <si>
    <t>Sc1</t>
  </si>
  <si>
    <t>Sc2</t>
  </si>
  <si>
    <t>Column1</t>
  </si>
  <si>
    <t>MHIS/GDP deflator Leakage</t>
  </si>
  <si>
    <t>Acute calcs</t>
  </si>
  <si>
    <t>SC</t>
  </si>
  <si>
    <t>ODC</t>
  </si>
  <si>
    <t>Constulants pay</t>
  </si>
  <si>
    <t>2024/25 Learning disability and autism funding transfer agreement (FTA) (£k)</t>
  </si>
  <si>
    <t>2024/25 Combined allocation
(£k)</t>
  </si>
  <si>
    <t>2023/24 Distance from target
(%)</t>
  </si>
  <si>
    <t>M5 baseline - Health &amp; Justice adjustments (£k)</t>
  </si>
  <si>
    <t>2024/25 Recurrent allocation £ per head</t>
  </si>
  <si>
    <t>2023/24 Adjusted recurrent baseline £/head</t>
  </si>
  <si>
    <t>M5 baseline - specialised adjustments (£k)</t>
  </si>
  <si>
    <t>M7 baseline - specialised adjustments (£k)</t>
  </si>
  <si>
    <t>IFRS16 revenue funding (£k)</t>
  </si>
  <si>
    <t>AfC recurrent pay funding (£k)</t>
  </si>
  <si>
    <t>DDRB recurrent pay funding (£k)</t>
  </si>
  <si>
    <t>2023/24 planning process - inflation (£k)</t>
  </si>
  <si>
    <t>Post M5 adjustment - historic public health grant transfer (£k)</t>
  </si>
  <si>
    <t>2024/25 Ambulance capacity funding (£k)</t>
  </si>
  <si>
    <t>2024/25 COVID testing allocation (£k)</t>
  </si>
  <si>
    <t>2024/25 Long COVID transfer from SDF (£k)</t>
  </si>
  <si>
    <t>Other population adjustment (£k)</t>
  </si>
  <si>
    <t>M5 baseline - boundary adjustments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</si>
</sst>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3" formatCode="_-* #,##0.00_-;\-* #,##0.00_-;_-* &quot;-&quot;??_-;_-@_-"/>
    <numFmt numFmtId="164" formatCode="#,##0_ ;[Red]\-#,##0\ ;\-\ "/>
    <numFmt numFmtId="165" formatCode="_-* #,##0_-;\-* #,##0_-;_-* &quot;-&quot;??_-;_-@_-"/>
    <numFmt numFmtId="166" formatCode="0.0%"/>
    <numFmt numFmtId="167" formatCode="_(* #,##0.00_);_(* \(#,##0.00\);_(* &quot;-&quot;??_);_(@_)"/>
    <numFmt numFmtId="168" formatCode="#,##0\ ;[Red]\(#,##0\);\-\ "/>
    <numFmt numFmtId="169" formatCode="0.000000%"/>
    <numFmt numFmtId="170" formatCode="0.000%"/>
    <numFmt numFmtId="171" formatCode="0.0000%"/>
    <numFmt numFmtId="172" formatCode="#,##0.0;\(#,##0.0\)"/>
    <numFmt numFmtId="173" formatCode="#,##0;\(#,##0\)"/>
    <numFmt numFmtId="174" formatCode="#,##0.0;[Red]\(#,##0.0\)"/>
    <numFmt numFmtId="175" formatCode="0.0%;[Red]\ \(0.0%\)"/>
    <numFmt numFmtId="176" formatCode="#,##0.0;[Red]\(#,##0.0\);&quot;-&quot;"/>
    <numFmt numFmtId="177" formatCode="0.0%;[Red]\ \(0.0%\);&quot;-&quot;"/>
    <numFmt numFmtId="178" formatCode="0.0%;[Red]\(0.0%\)"/>
    <numFmt numFmtId="179" formatCode="#,##0;[Red]#,##0"/>
    <numFmt numFmtId="180" formatCode="_(* #,##0_);_(* \(#,##0\);_(* &quot;-&quot;??_);_(@_)"/>
    <numFmt numFmtId="181" formatCode="#,##0.0;[Red]\(#,##0.0\);\ \-\ "/>
    <numFmt numFmtId="182" formatCode="#,##0.0\ ;[Red]\(#,##0.0\);\-\ "/>
    <numFmt numFmtId="183" formatCode="#,##0_ ;\-#,##0\ "/>
  </numFmts>
  <fonts count="44" x14ac:knownFonts="1">
    <font>
      <sz val="11"/>
      <color theme="1"/>
      <name val="Calibri"/>
      <family val="2"/>
      <scheme val="minor"/>
    </font>
    <font>
      <sz val="11"/>
      <color theme="1"/>
      <name val="Calibri"/>
      <family val="2"/>
      <scheme val="minor"/>
    </font>
    <font>
      <sz val="20"/>
      <color theme="0" tint="-0.34998626667073579"/>
      <name val="Arial"/>
      <family val="2"/>
    </font>
    <font>
      <sz val="20"/>
      <color theme="1"/>
      <name val="Arial"/>
      <family val="2"/>
    </font>
    <font>
      <sz val="20"/>
      <color rgb="FF005EB8"/>
      <name val="Arial"/>
      <family val="2"/>
    </font>
    <font>
      <b/>
      <sz val="10"/>
      <color rgb="FFFF0000"/>
      <name val="Arial"/>
      <family val="2"/>
    </font>
    <font>
      <sz val="10"/>
      <color theme="1"/>
      <name val="Arial"/>
      <family val="2"/>
    </font>
    <font>
      <sz val="10"/>
      <color theme="0" tint="-0.14999847407452621"/>
      <name val="Arial"/>
      <family val="2"/>
    </font>
    <font>
      <b/>
      <sz val="10"/>
      <color theme="1"/>
      <name val="Arial"/>
      <family val="2"/>
    </font>
    <font>
      <sz val="10"/>
      <color indexed="8"/>
      <name val="Arial"/>
      <family val="2"/>
    </font>
    <font>
      <sz val="10"/>
      <color rgb="FF000000"/>
      <name val="Arial"/>
      <family val="2"/>
    </font>
    <font>
      <b/>
      <sz val="10"/>
      <color indexed="8"/>
      <name val="Arial"/>
      <family val="2"/>
    </font>
    <font>
      <b/>
      <sz val="10"/>
      <color theme="0"/>
      <name val="Arial"/>
      <family val="2"/>
    </font>
    <font>
      <sz val="10"/>
      <name val="Arial"/>
      <family val="2"/>
    </font>
    <font>
      <b/>
      <u/>
      <sz val="11"/>
      <color theme="1"/>
      <name val="Calibri"/>
      <family val="2"/>
      <scheme val="minor"/>
    </font>
    <font>
      <b/>
      <sz val="10"/>
      <color rgb="FF000000"/>
      <name val="Arial"/>
      <family val="2"/>
    </font>
    <font>
      <sz val="11"/>
      <name val="Arial"/>
      <family val="2"/>
    </font>
    <font>
      <b/>
      <sz val="11"/>
      <color theme="0"/>
      <name val="Arial"/>
      <family val="2"/>
    </font>
    <font>
      <b/>
      <u/>
      <sz val="11"/>
      <color theme="1"/>
      <name val="Arial"/>
      <family val="2"/>
    </font>
    <font>
      <sz val="11"/>
      <color theme="1"/>
      <name val="Arial"/>
      <family val="2"/>
    </font>
    <font>
      <i/>
      <sz val="11"/>
      <color theme="1"/>
      <name val="Arial"/>
      <family val="2"/>
    </font>
    <font>
      <b/>
      <sz val="11"/>
      <name val="Arial"/>
      <family val="2"/>
    </font>
    <font>
      <b/>
      <sz val="11"/>
      <color theme="1"/>
      <name val="Arial"/>
      <family val="2"/>
    </font>
    <font>
      <b/>
      <sz val="11"/>
      <color theme="1"/>
      <name val="Calibri"/>
      <family val="2"/>
      <scheme val="minor"/>
    </font>
    <font>
      <b/>
      <sz val="11"/>
      <color rgb="FF333333"/>
      <name val="Arial"/>
      <family val="2"/>
    </font>
    <font>
      <sz val="11"/>
      <color theme="0"/>
      <name val="Arial"/>
      <family val="2"/>
    </font>
    <font>
      <b/>
      <sz val="9"/>
      <color theme="0"/>
      <name val="Arial"/>
      <family val="2"/>
    </font>
    <font>
      <b/>
      <sz val="9"/>
      <color indexed="81"/>
      <name val="Tahoma"/>
      <family val="2"/>
    </font>
    <font>
      <sz val="9"/>
      <color indexed="81"/>
      <name val="Tahoma"/>
      <family val="2"/>
    </font>
    <font>
      <b/>
      <sz val="11"/>
      <color theme="0"/>
      <name val="Calibri"/>
      <family val="2"/>
      <scheme val="minor"/>
    </font>
    <font>
      <b/>
      <sz val="11"/>
      <name val="Calibri"/>
      <family val="2"/>
    </font>
    <font>
      <sz val="11"/>
      <color theme="0" tint="-0.14999847407452621"/>
      <name val="Arial"/>
      <family val="2"/>
    </font>
    <font>
      <sz val="11"/>
      <color indexed="8"/>
      <name val="Arial"/>
      <family val="2"/>
    </font>
    <font>
      <sz val="11"/>
      <color theme="1"/>
      <name val="Arial"/>
      <family val="2"/>
    </font>
    <font>
      <b/>
      <sz val="11"/>
      <color indexed="8"/>
      <name val="Arial"/>
      <family val="2"/>
    </font>
    <font>
      <b/>
      <sz val="11"/>
      <color theme="1"/>
      <name val="Arial"/>
      <family val="2"/>
    </font>
    <font>
      <b/>
      <sz val="11"/>
      <color indexed="8"/>
      <name val="Arial"/>
      <family val="2"/>
    </font>
    <font>
      <b/>
      <sz val="11"/>
      <color theme="0"/>
      <name val="Arial"/>
      <family val="2"/>
    </font>
    <font>
      <sz val="11"/>
      <name val="Calibri"/>
      <family val="2"/>
      <scheme val="minor"/>
    </font>
    <font>
      <b/>
      <u/>
      <sz val="11"/>
      <name val="Arial"/>
      <family val="2"/>
    </font>
    <font>
      <b/>
      <sz val="11"/>
      <color theme="4"/>
      <name val="Arial"/>
      <family val="2"/>
    </font>
    <font>
      <sz val="20"/>
      <color rgb="FF009639"/>
      <name val="Arial"/>
      <family val="2"/>
    </font>
    <font>
      <sz val="10"/>
      <color rgb="FF009639"/>
      <name val="Arial"/>
      <family val="2"/>
    </font>
    <font>
      <sz val="12"/>
      <color rgb="FF009639"/>
      <name val="Arial"/>
      <family val="2"/>
    </font>
  </fonts>
  <fills count="34">
    <fill>
      <patternFill patternType="none"/>
    </fill>
    <fill>
      <patternFill patternType="gray125"/>
    </fill>
    <fill>
      <patternFill patternType="solid">
        <fgColor rgb="FF005EB8"/>
        <bgColor auto="1"/>
      </patternFill>
    </fill>
    <fill>
      <patternFill patternType="solid">
        <fgColor rgb="FFFFFF99"/>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5" tint="-0.249977111117893"/>
        <bgColor indexed="64"/>
      </patternFill>
    </fill>
    <fill>
      <patternFill patternType="solid">
        <fgColor rgb="FF00B050"/>
        <bgColor indexed="64"/>
      </patternFill>
    </fill>
    <fill>
      <patternFill patternType="solid">
        <fgColor theme="4"/>
        <bgColor indexed="64"/>
      </patternFill>
    </fill>
    <fill>
      <patternFill patternType="solid">
        <fgColor rgb="FF005EB8"/>
        <bgColor indexed="64"/>
      </patternFill>
    </fill>
    <fill>
      <patternFill patternType="solid">
        <fgColor theme="9" tint="-0.249977111117893"/>
        <bgColor indexed="64"/>
      </patternFill>
    </fill>
    <fill>
      <patternFill patternType="solid">
        <fgColor rgb="FF7030A0"/>
        <bgColor indexed="64"/>
      </patternFill>
    </fill>
    <fill>
      <patternFill patternType="solid">
        <fgColor rgb="FFFFC000"/>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rgb="FF009639"/>
        <bgColor indexed="64"/>
      </patternFill>
    </fill>
    <fill>
      <patternFill patternType="solid">
        <fgColor rgb="FFCDE3BF"/>
        <bgColor indexed="64"/>
      </patternFill>
    </fill>
    <fill>
      <patternFill patternType="solid">
        <fgColor theme="0" tint="-4.9989318521683403E-2"/>
        <bgColor indexed="64"/>
      </patternFill>
    </fill>
    <fill>
      <patternFill patternType="solid">
        <fgColor rgb="FF85010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EF6363"/>
        <bgColor indexed="64"/>
      </patternFill>
    </fill>
  </fills>
  <borders count="59">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tint="0.499984740745262"/>
      </left>
      <right style="hair">
        <color theme="0" tint="-0.499984740745262"/>
      </right>
      <top style="thin">
        <color theme="1" tint="0.499984740745262"/>
      </top>
      <bottom style="hair">
        <color theme="0" tint="-0.499984740745262"/>
      </bottom>
      <diagonal/>
    </border>
    <border>
      <left style="hair">
        <color theme="0" tint="-0.499984740745262"/>
      </left>
      <right style="hair">
        <color theme="0" tint="-0.499984740745262"/>
      </right>
      <top style="thin">
        <color theme="1" tint="0.499984740745262"/>
      </top>
      <bottom style="hair">
        <color theme="0" tint="-0.499984740745262"/>
      </bottom>
      <diagonal/>
    </border>
    <border>
      <left style="thin">
        <color indexed="64"/>
      </left>
      <right style="thin">
        <color indexed="64"/>
      </right>
      <top style="thin">
        <color theme="1" tint="0.499984740745262"/>
      </top>
      <bottom style="hair">
        <color theme="0" tint="-0.499984740745262"/>
      </bottom>
      <diagonal/>
    </border>
    <border>
      <left style="hair">
        <color theme="0" tint="-0.499984740745262"/>
      </left>
      <right style="thin">
        <color indexed="64"/>
      </right>
      <top style="thin">
        <color theme="1" tint="0.499984740745262"/>
      </top>
      <bottom style="hair">
        <color theme="0" tint="-0.499984740745262"/>
      </bottom>
      <diagonal/>
    </border>
    <border>
      <left style="thin">
        <color indexed="64"/>
      </left>
      <right style="thin">
        <color theme="1" tint="0.499984740745262"/>
      </right>
      <top style="thin">
        <color theme="1" tint="0.499984740745262"/>
      </top>
      <bottom style="hair">
        <color theme="0" tint="-0.499984740745262"/>
      </bottom>
      <diagonal/>
    </border>
    <border>
      <left style="thin">
        <color theme="1" tint="0.499984740745262"/>
      </left>
      <right style="hair">
        <color theme="0" tint="-0.499984740745262"/>
      </right>
      <top style="thin">
        <color theme="1" tint="0.499984740745262"/>
      </top>
      <bottom style="thin">
        <color theme="1" tint="0.499984740745262"/>
      </bottom>
      <diagonal/>
    </border>
    <border>
      <left style="hair">
        <color theme="0" tint="-0.499984740745262"/>
      </left>
      <right style="hair">
        <color theme="0" tint="-0.499984740745262"/>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theme="1" tint="0.499984740745262"/>
      </top>
      <bottom style="hair">
        <color theme="0" tint="-0.499984740745262"/>
      </bottom>
      <diagonal/>
    </border>
    <border>
      <left/>
      <right style="thin">
        <color indexed="64"/>
      </right>
      <top style="thin">
        <color indexed="64"/>
      </top>
      <bottom/>
      <diagonal/>
    </border>
    <border>
      <left style="thin">
        <color indexed="64"/>
      </left>
      <right/>
      <top/>
      <bottom style="thin">
        <color indexed="64"/>
      </bottom>
      <diagonal/>
    </border>
    <border>
      <left style="thick">
        <color auto="1"/>
      </left>
      <right/>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theme="0" tint="-0.499984740745262"/>
      </left>
      <right style="hair">
        <color theme="0" tint="-0.499984740745262"/>
      </right>
      <top style="thin">
        <color theme="1" tint="0.499984740745262"/>
      </top>
      <bottom/>
      <diagonal/>
    </border>
    <border>
      <left style="double">
        <color auto="1"/>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cellStyleXfs>
  <cellXfs count="576">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xf numFmtId="0" fontId="6" fillId="0" borderId="0" xfId="0" applyFont="1" applyAlignment="1">
      <alignment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Alignment="1">
      <alignment horizontal="center" vertical="top" wrapText="1"/>
    </xf>
    <xf numFmtId="0" fontId="6" fillId="0" borderId="3" xfId="0" applyFont="1" applyBorder="1"/>
    <xf numFmtId="10" fontId="6" fillId="0" borderId="0" xfId="2" applyNumberFormat="1" applyFont="1" applyBorder="1"/>
    <xf numFmtId="164" fontId="6" fillId="0" borderId="1" xfId="1" applyNumberFormat="1" applyFont="1" applyBorder="1"/>
    <xf numFmtId="164" fontId="6" fillId="0" borderId="2" xfId="1" applyNumberFormat="1" applyFont="1" applyBorder="1"/>
    <xf numFmtId="10" fontId="7" fillId="0" borderId="0" xfId="2" applyNumberFormat="1" applyFont="1" applyBorder="1"/>
    <xf numFmtId="0" fontId="7" fillId="0" borderId="0" xfId="0" applyFont="1"/>
    <xf numFmtId="10" fontId="7" fillId="0" borderId="4" xfId="2" applyNumberFormat="1" applyFont="1" applyBorder="1"/>
    <xf numFmtId="0" fontId="7" fillId="0" borderId="4" xfId="0" applyFont="1" applyBorder="1"/>
    <xf numFmtId="0" fontId="6" fillId="0" borderId="4" xfId="0" applyFont="1" applyBorder="1"/>
    <xf numFmtId="164" fontId="6" fillId="0" borderId="5" xfId="1" applyNumberFormat="1" applyFont="1" applyBorder="1"/>
    <xf numFmtId="164" fontId="6" fillId="0" borderId="6" xfId="1" applyNumberFormat="1" applyFont="1" applyBorder="1"/>
    <xf numFmtId="0" fontId="8" fillId="0" borderId="0" xfId="0" applyFont="1"/>
    <xf numFmtId="0" fontId="7" fillId="0" borderId="0" xfId="0" applyFont="1" applyAlignment="1">
      <alignment horizontal="left"/>
    </xf>
    <xf numFmtId="0" fontId="9" fillId="0" borderId="0" xfId="0" applyFont="1"/>
    <xf numFmtId="164" fontId="10" fillId="0" borderId="1" xfId="1" applyNumberFormat="1" applyFont="1" applyBorder="1"/>
    <xf numFmtId="0" fontId="11" fillId="0" borderId="0" xfId="0" applyFont="1"/>
    <xf numFmtId="0" fontId="12" fillId="2" borderId="7" xfId="0" applyFont="1" applyFill="1" applyBorder="1" applyAlignment="1">
      <alignment wrapText="1"/>
    </xf>
    <xf numFmtId="0" fontId="12" fillId="2" borderId="8" xfId="0" applyFont="1" applyFill="1" applyBorder="1" applyAlignment="1">
      <alignment wrapText="1"/>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8" xfId="0" applyFont="1" applyFill="1" applyBorder="1" applyAlignment="1">
      <alignment horizontal="center" vertical="top" wrapText="1"/>
    </xf>
    <xf numFmtId="0" fontId="12" fillId="2" borderId="11" xfId="0" applyFont="1" applyFill="1" applyBorder="1" applyAlignment="1">
      <alignment horizontal="center" vertical="top" wrapText="1"/>
    </xf>
    <xf numFmtId="0" fontId="6" fillId="3" borderId="12" xfId="0" applyFont="1" applyFill="1" applyBorder="1"/>
    <xf numFmtId="0" fontId="6" fillId="3" borderId="13" xfId="0" applyFont="1" applyFill="1" applyBorder="1"/>
    <xf numFmtId="164" fontId="10" fillId="3" borderId="14" xfId="0" applyNumberFormat="1" applyFont="1" applyFill="1" applyBorder="1" applyAlignment="1">
      <alignment horizontal="right"/>
    </xf>
    <xf numFmtId="0" fontId="3" fillId="0" borderId="0" xfId="0" applyFont="1" applyAlignment="1">
      <alignment horizontal="centerContinuous"/>
    </xf>
    <xf numFmtId="0" fontId="4" fillId="0" borderId="0" xfId="0" applyFont="1" applyAlignment="1">
      <alignment horizontal="centerContinuous"/>
    </xf>
    <xf numFmtId="0" fontId="12" fillId="4" borderId="8" xfId="0" applyFont="1" applyFill="1" applyBorder="1" applyAlignment="1">
      <alignment horizontal="center" vertical="top" wrapText="1"/>
    </xf>
    <xf numFmtId="0" fontId="9" fillId="3" borderId="15" xfId="0" applyFont="1" applyFill="1" applyBorder="1"/>
    <xf numFmtId="0" fontId="9" fillId="3" borderId="16" xfId="0" applyFont="1" applyFill="1" applyBorder="1"/>
    <xf numFmtId="0" fontId="4" fillId="0" borderId="0" xfId="0" applyFont="1"/>
    <xf numFmtId="0" fontId="6" fillId="4" borderId="0" xfId="0" applyFont="1" applyFill="1" applyAlignment="1">
      <alignment horizontal="center" vertical="top" wrapText="1"/>
    </xf>
    <xf numFmtId="10" fontId="0" fillId="0" borderId="0" xfId="2" applyNumberFormat="1" applyFont="1"/>
    <xf numFmtId="10" fontId="12" fillId="2" borderId="9" xfId="2" applyNumberFormat="1" applyFont="1" applyFill="1" applyBorder="1" applyAlignment="1">
      <alignment horizontal="center" vertical="top" wrapText="1"/>
    </xf>
    <xf numFmtId="10" fontId="6" fillId="0" borderId="1" xfId="2" applyNumberFormat="1" applyFont="1" applyBorder="1"/>
    <xf numFmtId="10" fontId="6" fillId="0" borderId="5" xfId="2" applyNumberFormat="1" applyFont="1" applyBorder="1"/>
    <xf numFmtId="10" fontId="10" fillId="0" borderId="1" xfId="2" applyNumberFormat="1" applyFont="1" applyBorder="1"/>
    <xf numFmtId="10" fontId="10" fillId="3" borderId="14" xfId="2" applyNumberFormat="1" applyFont="1" applyFill="1" applyBorder="1" applyAlignment="1">
      <alignment horizontal="right"/>
    </xf>
    <xf numFmtId="0" fontId="12" fillId="5" borderId="10" xfId="0" applyFont="1" applyFill="1" applyBorder="1" applyAlignment="1">
      <alignment horizontal="center" vertical="top" wrapText="1"/>
    </xf>
    <xf numFmtId="165" fontId="0" fillId="0" borderId="0" xfId="1" applyNumberFormat="1" applyFont="1"/>
    <xf numFmtId="0" fontId="0" fillId="0" borderId="0" xfId="0" applyAlignment="1">
      <alignment horizontal="center"/>
    </xf>
    <xf numFmtId="3" fontId="6" fillId="0" borderId="0" xfId="0" applyNumberFormat="1" applyFont="1"/>
    <xf numFmtId="0" fontId="13" fillId="0" borderId="0" xfId="0" applyFont="1"/>
    <xf numFmtId="0" fontId="14" fillId="0" borderId="0" xfId="0" applyFont="1"/>
    <xf numFmtId="3" fontId="0" fillId="0" borderId="0" xfId="0" applyNumberFormat="1"/>
    <xf numFmtId="166" fontId="6" fillId="0" borderId="0" xfId="2" applyNumberFormat="1" applyFont="1"/>
    <xf numFmtId="0" fontId="17" fillId="9" borderId="20" xfId="0" applyFont="1" applyFill="1" applyBorder="1" applyAlignment="1">
      <alignment horizontal="center" vertical="center" wrapText="1"/>
    </xf>
    <xf numFmtId="0" fontId="18" fillId="0" borderId="0" xfId="0" applyFont="1"/>
    <xf numFmtId="168" fontId="16" fillId="0" borderId="20" xfId="0" applyNumberFormat="1" applyFont="1" applyBorder="1" applyAlignment="1">
      <alignment horizontal="center" vertical="center"/>
    </xf>
    <xf numFmtId="164" fontId="0" fillId="0" borderId="0" xfId="0" applyNumberFormat="1"/>
    <xf numFmtId="0" fontId="12" fillId="5" borderId="25" xfId="0" applyFont="1" applyFill="1" applyBorder="1" applyAlignment="1">
      <alignment horizontal="center" vertical="top" wrapText="1"/>
    </xf>
    <xf numFmtId="169" fontId="0" fillId="0" borderId="0" xfId="0" applyNumberFormat="1"/>
    <xf numFmtId="0" fontId="19" fillId="0" borderId="0" xfId="0" applyFont="1"/>
    <xf numFmtId="10" fontId="12" fillId="10" borderId="9" xfId="2" applyNumberFormat="1" applyFont="1" applyFill="1" applyBorder="1" applyAlignment="1">
      <alignment horizontal="center" vertical="top" wrapText="1"/>
    </xf>
    <xf numFmtId="10" fontId="0" fillId="10" borderId="0" xfId="2" applyNumberFormat="1" applyFont="1" applyFill="1"/>
    <xf numFmtId="10" fontId="6" fillId="10" borderId="1" xfId="2" applyNumberFormat="1" applyFont="1" applyFill="1" applyBorder="1"/>
    <xf numFmtId="10" fontId="6" fillId="10" borderId="5" xfId="2" applyNumberFormat="1" applyFont="1" applyFill="1" applyBorder="1"/>
    <xf numFmtId="10" fontId="10" fillId="10" borderId="1" xfId="2" applyNumberFormat="1" applyFont="1" applyFill="1" applyBorder="1"/>
    <xf numFmtId="10" fontId="10" fillId="10" borderId="14" xfId="2" applyNumberFormat="1" applyFont="1" applyFill="1" applyBorder="1" applyAlignment="1">
      <alignment horizontal="right"/>
    </xf>
    <xf numFmtId="0" fontId="0" fillId="0" borderId="0" xfId="0" applyAlignment="1">
      <alignment vertical="center"/>
    </xf>
    <xf numFmtId="165" fontId="0" fillId="0" borderId="0" xfId="0" applyNumberFormat="1"/>
    <xf numFmtId="0" fontId="0" fillId="0" borderId="28" xfId="0" applyBorder="1"/>
    <xf numFmtId="165" fontId="19" fillId="0" borderId="0" xfId="1" applyNumberFormat="1" applyFont="1"/>
    <xf numFmtId="0" fontId="0" fillId="0" borderId="0" xfId="0" applyAlignment="1">
      <alignment wrapText="1"/>
    </xf>
    <xf numFmtId="0" fontId="12" fillId="2" borderId="0" xfId="0" applyFont="1" applyFill="1" applyAlignment="1">
      <alignment wrapText="1"/>
    </xf>
    <xf numFmtId="0" fontId="12" fillId="5" borderId="2" xfId="0" applyFont="1" applyFill="1" applyBorder="1" applyAlignment="1">
      <alignment horizontal="center" vertical="top" wrapText="1"/>
    </xf>
    <xf numFmtId="10" fontId="6" fillId="0" borderId="0" xfId="2" applyNumberFormat="1" applyFont="1"/>
    <xf numFmtId="0" fontId="12" fillId="5" borderId="0" xfId="0" applyFont="1" applyFill="1" applyAlignment="1">
      <alignment horizontal="center" vertical="top" wrapText="1"/>
    </xf>
    <xf numFmtId="164" fontId="10" fillId="0" borderId="0" xfId="1" applyNumberFormat="1" applyFont="1" applyFill="1" applyBorder="1"/>
    <xf numFmtId="10" fontId="6" fillId="0" borderId="4" xfId="2" applyNumberFormat="1" applyFont="1" applyBorder="1"/>
    <xf numFmtId="170" fontId="0" fillId="0" borderId="0" xfId="2" applyNumberFormat="1" applyFont="1"/>
    <xf numFmtId="43" fontId="0" fillId="0" borderId="0" xfId="1" applyFont="1"/>
    <xf numFmtId="43" fontId="0" fillId="0" borderId="0" xfId="2" applyNumberFormat="1" applyFont="1"/>
    <xf numFmtId="0" fontId="22" fillId="0" borderId="0" xfId="0" applyFont="1"/>
    <xf numFmtId="0" fontId="6" fillId="0" borderId="20" xfId="0" applyFont="1" applyBorder="1"/>
    <xf numFmtId="10" fontId="12" fillId="13" borderId="9" xfId="2" applyNumberFormat="1" applyFont="1" applyFill="1" applyBorder="1" applyAlignment="1">
      <alignment horizontal="center" vertical="top" wrapText="1"/>
    </xf>
    <xf numFmtId="0" fontId="23" fillId="0" borderId="0" xfId="0" applyFont="1"/>
    <xf numFmtId="164" fontId="8" fillId="0" borderId="1" xfId="1" applyNumberFormat="1" applyFont="1" applyBorder="1"/>
    <xf numFmtId="164" fontId="8" fillId="0" borderId="5" xfId="1" applyNumberFormat="1" applyFont="1" applyBorder="1"/>
    <xf numFmtId="164" fontId="15" fillId="0" borderId="1" xfId="1" applyNumberFormat="1" applyFont="1" applyBorder="1"/>
    <xf numFmtId="164" fontId="15" fillId="3" borderId="14" xfId="0" applyNumberFormat="1" applyFont="1" applyFill="1" applyBorder="1" applyAlignment="1">
      <alignment horizontal="right"/>
    </xf>
    <xf numFmtId="171" fontId="0" fillId="0" borderId="0" xfId="2" applyNumberFormat="1" applyFont="1"/>
    <xf numFmtId="164" fontId="6" fillId="7" borderId="1" xfId="1" applyNumberFormat="1" applyFont="1" applyFill="1" applyBorder="1"/>
    <xf numFmtId="164" fontId="6" fillId="7" borderId="5" xfId="1" applyNumberFormat="1" applyFont="1" applyFill="1" applyBorder="1"/>
    <xf numFmtId="164" fontId="10" fillId="7" borderId="1" xfId="1" applyNumberFormat="1" applyFont="1" applyFill="1" applyBorder="1"/>
    <xf numFmtId="0" fontId="11" fillId="3" borderId="16" xfId="0" applyFont="1" applyFill="1" applyBorder="1"/>
    <xf numFmtId="10" fontId="15" fillId="3" borderId="14" xfId="2" applyNumberFormat="1" applyFont="1" applyFill="1" applyBorder="1" applyAlignment="1">
      <alignment horizontal="right"/>
    </xf>
    <xf numFmtId="10" fontId="0" fillId="6" borderId="0" xfId="2" applyNumberFormat="1" applyFont="1" applyFill="1"/>
    <xf numFmtId="10" fontId="0" fillId="0" borderId="0" xfId="0" applyNumberFormat="1"/>
    <xf numFmtId="0" fontId="19" fillId="4" borderId="20" xfId="0" applyFont="1" applyFill="1" applyBorder="1" applyAlignment="1">
      <alignment vertical="center"/>
    </xf>
    <xf numFmtId="0" fontId="22" fillId="4" borderId="20" xfId="0" applyFont="1" applyFill="1" applyBorder="1" applyAlignment="1">
      <alignment vertical="center"/>
    </xf>
    <xf numFmtId="168" fontId="21" fillId="0" borderId="20" xfId="0" applyNumberFormat="1" applyFont="1" applyBorder="1" applyAlignment="1">
      <alignment horizontal="center" vertical="center"/>
    </xf>
    <xf numFmtId="9" fontId="0" fillId="0" borderId="0" xfId="0" applyNumberFormat="1"/>
    <xf numFmtId="168" fontId="16" fillId="10" borderId="20" xfId="0" applyNumberFormat="1" applyFont="1" applyFill="1" applyBorder="1" applyAlignment="1">
      <alignment horizontal="center" vertical="center"/>
    </xf>
    <xf numFmtId="9" fontId="16" fillId="10" borderId="20" xfId="2" applyFont="1" applyFill="1" applyBorder="1" applyAlignment="1">
      <alignment horizontal="center" vertical="center"/>
    </xf>
    <xf numFmtId="10" fontId="16" fillId="10" borderId="20" xfId="2" applyNumberFormat="1" applyFont="1" applyFill="1" applyBorder="1" applyAlignment="1">
      <alignment horizontal="center" vertical="center"/>
    </xf>
    <xf numFmtId="168" fontId="16" fillId="14" borderId="20" xfId="0" applyNumberFormat="1" applyFont="1" applyFill="1" applyBorder="1" applyAlignment="1">
      <alignment horizontal="center" vertical="center"/>
    </xf>
    <xf numFmtId="10" fontId="16" fillId="0" borderId="20" xfId="2" applyNumberFormat="1" applyFont="1" applyFill="1" applyBorder="1" applyAlignment="1">
      <alignment horizontal="center" vertical="center"/>
    </xf>
    <xf numFmtId="0" fontId="20" fillId="4" borderId="20" xfId="0" applyFont="1" applyFill="1" applyBorder="1" applyAlignment="1">
      <alignment horizontal="left" vertical="center" indent="2"/>
    </xf>
    <xf numFmtId="168" fontId="16" fillId="0" borderId="20" xfId="0" applyNumberFormat="1" applyFont="1" applyBorder="1" applyAlignment="1">
      <alignment horizontal="center" vertical="center" wrapText="1"/>
    </xf>
    <xf numFmtId="0" fontId="24" fillId="0" borderId="0" xfId="5" applyFont="1" applyAlignment="1">
      <alignment horizontal="left" vertical="center"/>
    </xf>
    <xf numFmtId="0" fontId="19" fillId="0" borderId="0" xfId="5"/>
    <xf numFmtId="0" fontId="19" fillId="0" borderId="0" xfId="5" applyAlignment="1">
      <alignment horizontal="center"/>
    </xf>
    <xf numFmtId="43" fontId="19" fillId="0" borderId="0" xfId="5" applyNumberFormat="1"/>
    <xf numFmtId="9" fontId="25" fillId="0" borderId="0" xfId="5" applyNumberFormat="1" applyFont="1"/>
    <xf numFmtId="0" fontId="25" fillId="0" borderId="0" xfId="5" applyFont="1"/>
    <xf numFmtId="0" fontId="19" fillId="0" borderId="0" xfId="5" applyAlignment="1">
      <alignment horizontal="right"/>
    </xf>
    <xf numFmtId="0" fontId="22" fillId="0" borderId="0" xfId="5" applyFont="1"/>
    <xf numFmtId="0" fontId="17" fillId="15" borderId="23" xfId="5" applyFont="1" applyFill="1" applyBorder="1" applyAlignment="1">
      <alignment horizontal="center" wrapText="1"/>
    </xf>
    <xf numFmtId="0" fontId="17" fillId="15" borderId="24" xfId="5" applyFont="1" applyFill="1" applyBorder="1" applyAlignment="1">
      <alignment horizontal="center" wrapText="1"/>
    </xf>
    <xf numFmtId="0" fontId="22" fillId="15" borderId="24" xfId="5" applyFont="1" applyFill="1" applyBorder="1"/>
    <xf numFmtId="0" fontId="22" fillId="15" borderId="24" xfId="5" applyFont="1" applyFill="1" applyBorder="1" applyAlignment="1">
      <alignment horizontal="center"/>
    </xf>
    <xf numFmtId="0" fontId="26" fillId="15" borderId="17" xfId="5" applyFont="1" applyFill="1" applyBorder="1" applyAlignment="1">
      <alignment horizontal="center" wrapText="1"/>
    </xf>
    <xf numFmtId="0" fontId="26" fillId="15" borderId="19" xfId="5" applyFont="1" applyFill="1" applyBorder="1" applyAlignment="1">
      <alignment horizontal="center" wrapText="1"/>
    </xf>
    <xf numFmtId="0" fontId="26" fillId="0" borderId="0" xfId="5" applyFont="1" applyAlignment="1">
      <alignment horizontal="center" wrapText="1"/>
    </xf>
    <xf numFmtId="172" fontId="26" fillId="16" borderId="23" xfId="5" applyNumberFormat="1" applyFont="1" applyFill="1" applyBorder="1" applyAlignment="1">
      <alignment horizontal="center" wrapText="1"/>
    </xf>
    <xf numFmtId="172" fontId="26" fillId="17" borderId="23" xfId="5" applyNumberFormat="1" applyFont="1" applyFill="1" applyBorder="1" applyAlignment="1">
      <alignment horizontal="center" wrapText="1"/>
    </xf>
    <xf numFmtId="9" fontId="26" fillId="18" borderId="23" xfId="6" applyFont="1" applyFill="1" applyBorder="1" applyAlignment="1">
      <alignment horizontal="center" wrapText="1"/>
    </xf>
    <xf numFmtId="172" fontId="26" fillId="18" borderId="23" xfId="5" applyNumberFormat="1" applyFont="1" applyFill="1" applyBorder="1" applyAlignment="1">
      <alignment horizontal="center" wrapText="1"/>
    </xf>
    <xf numFmtId="165" fontId="26" fillId="18" borderId="23" xfId="7" applyNumberFormat="1" applyFont="1" applyFill="1" applyBorder="1" applyAlignment="1">
      <alignment wrapText="1"/>
    </xf>
    <xf numFmtId="173" fontId="26" fillId="18" borderId="23" xfId="5" applyNumberFormat="1" applyFont="1" applyFill="1" applyBorder="1" applyAlignment="1">
      <alignment horizontal="center" wrapText="1"/>
    </xf>
    <xf numFmtId="0" fontId="17" fillId="12" borderId="0" xfId="5" applyFont="1" applyFill="1" applyAlignment="1">
      <alignment horizontal="center"/>
    </xf>
    <xf numFmtId="0" fontId="17" fillId="15" borderId="5" xfId="5" applyFont="1" applyFill="1" applyBorder="1" applyAlignment="1">
      <alignment horizontal="left" wrapText="1"/>
    </xf>
    <xf numFmtId="0" fontId="17" fillId="15" borderId="0" xfId="5" applyFont="1" applyFill="1" applyAlignment="1">
      <alignment horizontal="left" wrapText="1"/>
    </xf>
    <xf numFmtId="0" fontId="17" fillId="15" borderId="0" xfId="5" applyFont="1" applyFill="1" applyAlignment="1">
      <alignment wrapText="1"/>
    </xf>
    <xf numFmtId="0" fontId="17" fillId="15" borderId="0" xfId="5" applyFont="1" applyFill="1" applyAlignment="1">
      <alignment horizontal="center" wrapText="1"/>
    </xf>
    <xf numFmtId="172" fontId="26" fillId="15" borderId="20" xfId="5" applyNumberFormat="1" applyFont="1" applyFill="1" applyBorder="1" applyAlignment="1">
      <alignment horizontal="center" wrapText="1"/>
    </xf>
    <xf numFmtId="172" fontId="26" fillId="15" borderId="6" xfId="5" applyNumberFormat="1" applyFont="1" applyFill="1" applyBorder="1" applyAlignment="1">
      <alignment horizontal="center" wrapText="1"/>
    </xf>
    <xf numFmtId="172" fontId="26" fillId="16" borderId="27" xfId="5" applyNumberFormat="1" applyFont="1" applyFill="1" applyBorder="1" applyAlignment="1">
      <alignment horizontal="center" wrapText="1"/>
    </xf>
    <xf numFmtId="172" fontId="26" fillId="16" borderId="5" xfId="5" applyNumberFormat="1" applyFont="1" applyFill="1" applyBorder="1" applyAlignment="1">
      <alignment horizontal="center" wrapText="1"/>
    </xf>
    <xf numFmtId="172" fontId="26" fillId="16" borderId="6" xfId="5" applyNumberFormat="1" applyFont="1" applyFill="1" applyBorder="1" applyAlignment="1">
      <alignment horizontal="center" wrapText="1"/>
    </xf>
    <xf numFmtId="172" fontId="26" fillId="17" borderId="5" xfId="5" applyNumberFormat="1" applyFont="1" applyFill="1" applyBorder="1" applyAlignment="1">
      <alignment horizontal="center" wrapText="1"/>
    </xf>
    <xf numFmtId="172" fontId="26" fillId="13" borderId="1" xfId="5" applyNumberFormat="1" applyFont="1" applyFill="1" applyBorder="1" applyAlignment="1">
      <alignment horizontal="center" wrapText="1"/>
    </xf>
    <xf numFmtId="172" fontId="26" fillId="18" borderId="1" xfId="5" applyNumberFormat="1" applyFont="1" applyFill="1" applyBorder="1" applyAlignment="1">
      <alignment horizontal="center" wrapText="1"/>
    </xf>
    <xf numFmtId="172" fontId="26" fillId="12" borderId="23" xfId="5" applyNumberFormat="1" applyFont="1" applyFill="1" applyBorder="1" applyAlignment="1">
      <alignment horizontal="center" wrapText="1"/>
    </xf>
    <xf numFmtId="0" fontId="19" fillId="0" borderId="4" xfId="5" applyBorder="1"/>
    <xf numFmtId="0" fontId="19" fillId="0" borderId="4" xfId="5" applyBorder="1" applyAlignment="1">
      <alignment horizontal="center"/>
    </xf>
    <xf numFmtId="0" fontId="26" fillId="16" borderId="27" xfId="5" applyFont="1" applyFill="1" applyBorder="1" applyAlignment="1">
      <alignment horizontal="center" wrapText="1"/>
    </xf>
    <xf numFmtId="0" fontId="26" fillId="16" borderId="6" xfId="5" applyFont="1" applyFill="1" applyBorder="1" applyAlignment="1">
      <alignment horizontal="center" wrapText="1"/>
    </xf>
    <xf numFmtId="172" fontId="26" fillId="16" borderId="4" xfId="5" applyNumberFormat="1" applyFont="1" applyFill="1" applyBorder="1" applyAlignment="1">
      <alignment horizontal="center" wrapText="1"/>
    </xf>
    <xf numFmtId="0" fontId="6" fillId="0" borderId="29" xfId="5" applyFont="1" applyBorder="1"/>
    <xf numFmtId="0" fontId="6" fillId="0" borderId="30" xfId="5" applyFont="1" applyBorder="1"/>
    <xf numFmtId="0" fontId="19" fillId="0" borderId="31" xfId="5" applyBorder="1" applyAlignment="1">
      <alignment vertical="top"/>
    </xf>
    <xf numFmtId="0" fontId="19" fillId="0" borderId="32" xfId="5" applyBorder="1" applyAlignment="1">
      <alignment horizontal="center" vertical="top"/>
    </xf>
    <xf numFmtId="0" fontId="19" fillId="0" borderId="33" xfId="5" applyBorder="1" applyAlignment="1">
      <alignment horizontal="center" vertical="top"/>
    </xf>
    <xf numFmtId="165" fontId="0" fillId="0" borderId="34" xfId="7" applyNumberFormat="1" applyFont="1" applyBorder="1"/>
    <xf numFmtId="165" fontId="0" fillId="0" borderId="35" xfId="7" applyNumberFormat="1" applyFont="1" applyBorder="1"/>
    <xf numFmtId="174" fontId="19" fillId="0" borderId="36" xfId="5" applyNumberFormat="1" applyBorder="1"/>
    <xf numFmtId="174" fontId="19" fillId="0" borderId="37" xfId="5" applyNumberFormat="1" applyBorder="1"/>
    <xf numFmtId="175" fontId="19" fillId="0" borderId="38" xfId="5" applyNumberFormat="1" applyBorder="1"/>
    <xf numFmtId="174" fontId="19" fillId="0" borderId="39" xfId="5" applyNumberFormat="1" applyBorder="1"/>
    <xf numFmtId="174" fontId="19" fillId="0" borderId="40" xfId="5" applyNumberFormat="1" applyBorder="1"/>
    <xf numFmtId="174" fontId="19" fillId="0" borderId="41" xfId="5" applyNumberFormat="1" applyBorder="1"/>
    <xf numFmtId="174" fontId="19" fillId="0" borderId="38" xfId="5" applyNumberFormat="1" applyBorder="1"/>
    <xf numFmtId="174" fontId="19" fillId="0" borderId="0" xfId="5" applyNumberFormat="1"/>
    <xf numFmtId="176" fontId="19" fillId="0" borderId="38" xfId="5" applyNumberFormat="1" applyBorder="1"/>
    <xf numFmtId="176" fontId="0" fillId="0" borderId="38" xfId="6" applyNumberFormat="1" applyFont="1" applyBorder="1"/>
    <xf numFmtId="166" fontId="0" fillId="0" borderId="0" xfId="6" applyNumberFormat="1" applyFont="1"/>
    <xf numFmtId="176" fontId="19" fillId="0" borderId="0" xfId="5" applyNumberFormat="1" applyAlignment="1">
      <alignment horizontal="right"/>
    </xf>
    <xf numFmtId="176" fontId="19" fillId="0" borderId="0" xfId="5" applyNumberFormat="1"/>
    <xf numFmtId="177" fontId="0" fillId="0" borderId="0" xfId="6" applyNumberFormat="1" applyFont="1"/>
    <xf numFmtId="177" fontId="0" fillId="0" borderId="0" xfId="6" applyNumberFormat="1" applyFont="1" applyFill="1"/>
    <xf numFmtId="0" fontId="6" fillId="0" borderId="42" xfId="5" applyFont="1" applyBorder="1"/>
    <xf numFmtId="0" fontId="6" fillId="0" borderId="33" xfId="5" applyFont="1" applyBorder="1"/>
    <xf numFmtId="0" fontId="19" fillId="0" borderId="43" xfId="5" applyBorder="1" applyAlignment="1">
      <alignment vertical="top"/>
    </xf>
    <xf numFmtId="174" fontId="19" fillId="0" borderId="34" xfId="5" applyNumberFormat="1" applyBorder="1"/>
    <xf numFmtId="174" fontId="19" fillId="0" borderId="44" xfId="5" applyNumberFormat="1" applyBorder="1"/>
    <xf numFmtId="175" fontId="19" fillId="0" borderId="35" xfId="5" applyNumberFormat="1" applyBorder="1"/>
    <xf numFmtId="174" fontId="19" fillId="0" borderId="45" xfId="5" applyNumberFormat="1" applyBorder="1"/>
    <xf numFmtId="174" fontId="19" fillId="0" borderId="46" xfId="5" applyNumberFormat="1" applyBorder="1"/>
    <xf numFmtId="174" fontId="19" fillId="0" borderId="47" xfId="5" applyNumberFormat="1" applyBorder="1"/>
    <xf numFmtId="174" fontId="19" fillId="0" borderId="35" xfId="5" applyNumberFormat="1" applyBorder="1"/>
    <xf numFmtId="174" fontId="19" fillId="0" borderId="35" xfId="5" applyNumberFormat="1" applyBorder="1" applyAlignment="1">
      <alignment horizontal="center"/>
    </xf>
    <xf numFmtId="174" fontId="19" fillId="6" borderId="35" xfId="5" applyNumberFormat="1" applyFill="1" applyBorder="1"/>
    <xf numFmtId="174" fontId="19" fillId="0" borderId="35" xfId="5" applyNumberFormat="1" applyBorder="1" applyAlignment="1">
      <alignment horizontal="right"/>
    </xf>
    <xf numFmtId="176" fontId="19" fillId="6" borderId="0" xfId="5" applyNumberFormat="1" applyFill="1"/>
    <xf numFmtId="0" fontId="6" fillId="19" borderId="42" xfId="5" applyFont="1" applyFill="1" applyBorder="1"/>
    <xf numFmtId="177" fontId="0" fillId="19" borderId="0" xfId="6" applyNumberFormat="1" applyFont="1" applyFill="1"/>
    <xf numFmtId="175" fontId="0" fillId="0" borderId="35" xfId="6" applyNumberFormat="1" applyFont="1" applyBorder="1"/>
    <xf numFmtId="0" fontId="6" fillId="19" borderId="48" xfId="5" applyFont="1" applyFill="1" applyBorder="1"/>
    <xf numFmtId="0" fontId="6" fillId="0" borderId="49" xfId="5" applyFont="1" applyBorder="1"/>
    <xf numFmtId="0" fontId="19" fillId="0" borderId="50" xfId="5" applyBorder="1" applyAlignment="1">
      <alignment vertical="top"/>
    </xf>
    <xf numFmtId="165" fontId="0" fillId="0" borderId="51" xfId="7" applyNumberFormat="1" applyFont="1" applyBorder="1"/>
    <xf numFmtId="165" fontId="0" fillId="0" borderId="52" xfId="7" applyNumberFormat="1" applyFont="1" applyBorder="1"/>
    <xf numFmtId="174" fontId="19" fillId="0" borderId="51" xfId="5" applyNumberFormat="1" applyBorder="1"/>
    <xf numFmtId="174" fontId="19" fillId="0" borderId="53" xfId="5" applyNumberFormat="1" applyBorder="1"/>
    <xf numFmtId="175" fontId="19" fillId="0" borderId="52" xfId="5" applyNumberFormat="1" applyBorder="1"/>
    <xf numFmtId="174" fontId="19" fillId="0" borderId="27" xfId="5" applyNumberFormat="1" applyBorder="1"/>
    <xf numFmtId="174" fontId="19" fillId="0" borderId="5" xfId="5" applyNumberFormat="1" applyBorder="1"/>
    <xf numFmtId="174" fontId="19" fillId="0" borderId="6" xfId="5" applyNumberFormat="1" applyBorder="1"/>
    <xf numFmtId="174" fontId="19" fillId="0" borderId="52" xfId="5" applyNumberFormat="1" applyBorder="1"/>
    <xf numFmtId="176" fontId="22" fillId="0" borderId="0" xfId="5" applyNumberFormat="1" applyFont="1"/>
    <xf numFmtId="165" fontId="0" fillId="0" borderId="21" xfId="7" applyNumberFormat="1" applyFont="1" applyBorder="1"/>
    <xf numFmtId="174" fontId="22" fillId="0" borderId="21" xfId="5" applyNumberFormat="1" applyFont="1" applyBorder="1"/>
    <xf numFmtId="178" fontId="22" fillId="0" borderId="21" xfId="6" applyNumberFormat="1" applyFont="1" applyBorder="1"/>
    <xf numFmtId="174" fontId="19" fillId="0" borderId="21" xfId="5" applyNumberFormat="1" applyBorder="1"/>
    <xf numFmtId="176" fontId="19" fillId="0" borderId="21" xfId="5" applyNumberFormat="1" applyBorder="1"/>
    <xf numFmtId="165" fontId="19" fillId="0" borderId="0" xfId="5" applyNumberFormat="1"/>
    <xf numFmtId="179" fontId="19" fillId="0" borderId="0" xfId="5" applyNumberFormat="1"/>
    <xf numFmtId="168" fontId="0" fillId="0" borderId="0" xfId="0" applyNumberFormat="1" applyAlignment="1">
      <alignment wrapText="1"/>
    </xf>
    <xf numFmtId="166" fontId="19" fillId="0" borderId="20" xfId="2" applyNumberFormat="1" applyFont="1" applyBorder="1" applyAlignment="1">
      <alignment horizontal="center"/>
    </xf>
    <xf numFmtId="166" fontId="16" fillId="0" borderId="20" xfId="2" applyNumberFormat="1" applyFont="1" applyBorder="1" applyAlignment="1">
      <alignment horizontal="center" vertical="center" wrapText="1"/>
    </xf>
    <xf numFmtId="0" fontId="19" fillId="4" borderId="0" xfId="0" applyFont="1" applyFill="1" applyAlignment="1">
      <alignment vertical="center"/>
    </xf>
    <xf numFmtId="10" fontId="0" fillId="0" borderId="0" xfId="0" applyNumberFormat="1" applyAlignment="1">
      <alignment wrapText="1"/>
    </xf>
    <xf numFmtId="166" fontId="17" fillId="9" borderId="20" xfId="2" applyNumberFormat="1" applyFont="1" applyFill="1" applyBorder="1" applyAlignment="1">
      <alignment horizontal="center" vertical="center" wrapText="1"/>
    </xf>
    <xf numFmtId="9" fontId="17" fillId="9" borderId="20" xfId="2" applyFont="1" applyFill="1" applyBorder="1" applyAlignment="1">
      <alignment horizontal="center" vertical="center" wrapText="1"/>
    </xf>
    <xf numFmtId="0" fontId="18" fillId="4" borderId="0" xfId="0" applyFont="1" applyFill="1" applyAlignment="1">
      <alignment vertical="center"/>
    </xf>
    <xf numFmtId="0" fontId="12" fillId="9" borderId="25" xfId="0" applyFont="1" applyFill="1" applyBorder="1" applyAlignment="1">
      <alignment horizontal="center" vertical="top" wrapText="1"/>
    </xf>
    <xf numFmtId="0" fontId="29" fillId="9" borderId="0" xfId="0" applyFont="1" applyFill="1" applyAlignment="1">
      <alignment wrapText="1"/>
    </xf>
    <xf numFmtId="0" fontId="29" fillId="20" borderId="0" xfId="0" applyFont="1" applyFill="1" applyAlignment="1">
      <alignment wrapText="1"/>
    </xf>
    <xf numFmtId="180" fontId="0" fillId="0" borderId="0" xfId="3" applyNumberFormat="1" applyFont="1"/>
    <xf numFmtId="180" fontId="0" fillId="0" borderId="0" xfId="0" applyNumberFormat="1"/>
    <xf numFmtId="172" fontId="26" fillId="16" borderId="0" xfId="5" applyNumberFormat="1" applyFont="1" applyFill="1" applyAlignment="1">
      <alignment horizontal="center" wrapText="1"/>
    </xf>
    <xf numFmtId="167" fontId="0" fillId="0" borderId="0" xfId="0" applyNumberFormat="1"/>
    <xf numFmtId="43" fontId="0" fillId="0" borderId="0" xfId="0" applyNumberFormat="1"/>
    <xf numFmtId="181" fontId="30" fillId="0" borderId="0" xfId="0" applyNumberFormat="1" applyFont="1"/>
    <xf numFmtId="0" fontId="12" fillId="9" borderId="20" xfId="0" applyFont="1" applyFill="1" applyBorder="1" applyAlignment="1">
      <alignment horizontal="left" vertical="center" wrapText="1"/>
    </xf>
    <xf numFmtId="0" fontId="12" fillId="9" borderId="20" xfId="0" applyFont="1" applyFill="1" applyBorder="1" applyAlignment="1">
      <alignment horizontal="left" vertical="center"/>
    </xf>
    <xf numFmtId="0" fontId="12" fillId="9" borderId="1" xfId="0" applyFont="1" applyFill="1" applyBorder="1" applyAlignment="1">
      <alignment horizontal="left" vertical="center"/>
    </xf>
    <xf numFmtId="0" fontId="12" fillId="9" borderId="1" xfId="0" applyFont="1" applyFill="1" applyBorder="1" applyAlignment="1">
      <alignment horizontal="center" vertical="center" wrapText="1"/>
    </xf>
    <xf numFmtId="181" fontId="0" fillId="0" borderId="0" xfId="0" applyNumberFormat="1"/>
    <xf numFmtId="0" fontId="19" fillId="0" borderId="20" xfId="0" applyFont="1" applyBorder="1" applyAlignment="1">
      <alignment wrapText="1"/>
    </xf>
    <xf numFmtId="0" fontId="19" fillId="0" borderId="20" xfId="0" applyFont="1" applyBorder="1"/>
    <xf numFmtId="0" fontId="22" fillId="0" borderId="20" xfId="0" applyFont="1" applyBorder="1" applyAlignment="1">
      <alignment wrapText="1"/>
    </xf>
    <xf numFmtId="10" fontId="19" fillId="0" borderId="20" xfId="0" applyNumberFormat="1" applyFont="1" applyBorder="1" applyAlignment="1">
      <alignment wrapText="1"/>
    </xf>
    <xf numFmtId="9" fontId="19" fillId="0" borderId="20" xfId="0" applyNumberFormat="1" applyFont="1" applyBorder="1" applyAlignment="1">
      <alignment wrapText="1"/>
    </xf>
    <xf numFmtId="166" fontId="19" fillId="0" borderId="20" xfId="0" applyNumberFormat="1" applyFont="1" applyBorder="1" applyAlignment="1">
      <alignment wrapText="1"/>
    </xf>
    <xf numFmtId="165" fontId="0" fillId="0" borderId="0" xfId="1" applyNumberFormat="1" applyFont="1" applyAlignment="1">
      <alignment wrapText="1"/>
    </xf>
    <xf numFmtId="168" fontId="21" fillId="0" borderId="20" xfId="0" applyNumberFormat="1" applyFont="1" applyBorder="1" applyAlignment="1">
      <alignment horizontal="center" vertical="center" wrapText="1"/>
    </xf>
    <xf numFmtId="168" fontId="21" fillId="21" borderId="20" xfId="0" applyNumberFormat="1" applyFont="1" applyFill="1" applyBorder="1" applyAlignment="1">
      <alignment horizontal="center" vertical="center" wrapText="1"/>
    </xf>
    <xf numFmtId="0" fontId="17" fillId="9" borderId="0" xfId="0" applyFont="1" applyFill="1" applyAlignment="1">
      <alignment horizontal="center" vertical="center" wrapText="1"/>
    </xf>
    <xf numFmtId="0" fontId="19" fillId="4" borderId="20" xfId="0" applyFont="1" applyFill="1" applyBorder="1" applyAlignment="1">
      <alignment horizontal="center" vertical="center" wrapText="1"/>
    </xf>
    <xf numFmtId="166" fontId="0" fillId="0" borderId="0" xfId="2" applyNumberFormat="1" applyFont="1"/>
    <xf numFmtId="0" fontId="19" fillId="10" borderId="20" xfId="0" applyFont="1" applyFill="1" applyBorder="1" applyAlignment="1">
      <alignment horizontal="center" vertical="center" wrapText="1"/>
    </xf>
    <xf numFmtId="0" fontId="2" fillId="0" borderId="0" xfId="0" applyFont="1" applyAlignment="1">
      <alignment horizontal="right"/>
    </xf>
    <xf numFmtId="1" fontId="7" fillId="0" borderId="0" xfId="2" applyNumberFormat="1" applyFont="1" applyBorder="1" applyAlignment="1">
      <alignment vertical="center"/>
    </xf>
    <xf numFmtId="165" fontId="6" fillId="0" borderId="0" xfId="1" applyNumberFormat="1" applyFont="1"/>
    <xf numFmtId="1" fontId="7" fillId="0" borderId="4" xfId="2" applyNumberFormat="1" applyFont="1" applyBorder="1" applyAlignment="1">
      <alignment vertical="center"/>
    </xf>
    <xf numFmtId="165" fontId="6" fillId="0" borderId="4" xfId="1" applyNumberFormat="1" applyFont="1" applyBorder="1"/>
    <xf numFmtId="166" fontId="6" fillId="0" borderId="4" xfId="2" applyNumberFormat="1" applyFont="1" applyBorder="1"/>
    <xf numFmtId="165" fontId="6" fillId="4" borderId="0" xfId="1" applyNumberFormat="1" applyFont="1" applyFill="1"/>
    <xf numFmtId="165" fontId="6" fillId="0" borderId="0" xfId="0" applyNumberFormat="1" applyFont="1"/>
    <xf numFmtId="10" fontId="6" fillId="0" borderId="0" xfId="0" applyNumberFormat="1" applyFont="1"/>
    <xf numFmtId="165" fontId="6" fillId="4" borderId="0" xfId="0" applyNumberFormat="1" applyFont="1" applyFill="1"/>
    <xf numFmtId="166" fontId="19" fillId="4" borderId="20" xfId="2" applyNumberFormat="1" applyFont="1" applyFill="1" applyBorder="1" applyAlignment="1">
      <alignment horizontal="center" vertical="center" wrapText="1"/>
    </xf>
    <xf numFmtId="166" fontId="19" fillId="4" borderId="20" xfId="0" applyNumberFormat="1" applyFont="1" applyFill="1" applyBorder="1" applyAlignment="1">
      <alignment horizontal="center" vertical="center" wrapText="1"/>
    </xf>
    <xf numFmtId="0" fontId="0" fillId="10" borderId="0" xfId="0" applyFill="1"/>
    <xf numFmtId="0" fontId="12" fillId="10" borderId="25" xfId="0" applyFont="1" applyFill="1" applyBorder="1" applyAlignment="1">
      <alignment horizontal="center" vertical="top" wrapText="1"/>
    </xf>
    <xf numFmtId="164" fontId="6" fillId="10" borderId="1" xfId="1" applyNumberFormat="1" applyFont="1" applyFill="1" applyBorder="1"/>
    <xf numFmtId="164" fontId="10" fillId="10" borderId="1" xfId="1" applyNumberFormat="1" applyFont="1" applyFill="1" applyBorder="1"/>
    <xf numFmtId="164" fontId="10" fillId="10" borderId="14" xfId="0" applyNumberFormat="1" applyFont="1" applyFill="1" applyBorder="1" applyAlignment="1">
      <alignment horizontal="right"/>
    </xf>
    <xf numFmtId="164" fontId="0" fillId="10" borderId="0" xfId="0" applyNumberFormat="1" applyFill="1"/>
    <xf numFmtId="166" fontId="6" fillId="0" borderId="0" xfId="2" applyNumberFormat="1" applyFont="1" applyAlignment="1">
      <alignment horizontal="center" vertical="top" wrapText="1"/>
    </xf>
    <xf numFmtId="166" fontId="19" fillId="0" borderId="0" xfId="2" applyNumberFormat="1" applyFont="1"/>
    <xf numFmtId="0" fontId="17" fillId="2" borderId="7" xfId="0" applyFont="1" applyFill="1" applyBorder="1" applyAlignment="1">
      <alignment wrapText="1"/>
    </xf>
    <xf numFmtId="0" fontId="17" fillId="2" borderId="8" xfId="0" applyFont="1" applyFill="1" applyBorder="1" applyAlignment="1">
      <alignment wrapText="1"/>
    </xf>
    <xf numFmtId="0" fontId="17" fillId="2" borderId="0" xfId="0" applyFont="1" applyFill="1" applyAlignment="1">
      <alignment wrapText="1"/>
    </xf>
    <xf numFmtId="10" fontId="19" fillId="0" borderId="0" xfId="2" applyNumberFormat="1" applyFont="1" applyBorder="1"/>
    <xf numFmtId="10" fontId="31" fillId="0" borderId="0" xfId="2" applyNumberFormat="1" applyFont="1" applyBorder="1"/>
    <xf numFmtId="0" fontId="31" fillId="0" borderId="0" xfId="0" applyFont="1"/>
    <xf numFmtId="10" fontId="31" fillId="0" borderId="4" xfId="2" applyNumberFormat="1" applyFont="1" applyBorder="1"/>
    <xf numFmtId="0" fontId="31" fillId="0" borderId="4" xfId="0" applyFont="1" applyBorder="1"/>
    <xf numFmtId="0" fontId="19" fillId="0" borderId="4" xfId="0" applyFont="1" applyBorder="1"/>
    <xf numFmtId="0" fontId="19" fillId="0" borderId="0" xfId="0" applyFont="1" applyAlignment="1">
      <alignment wrapText="1"/>
    </xf>
    <xf numFmtId="0" fontId="31" fillId="0" borderId="0" xfId="0" applyFont="1" applyAlignment="1">
      <alignment horizontal="left"/>
    </xf>
    <xf numFmtId="0" fontId="32" fillId="0" borderId="0" xfId="0" applyFont="1"/>
    <xf numFmtId="0" fontId="18" fillId="4" borderId="0" xfId="0" applyFont="1" applyFill="1"/>
    <xf numFmtId="165" fontId="33" fillId="0" borderId="0" xfId="1" applyNumberFormat="1" applyFont="1"/>
    <xf numFmtId="0" fontId="34" fillId="0" borderId="0" xfId="0" applyFont="1"/>
    <xf numFmtId="0" fontId="34" fillId="3" borderId="15" xfId="0" applyFont="1" applyFill="1" applyBorder="1"/>
    <xf numFmtId="0" fontId="34" fillId="3" borderId="16" xfId="0" applyFont="1" applyFill="1" applyBorder="1"/>
    <xf numFmtId="165" fontId="35" fillId="0" borderId="0" xfId="0" applyNumberFormat="1" applyFont="1"/>
    <xf numFmtId="166" fontId="33" fillId="0" borderId="0" xfId="2" applyNumberFormat="1" applyFont="1"/>
    <xf numFmtId="165" fontId="36" fillId="3" borderId="16" xfId="1" applyNumberFormat="1" applyFont="1" applyFill="1" applyBorder="1"/>
    <xf numFmtId="166" fontId="36" fillId="3" borderId="16" xfId="2" applyNumberFormat="1" applyFont="1" applyFill="1" applyBorder="1"/>
    <xf numFmtId="0" fontId="33" fillId="24" borderId="0" xfId="0" applyFont="1" applyFill="1" applyAlignment="1">
      <alignment horizontal="centerContinuous"/>
    </xf>
    <xf numFmtId="0" fontId="37" fillId="2" borderId="0" xfId="0" applyFont="1" applyFill="1" applyAlignment="1">
      <alignment wrapText="1"/>
    </xf>
    <xf numFmtId="0" fontId="33" fillId="0" borderId="0" xfId="0" applyFont="1"/>
    <xf numFmtId="0" fontId="35" fillId="0" borderId="0" xfId="0" applyFont="1"/>
    <xf numFmtId="0" fontId="16" fillId="4" borderId="20" xfId="0" applyFont="1" applyFill="1" applyBorder="1" applyAlignment="1">
      <alignment vertical="center" wrapText="1"/>
    </xf>
    <xf numFmtId="0" fontId="16" fillId="4" borderId="20" xfId="0" applyFont="1" applyFill="1" applyBorder="1" applyAlignment="1">
      <alignment horizontal="center" vertical="center" wrapText="1"/>
    </xf>
    <xf numFmtId="0" fontId="16" fillId="23" borderId="20" xfId="0" applyFont="1" applyFill="1" applyBorder="1" applyAlignment="1">
      <alignment horizontal="center" vertical="center" wrapText="1"/>
    </xf>
    <xf numFmtId="0" fontId="16" fillId="22" borderId="20" xfId="0" applyFont="1" applyFill="1" applyBorder="1" applyAlignment="1">
      <alignment horizontal="center" vertical="center" wrapText="1"/>
    </xf>
    <xf numFmtId="0" fontId="16" fillId="12" borderId="20" xfId="0" applyFont="1" applyFill="1" applyBorder="1" applyAlignment="1">
      <alignment horizontal="center" vertical="center" wrapText="1"/>
    </xf>
    <xf numFmtId="0" fontId="16" fillId="0" borderId="20" xfId="0" applyFont="1" applyBorder="1" applyAlignment="1">
      <alignment wrapText="1"/>
    </xf>
    <xf numFmtId="0" fontId="16" fillId="6" borderId="20" xfId="0" applyFont="1" applyFill="1" applyBorder="1" applyAlignment="1">
      <alignment horizontal="center" vertical="center" wrapText="1"/>
    </xf>
    <xf numFmtId="0" fontId="21" fillId="21" borderId="20" xfId="0" applyFont="1" applyFill="1" applyBorder="1" applyAlignment="1">
      <alignment vertical="center"/>
    </xf>
    <xf numFmtId="0" fontId="38" fillId="0" borderId="0" xfId="0" applyFont="1" applyAlignment="1">
      <alignment wrapText="1"/>
    </xf>
    <xf numFmtId="0" fontId="38" fillId="0" borderId="0" xfId="0" applyFont="1"/>
    <xf numFmtId="0" fontId="39" fillId="4" borderId="0" xfId="0" applyFont="1" applyFill="1" applyAlignment="1">
      <alignment vertical="center"/>
    </xf>
    <xf numFmtId="9" fontId="16" fillId="4" borderId="20" xfId="0" applyNumberFormat="1" applyFont="1" applyFill="1" applyBorder="1" applyAlignment="1">
      <alignment horizontal="center" vertical="center" wrapText="1"/>
    </xf>
    <xf numFmtId="0" fontId="38" fillId="0" borderId="0" xfId="0" applyFont="1" applyAlignment="1">
      <alignment vertical="center"/>
    </xf>
    <xf numFmtId="0" fontId="39" fillId="0" borderId="0" xfId="0" applyFont="1"/>
    <xf numFmtId="9" fontId="16" fillId="12" borderId="20" xfId="0" applyNumberFormat="1" applyFont="1" applyFill="1" applyBorder="1" applyAlignment="1">
      <alignment horizontal="center" vertical="center" wrapText="1"/>
    </xf>
    <xf numFmtId="166" fontId="19" fillId="0" borderId="1" xfId="2" applyNumberFormat="1" applyFont="1" applyBorder="1" applyAlignment="1">
      <alignment horizontal="center"/>
    </xf>
    <xf numFmtId="166" fontId="19" fillId="0" borderId="5" xfId="2" applyNumberFormat="1" applyFont="1" applyBorder="1" applyAlignment="1">
      <alignment horizontal="center"/>
    </xf>
    <xf numFmtId="166" fontId="33" fillId="0" borderId="1" xfId="2" applyNumberFormat="1" applyFont="1" applyBorder="1" applyAlignment="1">
      <alignment horizontal="center"/>
    </xf>
    <xf numFmtId="166" fontId="33" fillId="0" borderId="5" xfId="2" applyNumberFormat="1" applyFont="1" applyBorder="1" applyAlignment="1">
      <alignment horizontal="center"/>
    </xf>
    <xf numFmtId="166" fontId="22" fillId="0" borderId="0" xfId="2" applyNumberFormat="1" applyFont="1" applyAlignment="1">
      <alignment horizontal="center"/>
    </xf>
    <xf numFmtId="0" fontId="35" fillId="0" borderId="0" xfId="0" applyFont="1" applyAlignment="1">
      <alignment horizontal="center"/>
    </xf>
    <xf numFmtId="164" fontId="19" fillId="0" borderId="1" xfId="1" applyNumberFormat="1" applyFont="1" applyBorder="1" applyAlignment="1">
      <alignment horizontal="center"/>
    </xf>
    <xf numFmtId="164" fontId="19" fillId="0" borderId="5" xfId="1" applyNumberFormat="1" applyFont="1" applyBorder="1" applyAlignment="1">
      <alignment horizontal="center"/>
    </xf>
    <xf numFmtId="164" fontId="33" fillId="0" borderId="1" xfId="1" applyNumberFormat="1" applyFont="1" applyBorder="1" applyAlignment="1">
      <alignment horizontal="center"/>
    </xf>
    <xf numFmtId="164" fontId="33" fillId="0" borderId="5" xfId="1" applyNumberFormat="1" applyFont="1" applyBorder="1" applyAlignment="1">
      <alignment horizontal="center"/>
    </xf>
    <xf numFmtId="0" fontId="35" fillId="4" borderId="0" xfId="0" applyFont="1" applyFill="1"/>
    <xf numFmtId="0" fontId="19" fillId="4" borderId="0" xfId="0" applyFont="1" applyFill="1"/>
    <xf numFmtId="165" fontId="19" fillId="4" borderId="0" xfId="0" applyNumberFormat="1" applyFont="1" applyFill="1"/>
    <xf numFmtId="0" fontId="33" fillId="4" borderId="0" xfId="0" applyFont="1" applyFill="1"/>
    <xf numFmtId="164" fontId="35" fillId="4" borderId="0" xfId="1" applyNumberFormat="1" applyFont="1" applyFill="1" applyBorder="1" applyAlignment="1">
      <alignment horizontal="center"/>
    </xf>
    <xf numFmtId="0" fontId="22" fillId="4" borderId="0" xfId="0" applyFont="1" applyFill="1"/>
    <xf numFmtId="165" fontId="22" fillId="4" borderId="0" xfId="1" applyNumberFormat="1" applyFont="1" applyFill="1"/>
    <xf numFmtId="0" fontId="24" fillId="0" borderId="0" xfId="0" applyFont="1" applyAlignment="1">
      <alignment horizontal="left" vertical="center"/>
    </xf>
    <xf numFmtId="9" fontId="25" fillId="0" borderId="0" xfId="0" applyNumberFormat="1" applyFont="1"/>
    <xf numFmtId="0" fontId="25" fillId="0" borderId="0" xfId="0" applyFont="1"/>
    <xf numFmtId="0" fontId="0" fillId="0" borderId="0" xfId="0" applyAlignment="1">
      <alignment horizontal="right"/>
    </xf>
    <xf numFmtId="0" fontId="17" fillId="15" borderId="23" xfId="0" applyFont="1" applyFill="1" applyBorder="1" applyAlignment="1">
      <alignment horizontal="center" wrapText="1"/>
    </xf>
    <xf numFmtId="0" fontId="17" fillId="15" borderId="24" xfId="0" applyFont="1" applyFill="1" applyBorder="1" applyAlignment="1">
      <alignment horizontal="center" wrapText="1"/>
    </xf>
    <xf numFmtId="0" fontId="22" fillId="15" borderId="24" xfId="0" applyFont="1" applyFill="1" applyBorder="1"/>
    <xf numFmtId="0" fontId="22" fillId="15" borderId="24" xfId="0" applyFont="1" applyFill="1" applyBorder="1" applyAlignment="1">
      <alignment horizontal="center"/>
    </xf>
    <xf numFmtId="0" fontId="26" fillId="15" borderId="17" xfId="0" applyFont="1" applyFill="1" applyBorder="1" applyAlignment="1">
      <alignment horizontal="center" wrapText="1"/>
    </xf>
    <xf numFmtId="0" fontId="26" fillId="15" borderId="19" xfId="0" applyFont="1" applyFill="1" applyBorder="1" applyAlignment="1">
      <alignment horizontal="center" wrapText="1"/>
    </xf>
    <xf numFmtId="0" fontId="26" fillId="0" borderId="0" xfId="0" applyFont="1" applyAlignment="1">
      <alignment horizontal="center" wrapText="1"/>
    </xf>
    <xf numFmtId="172" fontId="26" fillId="16" borderId="23" xfId="0" applyNumberFormat="1" applyFont="1" applyFill="1" applyBorder="1" applyAlignment="1">
      <alignment horizontal="center" wrapText="1"/>
    </xf>
    <xf numFmtId="172" fontId="26" fillId="17" borderId="23" xfId="0" applyNumberFormat="1" applyFont="1" applyFill="1" applyBorder="1" applyAlignment="1">
      <alignment horizontal="center" wrapText="1"/>
    </xf>
    <xf numFmtId="172" fontId="26" fillId="18" borderId="23" xfId="0" applyNumberFormat="1" applyFont="1" applyFill="1" applyBorder="1" applyAlignment="1">
      <alignment horizontal="center" wrapText="1"/>
    </xf>
    <xf numFmtId="173" fontId="26" fillId="18" borderId="23" xfId="0" applyNumberFormat="1" applyFont="1" applyFill="1" applyBorder="1" applyAlignment="1">
      <alignment horizontal="center" wrapText="1"/>
    </xf>
    <xf numFmtId="0" fontId="17" fillId="12" borderId="0" xfId="0" applyFont="1" applyFill="1" applyAlignment="1">
      <alignment horizontal="center"/>
    </xf>
    <xf numFmtId="0" fontId="40" fillId="15" borderId="5" xfId="0" applyFont="1" applyFill="1" applyBorder="1" applyAlignment="1">
      <alignment horizontal="left" wrapText="1"/>
    </xf>
    <xf numFmtId="0" fontId="17" fillId="15" borderId="0" xfId="0" applyFont="1" applyFill="1" applyAlignment="1">
      <alignment horizontal="left" wrapText="1"/>
    </xf>
    <xf numFmtId="0" fontId="17" fillId="15" borderId="0" xfId="0" applyFont="1" applyFill="1" applyAlignment="1">
      <alignment wrapText="1"/>
    </xf>
    <xf numFmtId="0" fontId="17" fillId="15" borderId="0" xfId="0" applyFont="1" applyFill="1" applyAlignment="1">
      <alignment horizontal="center" wrapText="1"/>
    </xf>
    <xf numFmtId="172" fontId="26" fillId="15" borderId="20" xfId="0" applyNumberFormat="1" applyFont="1" applyFill="1" applyBorder="1" applyAlignment="1">
      <alignment horizontal="center" wrapText="1"/>
    </xf>
    <xf numFmtId="172" fontId="26" fillId="15" borderId="6" xfId="0" applyNumberFormat="1" applyFont="1" applyFill="1" applyBorder="1" applyAlignment="1">
      <alignment horizontal="center" wrapText="1"/>
    </xf>
    <xf numFmtId="172" fontId="26" fillId="16" borderId="27" xfId="0" applyNumberFormat="1" applyFont="1" applyFill="1" applyBorder="1" applyAlignment="1">
      <alignment horizontal="center" wrapText="1"/>
    </xf>
    <xf numFmtId="172" fontId="26" fillId="16" borderId="5" xfId="0" applyNumberFormat="1" applyFont="1" applyFill="1" applyBorder="1" applyAlignment="1">
      <alignment horizontal="center" wrapText="1"/>
    </xf>
    <xf numFmtId="172" fontId="26" fillId="16" borderId="6" xfId="0" applyNumberFormat="1" applyFont="1" applyFill="1" applyBorder="1" applyAlignment="1">
      <alignment horizontal="center" wrapText="1"/>
    </xf>
    <xf numFmtId="172" fontId="26" fillId="17" borderId="5" xfId="0" applyNumberFormat="1" applyFont="1" applyFill="1" applyBorder="1" applyAlignment="1">
      <alignment horizontal="center" wrapText="1"/>
    </xf>
    <xf numFmtId="172" fontId="26" fillId="13" borderId="1" xfId="0" applyNumberFormat="1" applyFont="1" applyFill="1" applyBorder="1" applyAlignment="1">
      <alignment horizontal="center" wrapText="1"/>
    </xf>
    <xf numFmtId="172" fontId="26" fillId="18" borderId="1" xfId="0" applyNumberFormat="1" applyFont="1" applyFill="1" applyBorder="1" applyAlignment="1">
      <alignment horizontal="center" wrapText="1"/>
    </xf>
    <xf numFmtId="172" fontId="26" fillId="12" borderId="23" xfId="0" applyNumberFormat="1" applyFont="1" applyFill="1" applyBorder="1" applyAlignment="1">
      <alignment horizontal="center" wrapText="1"/>
    </xf>
    <xf numFmtId="172" fontId="26" fillId="25" borderId="23" xfId="0" applyNumberFormat="1" applyFont="1" applyFill="1" applyBorder="1" applyAlignment="1">
      <alignment horizontal="center" wrapText="1"/>
    </xf>
    <xf numFmtId="0" fontId="0" fillId="0" borderId="4" xfId="0" applyBorder="1"/>
    <xf numFmtId="0" fontId="0" fillId="0" borderId="4" xfId="0" applyBorder="1" applyAlignment="1">
      <alignment horizontal="center"/>
    </xf>
    <xf numFmtId="0" fontId="26" fillId="16" borderId="27" xfId="0" applyFont="1" applyFill="1" applyBorder="1" applyAlignment="1">
      <alignment horizontal="center" wrapText="1"/>
    </xf>
    <xf numFmtId="0" fontId="26" fillId="16" borderId="6" xfId="0" applyFont="1" applyFill="1" applyBorder="1" applyAlignment="1">
      <alignment horizontal="center" wrapText="1"/>
    </xf>
    <xf numFmtId="172" fontId="26" fillId="16" borderId="4" xfId="0" applyNumberFormat="1" applyFont="1" applyFill="1" applyBorder="1" applyAlignment="1">
      <alignment horizontal="center" wrapText="1"/>
    </xf>
    <xf numFmtId="0" fontId="6" fillId="19" borderId="29" xfId="0" applyFont="1" applyFill="1" applyBorder="1"/>
    <xf numFmtId="0" fontId="6" fillId="0" borderId="30" xfId="0" applyFont="1" applyBorder="1"/>
    <xf numFmtId="0" fontId="0" fillId="0" borderId="31" xfId="0" applyBorder="1" applyAlignment="1">
      <alignment vertical="top"/>
    </xf>
    <xf numFmtId="0" fontId="0" fillId="0" borderId="32" xfId="0" applyBorder="1" applyAlignment="1">
      <alignment horizontal="center" vertical="top"/>
    </xf>
    <xf numFmtId="0" fontId="0" fillId="0" borderId="33" xfId="0" applyBorder="1" applyAlignment="1">
      <alignment horizontal="center" vertical="top"/>
    </xf>
    <xf numFmtId="176" fontId="0" fillId="0" borderId="36" xfId="0" applyNumberFormat="1" applyBorder="1"/>
    <xf numFmtId="176" fontId="0" fillId="0" borderId="37" xfId="0" applyNumberFormat="1" applyBorder="1"/>
    <xf numFmtId="175" fontId="0" fillId="0" borderId="38" xfId="6" applyNumberFormat="1" applyFont="1" applyBorder="1"/>
    <xf numFmtId="174" fontId="0" fillId="0" borderId="39" xfId="0" applyNumberFormat="1" applyBorder="1"/>
    <xf numFmtId="174" fontId="0" fillId="0" borderId="40" xfId="0" applyNumberFormat="1" applyBorder="1"/>
    <xf numFmtId="174" fontId="0" fillId="0" borderId="41" xfId="0" applyNumberFormat="1" applyBorder="1"/>
    <xf numFmtId="174" fontId="0" fillId="0" borderId="38" xfId="0" applyNumberFormat="1" applyBorder="1"/>
    <xf numFmtId="176" fontId="0" fillId="0" borderId="38" xfId="0" applyNumberFormat="1" applyBorder="1"/>
    <xf numFmtId="176" fontId="0" fillId="0" borderId="0" xfId="0" applyNumberFormat="1" applyAlignment="1">
      <alignment horizontal="right"/>
    </xf>
    <xf numFmtId="176" fontId="0" fillId="0" borderId="0" xfId="0" applyNumberFormat="1"/>
    <xf numFmtId="176" fontId="0" fillId="0" borderId="54" xfId="0" applyNumberFormat="1" applyBorder="1"/>
    <xf numFmtId="176" fontId="0" fillId="0" borderId="20" xfId="0" applyNumberFormat="1" applyBorder="1"/>
    <xf numFmtId="176" fontId="0" fillId="0" borderId="55" xfId="0" applyNumberFormat="1" applyBorder="1"/>
    <xf numFmtId="174" fontId="0" fillId="0" borderId="20" xfId="0" applyNumberFormat="1" applyBorder="1"/>
    <xf numFmtId="177" fontId="0" fillId="19" borderId="20" xfId="6" applyNumberFormat="1" applyFont="1" applyFill="1" applyBorder="1"/>
    <xf numFmtId="0" fontId="6" fillId="0" borderId="42" xfId="0" applyFont="1" applyBorder="1"/>
    <xf numFmtId="0" fontId="6" fillId="0" borderId="33" xfId="0" applyFont="1" applyBorder="1"/>
    <xf numFmtId="0" fontId="0" fillId="0" borderId="43" xfId="0" applyBorder="1" applyAlignment="1">
      <alignment vertical="top"/>
    </xf>
    <xf numFmtId="176" fontId="0" fillId="0" borderId="34" xfId="0" applyNumberFormat="1" applyBorder="1"/>
    <xf numFmtId="176" fontId="0" fillId="0" borderId="44" xfId="0" applyNumberFormat="1" applyBorder="1"/>
    <xf numFmtId="175" fontId="0" fillId="0" borderId="35" xfId="0" applyNumberFormat="1" applyBorder="1"/>
    <xf numFmtId="174" fontId="0" fillId="0" borderId="45" xfId="0" applyNumberFormat="1" applyBorder="1"/>
    <xf numFmtId="174" fontId="0" fillId="0" borderId="46" xfId="0" applyNumberFormat="1" applyBorder="1"/>
    <xf numFmtId="174" fontId="0" fillId="0" borderId="47" xfId="0" applyNumberFormat="1" applyBorder="1"/>
    <xf numFmtId="174" fontId="0" fillId="0" borderId="35" xfId="0" applyNumberFormat="1" applyBorder="1"/>
    <xf numFmtId="176" fontId="0" fillId="0" borderId="42" xfId="0" applyNumberFormat="1" applyBorder="1"/>
    <xf numFmtId="177" fontId="0" fillId="0" borderId="20" xfId="6" applyNumberFormat="1" applyFont="1" applyBorder="1"/>
    <xf numFmtId="177" fontId="0" fillId="0" borderId="20" xfId="6" applyNumberFormat="1" applyFont="1" applyFill="1" applyBorder="1"/>
    <xf numFmtId="0" fontId="6" fillId="19" borderId="42" xfId="0" applyFont="1" applyFill="1" applyBorder="1"/>
    <xf numFmtId="174" fontId="0" fillId="0" borderId="0" xfId="0" applyNumberFormat="1"/>
    <xf numFmtId="176" fontId="0" fillId="6" borderId="20" xfId="0" applyNumberFormat="1" applyFill="1" applyBorder="1"/>
    <xf numFmtId="174" fontId="0" fillId="0" borderId="35" xfId="0" applyNumberFormat="1" applyBorder="1" applyAlignment="1">
      <alignment horizontal="center"/>
    </xf>
    <xf numFmtId="174" fontId="0" fillId="6" borderId="35" xfId="0" applyNumberFormat="1" applyFill="1" applyBorder="1"/>
    <xf numFmtId="174" fontId="0" fillId="0" borderId="35" xfId="0" applyNumberFormat="1" applyBorder="1" applyAlignment="1">
      <alignment horizontal="right"/>
    </xf>
    <xf numFmtId="0" fontId="6" fillId="0" borderId="48" xfId="0" applyFont="1" applyBorder="1"/>
    <xf numFmtId="0" fontId="6" fillId="0" borderId="49" xfId="0" applyFont="1" applyBorder="1"/>
    <xf numFmtId="0" fontId="0" fillId="0" borderId="50" xfId="0" applyBorder="1" applyAlignment="1">
      <alignment vertical="top"/>
    </xf>
    <xf numFmtId="176" fontId="0" fillId="0" borderId="51" xfId="0" applyNumberFormat="1" applyBorder="1"/>
    <xf numFmtId="176" fontId="0" fillId="0" borderId="53" xfId="0" applyNumberFormat="1" applyBorder="1"/>
    <xf numFmtId="175" fontId="0" fillId="0" borderId="52" xfId="0" applyNumberFormat="1" applyBorder="1"/>
    <xf numFmtId="174" fontId="0" fillId="0" borderId="27" xfId="0" applyNumberFormat="1" applyBorder="1"/>
    <xf numFmtId="174" fontId="0" fillId="0" borderId="5" xfId="0" applyNumberFormat="1" applyBorder="1"/>
    <xf numFmtId="174" fontId="0" fillId="0" borderId="6" xfId="0" applyNumberFormat="1" applyBorder="1"/>
    <xf numFmtId="174" fontId="0" fillId="0" borderId="52" xfId="0" applyNumberFormat="1" applyBorder="1"/>
    <xf numFmtId="176" fontId="0" fillId="0" borderId="56" xfId="0" applyNumberFormat="1" applyBorder="1"/>
    <xf numFmtId="176" fontId="0" fillId="0" borderId="48" xfId="0" applyNumberFormat="1" applyBorder="1"/>
    <xf numFmtId="176" fontId="22" fillId="0" borderId="0" xfId="0" applyNumberFormat="1" applyFont="1"/>
    <xf numFmtId="174" fontId="22" fillId="0" borderId="21" xfId="0" applyNumberFormat="1" applyFont="1" applyBorder="1"/>
    <xf numFmtId="174" fontId="0" fillId="0" borderId="21" xfId="0" applyNumberFormat="1" applyBorder="1"/>
    <xf numFmtId="176" fontId="0" fillId="0" borderId="21" xfId="0" applyNumberFormat="1" applyBorder="1"/>
    <xf numFmtId="176" fontId="22" fillId="0" borderId="21" xfId="0" applyNumberFormat="1" applyFont="1" applyBorder="1"/>
    <xf numFmtId="175" fontId="0" fillId="0" borderId="0" xfId="0" applyNumberFormat="1"/>
    <xf numFmtId="179" fontId="0" fillId="0" borderId="0" xfId="0" applyNumberFormat="1"/>
    <xf numFmtId="0" fontId="19" fillId="4" borderId="20" xfId="0" applyFont="1" applyFill="1" applyBorder="1" applyAlignment="1">
      <alignment horizontal="center" vertical="center"/>
    </xf>
    <xf numFmtId="9" fontId="19" fillId="4" borderId="0" xfId="0" applyNumberFormat="1" applyFont="1" applyFill="1"/>
    <xf numFmtId="166" fontId="19" fillId="4" borderId="0" xfId="2" applyNumberFormat="1" applyFont="1" applyFill="1"/>
    <xf numFmtId="166" fontId="22" fillId="4" borderId="0" xfId="2" applyNumberFormat="1" applyFont="1" applyFill="1" applyAlignment="1">
      <alignment horizontal="center"/>
    </xf>
    <xf numFmtId="0" fontId="16" fillId="4" borderId="0" xfId="0" applyFont="1" applyFill="1" applyAlignment="1">
      <alignment vertical="center" wrapText="1"/>
    </xf>
    <xf numFmtId="0" fontId="16" fillId="0" borderId="0" xfId="0" applyFont="1" applyAlignment="1">
      <alignment horizontal="center" vertical="center" wrapText="1"/>
    </xf>
    <xf numFmtId="0" fontId="16" fillId="4" borderId="0" xfId="0" applyFont="1" applyFill="1" applyAlignment="1">
      <alignment horizontal="center" vertical="center" wrapText="1"/>
    </xf>
    <xf numFmtId="9" fontId="16" fillId="4" borderId="0" xfId="0" applyNumberFormat="1" applyFont="1" applyFill="1" applyAlignment="1">
      <alignment horizontal="center" vertical="center" wrapText="1"/>
    </xf>
    <xf numFmtId="0" fontId="16" fillId="0" borderId="0" xfId="0" applyFont="1" applyAlignment="1">
      <alignment wrapText="1"/>
    </xf>
    <xf numFmtId="0" fontId="25" fillId="4" borderId="20" xfId="0" applyFont="1" applyFill="1" applyBorder="1" applyAlignment="1">
      <alignment horizontal="center" vertical="center"/>
    </xf>
    <xf numFmtId="168" fontId="0" fillId="0" borderId="0" xfId="0" applyNumberFormat="1"/>
    <xf numFmtId="168" fontId="38" fillId="0" borderId="0" xfId="0" applyNumberFormat="1" applyFont="1"/>
    <xf numFmtId="182" fontId="0" fillId="0" borderId="0" xfId="0" applyNumberFormat="1"/>
    <xf numFmtId="0" fontId="22" fillId="4" borderId="20" xfId="0" applyFont="1" applyFill="1" applyBorder="1"/>
    <xf numFmtId="0" fontId="35" fillId="4" borderId="20" xfId="0" applyFont="1" applyFill="1" applyBorder="1"/>
    <xf numFmtId="0" fontId="0" fillId="0" borderId="20" xfId="0" applyBorder="1"/>
    <xf numFmtId="0" fontId="16" fillId="0" borderId="19" xfId="0" applyFont="1" applyBorder="1" applyAlignment="1">
      <alignment horizontal="centerContinuous" vertical="center" wrapText="1"/>
    </xf>
    <xf numFmtId="0" fontId="16" fillId="0" borderId="20" xfId="0" applyFont="1" applyBorder="1" applyAlignment="1">
      <alignment horizontal="centerContinuous" wrapText="1"/>
    </xf>
    <xf numFmtId="0" fontId="16" fillId="0" borderId="20" xfId="0" applyFont="1" applyBorder="1" applyAlignment="1">
      <alignment horizontal="centerContinuous"/>
    </xf>
    <xf numFmtId="165" fontId="22" fillId="0" borderId="0" xfId="0" applyNumberFormat="1" applyFont="1"/>
    <xf numFmtId="0" fontId="17" fillId="2" borderId="57" xfId="0" applyFont="1" applyFill="1" applyBorder="1" applyAlignment="1">
      <alignment wrapText="1"/>
    </xf>
    <xf numFmtId="10" fontId="16" fillId="4" borderId="20" xfId="0" applyNumberFormat="1" applyFont="1" applyFill="1" applyBorder="1" applyAlignment="1">
      <alignment horizontal="centerContinuous" vertical="center" wrapText="1"/>
    </xf>
    <xf numFmtId="0" fontId="16" fillId="0" borderId="17" xfId="0" applyFont="1" applyBorder="1" applyAlignment="1">
      <alignment horizontal="center" vertical="center" wrapText="1"/>
    </xf>
    <xf numFmtId="0" fontId="16" fillId="4" borderId="20" xfId="0" applyFont="1" applyFill="1" applyBorder="1" applyAlignment="1">
      <alignment vertical="center"/>
    </xf>
    <xf numFmtId="0" fontId="16" fillId="0" borderId="17" xfId="0" applyFont="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Continuous" wrapText="1"/>
    </xf>
    <xf numFmtId="0" fontId="16" fillId="0" borderId="0" xfId="0" applyFont="1" applyAlignment="1">
      <alignment horizontal="centerContinuous"/>
    </xf>
    <xf numFmtId="0" fontId="16" fillId="4" borderId="1" xfId="0" applyFont="1" applyFill="1" applyBorder="1" applyAlignment="1">
      <alignment vertical="center" wrapText="1"/>
    </xf>
    <xf numFmtId="0" fontId="21" fillId="4" borderId="20" xfId="0" applyFont="1" applyFill="1" applyBorder="1" applyAlignment="1">
      <alignment vertical="center" wrapText="1"/>
    </xf>
    <xf numFmtId="9" fontId="16" fillId="0" borderId="20" xfId="2" applyFont="1" applyBorder="1" applyAlignment="1">
      <alignment horizontal="center" vertical="center"/>
    </xf>
    <xf numFmtId="166" fontId="16" fillId="0" borderId="20" xfId="2" applyNumberFormat="1" applyFont="1" applyBorder="1" applyAlignment="1">
      <alignment horizontal="center" vertical="center"/>
    </xf>
    <xf numFmtId="9" fontId="19" fillId="0" borderId="0" xfId="0" applyNumberFormat="1" applyFont="1"/>
    <xf numFmtId="164" fontId="33" fillId="0" borderId="20" xfId="1" applyNumberFormat="1" applyFont="1" applyBorder="1" applyAlignment="1">
      <alignment horizontal="center"/>
    </xf>
    <xf numFmtId="164" fontId="22" fillId="0" borderId="20" xfId="1" applyNumberFormat="1" applyFont="1" applyBorder="1" applyAlignment="1">
      <alignment horizontal="center"/>
    </xf>
    <xf numFmtId="0" fontId="22" fillId="0" borderId="20" xfId="0" applyFont="1" applyBorder="1"/>
    <xf numFmtId="166" fontId="33" fillId="0" borderId="20" xfId="2" applyNumberFormat="1" applyFont="1" applyBorder="1" applyAlignment="1">
      <alignment horizontal="center"/>
    </xf>
    <xf numFmtId="166" fontId="22" fillId="0" borderId="20" xfId="2" applyNumberFormat="1" applyFont="1" applyBorder="1" applyAlignment="1">
      <alignment horizontal="center"/>
    </xf>
    <xf numFmtId="164" fontId="22" fillId="0" borderId="0" xfId="1" applyNumberFormat="1" applyFont="1" applyBorder="1" applyAlignment="1">
      <alignment horizontal="center"/>
    </xf>
    <xf numFmtId="0" fontId="19" fillId="10" borderId="20" xfId="0" applyFont="1" applyFill="1" applyBorder="1"/>
    <xf numFmtId="164" fontId="33" fillId="10" borderId="20" xfId="1" applyNumberFormat="1" applyFont="1" applyFill="1" applyBorder="1" applyAlignment="1">
      <alignment horizontal="center"/>
    </xf>
    <xf numFmtId="0" fontId="16" fillId="4" borderId="23" xfId="0" applyFont="1" applyFill="1" applyBorder="1" applyAlignment="1">
      <alignment vertical="center" wrapText="1"/>
    </xf>
    <xf numFmtId="0" fontId="16" fillId="4" borderId="5" xfId="0" applyFont="1" applyFill="1" applyBorder="1" applyAlignment="1">
      <alignment vertical="center" wrapText="1"/>
    </xf>
    <xf numFmtId="0" fontId="16" fillId="22" borderId="23" xfId="0" applyFont="1" applyFill="1" applyBorder="1" applyAlignment="1">
      <alignment horizontal="center" vertical="center" wrapText="1"/>
    </xf>
    <xf numFmtId="0" fontId="16" fillId="22" borderId="5" xfId="0" applyFont="1" applyFill="1" applyBorder="1" applyAlignment="1">
      <alignment horizontal="center" vertical="center" wrapText="1"/>
    </xf>
    <xf numFmtId="0" fontId="16" fillId="12" borderId="23" xfId="0" applyFont="1" applyFill="1" applyBorder="1" applyAlignment="1">
      <alignment horizontal="center" vertical="center" wrapText="1"/>
    </xf>
    <xf numFmtId="0" fontId="16" fillId="23" borderId="23"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0" borderId="27" xfId="0" applyFont="1" applyBorder="1" applyAlignment="1">
      <alignment horizontal="center" vertical="center" wrapText="1"/>
    </xf>
    <xf numFmtId="0" fontId="16" fillId="0" borderId="20" xfId="0" applyFont="1" applyBorder="1" applyAlignment="1">
      <alignment horizontal="center" vertical="center" wrapText="1"/>
    </xf>
    <xf numFmtId="0" fontId="21" fillId="23" borderId="20" xfId="0" applyFont="1" applyFill="1" applyBorder="1" applyAlignment="1">
      <alignment horizontal="centerContinuous" vertical="center" wrapText="1"/>
    </xf>
    <xf numFmtId="0" fontId="21" fillId="26" borderId="20" xfId="0" applyFont="1" applyFill="1" applyBorder="1" applyAlignment="1">
      <alignment horizontal="centerContinuous" vertical="center" wrapText="1"/>
    </xf>
    <xf numFmtId="0" fontId="21" fillId="23" borderId="20" xfId="0" applyFont="1" applyFill="1" applyBorder="1" applyAlignment="1">
      <alignment horizontal="center" vertical="center" wrapText="1"/>
    </xf>
    <xf numFmtId="0" fontId="21" fillId="26" borderId="20" xfId="0" applyFont="1" applyFill="1" applyBorder="1" applyAlignment="1">
      <alignment horizontal="center" vertical="center" wrapText="1"/>
    </xf>
    <xf numFmtId="0" fontId="21" fillId="10" borderId="20" xfId="0" applyFont="1" applyFill="1" applyBorder="1" applyAlignment="1">
      <alignment horizontal="centerContinuous" vertical="center" wrapText="1"/>
    </xf>
    <xf numFmtId="0" fontId="21" fillId="10" borderId="20" xfId="0" applyFont="1" applyFill="1" applyBorder="1" applyAlignment="1">
      <alignment horizontal="center" vertical="center" wrapText="1"/>
    </xf>
    <xf numFmtId="168" fontId="16" fillId="8" borderId="20" xfId="0" applyNumberFormat="1" applyFont="1" applyFill="1" applyBorder="1" applyAlignment="1">
      <alignment horizontal="center" vertical="center"/>
    </xf>
    <xf numFmtId="0" fontId="33" fillId="24" borderId="23" xfId="0" applyFont="1" applyFill="1" applyBorder="1" applyAlignment="1">
      <alignment horizontal="centerContinuous"/>
    </xf>
    <xf numFmtId="0" fontId="17" fillId="2" borderId="20" xfId="0" applyFont="1" applyFill="1" applyBorder="1" applyAlignment="1">
      <alignment horizontal="centerContinuous" vertical="center" wrapText="1"/>
    </xf>
    <xf numFmtId="0" fontId="17" fillId="2" borderId="20" xfId="0" applyFont="1" applyFill="1" applyBorder="1" applyAlignment="1">
      <alignment horizontal="center" vertical="center" wrapText="1"/>
    </xf>
    <xf numFmtId="166" fontId="17" fillId="2" borderId="20" xfId="2" applyNumberFormat="1" applyFont="1" applyFill="1" applyBorder="1" applyAlignment="1">
      <alignment horizontal="center" vertical="center" wrapText="1"/>
    </xf>
    <xf numFmtId="0" fontId="17" fillId="2" borderId="57" xfId="0" applyFont="1" applyFill="1" applyBorder="1" applyAlignment="1">
      <alignment vertical="center" wrapText="1"/>
    </xf>
    <xf numFmtId="0" fontId="16" fillId="10" borderId="23" xfId="0" applyFont="1" applyFill="1" applyBorder="1" applyAlignment="1">
      <alignment horizontal="centerContinuous" vertical="center" wrapText="1"/>
    </xf>
    <xf numFmtId="0" fontId="16" fillId="23" borderId="23" xfId="0" applyFont="1" applyFill="1" applyBorder="1" applyAlignment="1">
      <alignment horizontal="centerContinuous" vertical="center" wrapText="1"/>
    </xf>
    <xf numFmtId="0" fontId="16" fillId="26" borderId="23" xfId="0" applyFont="1" applyFill="1" applyBorder="1" applyAlignment="1">
      <alignment horizontal="centerContinuous" vertical="center" wrapText="1"/>
    </xf>
    <xf numFmtId="0" fontId="41" fillId="0" borderId="0" xfId="0" applyFont="1"/>
    <xf numFmtId="0" fontId="41" fillId="0" borderId="28" xfId="0" applyFont="1" applyBorder="1"/>
    <xf numFmtId="10" fontId="42" fillId="0" borderId="0" xfId="2" applyNumberFormat="1" applyFont="1"/>
    <xf numFmtId="165" fontId="42" fillId="0" borderId="0" xfId="1" applyNumberFormat="1" applyFont="1"/>
    <xf numFmtId="9" fontId="43" fillId="0" borderId="0" xfId="2" applyFont="1"/>
    <xf numFmtId="0" fontId="41" fillId="0" borderId="0" xfId="0" applyFont="1" applyAlignment="1">
      <alignment horizontal="right"/>
    </xf>
    <xf numFmtId="0" fontId="14" fillId="0" borderId="28" xfId="0" applyFont="1" applyBorder="1"/>
    <xf numFmtId="10" fontId="0" fillId="0" borderId="0" xfId="2" applyNumberFormat="1" applyFont="1" applyBorder="1"/>
    <xf numFmtId="165" fontId="6" fillId="0" borderId="0" xfId="2" applyNumberFormat="1" applyFont="1" applyFill="1" applyBorder="1"/>
    <xf numFmtId="0" fontId="6" fillId="27" borderId="0" xfId="0" applyFont="1" applyFill="1"/>
    <xf numFmtId="0" fontId="6" fillId="27" borderId="28" xfId="0" applyFont="1" applyFill="1" applyBorder="1" applyAlignment="1">
      <alignment horizontal="center" vertical="top" wrapText="1"/>
    </xf>
    <xf numFmtId="0" fontId="6" fillId="27" borderId="0" xfId="0" applyFont="1" applyFill="1" applyAlignment="1">
      <alignment horizontal="center" vertical="top" wrapText="1"/>
    </xf>
    <xf numFmtId="0" fontId="6" fillId="27" borderId="58" xfId="0" applyFont="1" applyFill="1" applyBorder="1" applyAlignment="1">
      <alignment horizontal="center" vertical="top" wrapText="1"/>
    </xf>
    <xf numFmtId="183" fontId="6" fillId="11" borderId="28" xfId="1" applyNumberFormat="1" applyFont="1" applyFill="1" applyBorder="1"/>
    <xf numFmtId="183" fontId="6" fillId="11" borderId="0" xfId="1" applyNumberFormat="1" applyFont="1" applyFill="1" applyBorder="1"/>
    <xf numFmtId="165" fontId="6" fillId="0" borderId="0" xfId="1" applyNumberFormat="1" applyFont="1" applyBorder="1"/>
    <xf numFmtId="10" fontId="6" fillId="0" borderId="28" xfId="2" applyNumberFormat="1" applyFont="1" applyBorder="1"/>
    <xf numFmtId="10" fontId="6" fillId="28" borderId="0" xfId="2" applyNumberFormat="1" applyFont="1" applyFill="1" applyBorder="1"/>
    <xf numFmtId="165" fontId="6" fillId="28" borderId="0" xfId="1" applyNumberFormat="1" applyFont="1" applyFill="1" applyBorder="1"/>
    <xf numFmtId="165" fontId="6" fillId="11" borderId="0" xfId="1" applyNumberFormat="1" applyFont="1" applyFill="1" applyBorder="1"/>
    <xf numFmtId="10" fontId="6" fillId="11" borderId="0" xfId="2" applyNumberFormat="1" applyFont="1" applyFill="1" applyBorder="1"/>
    <xf numFmtId="3" fontId="6" fillId="11" borderId="0" xfId="2" applyNumberFormat="1" applyFont="1" applyFill="1" applyBorder="1"/>
    <xf numFmtId="10" fontId="6" fillId="0" borderId="0" xfId="2" applyNumberFormat="1" applyFont="1" applyFill="1" applyBorder="1"/>
    <xf numFmtId="166" fontId="6" fillId="29" borderId="58" xfId="2" applyNumberFormat="1" applyFont="1" applyFill="1" applyBorder="1"/>
    <xf numFmtId="166" fontId="6" fillId="29" borderId="0" xfId="2" applyNumberFormat="1" applyFont="1" applyFill="1" applyBorder="1"/>
    <xf numFmtId="165" fontId="6" fillId="11" borderId="28" xfId="1" applyNumberFormat="1" applyFont="1" applyFill="1" applyBorder="1"/>
    <xf numFmtId="43" fontId="6" fillId="0" borderId="0" xfId="1" applyFont="1" applyBorder="1"/>
    <xf numFmtId="166" fontId="6" fillId="0" borderId="0" xfId="2" applyNumberFormat="1" applyFont="1" applyBorder="1"/>
    <xf numFmtId="165" fontId="6" fillId="0" borderId="28" xfId="0" applyNumberFormat="1" applyFont="1" applyBorder="1"/>
    <xf numFmtId="43" fontId="6" fillId="0" borderId="0" xfId="0" applyNumberFormat="1" applyFont="1"/>
    <xf numFmtId="10" fontId="6" fillId="0" borderId="28" xfId="0" applyNumberFormat="1" applyFont="1" applyBorder="1"/>
    <xf numFmtId="165" fontId="6" fillId="0" borderId="58" xfId="0" applyNumberFormat="1" applyFont="1" applyBorder="1"/>
    <xf numFmtId="0" fontId="16" fillId="26" borderId="0" xfId="0" applyFont="1" applyFill="1" applyAlignment="1">
      <alignment horizontal="centerContinuous" vertical="center" wrapText="1"/>
    </xf>
    <xf numFmtId="166" fontId="33" fillId="0" borderId="0" xfId="2" applyNumberFormat="1" applyFont="1" applyBorder="1" applyAlignment="1">
      <alignment horizontal="center"/>
    </xf>
    <xf numFmtId="166" fontId="36" fillId="3" borderId="0" xfId="2" applyNumberFormat="1" applyFont="1" applyFill="1" applyBorder="1"/>
    <xf numFmtId="165" fontId="41" fillId="0" borderId="0" xfId="0" applyNumberFormat="1" applyFont="1"/>
    <xf numFmtId="164" fontId="19" fillId="0" borderId="20" xfId="1" applyNumberFormat="1" applyFont="1" applyBorder="1" applyAlignment="1">
      <alignment horizontal="center"/>
    </xf>
    <xf numFmtId="166" fontId="25" fillId="30" borderId="20" xfId="2" applyNumberFormat="1" applyFont="1" applyFill="1" applyBorder="1" applyAlignment="1">
      <alignment horizontal="center"/>
    </xf>
    <xf numFmtId="168" fontId="19" fillId="0" borderId="20" xfId="1" applyNumberFormat="1" applyFont="1" applyBorder="1" applyAlignment="1">
      <alignment horizontal="center"/>
    </xf>
    <xf numFmtId="168" fontId="19" fillId="31" borderId="20" xfId="1" applyNumberFormat="1" applyFont="1" applyFill="1" applyBorder="1" applyAlignment="1">
      <alignment horizontal="center"/>
    </xf>
    <xf numFmtId="168" fontId="19" fillId="10" borderId="20" xfId="1" applyNumberFormat="1" applyFont="1" applyFill="1" applyBorder="1" applyAlignment="1">
      <alignment horizontal="center"/>
    </xf>
    <xf numFmtId="168" fontId="19" fillId="22" borderId="20" xfId="1" applyNumberFormat="1" applyFont="1" applyFill="1" applyBorder="1" applyAlignment="1">
      <alignment horizontal="center"/>
    </xf>
    <xf numFmtId="168" fontId="19" fillId="32" borderId="20" xfId="1" applyNumberFormat="1" applyFont="1" applyFill="1" applyBorder="1" applyAlignment="1">
      <alignment horizontal="center"/>
    </xf>
    <xf numFmtId="168" fontId="19" fillId="33" borderId="20" xfId="1" applyNumberFormat="1" applyFont="1" applyFill="1" applyBorder="1" applyAlignment="1">
      <alignment horizontal="center"/>
    </xf>
    <xf numFmtId="168" fontId="19" fillId="21" borderId="20" xfId="1" applyNumberFormat="1" applyFont="1" applyFill="1" applyBorder="1" applyAlignment="1">
      <alignment horizontal="center"/>
    </xf>
    <xf numFmtId="168" fontId="22" fillId="0" borderId="20" xfId="1" applyNumberFormat="1" applyFont="1" applyBorder="1" applyAlignment="1">
      <alignment horizontal="center"/>
    </xf>
    <xf numFmtId="170" fontId="19" fillId="0" borderId="0" xfId="2" applyNumberFormat="1" applyFont="1"/>
    <xf numFmtId="10" fontId="19" fillId="4" borderId="20" xfId="2" applyNumberFormat="1" applyFont="1" applyFill="1" applyBorder="1" applyAlignment="1">
      <alignment horizontal="center" vertical="center" wrapText="1"/>
    </xf>
    <xf numFmtId="10" fontId="19" fillId="4" borderId="20" xfId="0" applyNumberFormat="1" applyFont="1" applyFill="1" applyBorder="1" applyAlignment="1">
      <alignment horizontal="center" vertical="center" wrapText="1"/>
    </xf>
    <xf numFmtId="0" fontId="4" fillId="0" borderId="0" xfId="0" applyFont="1" applyAlignment="1">
      <alignment horizontal="left"/>
    </xf>
    <xf numFmtId="0" fontId="16" fillId="0" borderId="24" xfId="0" applyFont="1" applyBorder="1" applyAlignment="1">
      <alignment horizontal="center" vertical="center" wrapText="1"/>
    </xf>
    <xf numFmtId="0" fontId="16" fillId="0" borderId="0" xfId="0" applyFont="1" applyAlignment="1">
      <alignment horizontal="center" vertical="center" wrapText="1"/>
    </xf>
    <xf numFmtId="168" fontId="16" fillId="0" borderId="17" xfId="0" applyNumberFormat="1" applyFont="1" applyBorder="1" applyAlignment="1">
      <alignment horizontal="center" vertical="center" wrapText="1"/>
    </xf>
    <xf numFmtId="168" fontId="16" fillId="0" borderId="18" xfId="0" applyNumberFormat="1" applyFont="1" applyBorder="1" applyAlignment="1">
      <alignment horizontal="center" vertical="center" wrapText="1"/>
    </xf>
    <xf numFmtId="168" fontId="16" fillId="0" borderId="19" xfId="0" applyNumberFormat="1" applyFont="1" applyBorder="1" applyAlignment="1">
      <alignment horizontal="center" vertical="center" wrapText="1"/>
    </xf>
    <xf numFmtId="0" fontId="17" fillId="9" borderId="17"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6" fillId="0" borderId="23" xfId="0" applyFont="1" applyBorder="1" applyAlignment="1">
      <alignment horizontal="left" vertical="center" wrapText="1"/>
    </xf>
    <xf numFmtId="0" fontId="16" fillId="0" borderId="1" xfId="0" applyFont="1" applyBorder="1" applyAlignment="1">
      <alignment horizontal="left" vertical="center" wrapText="1"/>
    </xf>
    <xf numFmtId="0" fontId="16" fillId="0" borderId="5"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172" fontId="26" fillId="16" borderId="26" xfId="5" applyNumberFormat="1" applyFont="1" applyFill="1" applyBorder="1" applyAlignment="1">
      <alignment horizontal="center" wrapText="1"/>
    </xf>
    <xf numFmtId="172" fontId="26" fillId="16" borderId="6" xfId="5" applyNumberFormat="1" applyFont="1" applyFill="1" applyBorder="1" applyAlignment="1">
      <alignment horizontal="center" wrapText="1"/>
    </xf>
    <xf numFmtId="172" fontId="26" fillId="16" borderId="23" xfId="5" applyNumberFormat="1" applyFont="1" applyFill="1" applyBorder="1" applyAlignment="1">
      <alignment horizontal="center" wrapText="1"/>
    </xf>
    <xf numFmtId="172" fontId="26" fillId="16" borderId="5" xfId="5" applyNumberFormat="1" applyFont="1" applyFill="1" applyBorder="1" applyAlignment="1">
      <alignment horizontal="center" wrapText="1"/>
    </xf>
    <xf numFmtId="172" fontId="26" fillId="17" borderId="23" xfId="5" applyNumberFormat="1" applyFont="1" applyFill="1" applyBorder="1" applyAlignment="1">
      <alignment horizontal="center" wrapText="1"/>
    </xf>
    <xf numFmtId="172" fontId="26" fillId="17" borderId="5" xfId="5" applyNumberFormat="1" applyFont="1" applyFill="1" applyBorder="1" applyAlignment="1">
      <alignment horizontal="center" wrapText="1"/>
    </xf>
    <xf numFmtId="172" fontId="26" fillId="18" borderId="23" xfId="5" applyNumberFormat="1" applyFont="1" applyFill="1" applyBorder="1" applyAlignment="1">
      <alignment horizontal="center" wrapText="1"/>
    </xf>
    <xf numFmtId="172" fontId="26" fillId="18" borderId="5" xfId="5" applyNumberFormat="1" applyFont="1" applyFill="1" applyBorder="1" applyAlignment="1">
      <alignment horizontal="center" wrapText="1"/>
    </xf>
    <xf numFmtId="172" fontId="26" fillId="12" borderId="17" xfId="5" applyNumberFormat="1" applyFont="1" applyFill="1" applyBorder="1" applyAlignment="1">
      <alignment horizontal="center" wrapText="1"/>
    </xf>
    <xf numFmtId="172" fontId="26" fillId="12" borderId="18" xfId="5" applyNumberFormat="1" applyFont="1" applyFill="1" applyBorder="1" applyAlignment="1">
      <alignment horizontal="center" wrapText="1"/>
    </xf>
    <xf numFmtId="0" fontId="26" fillId="15" borderId="17" xfId="5" applyFont="1" applyFill="1" applyBorder="1" applyAlignment="1">
      <alignment horizontal="center" wrapText="1"/>
    </xf>
    <xf numFmtId="0" fontId="26" fillId="15" borderId="19" xfId="5" applyFont="1" applyFill="1" applyBorder="1" applyAlignment="1">
      <alignment horizontal="center" wrapText="1"/>
    </xf>
    <xf numFmtId="172" fontId="26" fillId="15" borderId="17" xfId="5" applyNumberFormat="1" applyFont="1" applyFill="1" applyBorder="1" applyAlignment="1">
      <alignment horizontal="center" wrapText="1"/>
    </xf>
    <xf numFmtId="172" fontId="26" fillId="15" borderId="18" xfId="5" applyNumberFormat="1" applyFont="1" applyFill="1" applyBorder="1" applyAlignment="1">
      <alignment horizontal="center" wrapText="1"/>
    </xf>
    <xf numFmtId="172" fontId="26" fillId="15" borderId="19" xfId="5" applyNumberFormat="1" applyFont="1" applyFill="1" applyBorder="1" applyAlignment="1">
      <alignment horizontal="center" wrapText="1"/>
    </xf>
    <xf numFmtId="172" fontId="26" fillId="16" borderId="22" xfId="5" applyNumberFormat="1" applyFont="1" applyFill="1" applyBorder="1" applyAlignment="1">
      <alignment horizontal="center" wrapText="1"/>
    </xf>
    <xf numFmtId="172" fontId="26" fillId="16" borderId="27" xfId="5" applyNumberFormat="1" applyFont="1" applyFill="1" applyBorder="1" applyAlignment="1">
      <alignment horizontal="center" wrapText="1"/>
    </xf>
    <xf numFmtId="172" fontId="26" fillId="16" borderId="26" xfId="0" applyNumberFormat="1" applyFont="1" applyFill="1" applyBorder="1" applyAlignment="1">
      <alignment horizontal="center" wrapText="1"/>
    </xf>
    <xf numFmtId="172" fontId="26" fillId="16" borderId="6" xfId="0" applyNumberFormat="1" applyFont="1" applyFill="1" applyBorder="1" applyAlignment="1">
      <alignment horizontal="center" wrapText="1"/>
    </xf>
    <xf numFmtId="172" fontId="26" fillId="16" borderId="23" xfId="0" applyNumberFormat="1" applyFont="1" applyFill="1" applyBorder="1" applyAlignment="1">
      <alignment horizontal="center" wrapText="1"/>
    </xf>
    <xf numFmtId="172" fontId="26" fillId="16" borderId="5" xfId="0" applyNumberFormat="1" applyFont="1" applyFill="1" applyBorder="1" applyAlignment="1">
      <alignment horizontal="center" wrapText="1"/>
    </xf>
    <xf numFmtId="172" fontId="26" fillId="17" borderId="23" xfId="0" applyNumberFormat="1" applyFont="1" applyFill="1" applyBorder="1" applyAlignment="1">
      <alignment horizontal="center" wrapText="1"/>
    </xf>
    <xf numFmtId="172" fontId="26" fillId="17" borderId="5" xfId="0" applyNumberFormat="1" applyFont="1" applyFill="1" applyBorder="1" applyAlignment="1">
      <alignment horizontal="center" wrapText="1"/>
    </xf>
    <xf numFmtId="172" fontId="26" fillId="18" borderId="23" xfId="0" applyNumberFormat="1" applyFont="1" applyFill="1" applyBorder="1" applyAlignment="1">
      <alignment horizontal="center" wrapText="1"/>
    </xf>
    <xf numFmtId="172" fontId="26" fillId="18" borderId="5" xfId="0" applyNumberFormat="1" applyFont="1" applyFill="1" applyBorder="1" applyAlignment="1">
      <alignment horizontal="center" wrapText="1"/>
    </xf>
    <xf numFmtId="172" fontId="26" fillId="12" borderId="17" xfId="0" applyNumberFormat="1" applyFont="1" applyFill="1" applyBorder="1" applyAlignment="1">
      <alignment horizontal="center" wrapText="1"/>
    </xf>
    <xf numFmtId="172" fontId="26" fillId="12" borderId="18" xfId="0" applyNumberFormat="1" applyFont="1" applyFill="1" applyBorder="1" applyAlignment="1">
      <alignment horizontal="center" wrapText="1"/>
    </xf>
    <xf numFmtId="0" fontId="26" fillId="15" borderId="17" xfId="0" applyFont="1" applyFill="1" applyBorder="1" applyAlignment="1">
      <alignment horizontal="center" wrapText="1"/>
    </xf>
    <xf numFmtId="0" fontId="26" fillId="15" borderId="19" xfId="0" applyFont="1" applyFill="1" applyBorder="1" applyAlignment="1">
      <alignment horizontal="center" wrapText="1"/>
    </xf>
    <xf numFmtId="172" fontId="26" fillId="15" borderId="17" xfId="0" applyNumberFormat="1" applyFont="1" applyFill="1" applyBorder="1" applyAlignment="1">
      <alignment horizontal="center" wrapText="1"/>
    </xf>
    <xf numFmtId="172" fontId="26" fillId="15" borderId="18" xfId="0" applyNumberFormat="1" applyFont="1" applyFill="1" applyBorder="1" applyAlignment="1">
      <alignment horizontal="center" wrapText="1"/>
    </xf>
    <xf numFmtId="172" fontId="26" fillId="15" borderId="19" xfId="0" applyNumberFormat="1" applyFont="1" applyFill="1" applyBorder="1" applyAlignment="1">
      <alignment horizontal="center" wrapText="1"/>
    </xf>
    <xf numFmtId="172" fontId="26" fillId="16" borderId="22" xfId="0" applyNumberFormat="1" applyFont="1" applyFill="1" applyBorder="1" applyAlignment="1">
      <alignment horizontal="center" wrapText="1"/>
    </xf>
    <xf numFmtId="172" fontId="26" fillId="16" borderId="27" xfId="0" applyNumberFormat="1" applyFont="1" applyFill="1" applyBorder="1" applyAlignment="1">
      <alignment horizontal="center" wrapText="1"/>
    </xf>
  </cellXfs>
  <cellStyles count="8">
    <cellStyle name="Comma" xfId="1" builtinId="3"/>
    <cellStyle name="Comma 2" xfId="3" xr:uid="{649FFF6A-FE1E-43CB-8227-E359D7F88DB8}"/>
    <cellStyle name="Comma 3" xfId="7" xr:uid="{EFB2D218-BBF2-46EA-BAD6-63ADD3060CC3}"/>
    <cellStyle name="Comma 5" xfId="4" xr:uid="{626A192F-0AB3-4B80-9A23-DD02E92AD1C1}"/>
    <cellStyle name="Normal" xfId="0" builtinId="0"/>
    <cellStyle name="Normal 2" xfId="5" xr:uid="{C3BEB0FB-B745-49F7-9572-87E293052821}"/>
    <cellStyle name="Per cent" xfId="2" builtinId="5"/>
    <cellStyle name="Per cent 2" xfId="6" xr:uid="{CBD5117B-8173-48D3-8432-48FDEC86BFFA}"/>
  </cellStyles>
  <dxfs count="4">
    <dxf>
      <fill>
        <patternFill>
          <bgColor rgb="FFFF0000"/>
        </patternFill>
      </fill>
    </dxf>
    <dxf>
      <font>
        <b val="0"/>
        <i val="0"/>
        <color theme="1"/>
      </font>
      <fill>
        <patternFill>
          <bgColor rgb="FFFFFF99"/>
        </patternFill>
      </fill>
      <border>
        <top style="thin">
          <color theme="1" tint="0.499984740745262"/>
        </top>
        <bottom style="thin">
          <color theme="1" tint="0.499984740745262"/>
        </bottom>
      </border>
    </dxf>
    <dxf>
      <font>
        <b/>
        <i val="0"/>
        <color theme="0"/>
      </font>
      <fill>
        <patternFill patternType="solid">
          <fgColor auto="1"/>
          <bgColor rgb="FF005EB8"/>
        </patternFill>
      </fill>
    </dxf>
    <dxf>
      <font>
        <color theme="1"/>
      </font>
      <border>
        <left style="thin">
          <color theme="1" tint="0.499984740745262"/>
        </left>
        <right style="thin">
          <color theme="1" tint="0.499984740745262"/>
        </right>
        <top style="thin">
          <color theme="1" tint="0.499984740745262"/>
        </top>
        <bottom style="thin">
          <color theme="1" tint="0.499984740745262"/>
        </bottom>
        <vertical style="hair">
          <color theme="0" tint="-0.499984740745262"/>
        </vertical>
        <horizontal style="hair">
          <color theme="0" tint="-0.499984740745262"/>
        </horizontal>
      </border>
    </dxf>
  </dxfs>
  <tableStyles count="1" defaultTableStyle="TableStyleMedium2" defaultPivotStyle="PivotStyleLight16">
    <tableStyle name="TableAllocationsTechGuide" pivot="0" count="3" xr9:uid="{54B0F794-FD50-454A-8CDB-E5F468E53C90}">
      <tableStyleElement type="wholeTable" dxfId="3"/>
      <tableStyleElement type="headerRow" dxfId="2"/>
      <tableStyleElement type="totalRow" dxfId="1"/>
    </tableStyle>
  </tableStyles>
  <colors>
    <mruColors>
      <color rgb="FF850101"/>
      <color rgb="FFB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Comparison!$X$6:$X$47</c:f>
              <c:numCache>
                <c:formatCode>#,##0\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xVal>
          <c:yVal>
            <c:numRef>
              <c:f>Comparison!$AG$6:$AG$47</c:f>
              <c:numCache>
                <c:formatCode>#,##0\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D1A7-4611-9077-397D617B0170}"/>
            </c:ext>
          </c:extLst>
        </c:ser>
        <c:dLbls>
          <c:showLegendKey val="0"/>
          <c:showVal val="0"/>
          <c:showCatName val="0"/>
          <c:showSerName val="0"/>
          <c:showPercent val="0"/>
          <c:showBubbleSize val="0"/>
        </c:dLbls>
        <c:axId val="1543833392"/>
        <c:axId val="660159072"/>
      </c:scatterChart>
      <c:valAx>
        <c:axId val="1543833392"/>
        <c:scaling>
          <c:orientation val="minMax"/>
        </c:scaling>
        <c:delete val="0"/>
        <c:axPos val="b"/>
        <c:majorGridlines>
          <c:spPr>
            <a:ln w="9525" cap="flat" cmpd="sng" algn="ctr">
              <a:solidFill>
                <a:schemeClr val="tx1">
                  <a:lumMod val="15000"/>
                  <a:lumOff val="85000"/>
                </a:schemeClr>
              </a:solidFill>
              <a:round/>
            </a:ln>
            <a:effectLst/>
          </c:spPr>
        </c:majorGridlines>
        <c:numFmt formatCode="#,##0\ ;[Red]\(#,##0\);\-\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159072"/>
        <c:crosses val="autoZero"/>
        <c:crossBetween val="midCat"/>
      </c:valAx>
      <c:valAx>
        <c:axId val="660159072"/>
        <c:scaling>
          <c:orientation val="minMax"/>
        </c:scaling>
        <c:delete val="0"/>
        <c:axPos val="l"/>
        <c:majorGridlines>
          <c:spPr>
            <a:ln w="9525" cap="flat" cmpd="sng" algn="ctr">
              <a:solidFill>
                <a:schemeClr val="tx1">
                  <a:lumMod val="15000"/>
                  <a:lumOff val="85000"/>
                </a:schemeClr>
              </a:solidFill>
              <a:round/>
            </a:ln>
            <a:effectLst/>
          </c:spPr>
        </c:majorGridlines>
        <c:numFmt formatCode="#,##0\ ;[Red]\(#,##0\);\-\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8333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33</xdr:col>
      <xdr:colOff>371475</xdr:colOff>
      <xdr:row>4</xdr:row>
      <xdr:rowOff>347662</xdr:rowOff>
    </xdr:from>
    <xdr:to>
      <xdr:col>41</xdr:col>
      <xdr:colOff>66675</xdr:colOff>
      <xdr:row>18</xdr:row>
      <xdr:rowOff>42862</xdr:rowOff>
    </xdr:to>
    <xdr:graphicFrame macro="">
      <xdr:nvGraphicFramePr>
        <xdr:cNvPr id="2" name="Chart 1">
          <a:extLst>
            <a:ext uri="{FF2B5EF4-FFF2-40B4-BE49-F238E27FC236}">
              <a16:creationId xmlns:a16="http://schemas.microsoft.com/office/drawing/2014/main" id="{C3325B2F-7A52-CB31-74C1-81CB607927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Peter Ridley" id="{1AFC9FA3-E6B6-4D71-A61D-A91D0DDCE522}" userId="S::Peter.Ridley@england.nhs.uk::9898936e-f31e-4966-830a-18a839c50d9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38" dT="2023-10-24T13:49:25.76" personId="{1AFC9FA3-E6B6-4D71-A61D-A91D0DDCE522}" id="{36512505-6CA3-42C9-85EB-DA5549E3DD69}">
    <text>Includes £30m hit on 3Ts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5CCBF-F5C8-4983-A9C9-72F0B7E4C0F7}">
  <sheetPr codeName="Sheet4"/>
  <dimension ref="B1:V57"/>
  <sheetViews>
    <sheetView workbookViewId="0">
      <pane xSplit="5" ySplit="4" topLeftCell="F41" activePane="bottomRight" state="frozen"/>
      <selection pane="topRight" activeCell="F1" sqref="F1"/>
      <selection pane="bottomLeft" activeCell="A5" sqref="A5"/>
      <selection pane="bottomRight" activeCell="W36" sqref="W36"/>
    </sheetView>
  </sheetViews>
  <sheetFormatPr defaultRowHeight="15" outlineLevelCol="1" x14ac:dyDescent="0.25"/>
  <cols>
    <col min="2" max="2" width="0" hidden="1" customWidth="1" outlineLevel="1"/>
    <col min="3" max="3" width="21.7109375" hidden="1" customWidth="1" outlineLevel="1"/>
    <col min="4" max="4" width="8.7109375" collapsed="1"/>
    <col min="5" max="5" width="54" bestFit="1" customWidth="1"/>
    <col min="6" max="7" width="14.28515625" bestFit="1" customWidth="1"/>
    <col min="9" max="9" width="14.28515625" bestFit="1" customWidth="1"/>
    <col min="10" max="10" width="1.7109375" customWidth="1"/>
    <col min="11" max="11" width="14.28515625" customWidth="1"/>
    <col min="12" max="12" width="14.28515625" bestFit="1" customWidth="1"/>
    <col min="14" max="14" width="14.28515625" customWidth="1"/>
    <col min="15" max="15" width="14.28515625" bestFit="1" customWidth="1"/>
  </cols>
  <sheetData>
    <row r="1" spans="2:22" ht="25.5" x14ac:dyDescent="0.35">
      <c r="B1" s="1" t="s">
        <v>12</v>
      </c>
    </row>
    <row r="3" spans="2:22" ht="77.25" x14ac:dyDescent="0.25">
      <c r="B3" s="25" t="s">
        <v>13</v>
      </c>
      <c r="C3" s="26" t="s">
        <v>14</v>
      </c>
      <c r="D3" s="26" t="s">
        <v>15</v>
      </c>
      <c r="E3" s="26" t="s">
        <v>16</v>
      </c>
      <c r="F3" s="73" t="s">
        <v>117</v>
      </c>
      <c r="G3" s="73" t="s">
        <v>118</v>
      </c>
      <c r="H3" s="73" t="s">
        <v>119</v>
      </c>
      <c r="I3" s="73" t="s">
        <v>120</v>
      </c>
      <c r="K3" s="73" t="s">
        <v>121</v>
      </c>
      <c r="L3" s="73" t="s">
        <v>122</v>
      </c>
      <c r="N3" s="73" t="s">
        <v>123</v>
      </c>
      <c r="O3" s="73" t="s">
        <v>124</v>
      </c>
      <c r="Q3" s="73" t="s">
        <v>119</v>
      </c>
      <c r="R3" s="73" t="s">
        <v>123</v>
      </c>
      <c r="S3" s="73" t="s">
        <v>124</v>
      </c>
      <c r="U3" s="73" t="s">
        <v>125</v>
      </c>
      <c r="V3" s="73" t="s">
        <v>126</v>
      </c>
    </row>
    <row r="5" spans="2:22" x14ac:dyDescent="0.25">
      <c r="B5" s="10" t="s">
        <v>17</v>
      </c>
      <c r="C5" s="4" t="s">
        <v>18</v>
      </c>
      <c r="D5" s="4" t="s">
        <v>19</v>
      </c>
      <c r="E5" s="4" t="s">
        <v>20</v>
      </c>
      <c r="F5" s="11" t="e">
        <f>SUMIFS(#REF!,#REF!,D5)</f>
        <v>#REF!</v>
      </c>
      <c r="G5" s="11">
        <f>SUMIFS('ICB Core Allocations 2024-25'!J:J,'ICB Core Allocations 2024-25'!C:C,D5)</f>
        <v>3143773.364775687</v>
      </c>
      <c r="H5" s="43" t="e">
        <f>G5/F5-1</f>
        <v>#REF!</v>
      </c>
      <c r="I5" s="11" t="e">
        <f>G5-F5</f>
        <v>#REF!</v>
      </c>
      <c r="K5" s="11" t="e">
        <f>SUMIFS(#REF!,#REF!,$D5)</f>
        <v>#REF!</v>
      </c>
      <c r="L5" s="91" t="e">
        <f>SUMIFS(#REF!,#REF!,$D5)+SUMIFS(#REF!,#REF!,$D5)</f>
        <v>#REF!</v>
      </c>
      <c r="N5" s="91" t="e">
        <f>SUMIFS(#REF!,#REF!,$D5)</f>
        <v>#REF!</v>
      </c>
      <c r="O5" s="91" t="e">
        <f>SUMIFS(#REF!,#REF!,$D5)</f>
        <v>#REF!</v>
      </c>
      <c r="Q5" s="43" t="e">
        <f>L5/F5</f>
        <v>#REF!</v>
      </c>
      <c r="R5" s="43" t="e">
        <f>N5/$F5</f>
        <v>#REF!</v>
      </c>
      <c r="S5" s="43" t="e">
        <f>O5/$F5</f>
        <v>#REF!</v>
      </c>
      <c r="U5" s="43" t="e">
        <f>SUMIFS(#REF!,#REF!,D5)</f>
        <v>#REF!</v>
      </c>
      <c r="V5" s="43">
        <f>SUMIFS('ICB Core Allocations 2024-25'!L:L,'ICB Core Allocations 2024-25'!C:C,D5)</f>
        <v>3.1043377905560332E-2</v>
      </c>
    </row>
    <row r="6" spans="2:22" x14ac:dyDescent="0.25">
      <c r="B6" s="13" t="s">
        <v>17</v>
      </c>
      <c r="C6" s="14" t="s">
        <v>18</v>
      </c>
      <c r="D6" s="4" t="s">
        <v>21</v>
      </c>
      <c r="E6" s="4" t="s">
        <v>22</v>
      </c>
      <c r="F6" s="11" t="e">
        <f>SUMIFS(#REF!,#REF!,D6)</f>
        <v>#REF!</v>
      </c>
      <c r="G6" s="11">
        <f>SUMIFS('ICB Core Allocations 2024-25'!J:J,'ICB Core Allocations 2024-25'!C:C,D6)</f>
        <v>6187595.0680525461</v>
      </c>
      <c r="H6" s="43" t="e">
        <f t="shared" ref="H6:H46" si="0">G6/F6-1</f>
        <v>#REF!</v>
      </c>
      <c r="I6" s="11" t="e">
        <f t="shared" ref="I6:I46" si="1">G6-F6</f>
        <v>#REF!</v>
      </c>
      <c r="K6" s="11" t="e">
        <f>SUMIFS(#REF!,#REF!,$D6)</f>
        <v>#REF!</v>
      </c>
      <c r="L6" s="91" t="e">
        <f>SUMIFS(#REF!,#REF!,$D6)+SUMIFS(#REF!,#REF!,$D6)</f>
        <v>#REF!</v>
      </c>
      <c r="N6" s="91" t="e">
        <f>SUMIFS(#REF!,#REF!,$D6)</f>
        <v>#REF!</v>
      </c>
      <c r="O6" s="91" t="e">
        <f>SUMIFS(#REF!,#REF!,$D6)</f>
        <v>#REF!</v>
      </c>
      <c r="Q6" s="43" t="e">
        <f t="shared" ref="Q6:Q46" si="2">L6/F6</f>
        <v>#REF!</v>
      </c>
      <c r="R6" s="43" t="e">
        <f t="shared" ref="R6:R46" si="3">N6/$F6</f>
        <v>#REF!</v>
      </c>
      <c r="S6" s="43" t="e">
        <f t="shared" ref="S6:S46" si="4">O6/$F6</f>
        <v>#REF!</v>
      </c>
      <c r="U6" s="43" t="e">
        <f>SUMIFS(#REF!,#REF!,D6)</f>
        <v>#REF!</v>
      </c>
      <c r="V6" s="43">
        <f>SUMIFS('ICB Core Allocations 2024-25'!L:L,'ICB Core Allocations 2024-25'!C:C,D6)</f>
        <v>2.8491230691667813E-2</v>
      </c>
    </row>
    <row r="7" spans="2:22" x14ac:dyDescent="0.25">
      <c r="B7" s="13" t="s">
        <v>17</v>
      </c>
      <c r="C7" s="14" t="s">
        <v>18</v>
      </c>
      <c r="D7" s="4" t="s">
        <v>23</v>
      </c>
      <c r="E7" s="4" t="s">
        <v>24</v>
      </c>
      <c r="F7" s="11" t="e">
        <f>SUMIFS(#REF!,#REF!,D7)</f>
        <v>#REF!</v>
      </c>
      <c r="G7" s="11">
        <f>SUMIFS('ICB Core Allocations 2024-25'!J:J,'ICB Core Allocations 2024-25'!C:C,D7)</f>
        <v>2703389.0052081505</v>
      </c>
      <c r="H7" s="43" t="e">
        <f t="shared" si="0"/>
        <v>#REF!</v>
      </c>
      <c r="I7" s="11" t="e">
        <f t="shared" si="1"/>
        <v>#REF!</v>
      </c>
      <c r="K7" s="11" t="e">
        <f>SUMIFS(#REF!,#REF!,$D7)</f>
        <v>#REF!</v>
      </c>
      <c r="L7" s="91" t="e">
        <f>SUMIFS(#REF!,#REF!,$D7)+SUMIFS(#REF!,#REF!,$D7)</f>
        <v>#REF!</v>
      </c>
      <c r="N7" s="91" t="e">
        <f>SUMIFS(#REF!,#REF!,$D7)</f>
        <v>#REF!</v>
      </c>
      <c r="O7" s="91" t="e">
        <f>SUMIFS(#REF!,#REF!,$D7)</f>
        <v>#REF!</v>
      </c>
      <c r="Q7" s="43" t="e">
        <f t="shared" si="2"/>
        <v>#REF!</v>
      </c>
      <c r="R7" s="43" t="e">
        <f t="shared" si="3"/>
        <v>#REF!</v>
      </c>
      <c r="S7" s="43" t="e">
        <f t="shared" si="4"/>
        <v>#REF!</v>
      </c>
      <c r="U7" s="43" t="e">
        <f>SUMIFS(#REF!,#REF!,D7)</f>
        <v>#REF!</v>
      </c>
      <c r="V7" s="43">
        <f>SUMIFS('ICB Core Allocations 2024-25'!L:L,'ICB Core Allocations 2024-25'!C:C,D7)</f>
        <v>2.9609066419897578E-2</v>
      </c>
    </row>
    <row r="8" spans="2:22" x14ac:dyDescent="0.25">
      <c r="B8" s="15" t="s">
        <v>17</v>
      </c>
      <c r="C8" s="16" t="s">
        <v>18</v>
      </c>
      <c r="D8" s="17" t="s">
        <v>25</v>
      </c>
      <c r="E8" s="17" t="s">
        <v>26</v>
      </c>
      <c r="F8" s="18" t="e">
        <f>SUMIFS(#REF!,#REF!,D8)</f>
        <v>#REF!</v>
      </c>
      <c r="G8" s="18">
        <f>SUMIFS('ICB Core Allocations 2024-25'!J:J,'ICB Core Allocations 2024-25'!C:C,D8)</f>
        <v>4544811.174909058</v>
      </c>
      <c r="H8" s="44" t="e">
        <f t="shared" si="0"/>
        <v>#REF!</v>
      </c>
      <c r="I8" s="18" t="e">
        <f t="shared" si="1"/>
        <v>#REF!</v>
      </c>
      <c r="K8" s="18" t="e">
        <f>SUMIFS(#REF!,#REF!,$D8)</f>
        <v>#REF!</v>
      </c>
      <c r="L8" s="92" t="e">
        <f>SUMIFS(#REF!,#REF!,$D8)+SUMIFS(#REF!,#REF!,$D8)</f>
        <v>#REF!</v>
      </c>
      <c r="N8" s="92" t="e">
        <f>SUMIFS(#REF!,#REF!,$D8)</f>
        <v>#REF!</v>
      </c>
      <c r="O8" s="92" t="e">
        <f>SUMIFS(#REF!,#REF!,$D8)</f>
        <v>#REF!</v>
      </c>
      <c r="Q8" s="44" t="e">
        <f t="shared" si="2"/>
        <v>#REF!</v>
      </c>
      <c r="R8" s="44" t="e">
        <f t="shared" si="3"/>
        <v>#REF!</v>
      </c>
      <c r="S8" s="44" t="e">
        <f t="shared" si="4"/>
        <v>#REF!</v>
      </c>
      <c r="U8" s="44" t="e">
        <f>SUMIFS(#REF!,#REF!,D8)</f>
        <v>#REF!</v>
      </c>
      <c r="V8" s="44">
        <f>SUMIFS('ICB Core Allocations 2024-25'!L:L,'ICB Core Allocations 2024-25'!C:C,D8)</f>
        <v>2.9994034117033941E-2</v>
      </c>
    </row>
    <row r="9" spans="2:22" x14ac:dyDescent="0.25">
      <c r="B9" s="10" t="s">
        <v>27</v>
      </c>
      <c r="C9" s="4" t="s">
        <v>28</v>
      </c>
      <c r="D9" s="4" t="s">
        <v>29</v>
      </c>
      <c r="E9" s="4" t="s">
        <v>30</v>
      </c>
      <c r="F9" s="11" t="e">
        <f>SUMIFS(#REF!,#REF!,D9)</f>
        <v>#REF!</v>
      </c>
      <c r="G9" s="11">
        <f>SUMIFS('ICB Core Allocations 2024-25'!J:J,'ICB Core Allocations 2024-25'!C:C,D9)</f>
        <v>5439647.2606384121</v>
      </c>
      <c r="H9" s="43" t="e">
        <f t="shared" si="0"/>
        <v>#REF!</v>
      </c>
      <c r="I9" s="11" t="e">
        <f t="shared" si="1"/>
        <v>#REF!</v>
      </c>
      <c r="K9" s="11" t="e">
        <f>SUMIFS(#REF!,#REF!,$D9)</f>
        <v>#REF!</v>
      </c>
      <c r="L9" s="91" t="e">
        <f>SUMIFS(#REF!,#REF!,$D9)+SUMIFS(#REF!,#REF!,$D9)</f>
        <v>#REF!</v>
      </c>
      <c r="N9" s="91" t="e">
        <f>SUMIFS(#REF!,#REF!,$D9)</f>
        <v>#REF!</v>
      </c>
      <c r="O9" s="91" t="e">
        <f>SUMIFS(#REF!,#REF!,$D9)</f>
        <v>#REF!</v>
      </c>
      <c r="Q9" s="43" t="e">
        <f t="shared" si="2"/>
        <v>#REF!</v>
      </c>
      <c r="R9" s="43" t="e">
        <f t="shared" si="3"/>
        <v>#REF!</v>
      </c>
      <c r="S9" s="43" t="e">
        <f t="shared" si="4"/>
        <v>#REF!</v>
      </c>
      <c r="U9" s="43" t="e">
        <f>SUMIFS(#REF!,#REF!,D9)</f>
        <v>#REF!</v>
      </c>
      <c r="V9" s="43">
        <f>SUMIFS('ICB Core Allocations 2024-25'!L:L,'ICB Core Allocations 2024-25'!C:C,D9)</f>
        <v>2.982591300049009E-2</v>
      </c>
    </row>
    <row r="10" spans="2:22" x14ac:dyDescent="0.25">
      <c r="B10" s="13" t="s">
        <v>27</v>
      </c>
      <c r="C10" s="14" t="s">
        <v>28</v>
      </c>
      <c r="D10" s="4" t="s">
        <v>31</v>
      </c>
      <c r="E10" s="4" t="s">
        <v>8</v>
      </c>
      <c r="F10" s="11" t="e">
        <f>SUMIFS(#REF!,#REF!,D10)</f>
        <v>#REF!</v>
      </c>
      <c r="G10" s="11">
        <f>SUMIFS('ICB Core Allocations 2024-25'!J:J,'ICB Core Allocations 2024-25'!C:C,D10)</f>
        <v>5823109.6157551752</v>
      </c>
      <c r="H10" s="43" t="e">
        <f t="shared" si="0"/>
        <v>#REF!</v>
      </c>
      <c r="I10" s="11" t="e">
        <f t="shared" si="1"/>
        <v>#REF!</v>
      </c>
      <c r="K10" s="11" t="e">
        <f>SUMIFS(#REF!,#REF!,$D10)</f>
        <v>#REF!</v>
      </c>
      <c r="L10" s="91" t="e">
        <f>SUMIFS(#REF!,#REF!,$D10)+SUMIFS(#REF!,#REF!,$D10)</f>
        <v>#REF!</v>
      </c>
      <c r="N10" s="91" t="e">
        <f>SUMIFS(#REF!,#REF!,$D10)</f>
        <v>#REF!</v>
      </c>
      <c r="O10" s="91" t="e">
        <f>SUMIFS(#REF!,#REF!,$D10)</f>
        <v>#REF!</v>
      </c>
      <c r="Q10" s="43" t="e">
        <f t="shared" si="2"/>
        <v>#REF!</v>
      </c>
      <c r="R10" s="43" t="e">
        <f t="shared" si="3"/>
        <v>#REF!</v>
      </c>
      <c r="S10" s="43" t="e">
        <f t="shared" si="4"/>
        <v>#REF!</v>
      </c>
      <c r="U10" s="43" t="e">
        <f>SUMIFS(#REF!,#REF!,D10)</f>
        <v>#REF!</v>
      </c>
      <c r="V10" s="43">
        <f>SUMIFS('ICB Core Allocations 2024-25'!L:L,'ICB Core Allocations 2024-25'!C:C,D10)</f>
        <v>2.8911545828542273E-2</v>
      </c>
    </row>
    <row r="11" spans="2:22" x14ac:dyDescent="0.25">
      <c r="B11" s="15" t="s">
        <v>27</v>
      </c>
      <c r="C11" s="16" t="s">
        <v>28</v>
      </c>
      <c r="D11" s="17" t="s">
        <v>32</v>
      </c>
      <c r="E11" s="17" t="s">
        <v>33</v>
      </c>
      <c r="F11" s="18" t="e">
        <f>SUMIFS(#REF!,#REF!,D11)</f>
        <v>#REF!</v>
      </c>
      <c r="G11" s="18">
        <f>SUMIFS('ICB Core Allocations 2024-25'!J:J,'ICB Core Allocations 2024-25'!C:C,D11)</f>
        <v>3610945.7268147585</v>
      </c>
      <c r="H11" s="44" t="e">
        <f t="shared" si="0"/>
        <v>#REF!</v>
      </c>
      <c r="I11" s="18" t="e">
        <f t="shared" si="1"/>
        <v>#REF!</v>
      </c>
      <c r="K11" s="18" t="e">
        <f>SUMIFS(#REF!,#REF!,$D11)</f>
        <v>#REF!</v>
      </c>
      <c r="L11" s="92" t="e">
        <f>SUMIFS(#REF!,#REF!,$D11)+SUMIFS(#REF!,#REF!,$D11)</f>
        <v>#REF!</v>
      </c>
      <c r="N11" s="92" t="e">
        <f>SUMIFS(#REF!,#REF!,$D11)</f>
        <v>#REF!</v>
      </c>
      <c r="O11" s="92" t="e">
        <f>SUMIFS(#REF!,#REF!,$D11)</f>
        <v>#REF!</v>
      </c>
      <c r="Q11" s="44" t="e">
        <f t="shared" si="2"/>
        <v>#REF!</v>
      </c>
      <c r="R11" s="44" t="e">
        <f t="shared" si="3"/>
        <v>#REF!</v>
      </c>
      <c r="S11" s="44" t="e">
        <f t="shared" si="4"/>
        <v>#REF!</v>
      </c>
      <c r="U11" s="44" t="e">
        <f>SUMIFS(#REF!,#REF!,D11)</f>
        <v>#REF!</v>
      </c>
      <c r="V11" s="44">
        <f>SUMIFS('ICB Core Allocations 2024-25'!L:L,'ICB Core Allocations 2024-25'!C:C,D11)</f>
        <v>2.9210858521804051E-2</v>
      </c>
    </row>
    <row r="12" spans="2:22" x14ac:dyDescent="0.25">
      <c r="B12" s="10" t="s">
        <v>34</v>
      </c>
      <c r="C12" s="4" t="s">
        <v>35</v>
      </c>
      <c r="D12" s="4" t="s">
        <v>36</v>
      </c>
      <c r="E12" s="4" t="s">
        <v>37</v>
      </c>
      <c r="F12" s="11" t="e">
        <f>SUMIFS(#REF!,#REF!,D12)</f>
        <v>#REF!</v>
      </c>
      <c r="G12" s="11">
        <f>SUMIFS('ICB Core Allocations 2024-25'!J:J,'ICB Core Allocations 2024-25'!C:C,D12)</f>
        <v>2688024.5307807163</v>
      </c>
      <c r="H12" s="43" t="e">
        <f t="shared" si="0"/>
        <v>#REF!</v>
      </c>
      <c r="I12" s="11" t="e">
        <f t="shared" si="1"/>
        <v>#REF!</v>
      </c>
      <c r="K12" s="11" t="e">
        <f>SUMIFS(#REF!,#REF!,$D12)</f>
        <v>#REF!</v>
      </c>
      <c r="L12" s="91" t="e">
        <f>SUMIFS(#REF!,#REF!,$D12)+SUMIFS(#REF!,#REF!,$D12)</f>
        <v>#REF!</v>
      </c>
      <c r="N12" s="91" t="e">
        <f>SUMIFS(#REF!,#REF!,$D12)</f>
        <v>#REF!</v>
      </c>
      <c r="O12" s="91" t="e">
        <f>SUMIFS(#REF!,#REF!,$D12)</f>
        <v>#REF!</v>
      </c>
      <c r="Q12" s="43" t="e">
        <f t="shared" si="2"/>
        <v>#REF!</v>
      </c>
      <c r="R12" s="43" t="e">
        <f t="shared" si="3"/>
        <v>#REF!</v>
      </c>
      <c r="S12" s="43" t="e">
        <f t="shared" si="4"/>
        <v>#REF!</v>
      </c>
      <c r="U12" s="43" t="e">
        <f>SUMIFS(#REF!,#REF!,D12)</f>
        <v>#REF!</v>
      </c>
      <c r="V12" s="43">
        <f>SUMIFS('ICB Core Allocations 2024-25'!L:L,'ICB Core Allocations 2024-25'!C:C,D12)</f>
        <v>4.0770085295018132E-2</v>
      </c>
    </row>
    <row r="13" spans="2:22" x14ac:dyDescent="0.25">
      <c r="B13" s="13" t="s">
        <v>34</v>
      </c>
      <c r="C13" s="14" t="s">
        <v>35</v>
      </c>
      <c r="D13" s="4" t="s">
        <v>38</v>
      </c>
      <c r="E13" s="4" t="s">
        <v>39</v>
      </c>
      <c r="F13" s="11" t="e">
        <f>SUMIFS(#REF!,#REF!,D13)</f>
        <v>#REF!</v>
      </c>
      <c r="G13" s="11">
        <f>SUMIFS('ICB Core Allocations 2024-25'!J:J,'ICB Core Allocations 2024-25'!C:C,D13)</f>
        <v>2344698.464709247</v>
      </c>
      <c r="H13" s="43" t="e">
        <f t="shared" si="0"/>
        <v>#REF!</v>
      </c>
      <c r="I13" s="11" t="e">
        <f t="shared" si="1"/>
        <v>#REF!</v>
      </c>
      <c r="K13" s="11" t="e">
        <f>SUMIFS(#REF!,#REF!,$D13)</f>
        <v>#REF!</v>
      </c>
      <c r="L13" s="91" t="e">
        <f>SUMIFS(#REF!,#REF!,$D13)+SUMIFS(#REF!,#REF!,$D13)</f>
        <v>#REF!</v>
      </c>
      <c r="N13" s="91" t="e">
        <f>SUMIFS(#REF!,#REF!,$D13)</f>
        <v>#REF!</v>
      </c>
      <c r="O13" s="91" t="e">
        <f>SUMIFS(#REF!,#REF!,$D13)</f>
        <v>#REF!</v>
      </c>
      <c r="Q13" s="43" t="e">
        <f t="shared" si="2"/>
        <v>#REF!</v>
      </c>
      <c r="R13" s="43" t="e">
        <f t="shared" si="3"/>
        <v>#REF!</v>
      </c>
      <c r="S13" s="43" t="e">
        <f t="shared" si="4"/>
        <v>#REF!</v>
      </c>
      <c r="U13" s="43" t="e">
        <f>SUMIFS(#REF!,#REF!,D13)</f>
        <v>#REF!</v>
      </c>
      <c r="V13" s="43">
        <f>SUMIFS('ICB Core Allocations 2024-25'!L:L,'ICB Core Allocations 2024-25'!C:C,D13)</f>
        <v>2.8671411129235436E-2</v>
      </c>
    </row>
    <row r="14" spans="2:22" x14ac:dyDescent="0.25">
      <c r="B14" s="13" t="s">
        <v>34</v>
      </c>
      <c r="C14" s="14" t="s">
        <v>35</v>
      </c>
      <c r="D14" s="4" t="s">
        <v>40</v>
      </c>
      <c r="E14" s="4" t="s">
        <v>41</v>
      </c>
      <c r="F14" s="11" t="e">
        <f>SUMIFS(#REF!,#REF!,D14)</f>
        <v>#REF!</v>
      </c>
      <c r="G14" s="11">
        <f>SUMIFS('ICB Core Allocations 2024-25'!J:J,'ICB Core Allocations 2024-25'!C:C,D14)</f>
        <v>1752155.0903956769</v>
      </c>
      <c r="H14" s="43" t="e">
        <f t="shared" si="0"/>
        <v>#REF!</v>
      </c>
      <c r="I14" s="11" t="e">
        <f t="shared" si="1"/>
        <v>#REF!</v>
      </c>
      <c r="K14" s="11" t="e">
        <f>SUMIFS(#REF!,#REF!,$D14)</f>
        <v>#REF!</v>
      </c>
      <c r="L14" s="91" t="e">
        <f>SUMIFS(#REF!,#REF!,$D14)+SUMIFS(#REF!,#REF!,$D14)</f>
        <v>#REF!</v>
      </c>
      <c r="N14" s="91" t="e">
        <f>SUMIFS(#REF!,#REF!,$D14)</f>
        <v>#REF!</v>
      </c>
      <c r="O14" s="91" t="e">
        <f>SUMIFS(#REF!,#REF!,$D14)</f>
        <v>#REF!</v>
      </c>
      <c r="Q14" s="43" t="e">
        <f t="shared" si="2"/>
        <v>#REF!</v>
      </c>
      <c r="R14" s="43" t="e">
        <f t="shared" si="3"/>
        <v>#REF!</v>
      </c>
      <c r="S14" s="43" t="e">
        <f t="shared" si="4"/>
        <v>#REF!</v>
      </c>
      <c r="U14" s="43" t="e">
        <f>SUMIFS(#REF!,#REF!,D14)</f>
        <v>#REF!</v>
      </c>
      <c r="V14" s="43">
        <f>SUMIFS('ICB Core Allocations 2024-25'!L:L,'ICB Core Allocations 2024-25'!C:C,D14)</f>
        <v>3.9324543981979376E-2</v>
      </c>
    </row>
    <row r="15" spans="2:22" x14ac:dyDescent="0.25">
      <c r="B15" s="13" t="s">
        <v>34</v>
      </c>
      <c r="C15" s="14" t="s">
        <v>35</v>
      </c>
      <c r="D15" s="4" t="s">
        <v>42</v>
      </c>
      <c r="E15" s="4" t="s">
        <v>43</v>
      </c>
      <c r="F15" s="11" t="e">
        <f>SUMIFS(#REF!,#REF!,D15)</f>
        <v>#REF!</v>
      </c>
      <c r="G15" s="11">
        <f>SUMIFS('ICB Core Allocations 2024-25'!J:J,'ICB Core Allocations 2024-25'!C:C,D15)</f>
        <v>2025421.5997965266</v>
      </c>
      <c r="H15" s="43" t="e">
        <f t="shared" si="0"/>
        <v>#REF!</v>
      </c>
      <c r="I15" s="11" t="e">
        <f t="shared" si="1"/>
        <v>#REF!</v>
      </c>
      <c r="K15" s="11" t="e">
        <f>SUMIFS(#REF!,#REF!,$D15)</f>
        <v>#REF!</v>
      </c>
      <c r="L15" s="91" t="e">
        <f>SUMIFS(#REF!,#REF!,$D15)+SUMIFS(#REF!,#REF!,$D15)</f>
        <v>#REF!</v>
      </c>
      <c r="N15" s="91" t="e">
        <f>SUMIFS(#REF!,#REF!,$D15)</f>
        <v>#REF!</v>
      </c>
      <c r="O15" s="91" t="e">
        <f>SUMIFS(#REF!,#REF!,$D15)</f>
        <v>#REF!</v>
      </c>
      <c r="Q15" s="43" t="e">
        <f t="shared" si="2"/>
        <v>#REF!</v>
      </c>
      <c r="R15" s="43" t="e">
        <f t="shared" si="3"/>
        <v>#REF!</v>
      </c>
      <c r="S15" s="43" t="e">
        <f t="shared" si="4"/>
        <v>#REF!</v>
      </c>
      <c r="U15" s="43" t="e">
        <f>SUMIFS(#REF!,#REF!,D15)</f>
        <v>#REF!</v>
      </c>
      <c r="V15" s="43">
        <f>SUMIFS('ICB Core Allocations 2024-25'!L:L,'ICB Core Allocations 2024-25'!C:C,D15)</f>
        <v>3.1628245637903563E-2</v>
      </c>
    </row>
    <row r="16" spans="2:22" x14ac:dyDescent="0.25">
      <c r="B16" s="13" t="s">
        <v>34</v>
      </c>
      <c r="C16" s="14" t="s">
        <v>35</v>
      </c>
      <c r="D16" s="4" t="s">
        <v>44</v>
      </c>
      <c r="E16" s="4" t="s">
        <v>45</v>
      </c>
      <c r="F16" s="11" t="e">
        <f>SUMIFS(#REF!,#REF!,D16)</f>
        <v>#REF!</v>
      </c>
      <c r="G16" s="11">
        <f>SUMIFS('ICB Core Allocations 2024-25'!J:J,'ICB Core Allocations 2024-25'!C:C,D16)</f>
        <v>1446499.899989336</v>
      </c>
      <c r="H16" s="43" t="e">
        <f t="shared" si="0"/>
        <v>#REF!</v>
      </c>
      <c r="I16" s="11" t="e">
        <f t="shared" si="1"/>
        <v>#REF!</v>
      </c>
      <c r="K16" s="11" t="e">
        <f>SUMIFS(#REF!,#REF!,$D16)</f>
        <v>#REF!</v>
      </c>
      <c r="L16" s="91" t="e">
        <f>SUMIFS(#REF!,#REF!,$D16)+SUMIFS(#REF!,#REF!,$D16)</f>
        <v>#REF!</v>
      </c>
      <c r="N16" s="91" t="e">
        <f>SUMIFS(#REF!,#REF!,$D16)</f>
        <v>#REF!</v>
      </c>
      <c r="O16" s="91" t="e">
        <f>SUMIFS(#REF!,#REF!,$D16)</f>
        <v>#REF!</v>
      </c>
      <c r="Q16" s="43" t="e">
        <f t="shared" si="2"/>
        <v>#REF!</v>
      </c>
      <c r="R16" s="43" t="e">
        <f t="shared" si="3"/>
        <v>#REF!</v>
      </c>
      <c r="S16" s="43" t="e">
        <f t="shared" si="4"/>
        <v>#REF!</v>
      </c>
      <c r="U16" s="43" t="e">
        <f>SUMIFS(#REF!,#REF!,D16)</f>
        <v>#REF!</v>
      </c>
      <c r="V16" s="43">
        <f>SUMIFS('ICB Core Allocations 2024-25'!L:L,'ICB Core Allocations 2024-25'!C:C,D16)</f>
        <v>3.3890280991548449E-2</v>
      </c>
    </row>
    <row r="17" spans="2:22" x14ac:dyDescent="0.25">
      <c r="B17" s="13" t="s">
        <v>34</v>
      </c>
      <c r="C17" s="14" t="s">
        <v>35</v>
      </c>
      <c r="D17" s="4" t="s">
        <v>46</v>
      </c>
      <c r="E17" s="4" t="s">
        <v>47</v>
      </c>
      <c r="F17" s="11" t="e">
        <f>SUMIFS(#REF!,#REF!,D17)</f>
        <v>#REF!</v>
      </c>
      <c r="G17" s="11">
        <f>SUMIFS('ICB Core Allocations 2024-25'!J:J,'ICB Core Allocations 2024-25'!C:C,D17)</f>
        <v>1846908.9041428484</v>
      </c>
      <c r="H17" s="43" t="e">
        <f t="shared" si="0"/>
        <v>#REF!</v>
      </c>
      <c r="I17" s="11" t="e">
        <f t="shared" si="1"/>
        <v>#REF!</v>
      </c>
      <c r="K17" s="11" t="e">
        <f>SUMIFS(#REF!,#REF!,$D17)</f>
        <v>#REF!</v>
      </c>
      <c r="L17" s="91" t="e">
        <f>SUMIFS(#REF!,#REF!,$D17)+SUMIFS(#REF!,#REF!,$D17)</f>
        <v>#REF!</v>
      </c>
      <c r="N17" s="91" t="e">
        <f>SUMIFS(#REF!,#REF!,$D17)</f>
        <v>#REF!</v>
      </c>
      <c r="O17" s="91" t="e">
        <f>SUMIFS(#REF!,#REF!,$D17)</f>
        <v>#REF!</v>
      </c>
      <c r="Q17" s="43" t="e">
        <f t="shared" si="2"/>
        <v>#REF!</v>
      </c>
      <c r="R17" s="43" t="e">
        <f t="shared" si="3"/>
        <v>#REF!</v>
      </c>
      <c r="S17" s="43" t="e">
        <f t="shared" si="4"/>
        <v>#REF!</v>
      </c>
      <c r="U17" s="43" t="e">
        <f>SUMIFS(#REF!,#REF!,D17)</f>
        <v>#REF!</v>
      </c>
      <c r="V17" s="43">
        <f>SUMIFS('ICB Core Allocations 2024-25'!L:L,'ICB Core Allocations 2024-25'!C:C,D17)</f>
        <v>3.8823424205584489E-2</v>
      </c>
    </row>
    <row r="18" spans="2:22" x14ac:dyDescent="0.25">
      <c r="B18" s="13" t="s">
        <v>34</v>
      </c>
      <c r="C18" s="14" t="s">
        <v>35</v>
      </c>
      <c r="D18" s="4" t="s">
        <v>48</v>
      </c>
      <c r="E18" s="4" t="s">
        <v>49</v>
      </c>
      <c r="F18" s="11" t="e">
        <f>SUMIFS(#REF!,#REF!,D18)</f>
        <v>#REF!</v>
      </c>
      <c r="G18" s="11">
        <f>SUMIFS('ICB Core Allocations 2024-25'!J:J,'ICB Core Allocations 2024-25'!C:C,D18)</f>
        <v>1478003.6595905435</v>
      </c>
      <c r="H18" s="43" t="e">
        <f t="shared" si="0"/>
        <v>#REF!</v>
      </c>
      <c r="I18" s="11" t="e">
        <f t="shared" si="1"/>
        <v>#REF!</v>
      </c>
      <c r="K18" s="11" t="e">
        <f>SUMIFS(#REF!,#REF!,$D18)</f>
        <v>#REF!</v>
      </c>
      <c r="L18" s="91" t="e">
        <f>SUMIFS(#REF!,#REF!,$D18)+SUMIFS(#REF!,#REF!,$D18)</f>
        <v>#REF!</v>
      </c>
      <c r="N18" s="91" t="e">
        <f>SUMIFS(#REF!,#REF!,$D18)</f>
        <v>#REF!</v>
      </c>
      <c r="O18" s="91" t="e">
        <f>SUMIFS(#REF!,#REF!,$D18)</f>
        <v>#REF!</v>
      </c>
      <c r="Q18" s="43" t="e">
        <f t="shared" si="2"/>
        <v>#REF!</v>
      </c>
      <c r="R18" s="43" t="e">
        <f t="shared" si="3"/>
        <v>#REF!</v>
      </c>
      <c r="S18" s="43" t="e">
        <f t="shared" si="4"/>
        <v>#REF!</v>
      </c>
      <c r="U18" s="43" t="e">
        <f>SUMIFS(#REF!,#REF!,D18)</f>
        <v>#REF!</v>
      </c>
      <c r="V18" s="43">
        <f>SUMIFS('ICB Core Allocations 2024-25'!L:L,'ICB Core Allocations 2024-25'!C:C,D18)</f>
        <v>3.2922593382342491E-2</v>
      </c>
    </row>
    <row r="19" spans="2:22" x14ac:dyDescent="0.25">
      <c r="B19" s="13" t="s">
        <v>34</v>
      </c>
      <c r="C19" s="14" t="s">
        <v>35</v>
      </c>
      <c r="D19" s="4" t="s">
        <v>50</v>
      </c>
      <c r="E19" s="4" t="s">
        <v>51</v>
      </c>
      <c r="F19" s="11" t="e">
        <f>SUMIFS(#REF!,#REF!,D19)</f>
        <v>#REF!</v>
      </c>
      <c r="G19" s="11">
        <f>SUMIFS('ICB Core Allocations 2024-25'!J:J,'ICB Core Allocations 2024-25'!C:C,D19)</f>
        <v>1354604.3412223973</v>
      </c>
      <c r="H19" s="43" t="e">
        <f t="shared" si="0"/>
        <v>#REF!</v>
      </c>
      <c r="I19" s="11" t="e">
        <f t="shared" si="1"/>
        <v>#REF!</v>
      </c>
      <c r="K19" s="11" t="e">
        <f>SUMIFS(#REF!,#REF!,$D19)</f>
        <v>#REF!</v>
      </c>
      <c r="L19" s="91" t="e">
        <f>SUMIFS(#REF!,#REF!,$D19)+SUMIFS(#REF!,#REF!,$D19)</f>
        <v>#REF!</v>
      </c>
      <c r="N19" s="91" t="e">
        <f>SUMIFS(#REF!,#REF!,$D19)</f>
        <v>#REF!</v>
      </c>
      <c r="O19" s="91" t="e">
        <f>SUMIFS(#REF!,#REF!,$D19)</f>
        <v>#REF!</v>
      </c>
      <c r="Q19" s="43" t="e">
        <f t="shared" si="2"/>
        <v>#REF!</v>
      </c>
      <c r="R19" s="43" t="e">
        <f t="shared" si="3"/>
        <v>#REF!</v>
      </c>
      <c r="S19" s="43" t="e">
        <f t="shared" si="4"/>
        <v>#REF!</v>
      </c>
      <c r="U19" s="43" t="e">
        <f>SUMIFS(#REF!,#REF!,D19)</f>
        <v>#REF!</v>
      </c>
      <c r="V19" s="43">
        <f>SUMIFS('ICB Core Allocations 2024-25'!L:L,'ICB Core Allocations 2024-25'!C:C,D19)</f>
        <v>3.4837912042260832E-2</v>
      </c>
    </row>
    <row r="20" spans="2:22" x14ac:dyDescent="0.25">
      <c r="B20" s="13" t="s">
        <v>34</v>
      </c>
      <c r="C20" s="14" t="s">
        <v>35</v>
      </c>
      <c r="D20" s="4" t="s">
        <v>52</v>
      </c>
      <c r="E20" s="4" t="s">
        <v>53</v>
      </c>
      <c r="F20" s="11" t="e">
        <f>SUMIFS(#REF!,#REF!,D20)</f>
        <v>#REF!</v>
      </c>
      <c r="G20" s="11">
        <f>SUMIFS('ICB Core Allocations 2024-25'!J:J,'ICB Core Allocations 2024-25'!C:C,D20)</f>
        <v>2177710.1529482151</v>
      </c>
      <c r="H20" s="43" t="e">
        <f t="shared" si="0"/>
        <v>#REF!</v>
      </c>
      <c r="I20" s="11" t="e">
        <f t="shared" si="1"/>
        <v>#REF!</v>
      </c>
      <c r="K20" s="11" t="e">
        <f>SUMIFS(#REF!,#REF!,$D20)</f>
        <v>#REF!</v>
      </c>
      <c r="L20" s="91" t="e">
        <f>SUMIFS(#REF!,#REF!,$D20)+SUMIFS(#REF!,#REF!,$D20)</f>
        <v>#REF!</v>
      </c>
      <c r="N20" s="91" t="e">
        <f>SUMIFS(#REF!,#REF!,$D20)</f>
        <v>#REF!</v>
      </c>
      <c r="O20" s="91" t="e">
        <f>SUMIFS(#REF!,#REF!,$D20)</f>
        <v>#REF!</v>
      </c>
      <c r="Q20" s="43" t="e">
        <f t="shared" si="2"/>
        <v>#REF!</v>
      </c>
      <c r="R20" s="43" t="e">
        <f t="shared" si="3"/>
        <v>#REF!</v>
      </c>
      <c r="S20" s="43" t="e">
        <f t="shared" si="4"/>
        <v>#REF!</v>
      </c>
      <c r="U20" s="43" t="e">
        <f>SUMIFS(#REF!,#REF!,D20)</f>
        <v>#REF!</v>
      </c>
      <c r="V20" s="43">
        <f>SUMIFS('ICB Core Allocations 2024-25'!L:L,'ICB Core Allocations 2024-25'!C:C,D20)</f>
        <v>3.4303464492536184E-2</v>
      </c>
    </row>
    <row r="21" spans="2:22" x14ac:dyDescent="0.25">
      <c r="B21" s="13" t="s">
        <v>34</v>
      </c>
      <c r="C21" s="14" t="s">
        <v>35</v>
      </c>
      <c r="D21" s="4" t="s">
        <v>54</v>
      </c>
      <c r="E21" s="4" t="s">
        <v>55</v>
      </c>
      <c r="F21" s="11" t="e">
        <f>SUMIFS(#REF!,#REF!,D21)</f>
        <v>#REF!</v>
      </c>
      <c r="G21" s="11">
        <f>SUMIFS('ICB Core Allocations 2024-25'!J:J,'ICB Core Allocations 2024-25'!C:C,D21)</f>
        <v>951077.24274723791</v>
      </c>
      <c r="H21" s="43" t="e">
        <f t="shared" si="0"/>
        <v>#REF!</v>
      </c>
      <c r="I21" s="11" t="e">
        <f t="shared" si="1"/>
        <v>#REF!</v>
      </c>
      <c r="K21" s="11" t="e">
        <f>SUMIFS(#REF!,#REF!,$D21)</f>
        <v>#REF!</v>
      </c>
      <c r="L21" s="91" t="e">
        <f>SUMIFS(#REF!,#REF!,$D21)+SUMIFS(#REF!,#REF!,$D21)</f>
        <v>#REF!</v>
      </c>
      <c r="N21" s="91" t="e">
        <f>SUMIFS(#REF!,#REF!,$D21)</f>
        <v>#REF!</v>
      </c>
      <c r="O21" s="91" t="e">
        <f>SUMIFS(#REF!,#REF!,$D21)</f>
        <v>#REF!</v>
      </c>
      <c r="Q21" s="43" t="e">
        <f t="shared" si="2"/>
        <v>#REF!</v>
      </c>
      <c r="R21" s="43" t="e">
        <f t="shared" si="3"/>
        <v>#REF!</v>
      </c>
      <c r="S21" s="43" t="e">
        <f t="shared" si="4"/>
        <v>#REF!</v>
      </c>
      <c r="U21" s="43" t="e">
        <f>SUMIFS(#REF!,#REF!,D21)</f>
        <v>#REF!</v>
      </c>
      <c r="V21" s="43">
        <f>SUMIFS('ICB Core Allocations 2024-25'!L:L,'ICB Core Allocations 2024-25'!C:C,D21)</f>
        <v>3.7556468646700036E-2</v>
      </c>
    </row>
    <row r="22" spans="2:22" x14ac:dyDescent="0.25">
      <c r="B22" s="15" t="s">
        <v>34</v>
      </c>
      <c r="C22" s="16" t="s">
        <v>35</v>
      </c>
      <c r="D22" s="17" t="s">
        <v>56</v>
      </c>
      <c r="E22" s="17" t="s">
        <v>57</v>
      </c>
      <c r="F22" s="18" t="e">
        <f>SUMIFS(#REF!,#REF!,D22)</f>
        <v>#REF!</v>
      </c>
      <c r="G22" s="18">
        <f>SUMIFS('ICB Core Allocations 2024-25'!J:J,'ICB Core Allocations 2024-25'!C:C,D22)</f>
        <v>2149760.4752495782</v>
      </c>
      <c r="H22" s="44" t="e">
        <f t="shared" si="0"/>
        <v>#REF!</v>
      </c>
      <c r="I22" s="18" t="e">
        <f t="shared" si="1"/>
        <v>#REF!</v>
      </c>
      <c r="K22" s="18" t="e">
        <f>SUMIFS(#REF!,#REF!,$D22)</f>
        <v>#REF!</v>
      </c>
      <c r="L22" s="92" t="e">
        <f>SUMIFS(#REF!,#REF!,$D22)+SUMIFS(#REF!,#REF!,$D22)</f>
        <v>#REF!</v>
      </c>
      <c r="N22" s="92" t="e">
        <f>SUMIFS(#REF!,#REF!,$D22)</f>
        <v>#REF!</v>
      </c>
      <c r="O22" s="92" t="e">
        <f>SUMIFS(#REF!,#REF!,$D22)</f>
        <v>#REF!</v>
      </c>
      <c r="Q22" s="44" t="e">
        <f t="shared" si="2"/>
        <v>#REF!</v>
      </c>
      <c r="R22" s="44" t="e">
        <f t="shared" si="3"/>
        <v>#REF!</v>
      </c>
      <c r="S22" s="44" t="e">
        <f t="shared" si="4"/>
        <v>#REF!</v>
      </c>
      <c r="U22" s="44" t="e">
        <f>SUMIFS(#REF!,#REF!,D22)</f>
        <v>#REF!</v>
      </c>
      <c r="V22" s="44">
        <f>SUMIFS('ICB Core Allocations 2024-25'!L:L,'ICB Core Allocations 2024-25'!C:C,D22)</f>
        <v>3.0602151917785259E-2</v>
      </c>
    </row>
    <row r="23" spans="2:22" x14ac:dyDescent="0.25">
      <c r="B23" s="10" t="s">
        <v>58</v>
      </c>
      <c r="C23" s="4" t="s">
        <v>59</v>
      </c>
      <c r="D23" s="4" t="s">
        <v>60</v>
      </c>
      <c r="E23" s="4" t="s">
        <v>61</v>
      </c>
      <c r="F23" s="11" t="e">
        <f>SUMIFS(#REF!,#REF!,D23)</f>
        <v>#REF!</v>
      </c>
      <c r="G23" s="11">
        <f>SUMIFS('ICB Core Allocations 2024-25'!J:J,'ICB Core Allocations 2024-25'!C:C,D23)</f>
        <v>1705767.9145120201</v>
      </c>
      <c r="H23" s="43" t="e">
        <f t="shared" si="0"/>
        <v>#REF!</v>
      </c>
      <c r="I23" s="11" t="e">
        <f t="shared" si="1"/>
        <v>#REF!</v>
      </c>
      <c r="K23" s="11" t="e">
        <f>SUMIFS(#REF!,#REF!,$D23)</f>
        <v>#REF!</v>
      </c>
      <c r="L23" s="91" t="e">
        <f>SUMIFS(#REF!,#REF!,$D23)+SUMIFS(#REF!,#REF!,$D23)</f>
        <v>#REF!</v>
      </c>
      <c r="N23" s="91" t="e">
        <f>SUMIFS(#REF!,#REF!,$D23)</f>
        <v>#REF!</v>
      </c>
      <c r="O23" s="91" t="e">
        <f>SUMIFS(#REF!,#REF!,$D23)</f>
        <v>#REF!</v>
      </c>
      <c r="Q23" s="43" t="e">
        <f t="shared" si="2"/>
        <v>#REF!</v>
      </c>
      <c r="R23" s="43" t="e">
        <f t="shared" si="3"/>
        <v>#REF!</v>
      </c>
      <c r="S23" s="43" t="e">
        <f t="shared" si="4"/>
        <v>#REF!</v>
      </c>
      <c r="U23" s="43" t="e">
        <f>SUMIFS(#REF!,#REF!,D23)</f>
        <v>#REF!</v>
      </c>
      <c r="V23" s="43">
        <f>SUMIFS('ICB Core Allocations 2024-25'!L:L,'ICB Core Allocations 2024-25'!C:C,D23)</f>
        <v>3.8638749840186337E-2</v>
      </c>
    </row>
    <row r="24" spans="2:22" x14ac:dyDescent="0.25">
      <c r="B24" s="13" t="s">
        <v>58</v>
      </c>
      <c r="C24" s="14" t="s">
        <v>59</v>
      </c>
      <c r="D24" s="4" t="s">
        <v>62</v>
      </c>
      <c r="E24" s="4" t="s">
        <v>63</v>
      </c>
      <c r="F24" s="11" t="e">
        <f>SUMIFS(#REF!,#REF!,D24)</f>
        <v>#REF!</v>
      </c>
      <c r="G24" s="11">
        <f>SUMIFS('ICB Core Allocations 2024-25'!J:J,'ICB Core Allocations 2024-25'!C:C,D24)</f>
        <v>1568048.5253007205</v>
      </c>
      <c r="H24" s="43" t="e">
        <f t="shared" si="0"/>
        <v>#REF!</v>
      </c>
      <c r="I24" s="11" t="e">
        <f t="shared" si="1"/>
        <v>#REF!</v>
      </c>
      <c r="K24" s="11" t="e">
        <f>SUMIFS(#REF!,#REF!,$D24)</f>
        <v>#REF!</v>
      </c>
      <c r="L24" s="91" t="e">
        <f>SUMIFS(#REF!,#REF!,$D24)+SUMIFS(#REF!,#REF!,$D24)</f>
        <v>#REF!</v>
      </c>
      <c r="N24" s="91" t="e">
        <f>SUMIFS(#REF!,#REF!,$D24)</f>
        <v>#REF!</v>
      </c>
      <c r="O24" s="91" t="e">
        <f>SUMIFS(#REF!,#REF!,$D24)</f>
        <v>#REF!</v>
      </c>
      <c r="Q24" s="43" t="e">
        <f t="shared" si="2"/>
        <v>#REF!</v>
      </c>
      <c r="R24" s="43" t="e">
        <f t="shared" si="3"/>
        <v>#REF!</v>
      </c>
      <c r="S24" s="43" t="e">
        <f t="shared" si="4"/>
        <v>#REF!</v>
      </c>
      <c r="U24" s="43" t="e">
        <f>SUMIFS(#REF!,#REF!,D24)</f>
        <v>#REF!</v>
      </c>
      <c r="V24" s="43">
        <f>SUMIFS('ICB Core Allocations 2024-25'!L:L,'ICB Core Allocations 2024-25'!C:C,D24)</f>
        <v>3.1343737643468206E-2</v>
      </c>
    </row>
    <row r="25" spans="2:22" x14ac:dyDescent="0.25">
      <c r="B25" s="13" t="s">
        <v>58</v>
      </c>
      <c r="C25" s="14" t="s">
        <v>59</v>
      </c>
      <c r="D25" s="4" t="s">
        <v>64</v>
      </c>
      <c r="E25" s="4" t="s">
        <v>65</v>
      </c>
      <c r="F25" s="11" t="e">
        <f>SUMIFS(#REF!,#REF!,D25)</f>
        <v>#REF!</v>
      </c>
      <c r="G25" s="11">
        <f>SUMIFS('ICB Core Allocations 2024-25'!J:J,'ICB Core Allocations 2024-25'!C:C,D25)</f>
        <v>2671461.6614784533</v>
      </c>
      <c r="H25" s="43" t="e">
        <f t="shared" si="0"/>
        <v>#REF!</v>
      </c>
      <c r="I25" s="11" t="e">
        <f t="shared" si="1"/>
        <v>#REF!</v>
      </c>
      <c r="K25" s="11" t="e">
        <f>SUMIFS(#REF!,#REF!,$D25)</f>
        <v>#REF!</v>
      </c>
      <c r="L25" s="91" t="e">
        <f>SUMIFS(#REF!,#REF!,$D25)+SUMIFS(#REF!,#REF!,$D25)</f>
        <v>#REF!</v>
      </c>
      <c r="N25" s="91" t="e">
        <f>SUMIFS(#REF!,#REF!,$D25)</f>
        <v>#REF!</v>
      </c>
      <c r="O25" s="91" t="e">
        <f>SUMIFS(#REF!,#REF!,$D25)</f>
        <v>#REF!</v>
      </c>
      <c r="Q25" s="43" t="e">
        <f t="shared" si="2"/>
        <v>#REF!</v>
      </c>
      <c r="R25" s="43" t="e">
        <f t="shared" si="3"/>
        <v>#REF!</v>
      </c>
      <c r="S25" s="43" t="e">
        <f t="shared" si="4"/>
        <v>#REF!</v>
      </c>
      <c r="U25" s="43" t="e">
        <f>SUMIFS(#REF!,#REF!,D25)</f>
        <v>#REF!</v>
      </c>
      <c r="V25" s="43">
        <f>SUMIFS('ICB Core Allocations 2024-25'!L:L,'ICB Core Allocations 2024-25'!C:C,D25)</f>
        <v>2.9166872927305132E-2</v>
      </c>
    </row>
    <row r="26" spans="2:22" x14ac:dyDescent="0.25">
      <c r="B26" s="13" t="s">
        <v>58</v>
      </c>
      <c r="C26" s="14" t="s">
        <v>59</v>
      </c>
      <c r="D26" s="4" t="s">
        <v>66</v>
      </c>
      <c r="E26" s="4" t="s">
        <v>67</v>
      </c>
      <c r="F26" s="11" t="e">
        <f>SUMIFS(#REF!,#REF!,D26)</f>
        <v>#REF!</v>
      </c>
      <c r="G26" s="11">
        <f>SUMIFS('ICB Core Allocations 2024-25'!J:J,'ICB Core Allocations 2024-25'!C:C,D26)</f>
        <v>2172192.4729133029</v>
      </c>
      <c r="H26" s="43" t="e">
        <f t="shared" si="0"/>
        <v>#REF!</v>
      </c>
      <c r="I26" s="11" t="e">
        <f t="shared" si="1"/>
        <v>#REF!</v>
      </c>
      <c r="K26" s="11" t="e">
        <f>SUMIFS(#REF!,#REF!,$D26)</f>
        <v>#REF!</v>
      </c>
      <c r="L26" s="91" t="e">
        <f>SUMIFS(#REF!,#REF!,$D26)+SUMIFS(#REF!,#REF!,$D26)</f>
        <v>#REF!</v>
      </c>
      <c r="N26" s="91" t="e">
        <f>SUMIFS(#REF!,#REF!,$D26)</f>
        <v>#REF!</v>
      </c>
      <c r="O26" s="91" t="e">
        <f>SUMIFS(#REF!,#REF!,$D26)</f>
        <v>#REF!</v>
      </c>
      <c r="Q26" s="43" t="e">
        <f t="shared" si="2"/>
        <v>#REF!</v>
      </c>
      <c r="R26" s="43" t="e">
        <f t="shared" si="3"/>
        <v>#REF!</v>
      </c>
      <c r="S26" s="43" t="e">
        <f t="shared" si="4"/>
        <v>#REF!</v>
      </c>
      <c r="U26" s="43" t="e">
        <f>SUMIFS(#REF!,#REF!,D26)</f>
        <v>#REF!</v>
      </c>
      <c r="V26" s="43">
        <f>SUMIFS('ICB Core Allocations 2024-25'!L:L,'ICB Core Allocations 2024-25'!C:C,D26)</f>
        <v>3.0758749487370896E-2</v>
      </c>
    </row>
    <row r="27" spans="2:22" x14ac:dyDescent="0.25">
      <c r="B27" s="13" t="s">
        <v>58</v>
      </c>
      <c r="C27" s="14" t="s">
        <v>59</v>
      </c>
      <c r="D27" s="4" t="s">
        <v>68</v>
      </c>
      <c r="E27" s="4" t="s">
        <v>69</v>
      </c>
      <c r="F27" s="11" t="e">
        <f>SUMIFS(#REF!,#REF!,D27)</f>
        <v>#REF!</v>
      </c>
      <c r="G27" s="11">
        <f>SUMIFS('ICB Core Allocations 2024-25'!J:J,'ICB Core Allocations 2024-25'!C:C,D27)</f>
        <v>1991403.8315386055</v>
      </c>
      <c r="H27" s="43" t="e">
        <f t="shared" si="0"/>
        <v>#REF!</v>
      </c>
      <c r="I27" s="11" t="e">
        <f t="shared" si="1"/>
        <v>#REF!</v>
      </c>
      <c r="K27" s="11" t="e">
        <f>SUMIFS(#REF!,#REF!,$D27)</f>
        <v>#REF!</v>
      </c>
      <c r="L27" s="91" t="e">
        <f>SUMIFS(#REF!,#REF!,$D27)+SUMIFS(#REF!,#REF!,$D27)</f>
        <v>#REF!</v>
      </c>
      <c r="N27" s="91" t="e">
        <f>SUMIFS(#REF!,#REF!,$D27)</f>
        <v>#REF!</v>
      </c>
      <c r="O27" s="91" t="e">
        <f>SUMIFS(#REF!,#REF!,$D27)</f>
        <v>#REF!</v>
      </c>
      <c r="Q27" s="43" t="e">
        <f t="shared" si="2"/>
        <v>#REF!</v>
      </c>
      <c r="R27" s="43" t="e">
        <f t="shared" si="3"/>
        <v>#REF!</v>
      </c>
      <c r="S27" s="43" t="e">
        <f t="shared" si="4"/>
        <v>#REF!</v>
      </c>
      <c r="U27" s="43" t="e">
        <f>SUMIFS(#REF!,#REF!,D27)</f>
        <v>#REF!</v>
      </c>
      <c r="V27" s="43">
        <f>SUMIFS('ICB Core Allocations 2024-25'!L:L,'ICB Core Allocations 2024-25'!C:C,D27)</f>
        <v>3.2425459359032516E-2</v>
      </c>
    </row>
    <row r="28" spans="2:22" x14ac:dyDescent="0.25">
      <c r="B28" s="15" t="s">
        <v>58</v>
      </c>
      <c r="C28" s="16" t="s">
        <v>59</v>
      </c>
      <c r="D28" s="17" t="s">
        <v>70</v>
      </c>
      <c r="E28" s="17" t="s">
        <v>71</v>
      </c>
      <c r="F28" s="18" t="e">
        <f>SUMIFS(#REF!,#REF!,D28)</f>
        <v>#REF!</v>
      </c>
      <c r="G28" s="18">
        <f>SUMIFS('ICB Core Allocations 2024-25'!J:J,'ICB Core Allocations 2024-25'!C:C,D28)</f>
        <v>1842235.1437652144</v>
      </c>
      <c r="H28" s="44" t="e">
        <f t="shared" si="0"/>
        <v>#REF!</v>
      </c>
      <c r="I28" s="18" t="e">
        <f t="shared" si="1"/>
        <v>#REF!</v>
      </c>
      <c r="K28" s="18" t="e">
        <f>SUMIFS(#REF!,#REF!,$D28)</f>
        <v>#REF!</v>
      </c>
      <c r="L28" s="92" t="e">
        <f>SUMIFS(#REF!,#REF!,$D28)+SUMIFS(#REF!,#REF!,$D28)</f>
        <v>#REF!</v>
      </c>
      <c r="N28" s="92" t="e">
        <f>SUMIFS(#REF!,#REF!,$D28)</f>
        <v>#REF!</v>
      </c>
      <c r="O28" s="92" t="e">
        <f>SUMIFS(#REF!,#REF!,$D28)</f>
        <v>#REF!</v>
      </c>
      <c r="Q28" s="44" t="e">
        <f t="shared" si="2"/>
        <v>#REF!</v>
      </c>
      <c r="R28" s="44" t="e">
        <f t="shared" si="3"/>
        <v>#REF!</v>
      </c>
      <c r="S28" s="44" t="e">
        <f t="shared" si="4"/>
        <v>#REF!</v>
      </c>
      <c r="U28" s="44" t="e">
        <f>SUMIFS(#REF!,#REF!,D28)</f>
        <v>#REF!</v>
      </c>
      <c r="V28" s="44">
        <f>SUMIFS('ICB Core Allocations 2024-25'!L:L,'ICB Core Allocations 2024-25'!C:C,D28)</f>
        <v>4.37526089189062E-2</v>
      </c>
    </row>
    <row r="29" spans="2:22" x14ac:dyDescent="0.25">
      <c r="B29" s="10" t="s">
        <v>72</v>
      </c>
      <c r="C29" s="4" t="s">
        <v>73</v>
      </c>
      <c r="D29" s="4" t="s">
        <v>74</v>
      </c>
      <c r="E29" s="4" t="s">
        <v>75</v>
      </c>
      <c r="F29" s="11" t="e">
        <f>SUMIFS(#REF!,#REF!,D29)</f>
        <v>#REF!</v>
      </c>
      <c r="G29" s="11">
        <f>SUMIFS('ICB Core Allocations 2024-25'!J:J,'ICB Core Allocations 2024-25'!C:C,D29)</f>
        <v>2927424.9864364429</v>
      </c>
      <c r="H29" s="43" t="e">
        <f t="shared" si="0"/>
        <v>#REF!</v>
      </c>
      <c r="I29" s="11" t="e">
        <f t="shared" si="1"/>
        <v>#REF!</v>
      </c>
      <c r="K29" s="11" t="e">
        <f>SUMIFS(#REF!,#REF!,$D29)</f>
        <v>#REF!</v>
      </c>
      <c r="L29" s="91" t="e">
        <f>SUMIFS(#REF!,#REF!,$D29)+SUMIFS(#REF!,#REF!,$D29)</f>
        <v>#REF!</v>
      </c>
      <c r="N29" s="91" t="e">
        <f>SUMIFS(#REF!,#REF!,$D29)</f>
        <v>#REF!</v>
      </c>
      <c r="O29" s="91" t="e">
        <f>SUMIFS(#REF!,#REF!,$D29)</f>
        <v>#REF!</v>
      </c>
      <c r="Q29" s="43" t="e">
        <f t="shared" si="2"/>
        <v>#REF!</v>
      </c>
      <c r="R29" s="43" t="e">
        <f t="shared" si="3"/>
        <v>#REF!</v>
      </c>
      <c r="S29" s="43" t="e">
        <f t="shared" si="4"/>
        <v>#REF!</v>
      </c>
      <c r="U29" s="43" t="e">
        <f>SUMIFS(#REF!,#REF!,D29)</f>
        <v>#REF!</v>
      </c>
      <c r="V29" s="43">
        <f>SUMIFS('ICB Core Allocations 2024-25'!L:L,'ICB Core Allocations 2024-25'!C:C,D29)</f>
        <v>3.1665799628933788E-2</v>
      </c>
    </row>
    <row r="30" spans="2:22" x14ac:dyDescent="0.25">
      <c r="B30" s="13" t="s">
        <v>72</v>
      </c>
      <c r="C30" s="14" t="s">
        <v>73</v>
      </c>
      <c r="D30" s="4" t="s">
        <v>76</v>
      </c>
      <c r="E30" s="4" t="s">
        <v>77</v>
      </c>
      <c r="F30" s="11" t="e">
        <f>SUMIFS(#REF!,#REF!,D30)</f>
        <v>#REF!</v>
      </c>
      <c r="G30" s="11">
        <f>SUMIFS('ICB Core Allocations 2024-25'!J:J,'ICB Core Allocations 2024-25'!C:C,D30)</f>
        <v>3795448.5324075609</v>
      </c>
      <c r="H30" s="43" t="e">
        <f t="shared" si="0"/>
        <v>#REF!</v>
      </c>
      <c r="I30" s="11" t="e">
        <f t="shared" si="1"/>
        <v>#REF!</v>
      </c>
      <c r="K30" s="11" t="e">
        <f>SUMIFS(#REF!,#REF!,$D30)</f>
        <v>#REF!</v>
      </c>
      <c r="L30" s="91" t="e">
        <f>SUMIFS(#REF!,#REF!,$D30)+SUMIFS(#REF!,#REF!,$D30)</f>
        <v>#REF!</v>
      </c>
      <c r="N30" s="91" t="e">
        <f>SUMIFS(#REF!,#REF!,$D30)</f>
        <v>#REF!</v>
      </c>
      <c r="O30" s="91" t="e">
        <f>SUMIFS(#REF!,#REF!,$D30)</f>
        <v>#REF!</v>
      </c>
      <c r="Q30" s="43" t="e">
        <f t="shared" si="2"/>
        <v>#REF!</v>
      </c>
      <c r="R30" s="43" t="e">
        <f t="shared" si="3"/>
        <v>#REF!</v>
      </c>
      <c r="S30" s="43" t="e">
        <f t="shared" si="4"/>
        <v>#REF!</v>
      </c>
      <c r="U30" s="43" t="e">
        <f>SUMIFS(#REF!,#REF!,D30)</f>
        <v>#REF!</v>
      </c>
      <c r="V30" s="43">
        <f>SUMIFS('ICB Core Allocations 2024-25'!L:L,'ICB Core Allocations 2024-25'!C:C,D30)</f>
        <v>3.3778983722147826E-2</v>
      </c>
    </row>
    <row r="31" spans="2:22" x14ac:dyDescent="0.25">
      <c r="B31" s="13" t="s">
        <v>72</v>
      </c>
      <c r="C31" s="14" t="s">
        <v>73</v>
      </c>
      <c r="D31" s="4" t="s">
        <v>78</v>
      </c>
      <c r="E31" s="4" t="s">
        <v>79</v>
      </c>
      <c r="F31" s="11" t="e">
        <f>SUMIFS(#REF!,#REF!,D31)</f>
        <v>#REF!</v>
      </c>
      <c r="G31" s="11">
        <f>SUMIFS('ICB Core Allocations 2024-25'!J:J,'ICB Core Allocations 2024-25'!C:C,D31)</f>
        <v>4259057.8201401299</v>
      </c>
      <c r="H31" s="43" t="e">
        <f t="shared" si="0"/>
        <v>#REF!</v>
      </c>
      <c r="I31" s="11" t="e">
        <f t="shared" si="1"/>
        <v>#REF!</v>
      </c>
      <c r="K31" s="11" t="e">
        <f>SUMIFS(#REF!,#REF!,$D31)</f>
        <v>#REF!</v>
      </c>
      <c r="L31" s="91" t="e">
        <f>SUMIFS(#REF!,#REF!,$D31)+SUMIFS(#REF!,#REF!,$D31)</f>
        <v>#REF!</v>
      </c>
      <c r="N31" s="91" t="e">
        <f>SUMIFS(#REF!,#REF!,$D31)</f>
        <v>#REF!</v>
      </c>
      <c r="O31" s="91" t="e">
        <f>SUMIFS(#REF!,#REF!,$D31)</f>
        <v>#REF!</v>
      </c>
      <c r="Q31" s="43" t="e">
        <f t="shared" si="2"/>
        <v>#REF!</v>
      </c>
      <c r="R31" s="43" t="e">
        <f t="shared" si="3"/>
        <v>#REF!</v>
      </c>
      <c r="S31" s="43" t="e">
        <f t="shared" si="4"/>
        <v>#REF!</v>
      </c>
      <c r="U31" s="43" t="e">
        <f>SUMIFS(#REF!,#REF!,D31)</f>
        <v>#REF!</v>
      </c>
      <c r="V31" s="43">
        <f>SUMIFS('ICB Core Allocations 2024-25'!L:L,'ICB Core Allocations 2024-25'!C:C,D31)</f>
        <v>4.0836659528696417E-2</v>
      </c>
    </row>
    <row r="32" spans="2:22" x14ac:dyDescent="0.25">
      <c r="B32" s="13" t="s">
        <v>72</v>
      </c>
      <c r="C32" s="14" t="s">
        <v>73</v>
      </c>
      <c r="D32" s="4" t="s">
        <v>80</v>
      </c>
      <c r="E32" s="4" t="s">
        <v>81</v>
      </c>
      <c r="F32" s="11" t="e">
        <f>SUMIFS(#REF!,#REF!,D32)</f>
        <v>#REF!</v>
      </c>
      <c r="G32" s="11">
        <f>SUMIFS('ICB Core Allocations 2024-25'!J:J,'ICB Core Allocations 2024-25'!C:C,D32)</f>
        <v>3656390.5934911272</v>
      </c>
      <c r="H32" s="43" t="e">
        <f t="shared" si="0"/>
        <v>#REF!</v>
      </c>
      <c r="I32" s="11" t="e">
        <f t="shared" si="1"/>
        <v>#REF!</v>
      </c>
      <c r="K32" s="11" t="e">
        <f>SUMIFS(#REF!,#REF!,$D32)</f>
        <v>#REF!</v>
      </c>
      <c r="L32" s="91" t="e">
        <f>SUMIFS(#REF!,#REF!,$D32)+SUMIFS(#REF!,#REF!,$D32)</f>
        <v>#REF!</v>
      </c>
      <c r="N32" s="91" t="e">
        <f>SUMIFS(#REF!,#REF!,$D32)</f>
        <v>#REF!</v>
      </c>
      <c r="O32" s="91" t="e">
        <f>SUMIFS(#REF!,#REF!,$D32)</f>
        <v>#REF!</v>
      </c>
      <c r="Q32" s="43" t="e">
        <f t="shared" si="2"/>
        <v>#REF!</v>
      </c>
      <c r="R32" s="43" t="e">
        <f t="shared" si="3"/>
        <v>#REF!</v>
      </c>
      <c r="S32" s="43" t="e">
        <f t="shared" si="4"/>
        <v>#REF!</v>
      </c>
      <c r="U32" s="43" t="e">
        <f>SUMIFS(#REF!,#REF!,D32)</f>
        <v>#REF!</v>
      </c>
      <c r="V32" s="43">
        <f>SUMIFS('ICB Core Allocations 2024-25'!L:L,'ICB Core Allocations 2024-25'!C:C,D32)</f>
        <v>3.0843393302280919E-2</v>
      </c>
    </row>
    <row r="33" spans="2:22" x14ac:dyDescent="0.25">
      <c r="B33" s="15" t="s">
        <v>72</v>
      </c>
      <c r="C33" s="16" t="s">
        <v>73</v>
      </c>
      <c r="D33" s="17" t="s">
        <v>82</v>
      </c>
      <c r="E33" s="17" t="s">
        <v>83</v>
      </c>
      <c r="F33" s="18" t="e">
        <f>SUMIFS(#REF!,#REF!,D33)</f>
        <v>#REF!</v>
      </c>
      <c r="G33" s="18">
        <f>SUMIFS('ICB Core Allocations 2024-25'!J:J,'ICB Core Allocations 2024-25'!C:C,D33)</f>
        <v>2729390.4651295734</v>
      </c>
      <c r="H33" s="44" t="e">
        <f t="shared" si="0"/>
        <v>#REF!</v>
      </c>
      <c r="I33" s="18" t="e">
        <f t="shared" si="1"/>
        <v>#REF!</v>
      </c>
      <c r="K33" s="18" t="e">
        <f>SUMIFS(#REF!,#REF!,$D33)</f>
        <v>#REF!</v>
      </c>
      <c r="L33" s="92" t="e">
        <f>SUMIFS(#REF!,#REF!,$D33)+SUMIFS(#REF!,#REF!,$D33)</f>
        <v>#REF!</v>
      </c>
      <c r="N33" s="92" t="e">
        <f>SUMIFS(#REF!,#REF!,$D33)</f>
        <v>#REF!</v>
      </c>
      <c r="O33" s="92" t="e">
        <f>SUMIFS(#REF!,#REF!,$D33)</f>
        <v>#REF!</v>
      </c>
      <c r="Q33" s="44" t="e">
        <f t="shared" si="2"/>
        <v>#REF!</v>
      </c>
      <c r="R33" s="44" t="e">
        <f t="shared" si="3"/>
        <v>#REF!</v>
      </c>
      <c r="S33" s="44" t="e">
        <f t="shared" si="4"/>
        <v>#REF!</v>
      </c>
      <c r="U33" s="44" t="e">
        <f>SUMIFS(#REF!,#REF!,D33)</f>
        <v>#REF!</v>
      </c>
      <c r="V33" s="44">
        <f>SUMIFS('ICB Core Allocations 2024-25'!L:L,'ICB Core Allocations 2024-25'!C:C,D33)</f>
        <v>3.0455540450723406E-2</v>
      </c>
    </row>
    <row r="34" spans="2:22" x14ac:dyDescent="0.25">
      <c r="B34" s="10" t="s">
        <v>84</v>
      </c>
      <c r="C34" s="4" t="s">
        <v>85</v>
      </c>
      <c r="D34" s="4" t="s">
        <v>86</v>
      </c>
      <c r="E34" s="4" t="s">
        <v>87</v>
      </c>
      <c r="F34" s="11" t="e">
        <f>SUMIFS(#REF!,#REF!,D34)</f>
        <v>#REF!</v>
      </c>
      <c r="G34" s="11">
        <f>SUMIFS('ICB Core Allocations 2024-25'!J:J,'ICB Core Allocations 2024-25'!C:C,D34)</f>
        <v>2891513.3926946507</v>
      </c>
      <c r="H34" s="43" t="e">
        <f t="shared" si="0"/>
        <v>#REF!</v>
      </c>
      <c r="I34" s="11" t="e">
        <f t="shared" si="1"/>
        <v>#REF!</v>
      </c>
      <c r="K34" s="11" t="e">
        <f>SUMIFS(#REF!,#REF!,$D34)</f>
        <v>#REF!</v>
      </c>
      <c r="L34" s="91" t="e">
        <f>SUMIFS(#REF!,#REF!,$D34)+SUMIFS(#REF!,#REF!,$D34)</f>
        <v>#REF!</v>
      </c>
      <c r="N34" s="91" t="e">
        <f>SUMIFS(#REF!,#REF!,$D34)</f>
        <v>#REF!</v>
      </c>
      <c r="O34" s="91" t="e">
        <f>SUMIFS(#REF!,#REF!,$D34)</f>
        <v>#REF!</v>
      </c>
      <c r="Q34" s="43" t="e">
        <f t="shared" si="2"/>
        <v>#REF!</v>
      </c>
      <c r="R34" s="43" t="e">
        <f t="shared" si="3"/>
        <v>#REF!</v>
      </c>
      <c r="S34" s="43" t="e">
        <f t="shared" si="4"/>
        <v>#REF!</v>
      </c>
      <c r="U34" s="43" t="e">
        <f>SUMIFS(#REF!,#REF!,D34)</f>
        <v>#REF!</v>
      </c>
      <c r="V34" s="43">
        <f>SUMIFS('ICB Core Allocations 2024-25'!L:L,'ICB Core Allocations 2024-25'!C:C,D34)</f>
        <v>4.4048392334936626E-2</v>
      </c>
    </row>
    <row r="35" spans="2:22" x14ac:dyDescent="0.25">
      <c r="B35" s="13" t="s">
        <v>84</v>
      </c>
      <c r="C35" s="14" t="s">
        <v>85</v>
      </c>
      <c r="D35" s="4" t="s">
        <v>88</v>
      </c>
      <c r="E35" s="4" t="s">
        <v>89</v>
      </c>
      <c r="F35" s="11" t="e">
        <f>SUMIFS(#REF!,#REF!,D35)</f>
        <v>#REF!</v>
      </c>
      <c r="G35" s="11">
        <f>SUMIFS('ICB Core Allocations 2024-25'!J:J,'ICB Core Allocations 2024-25'!C:C,D35)</f>
        <v>1263621.2365316737</v>
      </c>
      <c r="H35" s="43" t="e">
        <f t="shared" si="0"/>
        <v>#REF!</v>
      </c>
      <c r="I35" s="11" t="e">
        <f t="shared" si="1"/>
        <v>#REF!</v>
      </c>
      <c r="K35" s="11" t="e">
        <f>SUMIFS(#REF!,#REF!,$D35)</f>
        <v>#REF!</v>
      </c>
      <c r="L35" s="91" t="e">
        <f>SUMIFS(#REF!,#REF!,$D35)+SUMIFS(#REF!,#REF!,$D35)</f>
        <v>#REF!</v>
      </c>
      <c r="N35" s="91" t="e">
        <f>SUMIFS(#REF!,#REF!,$D35)</f>
        <v>#REF!</v>
      </c>
      <c r="O35" s="91" t="e">
        <f>SUMIFS(#REF!,#REF!,$D35)</f>
        <v>#REF!</v>
      </c>
      <c r="Q35" s="43" t="e">
        <f t="shared" si="2"/>
        <v>#REF!</v>
      </c>
      <c r="R35" s="43" t="e">
        <f t="shared" si="3"/>
        <v>#REF!</v>
      </c>
      <c r="S35" s="43" t="e">
        <f t="shared" si="4"/>
        <v>#REF!</v>
      </c>
      <c r="U35" s="43" t="e">
        <f>SUMIFS(#REF!,#REF!,D35)</f>
        <v>#REF!</v>
      </c>
      <c r="V35" s="43">
        <f>SUMIFS('ICB Core Allocations 2024-25'!L:L,'ICB Core Allocations 2024-25'!C:C,D35)</f>
        <v>2.9483765535076589E-2</v>
      </c>
    </row>
    <row r="36" spans="2:22" x14ac:dyDescent="0.25">
      <c r="B36" s="13" t="s">
        <v>84</v>
      </c>
      <c r="C36" s="14" t="s">
        <v>85</v>
      </c>
      <c r="D36" s="4" t="s">
        <v>90</v>
      </c>
      <c r="E36" s="4" t="s">
        <v>91</v>
      </c>
      <c r="F36" s="11" t="e">
        <f>SUMIFS(#REF!,#REF!,D36)</f>
        <v>#REF!</v>
      </c>
      <c r="G36" s="11">
        <f>SUMIFS('ICB Core Allocations 2024-25'!J:J,'ICB Core Allocations 2024-25'!C:C,D36)</f>
        <v>3306065.5430927044</v>
      </c>
      <c r="H36" s="43" t="e">
        <f t="shared" si="0"/>
        <v>#REF!</v>
      </c>
      <c r="I36" s="11" t="e">
        <f t="shared" si="1"/>
        <v>#REF!</v>
      </c>
      <c r="K36" s="11" t="e">
        <f>SUMIFS(#REF!,#REF!,$D36)</f>
        <v>#REF!</v>
      </c>
      <c r="L36" s="91" t="e">
        <f>SUMIFS(#REF!,#REF!,$D36)+SUMIFS(#REF!,#REF!,$D36)</f>
        <v>#REF!</v>
      </c>
      <c r="N36" s="91" t="e">
        <f>SUMIFS(#REF!,#REF!,$D36)</f>
        <v>#REF!</v>
      </c>
      <c r="O36" s="91" t="e">
        <f>SUMIFS(#REF!,#REF!,$D36)</f>
        <v>#REF!</v>
      </c>
      <c r="Q36" s="43" t="e">
        <f t="shared" si="2"/>
        <v>#REF!</v>
      </c>
      <c r="R36" s="43" t="e">
        <f t="shared" si="3"/>
        <v>#REF!</v>
      </c>
      <c r="S36" s="43" t="e">
        <f t="shared" si="4"/>
        <v>#REF!</v>
      </c>
      <c r="U36" s="43" t="e">
        <f>SUMIFS(#REF!,#REF!,D36)</f>
        <v>#REF!</v>
      </c>
      <c r="V36" s="43">
        <f>SUMIFS('ICB Core Allocations 2024-25'!L:L,'ICB Core Allocations 2024-25'!C:C,D36)</f>
        <v>3.0937940179401657E-2</v>
      </c>
    </row>
    <row r="37" spans="2:22" x14ac:dyDescent="0.25">
      <c r="B37" s="13" t="s">
        <v>84</v>
      </c>
      <c r="C37" s="14" t="s">
        <v>85</v>
      </c>
      <c r="D37" s="4" t="s">
        <v>92</v>
      </c>
      <c r="E37" s="4" t="s">
        <v>93</v>
      </c>
      <c r="F37" s="11" t="e">
        <f>SUMIFS(#REF!,#REF!,D37)</f>
        <v>#REF!</v>
      </c>
      <c r="G37" s="11">
        <f>SUMIFS('ICB Core Allocations 2024-25'!J:J,'ICB Core Allocations 2024-25'!C:C,D37)</f>
        <v>3428949.8846351472</v>
      </c>
      <c r="H37" s="43" t="e">
        <f t="shared" si="0"/>
        <v>#REF!</v>
      </c>
      <c r="I37" s="11" t="e">
        <f t="shared" si="1"/>
        <v>#REF!</v>
      </c>
      <c r="K37" s="11" t="e">
        <f>SUMIFS(#REF!,#REF!,$D37)</f>
        <v>#REF!</v>
      </c>
      <c r="L37" s="91" t="e">
        <f>SUMIFS(#REF!,#REF!,$D37)+SUMIFS(#REF!,#REF!,$D37)</f>
        <v>#REF!</v>
      </c>
      <c r="N37" s="91" t="e">
        <f>SUMIFS(#REF!,#REF!,$D37)</f>
        <v>#REF!</v>
      </c>
      <c r="O37" s="91" t="e">
        <f>SUMIFS(#REF!,#REF!,$D37)</f>
        <v>#REF!</v>
      </c>
      <c r="Q37" s="43" t="e">
        <f t="shared" si="2"/>
        <v>#REF!</v>
      </c>
      <c r="R37" s="43" t="e">
        <f t="shared" si="3"/>
        <v>#REF!</v>
      </c>
      <c r="S37" s="43" t="e">
        <f t="shared" si="4"/>
        <v>#REF!</v>
      </c>
      <c r="U37" s="43" t="e">
        <f>SUMIFS(#REF!,#REF!,D37)</f>
        <v>#REF!</v>
      </c>
      <c r="V37" s="43">
        <f>SUMIFS('ICB Core Allocations 2024-25'!L:L,'ICB Core Allocations 2024-25'!C:C,D37)</f>
        <v>3.2614238993851297E-2</v>
      </c>
    </row>
    <row r="38" spans="2:22" x14ac:dyDescent="0.25">
      <c r="B38" s="13" t="s">
        <v>84</v>
      </c>
      <c r="C38" s="14" t="s">
        <v>85</v>
      </c>
      <c r="D38" s="4" t="s">
        <v>94</v>
      </c>
      <c r="E38" s="4" t="s">
        <v>95</v>
      </c>
      <c r="F38" s="11" t="e">
        <f>SUMIFS(#REF!,#REF!,D38)</f>
        <v>#REF!</v>
      </c>
      <c r="G38" s="11">
        <f>SUMIFS('ICB Core Allocations 2024-25'!J:J,'ICB Core Allocations 2024-25'!C:C,D38)</f>
        <v>1884181.865553472</v>
      </c>
      <c r="H38" s="43" t="e">
        <f t="shared" si="0"/>
        <v>#REF!</v>
      </c>
      <c r="I38" s="11" t="e">
        <f t="shared" si="1"/>
        <v>#REF!</v>
      </c>
      <c r="K38" s="11" t="e">
        <f>SUMIFS(#REF!,#REF!,$D38)</f>
        <v>#REF!</v>
      </c>
      <c r="L38" s="91" t="e">
        <f>SUMIFS(#REF!,#REF!,$D38)+SUMIFS(#REF!,#REF!,$D38)</f>
        <v>#REF!</v>
      </c>
      <c r="N38" s="91" t="e">
        <f>SUMIFS(#REF!,#REF!,$D38)</f>
        <v>#REF!</v>
      </c>
      <c r="O38" s="91" t="e">
        <f>SUMIFS(#REF!,#REF!,$D38)</f>
        <v>#REF!</v>
      </c>
      <c r="Q38" s="43" t="e">
        <f t="shared" si="2"/>
        <v>#REF!</v>
      </c>
      <c r="R38" s="43" t="e">
        <f t="shared" si="3"/>
        <v>#REF!</v>
      </c>
      <c r="S38" s="43" t="e">
        <f t="shared" si="4"/>
        <v>#REF!</v>
      </c>
      <c r="U38" s="43" t="e">
        <f>SUMIFS(#REF!,#REF!,D38)</f>
        <v>#REF!</v>
      </c>
      <c r="V38" s="43">
        <f>SUMIFS('ICB Core Allocations 2024-25'!L:L,'ICB Core Allocations 2024-25'!C:C,D38)</f>
        <v>2.8913557063588557E-2</v>
      </c>
    </row>
    <row r="39" spans="2:22" x14ac:dyDescent="0.25">
      <c r="B39" s="15" t="s">
        <v>84</v>
      </c>
      <c r="C39" s="16" t="s">
        <v>85</v>
      </c>
      <c r="D39" s="17" t="s">
        <v>96</v>
      </c>
      <c r="E39" s="17" t="s">
        <v>97</v>
      </c>
      <c r="F39" s="18" t="e">
        <f>SUMIFS(#REF!,#REF!,D39)</f>
        <v>#REF!</v>
      </c>
      <c r="G39" s="18">
        <f>SUMIFS('ICB Core Allocations 2024-25'!J:J,'ICB Core Allocations 2024-25'!C:C,D39)</f>
        <v>3330057.102753845</v>
      </c>
      <c r="H39" s="44" t="e">
        <f t="shared" si="0"/>
        <v>#REF!</v>
      </c>
      <c r="I39" s="18" t="e">
        <f t="shared" si="1"/>
        <v>#REF!</v>
      </c>
      <c r="K39" s="18" t="e">
        <f>SUMIFS(#REF!,#REF!,$D39)</f>
        <v>#REF!</v>
      </c>
      <c r="L39" s="92" t="e">
        <f>SUMIFS(#REF!,#REF!,$D39)+SUMIFS(#REF!,#REF!,$D39)</f>
        <v>#REF!</v>
      </c>
      <c r="N39" s="92" t="e">
        <f>SUMIFS(#REF!,#REF!,$D39)</f>
        <v>#REF!</v>
      </c>
      <c r="O39" s="92" t="e">
        <f>SUMIFS(#REF!,#REF!,$D39)</f>
        <v>#REF!</v>
      </c>
      <c r="Q39" s="44" t="e">
        <f t="shared" si="2"/>
        <v>#REF!</v>
      </c>
      <c r="R39" s="44" t="e">
        <f t="shared" si="3"/>
        <v>#REF!</v>
      </c>
      <c r="S39" s="44" t="e">
        <f t="shared" si="4"/>
        <v>#REF!</v>
      </c>
      <c r="U39" s="44" t="e">
        <f>SUMIFS(#REF!,#REF!,D39)</f>
        <v>#REF!</v>
      </c>
      <c r="V39" s="44">
        <f>SUMIFS('ICB Core Allocations 2024-25'!L:L,'ICB Core Allocations 2024-25'!C:C,D39)</f>
        <v>3.2046597754282091E-2</v>
      </c>
    </row>
    <row r="40" spans="2:22" x14ac:dyDescent="0.25">
      <c r="B40" s="10" t="s">
        <v>98</v>
      </c>
      <c r="C40" s="4" t="s">
        <v>99</v>
      </c>
      <c r="D40" s="4" t="s">
        <v>100</v>
      </c>
      <c r="E40" s="4" t="s">
        <v>101</v>
      </c>
      <c r="F40" s="11" t="e">
        <f>SUMIFS(#REF!,#REF!,D40)</f>
        <v>#REF!</v>
      </c>
      <c r="G40" s="11">
        <f>SUMIFS('ICB Core Allocations 2024-25'!J:J,'ICB Core Allocations 2024-25'!C:C,D40)</f>
        <v>1600888.3583883119</v>
      </c>
      <c r="H40" s="43" t="e">
        <f t="shared" si="0"/>
        <v>#REF!</v>
      </c>
      <c r="I40" s="11" t="e">
        <f t="shared" si="1"/>
        <v>#REF!</v>
      </c>
      <c r="K40" s="11" t="e">
        <f>SUMIFS(#REF!,#REF!,$D40)</f>
        <v>#REF!</v>
      </c>
      <c r="L40" s="91" t="e">
        <f>SUMIFS(#REF!,#REF!,$D40)+SUMIFS(#REF!,#REF!,$D40)</f>
        <v>#REF!</v>
      </c>
      <c r="N40" s="91" t="e">
        <f>SUMIFS(#REF!,#REF!,$D40)</f>
        <v>#REF!</v>
      </c>
      <c r="O40" s="91" t="e">
        <f>SUMIFS(#REF!,#REF!,$D40)</f>
        <v>#REF!</v>
      </c>
      <c r="Q40" s="43" t="e">
        <f t="shared" si="2"/>
        <v>#REF!</v>
      </c>
      <c r="R40" s="43" t="e">
        <f t="shared" si="3"/>
        <v>#REF!</v>
      </c>
      <c r="S40" s="43" t="e">
        <f t="shared" si="4"/>
        <v>#REF!</v>
      </c>
      <c r="U40" s="43" t="e">
        <f>SUMIFS(#REF!,#REF!,D40)</f>
        <v>#REF!</v>
      </c>
      <c r="V40" s="43">
        <f>SUMIFS('ICB Core Allocations 2024-25'!L:L,'ICB Core Allocations 2024-25'!C:C,D40)</f>
        <v>4.4984189875431957E-2</v>
      </c>
    </row>
    <row r="41" spans="2:22" x14ac:dyDescent="0.25">
      <c r="B41" s="13" t="s">
        <v>98</v>
      </c>
      <c r="C41" s="14" t="s">
        <v>99</v>
      </c>
      <c r="D41" s="4" t="s">
        <v>102</v>
      </c>
      <c r="E41" s="4" t="s">
        <v>103</v>
      </c>
      <c r="F41" s="11" t="e">
        <f>SUMIFS(#REF!,#REF!,D41)</f>
        <v>#REF!</v>
      </c>
      <c r="G41" s="11">
        <f>SUMIFS('ICB Core Allocations 2024-25'!J:J,'ICB Core Allocations 2024-25'!C:C,D41)</f>
        <v>1769136.9225664178</v>
      </c>
      <c r="H41" s="43" t="e">
        <f t="shared" si="0"/>
        <v>#REF!</v>
      </c>
      <c r="I41" s="11" t="e">
        <f t="shared" si="1"/>
        <v>#REF!</v>
      </c>
      <c r="K41" s="11" t="e">
        <f>SUMIFS(#REF!,#REF!,$D41)</f>
        <v>#REF!</v>
      </c>
      <c r="L41" s="91" t="e">
        <f>SUMIFS(#REF!,#REF!,$D41)+SUMIFS(#REF!,#REF!,$D41)</f>
        <v>#REF!</v>
      </c>
      <c r="N41" s="91" t="e">
        <f>SUMIFS(#REF!,#REF!,$D41)</f>
        <v>#REF!</v>
      </c>
      <c r="O41" s="91" t="e">
        <f>SUMIFS(#REF!,#REF!,$D41)</f>
        <v>#REF!</v>
      </c>
      <c r="Q41" s="43" t="e">
        <f t="shared" si="2"/>
        <v>#REF!</v>
      </c>
      <c r="R41" s="43" t="e">
        <f t="shared" si="3"/>
        <v>#REF!</v>
      </c>
      <c r="S41" s="43" t="e">
        <f t="shared" si="4"/>
        <v>#REF!</v>
      </c>
      <c r="U41" s="43" t="e">
        <f>SUMIFS(#REF!,#REF!,D41)</f>
        <v>#REF!</v>
      </c>
      <c r="V41" s="43">
        <f>SUMIFS('ICB Core Allocations 2024-25'!L:L,'ICB Core Allocations 2024-25'!C:C,D41)</f>
        <v>4.2916107972771123E-2</v>
      </c>
    </row>
    <row r="42" spans="2:22" x14ac:dyDescent="0.25">
      <c r="B42" s="13" t="s">
        <v>98</v>
      </c>
      <c r="C42" s="14" t="s">
        <v>99</v>
      </c>
      <c r="D42" s="4" t="s">
        <v>104</v>
      </c>
      <c r="E42" s="4" t="s">
        <v>105</v>
      </c>
      <c r="F42" s="11" t="e">
        <f>SUMIFS(#REF!,#REF!,D42)</f>
        <v>#REF!</v>
      </c>
      <c r="G42" s="11">
        <f>SUMIFS('ICB Core Allocations 2024-25'!J:J,'ICB Core Allocations 2024-25'!C:C,D42)</f>
        <v>1139041.3588131168</v>
      </c>
      <c r="H42" s="43" t="e">
        <f t="shared" si="0"/>
        <v>#REF!</v>
      </c>
      <c r="I42" s="11" t="e">
        <f t="shared" si="1"/>
        <v>#REF!</v>
      </c>
      <c r="K42" s="11" t="e">
        <f>SUMIFS(#REF!,#REF!,$D42)</f>
        <v>#REF!</v>
      </c>
      <c r="L42" s="91" t="e">
        <f>SUMIFS(#REF!,#REF!,$D42)+SUMIFS(#REF!,#REF!,$D42)</f>
        <v>#REF!</v>
      </c>
      <c r="N42" s="91" t="e">
        <f>SUMIFS(#REF!,#REF!,$D42)</f>
        <v>#REF!</v>
      </c>
      <c r="O42" s="91" t="e">
        <f>SUMIFS(#REF!,#REF!,$D42)</f>
        <v>#REF!</v>
      </c>
      <c r="Q42" s="43" t="e">
        <f t="shared" si="2"/>
        <v>#REF!</v>
      </c>
      <c r="R42" s="43" t="e">
        <f t="shared" si="3"/>
        <v>#REF!</v>
      </c>
      <c r="S42" s="43" t="e">
        <f t="shared" si="4"/>
        <v>#REF!</v>
      </c>
      <c r="U42" s="43" t="e">
        <f>SUMIFS(#REF!,#REF!,D42)</f>
        <v>#REF!</v>
      </c>
      <c r="V42" s="43">
        <f>SUMIFS('ICB Core Allocations 2024-25'!L:L,'ICB Core Allocations 2024-25'!C:C,D42)</f>
        <v>3.5891306649740384E-2</v>
      </c>
    </row>
    <row r="43" spans="2:22" x14ac:dyDescent="0.25">
      <c r="B43" s="13" t="s">
        <v>98</v>
      </c>
      <c r="C43" s="14" t="s">
        <v>99</v>
      </c>
      <c r="D43" s="4" t="s">
        <v>106</v>
      </c>
      <c r="E43" s="4" t="s">
        <v>107</v>
      </c>
      <c r="F43" s="11" t="e">
        <f>SUMIFS(#REF!,#REF!,D43)</f>
        <v>#REF!</v>
      </c>
      <c r="G43" s="11">
        <f>SUMIFS('ICB Core Allocations 2024-25'!J:J,'ICB Core Allocations 2024-25'!C:C,D43)</f>
        <v>2337139.5943666627</v>
      </c>
      <c r="H43" s="43" t="e">
        <f t="shared" si="0"/>
        <v>#REF!</v>
      </c>
      <c r="I43" s="11" t="e">
        <f t="shared" si="1"/>
        <v>#REF!</v>
      </c>
      <c r="K43" s="11" t="e">
        <f>SUMIFS(#REF!,#REF!,$D43)</f>
        <v>#REF!</v>
      </c>
      <c r="L43" s="91" t="e">
        <f>SUMIFS(#REF!,#REF!,$D43)+SUMIFS(#REF!,#REF!,$D43)</f>
        <v>#REF!</v>
      </c>
      <c r="N43" s="91" t="e">
        <f>SUMIFS(#REF!,#REF!,$D43)</f>
        <v>#REF!</v>
      </c>
      <c r="O43" s="91" t="e">
        <f>SUMIFS(#REF!,#REF!,$D43)</f>
        <v>#REF!</v>
      </c>
      <c r="Q43" s="43" t="e">
        <f t="shared" si="2"/>
        <v>#REF!</v>
      </c>
      <c r="R43" s="43" t="e">
        <f t="shared" si="3"/>
        <v>#REF!</v>
      </c>
      <c r="S43" s="43" t="e">
        <f t="shared" si="4"/>
        <v>#REF!</v>
      </c>
      <c r="U43" s="43" t="e">
        <f>SUMIFS(#REF!,#REF!,D43)</f>
        <v>#REF!</v>
      </c>
      <c r="V43" s="43">
        <f>SUMIFS('ICB Core Allocations 2024-25'!L:L,'ICB Core Allocations 2024-25'!C:C,D43)</f>
        <v>3.3228983617366259E-2</v>
      </c>
    </row>
    <row r="44" spans="2:22" x14ac:dyDescent="0.25">
      <c r="B44" s="13" t="s">
        <v>98</v>
      </c>
      <c r="C44" s="14" t="s">
        <v>99</v>
      </c>
      <c r="D44" s="4" t="s">
        <v>108</v>
      </c>
      <c r="E44" s="4" t="s">
        <v>109</v>
      </c>
      <c r="F44" s="11" t="e">
        <f>SUMIFS(#REF!,#REF!,D44)</f>
        <v>#REF!</v>
      </c>
      <c r="G44" s="11">
        <f>SUMIFS('ICB Core Allocations 2024-25'!J:J,'ICB Core Allocations 2024-25'!C:C,D44)</f>
        <v>1496007.3525968082</v>
      </c>
      <c r="H44" s="43" t="e">
        <f t="shared" si="0"/>
        <v>#REF!</v>
      </c>
      <c r="I44" s="11" t="e">
        <f t="shared" si="1"/>
        <v>#REF!</v>
      </c>
      <c r="K44" s="11" t="e">
        <f>SUMIFS(#REF!,#REF!,$D44)</f>
        <v>#REF!</v>
      </c>
      <c r="L44" s="91" t="e">
        <f>SUMIFS(#REF!,#REF!,$D44)+SUMIFS(#REF!,#REF!,$D44)</f>
        <v>#REF!</v>
      </c>
      <c r="N44" s="91" t="e">
        <f>SUMIFS(#REF!,#REF!,$D44)</f>
        <v>#REF!</v>
      </c>
      <c r="O44" s="91" t="e">
        <f>SUMIFS(#REF!,#REF!,$D44)</f>
        <v>#REF!</v>
      </c>
      <c r="Q44" s="43" t="e">
        <f t="shared" si="2"/>
        <v>#REF!</v>
      </c>
      <c r="R44" s="43" t="e">
        <f t="shared" si="3"/>
        <v>#REF!</v>
      </c>
      <c r="S44" s="43" t="e">
        <f t="shared" si="4"/>
        <v>#REF!</v>
      </c>
      <c r="U44" s="43" t="e">
        <f>SUMIFS(#REF!,#REF!,D44)</f>
        <v>#REF!</v>
      </c>
      <c r="V44" s="43">
        <f>SUMIFS('ICB Core Allocations 2024-25'!L:L,'ICB Core Allocations 2024-25'!C:C,D44)</f>
        <v>3.0332636915979316E-2</v>
      </c>
    </row>
    <row r="45" spans="2:22" x14ac:dyDescent="0.25">
      <c r="B45" s="13" t="s">
        <v>98</v>
      </c>
      <c r="C45" s="14" t="s">
        <v>99</v>
      </c>
      <c r="D45" s="4" t="s">
        <v>110</v>
      </c>
      <c r="E45" s="4" t="s">
        <v>111</v>
      </c>
      <c r="F45" s="11" t="e">
        <f>SUMIFS(#REF!,#REF!,D45)</f>
        <v>#REF!</v>
      </c>
      <c r="G45" s="11">
        <f>SUMIFS('ICB Core Allocations 2024-25'!J:J,'ICB Core Allocations 2024-25'!C:C,D45)</f>
        <v>1107259.9259435521</v>
      </c>
      <c r="H45" s="43" t="e">
        <f t="shared" si="0"/>
        <v>#REF!</v>
      </c>
      <c r="I45" s="11" t="e">
        <f t="shared" si="1"/>
        <v>#REF!</v>
      </c>
      <c r="K45" s="11" t="e">
        <f>SUMIFS(#REF!,#REF!,$D45)</f>
        <v>#REF!</v>
      </c>
      <c r="L45" s="91" t="e">
        <f>SUMIFS(#REF!,#REF!,$D45)+SUMIFS(#REF!,#REF!,$D45)</f>
        <v>#REF!</v>
      </c>
      <c r="N45" s="91" t="e">
        <f>SUMIFS(#REF!,#REF!,$D45)</f>
        <v>#REF!</v>
      </c>
      <c r="O45" s="91" t="e">
        <f>SUMIFS(#REF!,#REF!,$D45)</f>
        <v>#REF!</v>
      </c>
      <c r="Q45" s="43" t="e">
        <f t="shared" si="2"/>
        <v>#REF!</v>
      </c>
      <c r="R45" s="43" t="e">
        <f t="shared" si="3"/>
        <v>#REF!</v>
      </c>
      <c r="S45" s="43" t="e">
        <f t="shared" si="4"/>
        <v>#REF!</v>
      </c>
      <c r="U45" s="43" t="e">
        <f>SUMIFS(#REF!,#REF!,D45)</f>
        <v>#REF!</v>
      </c>
      <c r="V45" s="43">
        <f>SUMIFS('ICB Core Allocations 2024-25'!L:L,'ICB Core Allocations 2024-25'!C:C,D45)</f>
        <v>3.9512118758914472E-2</v>
      </c>
    </row>
    <row r="46" spans="2:22" x14ac:dyDescent="0.25">
      <c r="B46" s="13" t="s">
        <v>98</v>
      </c>
      <c r="C46" s="14" t="s">
        <v>99</v>
      </c>
      <c r="D46" s="4" t="s">
        <v>112</v>
      </c>
      <c r="E46" s="4" t="s">
        <v>113</v>
      </c>
      <c r="F46" s="11" t="e">
        <f>SUMIFS(#REF!,#REF!,D46)</f>
        <v>#REF!</v>
      </c>
      <c r="G46" s="11">
        <f>SUMIFS('ICB Core Allocations 2024-25'!J:J,'ICB Core Allocations 2024-25'!C:C,D46)</f>
        <v>1095627.9077598436</v>
      </c>
      <c r="H46" s="43" t="e">
        <f t="shared" si="0"/>
        <v>#REF!</v>
      </c>
      <c r="I46" s="11" t="e">
        <f t="shared" si="1"/>
        <v>#REF!</v>
      </c>
      <c r="K46" s="11" t="e">
        <f>SUMIFS(#REF!,#REF!,$D46)</f>
        <v>#REF!</v>
      </c>
      <c r="L46" s="91" t="e">
        <f>SUMIFS(#REF!,#REF!,$D46)+SUMIFS(#REF!,#REF!,$D46)</f>
        <v>#REF!</v>
      </c>
      <c r="N46" s="91" t="e">
        <f>SUMIFS(#REF!,#REF!,$D46)</f>
        <v>#REF!</v>
      </c>
      <c r="O46" s="91" t="e">
        <f>SUMIFS(#REF!,#REF!,$D46)</f>
        <v>#REF!</v>
      </c>
      <c r="Q46" s="43" t="e">
        <f t="shared" si="2"/>
        <v>#REF!</v>
      </c>
      <c r="R46" s="43" t="e">
        <f t="shared" si="3"/>
        <v>#REF!</v>
      </c>
      <c r="S46" s="43" t="e">
        <f t="shared" si="4"/>
        <v>#REF!</v>
      </c>
      <c r="U46" s="43" t="e">
        <f>SUMIFS(#REF!,#REF!,D46)</f>
        <v>#REF!</v>
      </c>
      <c r="V46" s="43">
        <f>SUMIFS('ICB Core Allocations 2024-25'!L:L,'ICB Core Allocations 2024-25'!C:C,D46)</f>
        <v>3.4870308124683724E-2</v>
      </c>
    </row>
    <row r="47" spans="2:22" x14ac:dyDescent="0.25">
      <c r="B47" s="4"/>
      <c r="C47" s="4"/>
      <c r="D47" s="4"/>
      <c r="E47" s="4"/>
      <c r="H47" s="41"/>
      <c r="Q47" s="41"/>
      <c r="R47" s="41"/>
      <c r="S47" s="41"/>
      <c r="U47" s="41"/>
      <c r="V47" s="41"/>
    </row>
    <row r="48" spans="2:22" x14ac:dyDescent="0.25">
      <c r="B48" s="4"/>
      <c r="C48" s="4"/>
      <c r="D48" s="4"/>
      <c r="E48" s="4"/>
      <c r="H48" s="41"/>
      <c r="Q48" s="41"/>
      <c r="R48" s="41"/>
      <c r="S48" s="41"/>
      <c r="U48" s="41"/>
      <c r="V48" s="41"/>
    </row>
    <row r="49" spans="2:22" ht="51.75" x14ac:dyDescent="0.25">
      <c r="B49" s="4"/>
      <c r="C49" s="5" t="s">
        <v>114</v>
      </c>
      <c r="D49" s="5" t="s">
        <v>13</v>
      </c>
      <c r="E49" s="5" t="s">
        <v>14</v>
      </c>
      <c r="F49" s="73" t="s">
        <v>117</v>
      </c>
      <c r="G49" s="73" t="s">
        <v>118</v>
      </c>
      <c r="H49" s="73" t="s">
        <v>119</v>
      </c>
      <c r="I49" s="73" t="s">
        <v>120</v>
      </c>
      <c r="K49" s="73" t="s">
        <v>121</v>
      </c>
      <c r="L49" s="73" t="s">
        <v>122</v>
      </c>
      <c r="N49" s="73" t="s">
        <v>123</v>
      </c>
      <c r="O49" s="73" t="s">
        <v>124</v>
      </c>
      <c r="Q49" s="73"/>
      <c r="R49" s="73"/>
      <c r="S49" s="73"/>
      <c r="U49" s="73"/>
      <c r="V49" s="73"/>
    </row>
    <row r="50" spans="2:22" x14ac:dyDescent="0.25">
      <c r="B50" s="4"/>
      <c r="C50" s="21">
        <v>1</v>
      </c>
      <c r="D50" s="22" t="s">
        <v>17</v>
      </c>
      <c r="E50" s="22" t="s">
        <v>18</v>
      </c>
      <c r="F50" s="23" t="e">
        <f>SUMIFS(F$5:F$46,$B$5:$B$46,$D50)</f>
        <v>#REF!</v>
      </c>
      <c r="G50" s="23">
        <f t="shared" ref="G50:G56" si="5">SUMIFS(G$5:G$46,$B$5:$B$46,$D50)</f>
        <v>16579568.612945441</v>
      </c>
      <c r="H50" s="45" t="e">
        <f t="shared" ref="H50:H56" si="6">G50/F50-1</f>
        <v>#REF!</v>
      </c>
      <c r="I50" s="23" t="e">
        <f t="shared" ref="I50:I56" si="7">G50-F50</f>
        <v>#REF!</v>
      </c>
      <c r="K50" s="23" t="e">
        <f t="shared" ref="K50:O56" si="8">SUMIFS(K$5:K$46,$B$5:$B$46,$D50)</f>
        <v>#REF!</v>
      </c>
      <c r="L50" s="93" t="e">
        <f t="shared" si="8"/>
        <v>#REF!</v>
      </c>
      <c r="N50" s="93" t="e">
        <f t="shared" si="8"/>
        <v>#REF!</v>
      </c>
      <c r="O50" s="93" t="e">
        <f t="shared" si="8"/>
        <v>#REF!</v>
      </c>
      <c r="Q50" s="45"/>
      <c r="R50" s="45"/>
      <c r="S50" s="45"/>
      <c r="U50" s="45"/>
      <c r="V50" s="45"/>
    </row>
    <row r="51" spans="2:22" x14ac:dyDescent="0.25">
      <c r="B51" s="4"/>
      <c r="C51" s="21">
        <v>2</v>
      </c>
      <c r="D51" s="22" t="s">
        <v>27</v>
      </c>
      <c r="E51" s="22" t="s">
        <v>28</v>
      </c>
      <c r="F51" s="23" t="e">
        <f t="shared" ref="F51:F56" si="9">SUMIFS(F$5:F$46,$B$5:$B$46,$D51)</f>
        <v>#REF!</v>
      </c>
      <c r="G51" s="23">
        <f t="shared" si="5"/>
        <v>14873702.603208344</v>
      </c>
      <c r="H51" s="45" t="e">
        <f t="shared" si="6"/>
        <v>#REF!</v>
      </c>
      <c r="I51" s="23" t="e">
        <f t="shared" si="7"/>
        <v>#REF!</v>
      </c>
      <c r="K51" s="23" t="e">
        <f t="shared" si="8"/>
        <v>#REF!</v>
      </c>
      <c r="L51" s="93" t="e">
        <f t="shared" si="8"/>
        <v>#REF!</v>
      </c>
      <c r="N51" s="93" t="e">
        <f t="shared" si="8"/>
        <v>#REF!</v>
      </c>
      <c r="O51" s="93" t="e">
        <f t="shared" si="8"/>
        <v>#REF!</v>
      </c>
      <c r="Q51" s="45"/>
      <c r="R51" s="45"/>
      <c r="S51" s="45"/>
      <c r="U51" s="45"/>
      <c r="V51" s="45"/>
    </row>
    <row r="52" spans="2:22" x14ac:dyDescent="0.25">
      <c r="B52" s="4"/>
      <c r="C52" s="21">
        <v>3</v>
      </c>
      <c r="D52" s="22" t="s">
        <v>34</v>
      </c>
      <c r="E52" s="22" t="s">
        <v>35</v>
      </c>
      <c r="F52" s="23" t="e">
        <f t="shared" si="9"/>
        <v>#REF!</v>
      </c>
      <c r="G52" s="23">
        <f t="shared" si="5"/>
        <v>20214864.361572322</v>
      </c>
      <c r="H52" s="45" t="e">
        <f t="shared" si="6"/>
        <v>#REF!</v>
      </c>
      <c r="I52" s="23" t="e">
        <f t="shared" si="7"/>
        <v>#REF!</v>
      </c>
      <c r="K52" s="23" t="e">
        <f t="shared" si="8"/>
        <v>#REF!</v>
      </c>
      <c r="L52" s="93" t="e">
        <f t="shared" si="8"/>
        <v>#REF!</v>
      </c>
      <c r="N52" s="93" t="e">
        <f t="shared" si="8"/>
        <v>#REF!</v>
      </c>
      <c r="O52" s="93" t="e">
        <f t="shared" si="8"/>
        <v>#REF!</v>
      </c>
      <c r="Q52" s="45"/>
      <c r="R52" s="45"/>
      <c r="S52" s="45"/>
      <c r="U52" s="45"/>
      <c r="V52" s="45"/>
    </row>
    <row r="53" spans="2:22" x14ac:dyDescent="0.25">
      <c r="B53" s="4"/>
      <c r="C53" s="21">
        <v>4</v>
      </c>
      <c r="D53" s="22" t="s">
        <v>58</v>
      </c>
      <c r="E53" s="22" t="s">
        <v>59</v>
      </c>
      <c r="F53" s="23" t="e">
        <f t="shared" si="9"/>
        <v>#REF!</v>
      </c>
      <c r="G53" s="23">
        <f t="shared" si="5"/>
        <v>11951109.549508318</v>
      </c>
      <c r="H53" s="45" t="e">
        <f t="shared" si="6"/>
        <v>#REF!</v>
      </c>
      <c r="I53" s="23" t="e">
        <f t="shared" si="7"/>
        <v>#REF!</v>
      </c>
      <c r="K53" s="23" t="e">
        <f t="shared" si="8"/>
        <v>#REF!</v>
      </c>
      <c r="L53" s="93" t="e">
        <f t="shared" si="8"/>
        <v>#REF!</v>
      </c>
      <c r="N53" s="93" t="e">
        <f t="shared" si="8"/>
        <v>#REF!</v>
      </c>
      <c r="O53" s="93" t="e">
        <f t="shared" si="8"/>
        <v>#REF!</v>
      </c>
      <c r="Q53" s="45"/>
      <c r="R53" s="45"/>
      <c r="S53" s="45"/>
      <c r="U53" s="45"/>
      <c r="V53" s="45"/>
    </row>
    <row r="54" spans="2:22" x14ac:dyDescent="0.25">
      <c r="B54" s="4"/>
      <c r="C54" s="21">
        <v>5</v>
      </c>
      <c r="D54" s="22" t="s">
        <v>72</v>
      </c>
      <c r="E54" s="22" t="s">
        <v>73</v>
      </c>
      <c r="F54" s="23" t="e">
        <f t="shared" si="9"/>
        <v>#REF!</v>
      </c>
      <c r="G54" s="23">
        <f t="shared" si="5"/>
        <v>17367712.397604834</v>
      </c>
      <c r="H54" s="45" t="e">
        <f t="shared" si="6"/>
        <v>#REF!</v>
      </c>
      <c r="I54" s="23" t="e">
        <f t="shared" si="7"/>
        <v>#REF!</v>
      </c>
      <c r="K54" s="23" t="e">
        <f t="shared" si="8"/>
        <v>#REF!</v>
      </c>
      <c r="L54" s="93" t="e">
        <f t="shared" si="8"/>
        <v>#REF!</v>
      </c>
      <c r="N54" s="93" t="e">
        <f t="shared" si="8"/>
        <v>#REF!</v>
      </c>
      <c r="O54" s="93" t="e">
        <f t="shared" si="8"/>
        <v>#REF!</v>
      </c>
      <c r="Q54" s="45"/>
      <c r="R54" s="45"/>
      <c r="S54" s="45"/>
      <c r="U54" s="45"/>
      <c r="V54" s="45"/>
    </row>
    <row r="55" spans="2:22" x14ac:dyDescent="0.25">
      <c r="B55" s="4"/>
      <c r="C55" s="21">
        <v>6</v>
      </c>
      <c r="D55" s="22" t="s">
        <v>84</v>
      </c>
      <c r="E55" s="22" t="s">
        <v>85</v>
      </c>
      <c r="F55" s="23" t="e">
        <f t="shared" si="9"/>
        <v>#REF!</v>
      </c>
      <c r="G55" s="23">
        <f t="shared" si="5"/>
        <v>16104389.025261492</v>
      </c>
      <c r="H55" s="45" t="e">
        <f t="shared" si="6"/>
        <v>#REF!</v>
      </c>
      <c r="I55" s="23" t="e">
        <f t="shared" si="7"/>
        <v>#REF!</v>
      </c>
      <c r="K55" s="23" t="e">
        <f t="shared" si="8"/>
        <v>#REF!</v>
      </c>
      <c r="L55" s="93" t="e">
        <f t="shared" si="8"/>
        <v>#REF!</v>
      </c>
      <c r="N55" s="93" t="e">
        <f t="shared" si="8"/>
        <v>#REF!</v>
      </c>
      <c r="O55" s="93" t="e">
        <f t="shared" si="8"/>
        <v>#REF!</v>
      </c>
      <c r="Q55" s="45"/>
      <c r="R55" s="45"/>
      <c r="S55" s="45"/>
      <c r="U55" s="45"/>
      <c r="V55" s="45"/>
    </row>
    <row r="56" spans="2:22" x14ac:dyDescent="0.25">
      <c r="B56" s="4"/>
      <c r="C56" s="21">
        <v>7</v>
      </c>
      <c r="D56" s="22" t="s">
        <v>98</v>
      </c>
      <c r="E56" s="22" t="s">
        <v>99</v>
      </c>
      <c r="F56" s="23" t="e">
        <f t="shared" si="9"/>
        <v>#REF!</v>
      </c>
      <c r="G56" s="23">
        <f t="shared" si="5"/>
        <v>10545101.420434712</v>
      </c>
      <c r="H56" s="45" t="e">
        <f t="shared" si="6"/>
        <v>#REF!</v>
      </c>
      <c r="I56" s="23" t="e">
        <f t="shared" si="7"/>
        <v>#REF!</v>
      </c>
      <c r="K56" s="23" t="e">
        <f t="shared" si="8"/>
        <v>#REF!</v>
      </c>
      <c r="L56" s="93" t="e">
        <f t="shared" si="8"/>
        <v>#REF!</v>
      </c>
      <c r="N56" s="93" t="e">
        <f t="shared" si="8"/>
        <v>#REF!</v>
      </c>
      <c r="O56" s="93" t="e">
        <f t="shared" si="8"/>
        <v>#REF!</v>
      </c>
      <c r="Q56" s="45"/>
      <c r="R56" s="45"/>
      <c r="S56" s="45"/>
      <c r="U56" s="45"/>
      <c r="V56" s="45"/>
    </row>
    <row r="57" spans="2:22" x14ac:dyDescent="0.25">
      <c r="B57" s="22"/>
      <c r="C57" s="37"/>
      <c r="D57" s="94" t="s">
        <v>115</v>
      </c>
      <c r="E57" s="94" t="s">
        <v>116</v>
      </c>
      <c r="F57" s="89" t="e">
        <f>SUM(F50:F56)</f>
        <v>#REF!</v>
      </c>
      <c r="G57" s="89">
        <f>SUM(G50:G56)</f>
        <v>107636447.97053547</v>
      </c>
      <c r="H57" s="95" t="e">
        <f t="shared" ref="H57" si="10">G57/F57-1</f>
        <v>#REF!</v>
      </c>
      <c r="I57" s="89" t="e">
        <f t="shared" ref="I57" si="11">G57-F57</f>
        <v>#REF!</v>
      </c>
      <c r="J57" s="85"/>
      <c r="K57" s="89" t="e">
        <f>SUM(K50:K56)</f>
        <v>#REF!</v>
      </c>
      <c r="L57" s="89" t="e">
        <f>SUM(L50:L56)</f>
        <v>#REF!</v>
      </c>
      <c r="N57" s="89" t="e">
        <f>SUM(N50:N56)</f>
        <v>#REF!</v>
      </c>
      <c r="O57" s="89" t="e">
        <f>SUM(O50:O56)</f>
        <v>#REF!</v>
      </c>
      <c r="Q57" s="95"/>
      <c r="R57" s="95"/>
      <c r="S57" s="95"/>
      <c r="U57" s="95"/>
      <c r="V57" s="95"/>
    </row>
  </sheetData>
  <autoFilter ref="D4:S46" xr:uid="{8255CCBF-F5C8-4983-A9C9-72F0B7E4C0F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AC25-9CE6-4EDB-A3F2-CBD8D57367A2}">
  <sheetPr codeName="Sheet5">
    <tabColor rgb="FF0070C0"/>
  </sheetPr>
  <dimension ref="B1:Q59"/>
  <sheetViews>
    <sheetView workbookViewId="0">
      <pane xSplit="5" ySplit="4" topLeftCell="F5" activePane="bottomRight" state="frozen"/>
      <selection pane="topRight" activeCell="F1" sqref="F1"/>
      <selection pane="bottomLeft" activeCell="A5" sqref="A5"/>
      <selection pane="bottomRight" activeCell="E58" sqref="E58"/>
    </sheetView>
  </sheetViews>
  <sheetFormatPr defaultRowHeight="15" outlineLevelCol="1" x14ac:dyDescent="0.25"/>
  <cols>
    <col min="2" max="2" width="8.7109375" outlineLevel="1"/>
    <col min="3" max="3" width="21.7109375" customWidth="1" outlineLevel="1"/>
    <col min="5" max="5" width="54" bestFit="1" customWidth="1"/>
    <col min="6" max="8" width="8.7109375" style="41"/>
    <col min="10" max="12" width="8.7109375" style="41"/>
    <col min="14" max="14" width="8.7109375" style="85"/>
    <col min="15" max="15" width="1.7109375" customWidth="1"/>
    <col min="16" max="16" width="11.28515625" customWidth="1"/>
    <col min="17" max="17" width="8.7109375" style="41"/>
  </cols>
  <sheetData>
    <row r="1" spans="2:17" ht="25.5" x14ac:dyDescent="0.35">
      <c r="B1" s="1" t="s">
        <v>12</v>
      </c>
    </row>
    <row r="3" spans="2:17" ht="76.5" x14ac:dyDescent="0.25">
      <c r="B3" s="25" t="s">
        <v>13</v>
      </c>
      <c r="C3" s="26" t="s">
        <v>14</v>
      </c>
      <c r="D3" s="26" t="s">
        <v>15</v>
      </c>
      <c r="E3" s="26" t="s">
        <v>16</v>
      </c>
      <c r="F3" s="42" t="s">
        <v>127</v>
      </c>
      <c r="G3" s="42" t="s">
        <v>128</v>
      </c>
      <c r="H3" s="42" t="s">
        <v>129</v>
      </c>
      <c r="I3" s="42" t="s">
        <v>130</v>
      </c>
      <c r="J3" s="42" t="s">
        <v>131</v>
      </c>
      <c r="K3" s="42" t="s">
        <v>132</v>
      </c>
      <c r="L3" s="42" t="s">
        <v>133</v>
      </c>
      <c r="M3" s="42" t="s">
        <v>134</v>
      </c>
      <c r="N3" s="42" t="s">
        <v>135</v>
      </c>
      <c r="P3" s="42" t="s">
        <v>136</v>
      </c>
      <c r="Q3" s="42" t="s">
        <v>137</v>
      </c>
    </row>
    <row r="5" spans="2:17" x14ac:dyDescent="0.25">
      <c r="B5" s="10" t="s">
        <v>17</v>
      </c>
      <c r="C5" s="4" t="s">
        <v>18</v>
      </c>
      <c r="D5" s="4" t="s">
        <v>19</v>
      </c>
      <c r="E5" s="4" t="s">
        <v>20</v>
      </c>
      <c r="F5" s="43" t="e">
        <f>SUMIFS(#REF!,#REF!,$D5)</f>
        <v>#REF!</v>
      </c>
      <c r="G5" s="43" t="e">
        <f>SUMIFS(#REF!,#REF!,$D5)</f>
        <v>#REF!</v>
      </c>
      <c r="H5" s="43" t="e">
        <f>G5-F5</f>
        <v>#REF!</v>
      </c>
      <c r="I5" s="11" t="e">
        <f>SUMIFS(#REF!,#REF!,$D5)*(1+J5)</f>
        <v>#REF!</v>
      </c>
      <c r="J5" s="43" t="e">
        <f>SUMIFS(#REF!,#REF!,$D5)</f>
        <v>#REF!</v>
      </c>
      <c r="K5" s="43" t="e">
        <f>SUMIFS(#REF!,#REF!,$D5)</f>
        <v>#REF!</v>
      </c>
      <c r="L5" s="43" t="e">
        <f>K5-J5</f>
        <v>#REF!</v>
      </c>
      <c r="M5" s="11" t="e">
        <f>SUMIFS(#REF!,#REF!,$D5)</f>
        <v>#REF!</v>
      </c>
      <c r="N5" s="86" t="e">
        <f>M5+I5</f>
        <v>#REF!</v>
      </c>
      <c r="P5" s="11" t="e">
        <f>SUMIFS(#REF!,#REF!,D5)</f>
        <v>#REF!</v>
      </c>
      <c r="Q5" s="43" t="e">
        <f>N5/P5</f>
        <v>#REF!</v>
      </c>
    </row>
    <row r="6" spans="2:17" x14ac:dyDescent="0.25">
      <c r="B6" s="13" t="s">
        <v>17</v>
      </c>
      <c r="C6" s="14" t="s">
        <v>18</v>
      </c>
      <c r="D6" s="4" t="s">
        <v>21</v>
      </c>
      <c r="E6" s="4" t="s">
        <v>22</v>
      </c>
      <c r="F6" s="43" t="e">
        <f>SUMIFS(#REF!,#REF!,$D6)</f>
        <v>#REF!</v>
      </c>
      <c r="G6" s="43" t="e">
        <f>SUMIFS(#REF!,#REF!,$D6)</f>
        <v>#REF!</v>
      </c>
      <c r="H6" s="43" t="e">
        <f t="shared" ref="H6:H46" si="0">G6-F6</f>
        <v>#REF!</v>
      </c>
      <c r="I6" s="11" t="e">
        <f>SUMIFS(#REF!,#REF!,$D6)*(1+J6)</f>
        <v>#REF!</v>
      </c>
      <c r="J6" s="43" t="e">
        <f>SUMIFS(#REF!,#REF!,$D6)</f>
        <v>#REF!</v>
      </c>
      <c r="K6" s="43" t="e">
        <f>SUMIFS(#REF!,#REF!,$D6)</f>
        <v>#REF!</v>
      </c>
      <c r="L6" s="43" t="e">
        <f t="shared" ref="L6:L46" si="1">K6-J6</f>
        <v>#REF!</v>
      </c>
      <c r="M6" s="11" t="e">
        <f>SUMIFS(#REF!,#REF!,$D6)</f>
        <v>#REF!</v>
      </c>
      <c r="N6" s="86" t="e">
        <f t="shared" ref="N6:N46" si="2">M6+I6</f>
        <v>#REF!</v>
      </c>
      <c r="P6" s="11" t="e">
        <f>SUMIFS(#REF!,#REF!,D6)</f>
        <v>#REF!</v>
      </c>
      <c r="Q6" s="43" t="e">
        <f t="shared" ref="Q6:Q46" si="3">N6/P6</f>
        <v>#REF!</v>
      </c>
    </row>
    <row r="7" spans="2:17" x14ac:dyDescent="0.25">
      <c r="B7" s="13" t="s">
        <v>17</v>
      </c>
      <c r="C7" s="14" t="s">
        <v>18</v>
      </c>
      <c r="D7" s="4" t="s">
        <v>23</v>
      </c>
      <c r="E7" s="4" t="s">
        <v>24</v>
      </c>
      <c r="F7" s="43" t="e">
        <f>SUMIFS(#REF!,#REF!,$D7)</f>
        <v>#REF!</v>
      </c>
      <c r="G7" s="43" t="e">
        <f>SUMIFS(#REF!,#REF!,$D7)</f>
        <v>#REF!</v>
      </c>
      <c r="H7" s="43" t="e">
        <f t="shared" si="0"/>
        <v>#REF!</v>
      </c>
      <c r="I7" s="11" t="e">
        <f>SUMIFS(#REF!,#REF!,$D7)*(1+J7)</f>
        <v>#REF!</v>
      </c>
      <c r="J7" s="43" t="e">
        <f>SUMIFS(#REF!,#REF!,$D7)</f>
        <v>#REF!</v>
      </c>
      <c r="K7" s="43" t="e">
        <f>SUMIFS(#REF!,#REF!,$D7)</f>
        <v>#REF!</v>
      </c>
      <c r="L7" s="43" t="e">
        <f t="shared" si="1"/>
        <v>#REF!</v>
      </c>
      <c r="M7" s="11" t="e">
        <f>SUMIFS(#REF!,#REF!,$D7)</f>
        <v>#REF!</v>
      </c>
      <c r="N7" s="86" t="e">
        <f t="shared" si="2"/>
        <v>#REF!</v>
      </c>
      <c r="P7" s="11" t="e">
        <f>SUMIFS(#REF!,#REF!,D7)</f>
        <v>#REF!</v>
      </c>
      <c r="Q7" s="43" t="e">
        <f t="shared" si="3"/>
        <v>#REF!</v>
      </c>
    </row>
    <row r="8" spans="2:17" x14ac:dyDescent="0.25">
      <c r="B8" s="15" t="s">
        <v>17</v>
      </c>
      <c r="C8" s="16" t="s">
        <v>18</v>
      </c>
      <c r="D8" s="17" t="s">
        <v>25</v>
      </c>
      <c r="E8" s="17" t="s">
        <v>26</v>
      </c>
      <c r="F8" s="44" t="e">
        <f>SUMIFS(#REF!,#REF!,$D8)</f>
        <v>#REF!</v>
      </c>
      <c r="G8" s="44" t="e">
        <f>SUMIFS(#REF!,#REF!,$D8)</f>
        <v>#REF!</v>
      </c>
      <c r="H8" s="44" t="e">
        <f t="shared" si="0"/>
        <v>#REF!</v>
      </c>
      <c r="I8" s="18" t="e">
        <f>SUMIFS(#REF!,#REF!,$D8)*(1+J8)</f>
        <v>#REF!</v>
      </c>
      <c r="J8" s="44" t="e">
        <f>SUMIFS(#REF!,#REF!,$D8)</f>
        <v>#REF!</v>
      </c>
      <c r="K8" s="44" t="e">
        <f>SUMIFS(#REF!,#REF!,$D8)</f>
        <v>#REF!</v>
      </c>
      <c r="L8" s="44" t="e">
        <f t="shared" si="1"/>
        <v>#REF!</v>
      </c>
      <c r="M8" s="18" t="e">
        <f>SUMIFS(#REF!,#REF!,$D8)</f>
        <v>#REF!</v>
      </c>
      <c r="N8" s="87" t="e">
        <f t="shared" si="2"/>
        <v>#REF!</v>
      </c>
      <c r="P8" s="18" t="e">
        <f>SUMIFS(#REF!,#REF!,D8)</f>
        <v>#REF!</v>
      </c>
      <c r="Q8" s="44" t="e">
        <f t="shared" si="3"/>
        <v>#REF!</v>
      </c>
    </row>
    <row r="9" spans="2:17" x14ac:dyDescent="0.25">
      <c r="B9" s="10" t="s">
        <v>27</v>
      </c>
      <c r="C9" s="4" t="s">
        <v>28</v>
      </c>
      <c r="D9" s="4" t="s">
        <v>29</v>
      </c>
      <c r="E9" s="4" t="s">
        <v>30</v>
      </c>
      <c r="F9" s="43" t="e">
        <f>SUMIFS(#REF!,#REF!,$D9)</f>
        <v>#REF!</v>
      </c>
      <c r="G9" s="43" t="e">
        <f>SUMIFS(#REF!,#REF!,$D9)</f>
        <v>#REF!</v>
      </c>
      <c r="H9" s="43" t="e">
        <f t="shared" si="0"/>
        <v>#REF!</v>
      </c>
      <c r="I9" s="11" t="e">
        <f>SUMIFS(#REF!,#REF!,$D9)*(1+J9)</f>
        <v>#REF!</v>
      </c>
      <c r="J9" s="43" t="e">
        <f>SUMIFS(#REF!,#REF!,$D9)</f>
        <v>#REF!</v>
      </c>
      <c r="K9" s="43" t="e">
        <f>SUMIFS(#REF!,#REF!,$D9)</f>
        <v>#REF!</v>
      </c>
      <c r="L9" s="43" t="e">
        <f t="shared" si="1"/>
        <v>#REF!</v>
      </c>
      <c r="M9" s="11" t="e">
        <f>SUMIFS(#REF!,#REF!,$D9)</f>
        <v>#REF!</v>
      </c>
      <c r="N9" s="86" t="e">
        <f t="shared" si="2"/>
        <v>#REF!</v>
      </c>
      <c r="P9" s="11" t="e">
        <f>SUMIFS(#REF!,#REF!,D9)</f>
        <v>#REF!</v>
      </c>
      <c r="Q9" s="43" t="e">
        <f t="shared" si="3"/>
        <v>#REF!</v>
      </c>
    </row>
    <row r="10" spans="2:17" x14ac:dyDescent="0.25">
      <c r="B10" s="13" t="s">
        <v>27</v>
      </c>
      <c r="C10" s="14" t="s">
        <v>28</v>
      </c>
      <c r="D10" s="4" t="s">
        <v>31</v>
      </c>
      <c r="E10" s="4" t="s">
        <v>8</v>
      </c>
      <c r="F10" s="43" t="e">
        <f>SUMIFS(#REF!,#REF!,$D10)</f>
        <v>#REF!</v>
      </c>
      <c r="G10" s="43" t="e">
        <f>SUMIFS(#REF!,#REF!,$D10)</f>
        <v>#REF!</v>
      </c>
      <c r="H10" s="43" t="e">
        <f t="shared" si="0"/>
        <v>#REF!</v>
      </c>
      <c r="I10" s="11" t="e">
        <f>SUMIFS(#REF!,#REF!,$D10)*(1+J10)</f>
        <v>#REF!</v>
      </c>
      <c r="J10" s="43" t="e">
        <f>SUMIFS(#REF!,#REF!,$D10)</f>
        <v>#REF!</v>
      </c>
      <c r="K10" s="43" t="e">
        <f>SUMIFS(#REF!,#REF!,$D10)</f>
        <v>#REF!</v>
      </c>
      <c r="L10" s="43" t="e">
        <f t="shared" si="1"/>
        <v>#REF!</v>
      </c>
      <c r="M10" s="11" t="e">
        <f>SUMIFS(#REF!,#REF!,$D10)</f>
        <v>#REF!</v>
      </c>
      <c r="N10" s="86" t="e">
        <f t="shared" si="2"/>
        <v>#REF!</v>
      </c>
      <c r="P10" s="11" t="e">
        <f>SUMIFS(#REF!,#REF!,D10)</f>
        <v>#REF!</v>
      </c>
      <c r="Q10" s="43" t="e">
        <f t="shared" si="3"/>
        <v>#REF!</v>
      </c>
    </row>
    <row r="11" spans="2:17" x14ac:dyDescent="0.25">
      <c r="B11" s="15" t="s">
        <v>27</v>
      </c>
      <c r="C11" s="16" t="s">
        <v>28</v>
      </c>
      <c r="D11" s="17" t="s">
        <v>32</v>
      </c>
      <c r="E11" s="17" t="s">
        <v>33</v>
      </c>
      <c r="F11" s="44" t="e">
        <f>SUMIFS(#REF!,#REF!,$D11)</f>
        <v>#REF!</v>
      </c>
      <c r="G11" s="44" t="e">
        <f>SUMIFS(#REF!,#REF!,$D11)</f>
        <v>#REF!</v>
      </c>
      <c r="H11" s="44" t="e">
        <f t="shared" si="0"/>
        <v>#REF!</v>
      </c>
      <c r="I11" s="18" t="e">
        <f>SUMIFS(#REF!,#REF!,$D11)*(1+J11)</f>
        <v>#REF!</v>
      </c>
      <c r="J11" s="44" t="e">
        <f>SUMIFS(#REF!,#REF!,$D11)</f>
        <v>#REF!</v>
      </c>
      <c r="K11" s="44" t="e">
        <f>SUMIFS(#REF!,#REF!,$D11)</f>
        <v>#REF!</v>
      </c>
      <c r="L11" s="44" t="e">
        <f t="shared" si="1"/>
        <v>#REF!</v>
      </c>
      <c r="M11" s="18" t="e">
        <f>SUMIFS(#REF!,#REF!,$D11)</f>
        <v>#REF!</v>
      </c>
      <c r="N11" s="87" t="e">
        <f t="shared" si="2"/>
        <v>#REF!</v>
      </c>
      <c r="P11" s="18" t="e">
        <f>SUMIFS(#REF!,#REF!,D11)</f>
        <v>#REF!</v>
      </c>
      <c r="Q11" s="44" t="e">
        <f t="shared" si="3"/>
        <v>#REF!</v>
      </c>
    </row>
    <row r="12" spans="2:17" x14ac:dyDescent="0.25">
      <c r="B12" s="10" t="s">
        <v>34</v>
      </c>
      <c r="C12" s="4" t="s">
        <v>35</v>
      </c>
      <c r="D12" s="4" t="s">
        <v>36</v>
      </c>
      <c r="E12" s="4" t="s">
        <v>37</v>
      </c>
      <c r="F12" s="43" t="e">
        <f>SUMIFS(#REF!,#REF!,$D12)</f>
        <v>#REF!</v>
      </c>
      <c r="G12" s="43" t="e">
        <f>SUMIFS(#REF!,#REF!,$D12)</f>
        <v>#REF!</v>
      </c>
      <c r="H12" s="43" t="e">
        <f t="shared" si="0"/>
        <v>#REF!</v>
      </c>
      <c r="I12" s="11" t="e">
        <f>SUMIFS(#REF!,#REF!,$D12)*(1+J12)</f>
        <v>#REF!</v>
      </c>
      <c r="J12" s="43" t="e">
        <f>SUMIFS(#REF!,#REF!,$D12)</f>
        <v>#REF!</v>
      </c>
      <c r="K12" s="43" t="e">
        <f>SUMIFS(#REF!,#REF!,$D12)</f>
        <v>#REF!</v>
      </c>
      <c r="L12" s="43" t="e">
        <f t="shared" si="1"/>
        <v>#REF!</v>
      </c>
      <c r="M12" s="11" t="e">
        <f>SUMIFS(#REF!,#REF!,$D12)</f>
        <v>#REF!</v>
      </c>
      <c r="N12" s="86" t="e">
        <f t="shared" si="2"/>
        <v>#REF!</v>
      </c>
      <c r="P12" s="11" t="e">
        <f>SUMIFS(#REF!,#REF!,D12)</f>
        <v>#REF!</v>
      </c>
      <c r="Q12" s="43" t="e">
        <f t="shared" si="3"/>
        <v>#REF!</v>
      </c>
    </row>
    <row r="13" spans="2:17" x14ac:dyDescent="0.25">
      <c r="B13" s="13" t="s">
        <v>34</v>
      </c>
      <c r="C13" s="14" t="s">
        <v>35</v>
      </c>
      <c r="D13" s="4" t="s">
        <v>38</v>
      </c>
      <c r="E13" s="4" t="s">
        <v>39</v>
      </c>
      <c r="F13" s="43" t="e">
        <f>SUMIFS(#REF!,#REF!,$D13)</f>
        <v>#REF!</v>
      </c>
      <c r="G13" s="43" t="e">
        <f>SUMIFS(#REF!,#REF!,$D13)</f>
        <v>#REF!</v>
      </c>
      <c r="H13" s="43" t="e">
        <f t="shared" si="0"/>
        <v>#REF!</v>
      </c>
      <c r="I13" s="11" t="e">
        <f>SUMIFS(#REF!,#REF!,$D13)*(1+J13)</f>
        <v>#REF!</v>
      </c>
      <c r="J13" s="43" t="e">
        <f>SUMIFS(#REF!,#REF!,$D13)</f>
        <v>#REF!</v>
      </c>
      <c r="K13" s="43" t="e">
        <f>SUMIFS(#REF!,#REF!,$D13)</f>
        <v>#REF!</v>
      </c>
      <c r="L13" s="43" t="e">
        <f t="shared" si="1"/>
        <v>#REF!</v>
      </c>
      <c r="M13" s="11" t="e">
        <f>SUMIFS(#REF!,#REF!,$D13)</f>
        <v>#REF!</v>
      </c>
      <c r="N13" s="86" t="e">
        <f t="shared" si="2"/>
        <v>#REF!</v>
      </c>
      <c r="P13" s="11" t="e">
        <f>SUMIFS(#REF!,#REF!,D13)</f>
        <v>#REF!</v>
      </c>
      <c r="Q13" s="43" t="e">
        <f t="shared" si="3"/>
        <v>#REF!</v>
      </c>
    </row>
    <row r="14" spans="2:17" x14ac:dyDescent="0.25">
      <c r="B14" s="13" t="s">
        <v>34</v>
      </c>
      <c r="C14" s="14" t="s">
        <v>35</v>
      </c>
      <c r="D14" s="4" t="s">
        <v>40</v>
      </c>
      <c r="E14" s="4" t="s">
        <v>41</v>
      </c>
      <c r="F14" s="43" t="e">
        <f>SUMIFS(#REF!,#REF!,$D14)</f>
        <v>#REF!</v>
      </c>
      <c r="G14" s="43" t="e">
        <f>SUMIFS(#REF!,#REF!,$D14)</f>
        <v>#REF!</v>
      </c>
      <c r="H14" s="43" t="e">
        <f t="shared" si="0"/>
        <v>#REF!</v>
      </c>
      <c r="I14" s="11" t="e">
        <f>SUMIFS(#REF!,#REF!,$D14)*(1+J14)</f>
        <v>#REF!</v>
      </c>
      <c r="J14" s="43" t="e">
        <f>SUMIFS(#REF!,#REF!,$D14)</f>
        <v>#REF!</v>
      </c>
      <c r="K14" s="43" t="e">
        <f>SUMIFS(#REF!,#REF!,$D14)</f>
        <v>#REF!</v>
      </c>
      <c r="L14" s="43" t="e">
        <f t="shared" si="1"/>
        <v>#REF!</v>
      </c>
      <c r="M14" s="11" t="e">
        <f>SUMIFS(#REF!,#REF!,$D14)</f>
        <v>#REF!</v>
      </c>
      <c r="N14" s="86" t="e">
        <f t="shared" si="2"/>
        <v>#REF!</v>
      </c>
      <c r="P14" s="11" t="e">
        <f>SUMIFS(#REF!,#REF!,D14)</f>
        <v>#REF!</v>
      </c>
      <c r="Q14" s="43" t="e">
        <f t="shared" si="3"/>
        <v>#REF!</v>
      </c>
    </row>
    <row r="15" spans="2:17" x14ac:dyDescent="0.25">
      <c r="B15" s="13" t="s">
        <v>34</v>
      </c>
      <c r="C15" s="14" t="s">
        <v>35</v>
      </c>
      <c r="D15" s="4" t="s">
        <v>42</v>
      </c>
      <c r="E15" s="4" t="s">
        <v>43</v>
      </c>
      <c r="F15" s="43" t="e">
        <f>SUMIFS(#REF!,#REF!,$D15)</f>
        <v>#REF!</v>
      </c>
      <c r="G15" s="43" t="e">
        <f>SUMIFS(#REF!,#REF!,$D15)</f>
        <v>#REF!</v>
      </c>
      <c r="H15" s="43" t="e">
        <f t="shared" si="0"/>
        <v>#REF!</v>
      </c>
      <c r="I15" s="11" t="e">
        <f>SUMIFS(#REF!,#REF!,$D15)*(1+J15)</f>
        <v>#REF!</v>
      </c>
      <c r="J15" s="43" t="e">
        <f>SUMIFS(#REF!,#REF!,$D15)</f>
        <v>#REF!</v>
      </c>
      <c r="K15" s="43" t="e">
        <f>SUMIFS(#REF!,#REF!,$D15)</f>
        <v>#REF!</v>
      </c>
      <c r="L15" s="43" t="e">
        <f t="shared" si="1"/>
        <v>#REF!</v>
      </c>
      <c r="M15" s="11" t="e">
        <f>SUMIFS(#REF!,#REF!,$D15)</f>
        <v>#REF!</v>
      </c>
      <c r="N15" s="86" t="e">
        <f t="shared" si="2"/>
        <v>#REF!</v>
      </c>
      <c r="P15" s="11" t="e">
        <f>SUMIFS(#REF!,#REF!,D15)</f>
        <v>#REF!</v>
      </c>
      <c r="Q15" s="43" t="e">
        <f t="shared" si="3"/>
        <v>#REF!</v>
      </c>
    </row>
    <row r="16" spans="2:17" x14ac:dyDescent="0.25">
      <c r="B16" s="13" t="s">
        <v>34</v>
      </c>
      <c r="C16" s="14" t="s">
        <v>35</v>
      </c>
      <c r="D16" s="4" t="s">
        <v>44</v>
      </c>
      <c r="E16" s="4" t="s">
        <v>45</v>
      </c>
      <c r="F16" s="43" t="e">
        <f>SUMIFS(#REF!,#REF!,$D16)</f>
        <v>#REF!</v>
      </c>
      <c r="G16" s="43" t="e">
        <f>SUMIFS(#REF!,#REF!,$D16)</f>
        <v>#REF!</v>
      </c>
      <c r="H16" s="43" t="e">
        <f t="shared" si="0"/>
        <v>#REF!</v>
      </c>
      <c r="I16" s="11" t="e">
        <f>SUMIFS(#REF!,#REF!,$D16)*(1+J16)</f>
        <v>#REF!</v>
      </c>
      <c r="J16" s="43" t="e">
        <f>SUMIFS(#REF!,#REF!,$D16)</f>
        <v>#REF!</v>
      </c>
      <c r="K16" s="43" t="e">
        <f>SUMIFS(#REF!,#REF!,$D16)</f>
        <v>#REF!</v>
      </c>
      <c r="L16" s="43" t="e">
        <f t="shared" si="1"/>
        <v>#REF!</v>
      </c>
      <c r="M16" s="11" t="e">
        <f>SUMIFS(#REF!,#REF!,$D16)</f>
        <v>#REF!</v>
      </c>
      <c r="N16" s="86" t="e">
        <f t="shared" si="2"/>
        <v>#REF!</v>
      </c>
      <c r="P16" s="11" t="e">
        <f>SUMIFS(#REF!,#REF!,D16)</f>
        <v>#REF!</v>
      </c>
      <c r="Q16" s="43" t="e">
        <f t="shared" si="3"/>
        <v>#REF!</v>
      </c>
    </row>
    <row r="17" spans="2:17" x14ac:dyDescent="0.25">
      <c r="B17" s="13" t="s">
        <v>34</v>
      </c>
      <c r="C17" s="14" t="s">
        <v>35</v>
      </c>
      <c r="D17" s="4" t="s">
        <v>46</v>
      </c>
      <c r="E17" s="4" t="s">
        <v>47</v>
      </c>
      <c r="F17" s="43" t="e">
        <f>SUMIFS(#REF!,#REF!,$D17)</f>
        <v>#REF!</v>
      </c>
      <c r="G17" s="43" t="e">
        <f>SUMIFS(#REF!,#REF!,$D17)</f>
        <v>#REF!</v>
      </c>
      <c r="H17" s="43" t="e">
        <f t="shared" si="0"/>
        <v>#REF!</v>
      </c>
      <c r="I17" s="11" t="e">
        <f>SUMIFS(#REF!,#REF!,$D17)*(1+J17)</f>
        <v>#REF!</v>
      </c>
      <c r="J17" s="43" t="e">
        <f>SUMIFS(#REF!,#REF!,$D17)</f>
        <v>#REF!</v>
      </c>
      <c r="K17" s="43" t="e">
        <f>SUMIFS(#REF!,#REF!,$D17)</f>
        <v>#REF!</v>
      </c>
      <c r="L17" s="43" t="e">
        <f t="shared" si="1"/>
        <v>#REF!</v>
      </c>
      <c r="M17" s="11" t="e">
        <f>SUMIFS(#REF!,#REF!,$D17)</f>
        <v>#REF!</v>
      </c>
      <c r="N17" s="86" t="e">
        <f t="shared" si="2"/>
        <v>#REF!</v>
      </c>
      <c r="P17" s="11" t="e">
        <f>SUMIFS(#REF!,#REF!,D17)</f>
        <v>#REF!</v>
      </c>
      <c r="Q17" s="43" t="e">
        <f t="shared" si="3"/>
        <v>#REF!</v>
      </c>
    </row>
    <row r="18" spans="2:17" x14ac:dyDescent="0.25">
      <c r="B18" s="13" t="s">
        <v>34</v>
      </c>
      <c r="C18" s="14" t="s">
        <v>35</v>
      </c>
      <c r="D18" s="4" t="s">
        <v>48</v>
      </c>
      <c r="E18" s="4" t="s">
        <v>49</v>
      </c>
      <c r="F18" s="43" t="e">
        <f>SUMIFS(#REF!,#REF!,$D18)</f>
        <v>#REF!</v>
      </c>
      <c r="G18" s="43" t="e">
        <f>SUMIFS(#REF!,#REF!,$D18)</f>
        <v>#REF!</v>
      </c>
      <c r="H18" s="43" t="e">
        <f t="shared" si="0"/>
        <v>#REF!</v>
      </c>
      <c r="I18" s="11" t="e">
        <f>SUMIFS(#REF!,#REF!,$D18)*(1+J18)</f>
        <v>#REF!</v>
      </c>
      <c r="J18" s="43" t="e">
        <f>SUMIFS(#REF!,#REF!,$D18)</f>
        <v>#REF!</v>
      </c>
      <c r="K18" s="43" t="e">
        <f>SUMIFS(#REF!,#REF!,$D18)</f>
        <v>#REF!</v>
      </c>
      <c r="L18" s="43" t="e">
        <f t="shared" si="1"/>
        <v>#REF!</v>
      </c>
      <c r="M18" s="11" t="e">
        <f>SUMIFS(#REF!,#REF!,$D18)</f>
        <v>#REF!</v>
      </c>
      <c r="N18" s="86" t="e">
        <f t="shared" si="2"/>
        <v>#REF!</v>
      </c>
      <c r="P18" s="11" t="e">
        <f>SUMIFS(#REF!,#REF!,D18)</f>
        <v>#REF!</v>
      </c>
      <c r="Q18" s="43" t="e">
        <f t="shared" si="3"/>
        <v>#REF!</v>
      </c>
    </row>
    <row r="19" spans="2:17" x14ac:dyDescent="0.25">
      <c r="B19" s="13" t="s">
        <v>34</v>
      </c>
      <c r="C19" s="14" t="s">
        <v>35</v>
      </c>
      <c r="D19" s="4" t="s">
        <v>50</v>
      </c>
      <c r="E19" s="4" t="s">
        <v>51</v>
      </c>
      <c r="F19" s="43" t="e">
        <f>SUMIFS(#REF!,#REF!,$D19)</f>
        <v>#REF!</v>
      </c>
      <c r="G19" s="43" t="e">
        <f>SUMIFS(#REF!,#REF!,$D19)</f>
        <v>#REF!</v>
      </c>
      <c r="H19" s="43" t="e">
        <f t="shared" si="0"/>
        <v>#REF!</v>
      </c>
      <c r="I19" s="11" t="e">
        <f>SUMIFS(#REF!,#REF!,$D19)*(1+J19)</f>
        <v>#REF!</v>
      </c>
      <c r="J19" s="43" t="e">
        <f>SUMIFS(#REF!,#REF!,$D19)</f>
        <v>#REF!</v>
      </c>
      <c r="K19" s="43" t="e">
        <f>SUMIFS(#REF!,#REF!,$D19)</f>
        <v>#REF!</v>
      </c>
      <c r="L19" s="43" t="e">
        <f t="shared" si="1"/>
        <v>#REF!</v>
      </c>
      <c r="M19" s="11" t="e">
        <f>SUMIFS(#REF!,#REF!,$D19)</f>
        <v>#REF!</v>
      </c>
      <c r="N19" s="86" t="e">
        <f t="shared" si="2"/>
        <v>#REF!</v>
      </c>
      <c r="P19" s="11" t="e">
        <f>SUMIFS(#REF!,#REF!,D19)</f>
        <v>#REF!</v>
      </c>
      <c r="Q19" s="43" t="e">
        <f t="shared" si="3"/>
        <v>#REF!</v>
      </c>
    </row>
    <row r="20" spans="2:17" x14ac:dyDescent="0.25">
      <c r="B20" s="13" t="s">
        <v>34</v>
      </c>
      <c r="C20" s="14" t="s">
        <v>35</v>
      </c>
      <c r="D20" s="4" t="s">
        <v>52</v>
      </c>
      <c r="E20" s="4" t="s">
        <v>53</v>
      </c>
      <c r="F20" s="43" t="e">
        <f>SUMIFS(#REF!,#REF!,$D20)</f>
        <v>#REF!</v>
      </c>
      <c r="G20" s="43" t="e">
        <f>SUMIFS(#REF!,#REF!,$D20)</f>
        <v>#REF!</v>
      </c>
      <c r="H20" s="43" t="e">
        <f t="shared" si="0"/>
        <v>#REF!</v>
      </c>
      <c r="I20" s="11" t="e">
        <f>SUMIFS(#REF!,#REF!,$D20)*(1+J20)</f>
        <v>#REF!</v>
      </c>
      <c r="J20" s="43" t="e">
        <f>SUMIFS(#REF!,#REF!,$D20)</f>
        <v>#REF!</v>
      </c>
      <c r="K20" s="43" t="e">
        <f>SUMIFS(#REF!,#REF!,$D20)</f>
        <v>#REF!</v>
      </c>
      <c r="L20" s="43" t="e">
        <f t="shared" si="1"/>
        <v>#REF!</v>
      </c>
      <c r="M20" s="11" t="e">
        <f>SUMIFS(#REF!,#REF!,$D20)</f>
        <v>#REF!</v>
      </c>
      <c r="N20" s="86" t="e">
        <f t="shared" si="2"/>
        <v>#REF!</v>
      </c>
      <c r="P20" s="11" t="e">
        <f>SUMIFS(#REF!,#REF!,D20)</f>
        <v>#REF!</v>
      </c>
      <c r="Q20" s="43" t="e">
        <f t="shared" si="3"/>
        <v>#REF!</v>
      </c>
    </row>
    <row r="21" spans="2:17" x14ac:dyDescent="0.25">
      <c r="B21" s="13" t="s">
        <v>34</v>
      </c>
      <c r="C21" s="14" t="s">
        <v>35</v>
      </c>
      <c r="D21" s="4" t="s">
        <v>54</v>
      </c>
      <c r="E21" s="4" t="s">
        <v>55</v>
      </c>
      <c r="F21" s="43" t="e">
        <f>SUMIFS(#REF!,#REF!,$D21)</f>
        <v>#REF!</v>
      </c>
      <c r="G21" s="43" t="e">
        <f>SUMIFS(#REF!,#REF!,$D21)</f>
        <v>#REF!</v>
      </c>
      <c r="H21" s="43" t="e">
        <f t="shared" si="0"/>
        <v>#REF!</v>
      </c>
      <c r="I21" s="11" t="e">
        <f>SUMIFS(#REF!,#REF!,$D21)*(1+J21)</f>
        <v>#REF!</v>
      </c>
      <c r="J21" s="43" t="e">
        <f>SUMIFS(#REF!,#REF!,$D21)</f>
        <v>#REF!</v>
      </c>
      <c r="K21" s="43" t="e">
        <f>SUMIFS(#REF!,#REF!,$D21)</f>
        <v>#REF!</v>
      </c>
      <c r="L21" s="43" t="e">
        <f t="shared" si="1"/>
        <v>#REF!</v>
      </c>
      <c r="M21" s="11" t="e">
        <f>SUMIFS(#REF!,#REF!,$D21)</f>
        <v>#REF!</v>
      </c>
      <c r="N21" s="86" t="e">
        <f t="shared" si="2"/>
        <v>#REF!</v>
      </c>
      <c r="P21" s="11" t="e">
        <f>SUMIFS(#REF!,#REF!,D21)</f>
        <v>#REF!</v>
      </c>
      <c r="Q21" s="43" t="e">
        <f t="shared" si="3"/>
        <v>#REF!</v>
      </c>
    </row>
    <row r="22" spans="2:17" x14ac:dyDescent="0.25">
      <c r="B22" s="15" t="s">
        <v>34</v>
      </c>
      <c r="C22" s="16" t="s">
        <v>35</v>
      </c>
      <c r="D22" s="17" t="s">
        <v>56</v>
      </c>
      <c r="E22" s="17" t="s">
        <v>57</v>
      </c>
      <c r="F22" s="44" t="e">
        <f>SUMIFS(#REF!,#REF!,$D22)</f>
        <v>#REF!</v>
      </c>
      <c r="G22" s="44" t="e">
        <f>SUMIFS(#REF!,#REF!,$D22)</f>
        <v>#REF!</v>
      </c>
      <c r="H22" s="44" t="e">
        <f t="shared" si="0"/>
        <v>#REF!</v>
      </c>
      <c r="I22" s="18" t="e">
        <f>SUMIFS(#REF!,#REF!,$D22)*(1+J22)</f>
        <v>#REF!</v>
      </c>
      <c r="J22" s="44" t="e">
        <f>SUMIFS(#REF!,#REF!,$D22)</f>
        <v>#REF!</v>
      </c>
      <c r="K22" s="44" t="e">
        <f>SUMIFS(#REF!,#REF!,$D22)</f>
        <v>#REF!</v>
      </c>
      <c r="L22" s="44" t="e">
        <f t="shared" si="1"/>
        <v>#REF!</v>
      </c>
      <c r="M22" s="18" t="e">
        <f>SUMIFS(#REF!,#REF!,$D22)</f>
        <v>#REF!</v>
      </c>
      <c r="N22" s="87" t="e">
        <f t="shared" si="2"/>
        <v>#REF!</v>
      </c>
      <c r="P22" s="18" t="e">
        <f>SUMIFS(#REF!,#REF!,D22)</f>
        <v>#REF!</v>
      </c>
      <c r="Q22" s="44" t="e">
        <f t="shared" si="3"/>
        <v>#REF!</v>
      </c>
    </row>
    <row r="23" spans="2:17" x14ac:dyDescent="0.25">
      <c r="B23" s="10" t="s">
        <v>58</v>
      </c>
      <c r="C23" s="4" t="s">
        <v>59</v>
      </c>
      <c r="D23" s="4" t="s">
        <v>60</v>
      </c>
      <c r="E23" s="4" t="s">
        <v>61</v>
      </c>
      <c r="F23" s="43" t="e">
        <f>SUMIFS(#REF!,#REF!,$D23)</f>
        <v>#REF!</v>
      </c>
      <c r="G23" s="43" t="e">
        <f>SUMIFS(#REF!,#REF!,$D23)</f>
        <v>#REF!</v>
      </c>
      <c r="H23" s="43" t="e">
        <f t="shared" si="0"/>
        <v>#REF!</v>
      </c>
      <c r="I23" s="11" t="e">
        <f>SUMIFS(#REF!,#REF!,$D23)*(1+J23)</f>
        <v>#REF!</v>
      </c>
      <c r="J23" s="43" t="e">
        <f>SUMIFS(#REF!,#REF!,$D23)</f>
        <v>#REF!</v>
      </c>
      <c r="K23" s="43" t="e">
        <f>SUMIFS(#REF!,#REF!,$D23)</f>
        <v>#REF!</v>
      </c>
      <c r="L23" s="43" t="e">
        <f t="shared" si="1"/>
        <v>#REF!</v>
      </c>
      <c r="M23" s="11" t="e">
        <f>SUMIFS(#REF!,#REF!,$D23)</f>
        <v>#REF!</v>
      </c>
      <c r="N23" s="86" t="e">
        <f t="shared" si="2"/>
        <v>#REF!</v>
      </c>
      <c r="P23" s="11" t="e">
        <f>SUMIFS(#REF!,#REF!,D23)</f>
        <v>#REF!</v>
      </c>
      <c r="Q23" s="43" t="e">
        <f t="shared" si="3"/>
        <v>#REF!</v>
      </c>
    </row>
    <row r="24" spans="2:17" x14ac:dyDescent="0.25">
      <c r="B24" s="13" t="s">
        <v>58</v>
      </c>
      <c r="C24" s="14" t="s">
        <v>59</v>
      </c>
      <c r="D24" s="4" t="s">
        <v>62</v>
      </c>
      <c r="E24" s="4" t="s">
        <v>63</v>
      </c>
      <c r="F24" s="43" t="e">
        <f>SUMIFS(#REF!,#REF!,$D24)</f>
        <v>#REF!</v>
      </c>
      <c r="G24" s="43" t="e">
        <f>SUMIFS(#REF!,#REF!,$D24)</f>
        <v>#REF!</v>
      </c>
      <c r="H24" s="43" t="e">
        <f t="shared" si="0"/>
        <v>#REF!</v>
      </c>
      <c r="I24" s="11" t="e">
        <f>SUMIFS(#REF!,#REF!,$D24)*(1+J24)</f>
        <v>#REF!</v>
      </c>
      <c r="J24" s="43" t="e">
        <f>SUMIFS(#REF!,#REF!,$D24)</f>
        <v>#REF!</v>
      </c>
      <c r="K24" s="43" t="e">
        <f>SUMIFS(#REF!,#REF!,$D24)</f>
        <v>#REF!</v>
      </c>
      <c r="L24" s="43" t="e">
        <f t="shared" si="1"/>
        <v>#REF!</v>
      </c>
      <c r="M24" s="11" t="e">
        <f>SUMIFS(#REF!,#REF!,$D24)</f>
        <v>#REF!</v>
      </c>
      <c r="N24" s="86" t="e">
        <f t="shared" si="2"/>
        <v>#REF!</v>
      </c>
      <c r="P24" s="11" t="e">
        <f>SUMIFS(#REF!,#REF!,D24)</f>
        <v>#REF!</v>
      </c>
      <c r="Q24" s="43" t="e">
        <f t="shared" si="3"/>
        <v>#REF!</v>
      </c>
    </row>
    <row r="25" spans="2:17" x14ac:dyDescent="0.25">
      <c r="B25" s="13" t="s">
        <v>58</v>
      </c>
      <c r="C25" s="14" t="s">
        <v>59</v>
      </c>
      <c r="D25" s="4" t="s">
        <v>64</v>
      </c>
      <c r="E25" s="4" t="s">
        <v>65</v>
      </c>
      <c r="F25" s="43" t="e">
        <f>SUMIFS(#REF!,#REF!,$D25)</f>
        <v>#REF!</v>
      </c>
      <c r="G25" s="43" t="e">
        <f>SUMIFS(#REF!,#REF!,$D25)</f>
        <v>#REF!</v>
      </c>
      <c r="H25" s="43" t="e">
        <f t="shared" si="0"/>
        <v>#REF!</v>
      </c>
      <c r="I25" s="11" t="e">
        <f>SUMIFS(#REF!,#REF!,$D25)*(1+J25)</f>
        <v>#REF!</v>
      </c>
      <c r="J25" s="43" t="e">
        <f>SUMIFS(#REF!,#REF!,$D25)</f>
        <v>#REF!</v>
      </c>
      <c r="K25" s="43" t="e">
        <f>SUMIFS(#REF!,#REF!,$D25)</f>
        <v>#REF!</v>
      </c>
      <c r="L25" s="43" t="e">
        <f t="shared" si="1"/>
        <v>#REF!</v>
      </c>
      <c r="M25" s="11" t="e">
        <f>SUMIFS(#REF!,#REF!,$D25)</f>
        <v>#REF!</v>
      </c>
      <c r="N25" s="86" t="e">
        <f t="shared" si="2"/>
        <v>#REF!</v>
      </c>
      <c r="P25" s="11" t="e">
        <f>SUMIFS(#REF!,#REF!,D25)</f>
        <v>#REF!</v>
      </c>
      <c r="Q25" s="43" t="e">
        <f t="shared" si="3"/>
        <v>#REF!</v>
      </c>
    </row>
    <row r="26" spans="2:17" x14ac:dyDescent="0.25">
      <c r="B26" s="13" t="s">
        <v>58</v>
      </c>
      <c r="C26" s="14" t="s">
        <v>59</v>
      </c>
      <c r="D26" s="4" t="s">
        <v>66</v>
      </c>
      <c r="E26" s="4" t="s">
        <v>67</v>
      </c>
      <c r="F26" s="43" t="e">
        <f>SUMIFS(#REF!,#REF!,$D26)</f>
        <v>#REF!</v>
      </c>
      <c r="G26" s="43" t="e">
        <f>SUMIFS(#REF!,#REF!,$D26)</f>
        <v>#REF!</v>
      </c>
      <c r="H26" s="43" t="e">
        <f t="shared" si="0"/>
        <v>#REF!</v>
      </c>
      <c r="I26" s="11" t="e">
        <f>SUMIFS(#REF!,#REF!,$D26)*(1+J26)</f>
        <v>#REF!</v>
      </c>
      <c r="J26" s="43" t="e">
        <f>SUMIFS(#REF!,#REF!,$D26)</f>
        <v>#REF!</v>
      </c>
      <c r="K26" s="43" t="e">
        <f>SUMIFS(#REF!,#REF!,$D26)</f>
        <v>#REF!</v>
      </c>
      <c r="L26" s="43" t="e">
        <f t="shared" si="1"/>
        <v>#REF!</v>
      </c>
      <c r="M26" s="11" t="e">
        <f>SUMIFS(#REF!,#REF!,$D26)</f>
        <v>#REF!</v>
      </c>
      <c r="N26" s="86" t="e">
        <f t="shared" si="2"/>
        <v>#REF!</v>
      </c>
      <c r="P26" s="11" t="e">
        <f>SUMIFS(#REF!,#REF!,D26)</f>
        <v>#REF!</v>
      </c>
      <c r="Q26" s="43" t="e">
        <f t="shared" si="3"/>
        <v>#REF!</v>
      </c>
    </row>
    <row r="27" spans="2:17" x14ac:dyDescent="0.25">
      <c r="B27" s="13" t="s">
        <v>58</v>
      </c>
      <c r="C27" s="14" t="s">
        <v>59</v>
      </c>
      <c r="D27" s="4" t="s">
        <v>68</v>
      </c>
      <c r="E27" s="4" t="s">
        <v>69</v>
      </c>
      <c r="F27" s="43" t="e">
        <f>SUMIFS(#REF!,#REF!,$D27)</f>
        <v>#REF!</v>
      </c>
      <c r="G27" s="43" t="e">
        <f>SUMIFS(#REF!,#REF!,$D27)</f>
        <v>#REF!</v>
      </c>
      <c r="H27" s="43" t="e">
        <f t="shared" si="0"/>
        <v>#REF!</v>
      </c>
      <c r="I27" s="11" t="e">
        <f>SUMIFS(#REF!,#REF!,$D27)*(1+J27)</f>
        <v>#REF!</v>
      </c>
      <c r="J27" s="43" t="e">
        <f>SUMIFS(#REF!,#REF!,$D27)</f>
        <v>#REF!</v>
      </c>
      <c r="K27" s="43" t="e">
        <f>SUMIFS(#REF!,#REF!,$D27)</f>
        <v>#REF!</v>
      </c>
      <c r="L27" s="43" t="e">
        <f t="shared" si="1"/>
        <v>#REF!</v>
      </c>
      <c r="M27" s="11" t="e">
        <f>SUMIFS(#REF!,#REF!,$D27)</f>
        <v>#REF!</v>
      </c>
      <c r="N27" s="86" t="e">
        <f t="shared" si="2"/>
        <v>#REF!</v>
      </c>
      <c r="P27" s="11" t="e">
        <f>SUMIFS(#REF!,#REF!,D27)</f>
        <v>#REF!</v>
      </c>
      <c r="Q27" s="43" t="e">
        <f t="shared" si="3"/>
        <v>#REF!</v>
      </c>
    </row>
    <row r="28" spans="2:17" x14ac:dyDescent="0.25">
      <c r="B28" s="15" t="s">
        <v>58</v>
      </c>
      <c r="C28" s="16" t="s">
        <v>59</v>
      </c>
      <c r="D28" s="17" t="s">
        <v>70</v>
      </c>
      <c r="E28" s="17" t="s">
        <v>71</v>
      </c>
      <c r="F28" s="44" t="e">
        <f>SUMIFS(#REF!,#REF!,$D28)</f>
        <v>#REF!</v>
      </c>
      <c r="G28" s="44" t="e">
        <f>SUMIFS(#REF!,#REF!,$D28)</f>
        <v>#REF!</v>
      </c>
      <c r="H28" s="44" t="e">
        <f t="shared" si="0"/>
        <v>#REF!</v>
      </c>
      <c r="I28" s="18" t="e">
        <f>SUMIFS(#REF!,#REF!,$D28)*(1+J28)</f>
        <v>#REF!</v>
      </c>
      <c r="J28" s="44" t="e">
        <f>SUMIFS(#REF!,#REF!,$D28)</f>
        <v>#REF!</v>
      </c>
      <c r="K28" s="44" t="e">
        <f>SUMIFS(#REF!,#REF!,$D28)</f>
        <v>#REF!</v>
      </c>
      <c r="L28" s="44" t="e">
        <f t="shared" si="1"/>
        <v>#REF!</v>
      </c>
      <c r="M28" s="18" t="e">
        <f>SUMIFS(#REF!,#REF!,$D28)</f>
        <v>#REF!</v>
      </c>
      <c r="N28" s="87" t="e">
        <f t="shared" si="2"/>
        <v>#REF!</v>
      </c>
      <c r="P28" s="18" t="e">
        <f>SUMIFS(#REF!,#REF!,D28)</f>
        <v>#REF!</v>
      </c>
      <c r="Q28" s="44" t="e">
        <f t="shared" si="3"/>
        <v>#REF!</v>
      </c>
    </row>
    <row r="29" spans="2:17" x14ac:dyDescent="0.25">
      <c r="B29" s="10" t="s">
        <v>72</v>
      </c>
      <c r="C29" s="4" t="s">
        <v>73</v>
      </c>
      <c r="D29" s="4" t="s">
        <v>74</v>
      </c>
      <c r="E29" s="4" t="s">
        <v>75</v>
      </c>
      <c r="F29" s="43" t="e">
        <f>SUMIFS(#REF!,#REF!,$D29)</f>
        <v>#REF!</v>
      </c>
      <c r="G29" s="43" t="e">
        <f>SUMIFS(#REF!,#REF!,$D29)</f>
        <v>#REF!</v>
      </c>
      <c r="H29" s="43" t="e">
        <f t="shared" si="0"/>
        <v>#REF!</v>
      </c>
      <c r="I29" s="11" t="e">
        <f>SUMIFS(#REF!,#REF!,$D29)*(1+J29)</f>
        <v>#REF!</v>
      </c>
      <c r="J29" s="43" t="e">
        <f>SUMIFS(#REF!,#REF!,$D29)</f>
        <v>#REF!</v>
      </c>
      <c r="K29" s="43" t="e">
        <f>SUMIFS(#REF!,#REF!,$D29)</f>
        <v>#REF!</v>
      </c>
      <c r="L29" s="43" t="e">
        <f t="shared" si="1"/>
        <v>#REF!</v>
      </c>
      <c r="M29" s="11" t="e">
        <f>SUMIFS(#REF!,#REF!,$D29)</f>
        <v>#REF!</v>
      </c>
      <c r="N29" s="86" t="e">
        <f t="shared" si="2"/>
        <v>#REF!</v>
      </c>
      <c r="P29" s="11" t="e">
        <f>SUMIFS(#REF!,#REF!,D29)</f>
        <v>#REF!</v>
      </c>
      <c r="Q29" s="43" t="e">
        <f t="shared" si="3"/>
        <v>#REF!</v>
      </c>
    </row>
    <row r="30" spans="2:17" x14ac:dyDescent="0.25">
      <c r="B30" s="13" t="s">
        <v>72</v>
      </c>
      <c r="C30" s="14" t="s">
        <v>73</v>
      </c>
      <c r="D30" s="4" t="s">
        <v>76</v>
      </c>
      <c r="E30" s="4" t="s">
        <v>77</v>
      </c>
      <c r="F30" s="43" t="e">
        <f>SUMIFS(#REF!,#REF!,$D30)</f>
        <v>#REF!</v>
      </c>
      <c r="G30" s="43" t="e">
        <f>SUMIFS(#REF!,#REF!,$D30)</f>
        <v>#REF!</v>
      </c>
      <c r="H30" s="43" t="e">
        <f t="shared" si="0"/>
        <v>#REF!</v>
      </c>
      <c r="I30" s="11" t="e">
        <f>SUMIFS(#REF!,#REF!,$D30)*(1+J30)</f>
        <v>#REF!</v>
      </c>
      <c r="J30" s="43" t="e">
        <f>SUMIFS(#REF!,#REF!,$D30)</f>
        <v>#REF!</v>
      </c>
      <c r="K30" s="43" t="e">
        <f>SUMIFS(#REF!,#REF!,$D30)</f>
        <v>#REF!</v>
      </c>
      <c r="L30" s="43" t="e">
        <f t="shared" si="1"/>
        <v>#REF!</v>
      </c>
      <c r="M30" s="11" t="e">
        <f>SUMIFS(#REF!,#REF!,$D30)</f>
        <v>#REF!</v>
      </c>
      <c r="N30" s="86" t="e">
        <f t="shared" si="2"/>
        <v>#REF!</v>
      </c>
      <c r="P30" s="11" t="e">
        <f>SUMIFS(#REF!,#REF!,D30)</f>
        <v>#REF!</v>
      </c>
      <c r="Q30" s="43" t="e">
        <f t="shared" si="3"/>
        <v>#REF!</v>
      </c>
    </row>
    <row r="31" spans="2:17" x14ac:dyDescent="0.25">
      <c r="B31" s="13" t="s">
        <v>72</v>
      </c>
      <c r="C31" s="14" t="s">
        <v>73</v>
      </c>
      <c r="D31" s="4" t="s">
        <v>78</v>
      </c>
      <c r="E31" s="4" t="s">
        <v>79</v>
      </c>
      <c r="F31" s="43" t="e">
        <f>SUMIFS(#REF!,#REF!,$D31)</f>
        <v>#REF!</v>
      </c>
      <c r="G31" s="43" t="e">
        <f>SUMIFS(#REF!,#REF!,$D31)</f>
        <v>#REF!</v>
      </c>
      <c r="H31" s="43" t="e">
        <f t="shared" si="0"/>
        <v>#REF!</v>
      </c>
      <c r="I31" s="11" t="e">
        <f>SUMIFS(#REF!,#REF!,$D31)*(1+J31)</f>
        <v>#REF!</v>
      </c>
      <c r="J31" s="43" t="e">
        <f>SUMIFS(#REF!,#REF!,$D31)</f>
        <v>#REF!</v>
      </c>
      <c r="K31" s="43" t="e">
        <f>SUMIFS(#REF!,#REF!,$D31)</f>
        <v>#REF!</v>
      </c>
      <c r="L31" s="43" t="e">
        <f t="shared" si="1"/>
        <v>#REF!</v>
      </c>
      <c r="M31" s="11" t="e">
        <f>SUMIFS(#REF!,#REF!,$D31)</f>
        <v>#REF!</v>
      </c>
      <c r="N31" s="86" t="e">
        <f t="shared" si="2"/>
        <v>#REF!</v>
      </c>
      <c r="P31" s="11" t="e">
        <f>SUMIFS(#REF!,#REF!,D31)</f>
        <v>#REF!</v>
      </c>
      <c r="Q31" s="43" t="e">
        <f t="shared" si="3"/>
        <v>#REF!</v>
      </c>
    </row>
    <row r="32" spans="2:17" x14ac:dyDescent="0.25">
      <c r="B32" s="13" t="s">
        <v>72</v>
      </c>
      <c r="C32" s="14" t="s">
        <v>73</v>
      </c>
      <c r="D32" s="4" t="s">
        <v>80</v>
      </c>
      <c r="E32" s="4" t="s">
        <v>81</v>
      </c>
      <c r="F32" s="43" t="e">
        <f>SUMIFS(#REF!,#REF!,$D32)</f>
        <v>#REF!</v>
      </c>
      <c r="G32" s="43" t="e">
        <f>SUMIFS(#REF!,#REF!,$D32)</f>
        <v>#REF!</v>
      </c>
      <c r="H32" s="43" t="e">
        <f t="shared" si="0"/>
        <v>#REF!</v>
      </c>
      <c r="I32" s="11" t="e">
        <f>SUMIFS(#REF!,#REF!,$D32)*(1+J32)</f>
        <v>#REF!</v>
      </c>
      <c r="J32" s="43" t="e">
        <f>SUMIFS(#REF!,#REF!,$D32)</f>
        <v>#REF!</v>
      </c>
      <c r="K32" s="43" t="e">
        <f>SUMIFS(#REF!,#REF!,$D32)</f>
        <v>#REF!</v>
      </c>
      <c r="L32" s="43" t="e">
        <f t="shared" si="1"/>
        <v>#REF!</v>
      </c>
      <c r="M32" s="11" t="e">
        <f>SUMIFS(#REF!,#REF!,$D32)</f>
        <v>#REF!</v>
      </c>
      <c r="N32" s="86" t="e">
        <f t="shared" si="2"/>
        <v>#REF!</v>
      </c>
      <c r="P32" s="11" t="e">
        <f>SUMIFS(#REF!,#REF!,D32)</f>
        <v>#REF!</v>
      </c>
      <c r="Q32" s="43" t="e">
        <f t="shared" si="3"/>
        <v>#REF!</v>
      </c>
    </row>
    <row r="33" spans="2:17" x14ac:dyDescent="0.25">
      <c r="B33" s="15" t="s">
        <v>72</v>
      </c>
      <c r="C33" s="16" t="s">
        <v>73</v>
      </c>
      <c r="D33" s="17" t="s">
        <v>82</v>
      </c>
      <c r="E33" s="17" t="s">
        <v>83</v>
      </c>
      <c r="F33" s="44" t="e">
        <f>SUMIFS(#REF!,#REF!,$D33)</f>
        <v>#REF!</v>
      </c>
      <c r="G33" s="44" t="e">
        <f>SUMIFS(#REF!,#REF!,$D33)</f>
        <v>#REF!</v>
      </c>
      <c r="H33" s="44" t="e">
        <f t="shared" si="0"/>
        <v>#REF!</v>
      </c>
      <c r="I33" s="18" t="e">
        <f>SUMIFS(#REF!,#REF!,$D33)*(1+J33)</f>
        <v>#REF!</v>
      </c>
      <c r="J33" s="44" t="e">
        <f>SUMIFS(#REF!,#REF!,$D33)</f>
        <v>#REF!</v>
      </c>
      <c r="K33" s="44" t="e">
        <f>SUMIFS(#REF!,#REF!,$D33)</f>
        <v>#REF!</v>
      </c>
      <c r="L33" s="44" t="e">
        <f t="shared" si="1"/>
        <v>#REF!</v>
      </c>
      <c r="M33" s="18" t="e">
        <f>SUMIFS(#REF!,#REF!,$D33)</f>
        <v>#REF!</v>
      </c>
      <c r="N33" s="87" t="e">
        <f t="shared" si="2"/>
        <v>#REF!</v>
      </c>
      <c r="P33" s="18" t="e">
        <f>SUMIFS(#REF!,#REF!,D33)</f>
        <v>#REF!</v>
      </c>
      <c r="Q33" s="44" t="e">
        <f t="shared" si="3"/>
        <v>#REF!</v>
      </c>
    </row>
    <row r="34" spans="2:17" x14ac:dyDescent="0.25">
      <c r="B34" s="10" t="s">
        <v>84</v>
      </c>
      <c r="C34" s="4" t="s">
        <v>85</v>
      </c>
      <c r="D34" s="4" t="s">
        <v>86</v>
      </c>
      <c r="E34" s="4" t="s">
        <v>87</v>
      </c>
      <c r="F34" s="43" t="e">
        <f>SUMIFS(#REF!,#REF!,$D34)</f>
        <v>#REF!</v>
      </c>
      <c r="G34" s="43" t="e">
        <f>SUMIFS(#REF!,#REF!,$D34)</f>
        <v>#REF!</v>
      </c>
      <c r="H34" s="43" t="e">
        <f t="shared" si="0"/>
        <v>#REF!</v>
      </c>
      <c r="I34" s="11" t="e">
        <f>SUMIFS(#REF!,#REF!,$D34)*(1+J34)</f>
        <v>#REF!</v>
      </c>
      <c r="J34" s="43" t="e">
        <f>SUMIFS(#REF!,#REF!,$D34)</f>
        <v>#REF!</v>
      </c>
      <c r="K34" s="43" t="e">
        <f>SUMIFS(#REF!,#REF!,$D34)</f>
        <v>#REF!</v>
      </c>
      <c r="L34" s="43" t="e">
        <f t="shared" si="1"/>
        <v>#REF!</v>
      </c>
      <c r="M34" s="11" t="e">
        <f>SUMIFS(#REF!,#REF!,$D34)</f>
        <v>#REF!</v>
      </c>
      <c r="N34" s="86" t="e">
        <f t="shared" si="2"/>
        <v>#REF!</v>
      </c>
      <c r="P34" s="11" t="e">
        <f>SUMIFS(#REF!,#REF!,D34)</f>
        <v>#REF!</v>
      </c>
      <c r="Q34" s="43" t="e">
        <f t="shared" si="3"/>
        <v>#REF!</v>
      </c>
    </row>
    <row r="35" spans="2:17" x14ac:dyDescent="0.25">
      <c r="B35" s="13" t="s">
        <v>84</v>
      </c>
      <c r="C35" s="14" t="s">
        <v>85</v>
      </c>
      <c r="D35" s="4" t="s">
        <v>88</v>
      </c>
      <c r="E35" s="4" t="s">
        <v>89</v>
      </c>
      <c r="F35" s="43" t="e">
        <f>SUMIFS(#REF!,#REF!,$D35)</f>
        <v>#REF!</v>
      </c>
      <c r="G35" s="43" t="e">
        <f>SUMIFS(#REF!,#REF!,$D35)</f>
        <v>#REF!</v>
      </c>
      <c r="H35" s="43" t="e">
        <f t="shared" si="0"/>
        <v>#REF!</v>
      </c>
      <c r="I35" s="11" t="e">
        <f>SUMIFS(#REF!,#REF!,$D35)*(1+J35)</f>
        <v>#REF!</v>
      </c>
      <c r="J35" s="43" t="e">
        <f>SUMIFS(#REF!,#REF!,$D35)</f>
        <v>#REF!</v>
      </c>
      <c r="K35" s="43" t="e">
        <f>SUMIFS(#REF!,#REF!,$D35)</f>
        <v>#REF!</v>
      </c>
      <c r="L35" s="43" t="e">
        <f t="shared" si="1"/>
        <v>#REF!</v>
      </c>
      <c r="M35" s="11" t="e">
        <f>SUMIFS(#REF!,#REF!,$D35)</f>
        <v>#REF!</v>
      </c>
      <c r="N35" s="86" t="e">
        <f t="shared" si="2"/>
        <v>#REF!</v>
      </c>
      <c r="P35" s="11" t="e">
        <f>SUMIFS(#REF!,#REF!,D35)</f>
        <v>#REF!</v>
      </c>
      <c r="Q35" s="43" t="e">
        <f t="shared" si="3"/>
        <v>#REF!</v>
      </c>
    </row>
    <row r="36" spans="2:17" x14ac:dyDescent="0.25">
      <c r="B36" s="13" t="s">
        <v>84</v>
      </c>
      <c r="C36" s="14" t="s">
        <v>85</v>
      </c>
      <c r="D36" s="4" t="s">
        <v>90</v>
      </c>
      <c r="E36" s="4" t="s">
        <v>91</v>
      </c>
      <c r="F36" s="43" t="e">
        <f>SUMIFS(#REF!,#REF!,$D36)</f>
        <v>#REF!</v>
      </c>
      <c r="G36" s="43" t="e">
        <f>SUMIFS(#REF!,#REF!,$D36)</f>
        <v>#REF!</v>
      </c>
      <c r="H36" s="43" t="e">
        <f t="shared" si="0"/>
        <v>#REF!</v>
      </c>
      <c r="I36" s="11" t="e">
        <f>SUMIFS(#REF!,#REF!,$D36)*(1+J36)</f>
        <v>#REF!</v>
      </c>
      <c r="J36" s="43" t="e">
        <f>SUMIFS(#REF!,#REF!,$D36)</f>
        <v>#REF!</v>
      </c>
      <c r="K36" s="43" t="e">
        <f>SUMIFS(#REF!,#REF!,$D36)</f>
        <v>#REF!</v>
      </c>
      <c r="L36" s="43" t="e">
        <f t="shared" si="1"/>
        <v>#REF!</v>
      </c>
      <c r="M36" s="11" t="e">
        <f>SUMIFS(#REF!,#REF!,$D36)</f>
        <v>#REF!</v>
      </c>
      <c r="N36" s="86" t="e">
        <f t="shared" si="2"/>
        <v>#REF!</v>
      </c>
      <c r="P36" s="11" t="e">
        <f>SUMIFS(#REF!,#REF!,D36)</f>
        <v>#REF!</v>
      </c>
      <c r="Q36" s="43" t="e">
        <f t="shared" si="3"/>
        <v>#REF!</v>
      </c>
    </row>
    <row r="37" spans="2:17" x14ac:dyDescent="0.25">
      <c r="B37" s="13" t="s">
        <v>84</v>
      </c>
      <c r="C37" s="14" t="s">
        <v>85</v>
      </c>
      <c r="D37" s="4" t="s">
        <v>92</v>
      </c>
      <c r="E37" s="4" t="s">
        <v>93</v>
      </c>
      <c r="F37" s="43" t="e">
        <f>SUMIFS(#REF!,#REF!,$D37)</f>
        <v>#REF!</v>
      </c>
      <c r="G37" s="43" t="e">
        <f>SUMIFS(#REF!,#REF!,$D37)</f>
        <v>#REF!</v>
      </c>
      <c r="H37" s="43" t="e">
        <f t="shared" si="0"/>
        <v>#REF!</v>
      </c>
      <c r="I37" s="11" t="e">
        <f>SUMIFS(#REF!,#REF!,$D37)*(1+J37)</f>
        <v>#REF!</v>
      </c>
      <c r="J37" s="43" t="e">
        <f>SUMIFS(#REF!,#REF!,$D37)</f>
        <v>#REF!</v>
      </c>
      <c r="K37" s="43" t="e">
        <f>SUMIFS(#REF!,#REF!,$D37)</f>
        <v>#REF!</v>
      </c>
      <c r="L37" s="43" t="e">
        <f t="shared" si="1"/>
        <v>#REF!</v>
      </c>
      <c r="M37" s="11" t="e">
        <f>SUMIFS(#REF!,#REF!,$D37)</f>
        <v>#REF!</v>
      </c>
      <c r="N37" s="86" t="e">
        <f t="shared" si="2"/>
        <v>#REF!</v>
      </c>
      <c r="P37" s="11" t="e">
        <f>SUMIFS(#REF!,#REF!,D37)</f>
        <v>#REF!</v>
      </c>
      <c r="Q37" s="43" t="e">
        <f t="shared" si="3"/>
        <v>#REF!</v>
      </c>
    </row>
    <row r="38" spans="2:17" x14ac:dyDescent="0.25">
      <c r="B38" s="13" t="s">
        <v>84</v>
      </c>
      <c r="C38" s="14" t="s">
        <v>85</v>
      </c>
      <c r="D38" s="4" t="s">
        <v>94</v>
      </c>
      <c r="E38" s="4" t="s">
        <v>95</v>
      </c>
      <c r="F38" s="43" t="e">
        <f>SUMIFS(#REF!,#REF!,$D38)</f>
        <v>#REF!</v>
      </c>
      <c r="G38" s="43" t="e">
        <f>SUMIFS(#REF!,#REF!,$D38)</f>
        <v>#REF!</v>
      </c>
      <c r="H38" s="43" t="e">
        <f t="shared" si="0"/>
        <v>#REF!</v>
      </c>
      <c r="I38" s="11" t="e">
        <f>SUMIFS(#REF!,#REF!,$D38)*(1+J38)</f>
        <v>#REF!</v>
      </c>
      <c r="J38" s="43" t="e">
        <f>SUMIFS(#REF!,#REF!,$D38)</f>
        <v>#REF!</v>
      </c>
      <c r="K38" s="43" t="e">
        <f>SUMIFS(#REF!,#REF!,$D38)</f>
        <v>#REF!</v>
      </c>
      <c r="L38" s="43" t="e">
        <f t="shared" si="1"/>
        <v>#REF!</v>
      </c>
      <c r="M38" s="11" t="e">
        <f>SUMIFS(#REF!,#REF!,$D38)</f>
        <v>#REF!</v>
      </c>
      <c r="N38" s="86" t="e">
        <f t="shared" si="2"/>
        <v>#REF!</v>
      </c>
      <c r="P38" s="11" t="e">
        <f>SUMIFS(#REF!,#REF!,D38)</f>
        <v>#REF!</v>
      </c>
      <c r="Q38" s="43" t="e">
        <f t="shared" si="3"/>
        <v>#REF!</v>
      </c>
    </row>
    <row r="39" spans="2:17" x14ac:dyDescent="0.25">
      <c r="B39" s="15" t="s">
        <v>84</v>
      </c>
      <c r="C39" s="16" t="s">
        <v>85</v>
      </c>
      <c r="D39" s="17" t="s">
        <v>96</v>
      </c>
      <c r="E39" s="17" t="s">
        <v>97</v>
      </c>
      <c r="F39" s="44" t="e">
        <f>SUMIFS(#REF!,#REF!,$D39)</f>
        <v>#REF!</v>
      </c>
      <c r="G39" s="44" t="e">
        <f>SUMIFS(#REF!,#REF!,$D39)</f>
        <v>#REF!</v>
      </c>
      <c r="H39" s="44" t="e">
        <f t="shared" si="0"/>
        <v>#REF!</v>
      </c>
      <c r="I39" s="18" t="e">
        <f>SUMIFS(#REF!,#REF!,$D39)*(1+J39)</f>
        <v>#REF!</v>
      </c>
      <c r="J39" s="44" t="e">
        <f>SUMIFS(#REF!,#REF!,$D39)</f>
        <v>#REF!</v>
      </c>
      <c r="K39" s="44" t="e">
        <f>SUMIFS(#REF!,#REF!,$D39)</f>
        <v>#REF!</v>
      </c>
      <c r="L39" s="44" t="e">
        <f t="shared" si="1"/>
        <v>#REF!</v>
      </c>
      <c r="M39" s="18" t="e">
        <f>SUMIFS(#REF!,#REF!,$D39)</f>
        <v>#REF!</v>
      </c>
      <c r="N39" s="87" t="e">
        <f t="shared" si="2"/>
        <v>#REF!</v>
      </c>
      <c r="P39" s="18" t="e">
        <f>SUMIFS(#REF!,#REF!,D39)</f>
        <v>#REF!</v>
      </c>
      <c r="Q39" s="44" t="e">
        <f t="shared" si="3"/>
        <v>#REF!</v>
      </c>
    </row>
    <row r="40" spans="2:17" x14ac:dyDescent="0.25">
      <c r="B40" s="10" t="s">
        <v>98</v>
      </c>
      <c r="C40" s="4" t="s">
        <v>99</v>
      </c>
      <c r="D40" s="4" t="s">
        <v>100</v>
      </c>
      <c r="E40" s="4" t="s">
        <v>101</v>
      </c>
      <c r="F40" s="43" t="e">
        <f>SUMIFS(#REF!,#REF!,$D40)</f>
        <v>#REF!</v>
      </c>
      <c r="G40" s="43" t="e">
        <f>SUMIFS(#REF!,#REF!,$D40)</f>
        <v>#REF!</v>
      </c>
      <c r="H40" s="43" t="e">
        <f t="shared" si="0"/>
        <v>#REF!</v>
      </c>
      <c r="I40" s="11" t="e">
        <f>SUMIFS(#REF!,#REF!,$D40)*(1+J40)</f>
        <v>#REF!</v>
      </c>
      <c r="J40" s="43" t="e">
        <f>SUMIFS(#REF!,#REF!,$D40)</f>
        <v>#REF!</v>
      </c>
      <c r="K40" s="43" t="e">
        <f>SUMIFS(#REF!,#REF!,$D40)</f>
        <v>#REF!</v>
      </c>
      <c r="L40" s="43" t="e">
        <f t="shared" si="1"/>
        <v>#REF!</v>
      </c>
      <c r="M40" s="11" t="e">
        <f>SUMIFS(#REF!,#REF!,$D40)</f>
        <v>#REF!</v>
      </c>
      <c r="N40" s="86" t="e">
        <f t="shared" si="2"/>
        <v>#REF!</v>
      </c>
      <c r="P40" s="11" t="e">
        <f>SUMIFS(#REF!,#REF!,D40)</f>
        <v>#REF!</v>
      </c>
      <c r="Q40" s="43" t="e">
        <f t="shared" si="3"/>
        <v>#REF!</v>
      </c>
    </row>
    <row r="41" spans="2:17" x14ac:dyDescent="0.25">
      <c r="B41" s="13" t="s">
        <v>98</v>
      </c>
      <c r="C41" s="14" t="s">
        <v>99</v>
      </c>
      <c r="D41" s="4" t="s">
        <v>102</v>
      </c>
      <c r="E41" s="4" t="s">
        <v>103</v>
      </c>
      <c r="F41" s="43" t="e">
        <f>SUMIFS(#REF!,#REF!,$D41)</f>
        <v>#REF!</v>
      </c>
      <c r="G41" s="43" t="e">
        <f>SUMIFS(#REF!,#REF!,$D41)</f>
        <v>#REF!</v>
      </c>
      <c r="H41" s="43" t="e">
        <f t="shared" si="0"/>
        <v>#REF!</v>
      </c>
      <c r="I41" s="11" t="e">
        <f>SUMIFS(#REF!,#REF!,$D41)*(1+J41)</f>
        <v>#REF!</v>
      </c>
      <c r="J41" s="43" t="e">
        <f>SUMIFS(#REF!,#REF!,$D41)</f>
        <v>#REF!</v>
      </c>
      <c r="K41" s="43" t="e">
        <f>SUMIFS(#REF!,#REF!,$D41)</f>
        <v>#REF!</v>
      </c>
      <c r="L41" s="43" t="e">
        <f t="shared" si="1"/>
        <v>#REF!</v>
      </c>
      <c r="M41" s="11" t="e">
        <f>SUMIFS(#REF!,#REF!,$D41)</f>
        <v>#REF!</v>
      </c>
      <c r="N41" s="86" t="e">
        <f t="shared" si="2"/>
        <v>#REF!</v>
      </c>
      <c r="P41" s="11" t="e">
        <f>SUMIFS(#REF!,#REF!,D41)</f>
        <v>#REF!</v>
      </c>
      <c r="Q41" s="43" t="e">
        <f t="shared" si="3"/>
        <v>#REF!</v>
      </c>
    </row>
    <row r="42" spans="2:17" x14ac:dyDescent="0.25">
      <c r="B42" s="13" t="s">
        <v>98</v>
      </c>
      <c r="C42" s="14" t="s">
        <v>99</v>
      </c>
      <c r="D42" s="4" t="s">
        <v>104</v>
      </c>
      <c r="E42" s="4" t="s">
        <v>105</v>
      </c>
      <c r="F42" s="43" t="e">
        <f>SUMIFS(#REF!,#REF!,$D42)</f>
        <v>#REF!</v>
      </c>
      <c r="G42" s="43" t="e">
        <f>SUMIFS(#REF!,#REF!,$D42)</f>
        <v>#REF!</v>
      </c>
      <c r="H42" s="43" t="e">
        <f t="shared" si="0"/>
        <v>#REF!</v>
      </c>
      <c r="I42" s="11" t="e">
        <f>SUMIFS(#REF!,#REF!,$D42)*(1+J42)</f>
        <v>#REF!</v>
      </c>
      <c r="J42" s="43" t="e">
        <f>SUMIFS(#REF!,#REF!,$D42)</f>
        <v>#REF!</v>
      </c>
      <c r="K42" s="43" t="e">
        <f>SUMIFS(#REF!,#REF!,$D42)</f>
        <v>#REF!</v>
      </c>
      <c r="L42" s="43" t="e">
        <f t="shared" si="1"/>
        <v>#REF!</v>
      </c>
      <c r="M42" s="11" t="e">
        <f>SUMIFS(#REF!,#REF!,$D42)</f>
        <v>#REF!</v>
      </c>
      <c r="N42" s="86" t="e">
        <f t="shared" si="2"/>
        <v>#REF!</v>
      </c>
      <c r="P42" s="11" t="e">
        <f>SUMIFS(#REF!,#REF!,D42)</f>
        <v>#REF!</v>
      </c>
      <c r="Q42" s="43" t="e">
        <f t="shared" si="3"/>
        <v>#REF!</v>
      </c>
    </row>
    <row r="43" spans="2:17" x14ac:dyDescent="0.25">
      <c r="B43" s="13" t="s">
        <v>98</v>
      </c>
      <c r="C43" s="14" t="s">
        <v>99</v>
      </c>
      <c r="D43" s="4" t="s">
        <v>106</v>
      </c>
      <c r="E43" s="4" t="s">
        <v>107</v>
      </c>
      <c r="F43" s="43" t="e">
        <f>SUMIFS(#REF!,#REF!,$D43)</f>
        <v>#REF!</v>
      </c>
      <c r="G43" s="43" t="e">
        <f>SUMIFS(#REF!,#REF!,$D43)</f>
        <v>#REF!</v>
      </c>
      <c r="H43" s="43" t="e">
        <f t="shared" si="0"/>
        <v>#REF!</v>
      </c>
      <c r="I43" s="11" t="e">
        <f>SUMIFS(#REF!,#REF!,$D43)*(1+J43)</f>
        <v>#REF!</v>
      </c>
      <c r="J43" s="43" t="e">
        <f>SUMIFS(#REF!,#REF!,$D43)</f>
        <v>#REF!</v>
      </c>
      <c r="K43" s="43" t="e">
        <f>SUMIFS(#REF!,#REF!,$D43)</f>
        <v>#REF!</v>
      </c>
      <c r="L43" s="43" t="e">
        <f t="shared" si="1"/>
        <v>#REF!</v>
      </c>
      <c r="M43" s="11" t="e">
        <f>SUMIFS(#REF!,#REF!,$D43)</f>
        <v>#REF!</v>
      </c>
      <c r="N43" s="86" t="e">
        <f t="shared" si="2"/>
        <v>#REF!</v>
      </c>
      <c r="P43" s="11" t="e">
        <f>SUMIFS(#REF!,#REF!,D43)</f>
        <v>#REF!</v>
      </c>
      <c r="Q43" s="43" t="e">
        <f t="shared" si="3"/>
        <v>#REF!</v>
      </c>
    </row>
    <row r="44" spans="2:17" x14ac:dyDescent="0.25">
      <c r="B44" s="13" t="s">
        <v>98</v>
      </c>
      <c r="C44" s="14" t="s">
        <v>99</v>
      </c>
      <c r="D44" s="4" t="s">
        <v>108</v>
      </c>
      <c r="E44" s="4" t="s">
        <v>109</v>
      </c>
      <c r="F44" s="43" t="e">
        <f>SUMIFS(#REF!,#REF!,$D44)</f>
        <v>#REF!</v>
      </c>
      <c r="G44" s="43" t="e">
        <f>SUMIFS(#REF!,#REF!,$D44)</f>
        <v>#REF!</v>
      </c>
      <c r="H44" s="43" t="e">
        <f t="shared" si="0"/>
        <v>#REF!</v>
      </c>
      <c r="I44" s="11" t="e">
        <f>SUMIFS(#REF!,#REF!,$D44)*(1+J44)</f>
        <v>#REF!</v>
      </c>
      <c r="J44" s="43" t="e">
        <f>SUMIFS(#REF!,#REF!,$D44)</f>
        <v>#REF!</v>
      </c>
      <c r="K44" s="43" t="e">
        <f>SUMIFS(#REF!,#REF!,$D44)</f>
        <v>#REF!</v>
      </c>
      <c r="L44" s="43" t="e">
        <f t="shared" si="1"/>
        <v>#REF!</v>
      </c>
      <c r="M44" s="11" t="e">
        <f>SUMIFS(#REF!,#REF!,$D44)</f>
        <v>#REF!</v>
      </c>
      <c r="N44" s="86" t="e">
        <f t="shared" si="2"/>
        <v>#REF!</v>
      </c>
      <c r="P44" s="11" t="e">
        <f>SUMIFS(#REF!,#REF!,D44)</f>
        <v>#REF!</v>
      </c>
      <c r="Q44" s="43" t="e">
        <f t="shared" si="3"/>
        <v>#REF!</v>
      </c>
    </row>
    <row r="45" spans="2:17" x14ac:dyDescent="0.25">
      <c r="B45" s="13" t="s">
        <v>98</v>
      </c>
      <c r="C45" s="14" t="s">
        <v>99</v>
      </c>
      <c r="D45" s="4" t="s">
        <v>110</v>
      </c>
      <c r="E45" s="4" t="s">
        <v>111</v>
      </c>
      <c r="F45" s="43" t="e">
        <f>SUMIFS(#REF!,#REF!,$D45)</f>
        <v>#REF!</v>
      </c>
      <c r="G45" s="43" t="e">
        <f>SUMIFS(#REF!,#REF!,$D45)</f>
        <v>#REF!</v>
      </c>
      <c r="H45" s="43" t="e">
        <f t="shared" si="0"/>
        <v>#REF!</v>
      </c>
      <c r="I45" s="11" t="e">
        <f>SUMIFS(#REF!,#REF!,$D45)*(1+J45)</f>
        <v>#REF!</v>
      </c>
      <c r="J45" s="43" t="e">
        <f>SUMIFS(#REF!,#REF!,$D45)</f>
        <v>#REF!</v>
      </c>
      <c r="K45" s="43" t="e">
        <f>SUMIFS(#REF!,#REF!,$D45)</f>
        <v>#REF!</v>
      </c>
      <c r="L45" s="43" t="e">
        <f t="shared" si="1"/>
        <v>#REF!</v>
      </c>
      <c r="M45" s="11" t="e">
        <f>SUMIFS(#REF!,#REF!,$D45)</f>
        <v>#REF!</v>
      </c>
      <c r="N45" s="86" t="e">
        <f t="shared" si="2"/>
        <v>#REF!</v>
      </c>
      <c r="P45" s="11" t="e">
        <f>SUMIFS(#REF!,#REF!,D45)</f>
        <v>#REF!</v>
      </c>
      <c r="Q45" s="43" t="e">
        <f t="shared" si="3"/>
        <v>#REF!</v>
      </c>
    </row>
    <row r="46" spans="2:17" x14ac:dyDescent="0.25">
      <c r="B46" s="13" t="s">
        <v>98</v>
      </c>
      <c r="C46" s="14" t="s">
        <v>99</v>
      </c>
      <c r="D46" s="4" t="s">
        <v>112</v>
      </c>
      <c r="E46" s="4" t="s">
        <v>113</v>
      </c>
      <c r="F46" s="43" t="e">
        <f>SUMIFS(#REF!,#REF!,$D46)</f>
        <v>#REF!</v>
      </c>
      <c r="G46" s="43" t="e">
        <f>SUMIFS(#REF!,#REF!,$D46)</f>
        <v>#REF!</v>
      </c>
      <c r="H46" s="43" t="e">
        <f t="shared" si="0"/>
        <v>#REF!</v>
      </c>
      <c r="I46" s="11" t="e">
        <f>SUMIFS(#REF!,#REF!,$D46)*(1+J46)</f>
        <v>#REF!</v>
      </c>
      <c r="J46" s="43" t="e">
        <f>SUMIFS(#REF!,#REF!,$D46)</f>
        <v>#REF!</v>
      </c>
      <c r="K46" s="43" t="e">
        <f>SUMIFS(#REF!,#REF!,$D46)</f>
        <v>#REF!</v>
      </c>
      <c r="L46" s="43" t="e">
        <f t="shared" si="1"/>
        <v>#REF!</v>
      </c>
      <c r="M46" s="11" t="e">
        <f>SUMIFS(#REF!,#REF!,$D46)</f>
        <v>#REF!</v>
      </c>
      <c r="N46" s="86" t="e">
        <f t="shared" si="2"/>
        <v>#REF!</v>
      </c>
      <c r="P46" s="11" t="e">
        <f>SUMIFS(#REF!,#REF!,D46)</f>
        <v>#REF!</v>
      </c>
      <c r="Q46" s="43" t="e">
        <f t="shared" si="3"/>
        <v>#REF!</v>
      </c>
    </row>
    <row r="47" spans="2:17" x14ac:dyDescent="0.25">
      <c r="B47" s="4"/>
      <c r="C47" s="4"/>
      <c r="D47" s="4"/>
      <c r="E47" s="4"/>
    </row>
    <row r="48" spans="2:17" x14ac:dyDescent="0.25">
      <c r="B48" s="4"/>
      <c r="C48" s="4"/>
      <c r="D48" s="4"/>
      <c r="E48" s="4"/>
    </row>
    <row r="49" spans="2:17" ht="76.5" x14ac:dyDescent="0.25">
      <c r="B49" s="4"/>
      <c r="C49" s="5" t="s">
        <v>114</v>
      </c>
      <c r="D49" s="5" t="s">
        <v>13</v>
      </c>
      <c r="E49" s="5" t="s">
        <v>14</v>
      </c>
      <c r="F49" s="42" t="s">
        <v>127</v>
      </c>
      <c r="G49" s="42" t="s">
        <v>128</v>
      </c>
      <c r="H49" s="42" t="s">
        <v>129</v>
      </c>
      <c r="I49" s="42" t="s">
        <v>130</v>
      </c>
      <c r="J49" s="42" t="s">
        <v>131</v>
      </c>
      <c r="K49" s="42" t="s">
        <v>132</v>
      </c>
      <c r="L49" s="42" t="s">
        <v>133</v>
      </c>
      <c r="M49" s="42" t="s">
        <v>134</v>
      </c>
      <c r="N49" s="42" t="s">
        <v>135</v>
      </c>
      <c r="P49" s="42" t="s">
        <v>136</v>
      </c>
      <c r="Q49" s="42" t="s">
        <v>137</v>
      </c>
    </row>
    <row r="50" spans="2:17" x14ac:dyDescent="0.25">
      <c r="B50" s="4"/>
      <c r="C50" s="21">
        <v>1</v>
      </c>
      <c r="D50" s="22" t="s">
        <v>17</v>
      </c>
      <c r="E50" s="22" t="s">
        <v>18</v>
      </c>
      <c r="F50" s="45"/>
      <c r="G50" s="45"/>
      <c r="H50" s="45"/>
      <c r="I50" s="23" t="e">
        <f t="shared" ref="I50:I56" si="4">SUMIFS(I$5:I$46,$B$5:$B$46,$D50)</f>
        <v>#REF!</v>
      </c>
      <c r="J50" s="45"/>
      <c r="K50" s="45"/>
      <c r="L50" s="45"/>
      <c r="M50" s="23" t="e">
        <f t="shared" ref="M50:P56" si="5">SUMIFS(M$5:M$46,$B$5:$B$46,$D50)</f>
        <v>#REF!</v>
      </c>
      <c r="N50" s="88" t="e">
        <f t="shared" si="5"/>
        <v>#REF!</v>
      </c>
      <c r="P50" s="23" t="e">
        <f t="shared" si="5"/>
        <v>#REF!</v>
      </c>
      <c r="Q50" s="45" t="e">
        <f t="shared" ref="Q50:Q57" si="6">N50/P50</f>
        <v>#REF!</v>
      </c>
    </row>
    <row r="51" spans="2:17" x14ac:dyDescent="0.25">
      <c r="B51" s="4"/>
      <c r="C51" s="21">
        <v>2</v>
      </c>
      <c r="D51" s="22" t="s">
        <v>27</v>
      </c>
      <c r="E51" s="22" t="s">
        <v>28</v>
      </c>
      <c r="F51" s="45"/>
      <c r="G51" s="45"/>
      <c r="H51" s="45"/>
      <c r="I51" s="23" t="e">
        <f t="shared" si="4"/>
        <v>#REF!</v>
      </c>
      <c r="J51" s="45"/>
      <c r="K51" s="45"/>
      <c r="L51" s="45"/>
      <c r="M51" s="23" t="e">
        <f t="shared" si="5"/>
        <v>#REF!</v>
      </c>
      <c r="N51" s="88" t="e">
        <f t="shared" si="5"/>
        <v>#REF!</v>
      </c>
      <c r="P51" s="23" t="e">
        <f t="shared" si="5"/>
        <v>#REF!</v>
      </c>
      <c r="Q51" s="45" t="e">
        <f t="shared" si="6"/>
        <v>#REF!</v>
      </c>
    </row>
    <row r="52" spans="2:17" x14ac:dyDescent="0.25">
      <c r="B52" s="4"/>
      <c r="C52" s="21">
        <v>3</v>
      </c>
      <c r="D52" s="22" t="s">
        <v>34</v>
      </c>
      <c r="E52" s="22" t="s">
        <v>35</v>
      </c>
      <c r="F52" s="45"/>
      <c r="G52" s="45"/>
      <c r="H52" s="45"/>
      <c r="I52" s="23" t="e">
        <f t="shared" si="4"/>
        <v>#REF!</v>
      </c>
      <c r="J52" s="45"/>
      <c r="K52" s="45"/>
      <c r="L52" s="45"/>
      <c r="M52" s="23" t="e">
        <f t="shared" si="5"/>
        <v>#REF!</v>
      </c>
      <c r="N52" s="88" t="e">
        <f t="shared" si="5"/>
        <v>#REF!</v>
      </c>
      <c r="P52" s="23" t="e">
        <f t="shared" si="5"/>
        <v>#REF!</v>
      </c>
      <c r="Q52" s="45" t="e">
        <f t="shared" si="6"/>
        <v>#REF!</v>
      </c>
    </row>
    <row r="53" spans="2:17" x14ac:dyDescent="0.25">
      <c r="B53" s="4"/>
      <c r="C53" s="21">
        <v>4</v>
      </c>
      <c r="D53" s="22" t="s">
        <v>58</v>
      </c>
      <c r="E53" s="22" t="s">
        <v>59</v>
      </c>
      <c r="F53" s="45"/>
      <c r="G53" s="45"/>
      <c r="H53" s="45"/>
      <c r="I53" s="23" t="e">
        <f t="shared" si="4"/>
        <v>#REF!</v>
      </c>
      <c r="J53" s="45"/>
      <c r="K53" s="45"/>
      <c r="L53" s="45"/>
      <c r="M53" s="23" t="e">
        <f t="shared" si="5"/>
        <v>#REF!</v>
      </c>
      <c r="N53" s="88" t="e">
        <f t="shared" si="5"/>
        <v>#REF!</v>
      </c>
      <c r="P53" s="23" t="e">
        <f t="shared" si="5"/>
        <v>#REF!</v>
      </c>
      <c r="Q53" s="45" t="e">
        <f t="shared" si="6"/>
        <v>#REF!</v>
      </c>
    </row>
    <row r="54" spans="2:17" x14ac:dyDescent="0.25">
      <c r="B54" s="4"/>
      <c r="C54" s="21">
        <v>5</v>
      </c>
      <c r="D54" s="22" t="s">
        <v>72</v>
      </c>
      <c r="E54" s="22" t="s">
        <v>73</v>
      </c>
      <c r="F54" s="45"/>
      <c r="G54" s="45"/>
      <c r="H54" s="45"/>
      <c r="I54" s="23" t="e">
        <f t="shared" si="4"/>
        <v>#REF!</v>
      </c>
      <c r="J54" s="45"/>
      <c r="K54" s="45"/>
      <c r="L54" s="45"/>
      <c r="M54" s="23" t="e">
        <f t="shared" si="5"/>
        <v>#REF!</v>
      </c>
      <c r="N54" s="88" t="e">
        <f t="shared" si="5"/>
        <v>#REF!</v>
      </c>
      <c r="P54" s="23" t="e">
        <f t="shared" si="5"/>
        <v>#REF!</v>
      </c>
      <c r="Q54" s="45" t="e">
        <f t="shared" si="6"/>
        <v>#REF!</v>
      </c>
    </row>
    <row r="55" spans="2:17" x14ac:dyDescent="0.25">
      <c r="B55" s="4"/>
      <c r="C55" s="21">
        <v>6</v>
      </c>
      <c r="D55" s="22" t="s">
        <v>84</v>
      </c>
      <c r="E55" s="22" t="s">
        <v>85</v>
      </c>
      <c r="F55" s="45"/>
      <c r="G55" s="45"/>
      <c r="H55" s="45"/>
      <c r="I55" s="23" t="e">
        <f t="shared" si="4"/>
        <v>#REF!</v>
      </c>
      <c r="J55" s="45"/>
      <c r="K55" s="45"/>
      <c r="L55" s="45"/>
      <c r="M55" s="23" t="e">
        <f t="shared" si="5"/>
        <v>#REF!</v>
      </c>
      <c r="N55" s="88" t="e">
        <f t="shared" si="5"/>
        <v>#REF!</v>
      </c>
      <c r="P55" s="23" t="e">
        <f t="shared" si="5"/>
        <v>#REF!</v>
      </c>
      <c r="Q55" s="45" t="e">
        <f t="shared" si="6"/>
        <v>#REF!</v>
      </c>
    </row>
    <row r="56" spans="2:17" x14ac:dyDescent="0.25">
      <c r="B56" s="4"/>
      <c r="C56" s="21">
        <v>7</v>
      </c>
      <c r="D56" s="22" t="s">
        <v>98</v>
      </c>
      <c r="E56" s="22" t="s">
        <v>99</v>
      </c>
      <c r="F56" s="45"/>
      <c r="G56" s="45"/>
      <c r="H56" s="45"/>
      <c r="I56" s="23" t="e">
        <f t="shared" si="4"/>
        <v>#REF!</v>
      </c>
      <c r="J56" s="45"/>
      <c r="K56" s="45"/>
      <c r="L56" s="45"/>
      <c r="M56" s="23" t="e">
        <f t="shared" si="5"/>
        <v>#REF!</v>
      </c>
      <c r="N56" s="88" t="e">
        <f t="shared" si="5"/>
        <v>#REF!</v>
      </c>
      <c r="P56" s="23" t="e">
        <f t="shared" si="5"/>
        <v>#REF!</v>
      </c>
      <c r="Q56" s="45" t="e">
        <f t="shared" si="6"/>
        <v>#REF!</v>
      </c>
    </row>
    <row r="57" spans="2:17" x14ac:dyDescent="0.25">
      <c r="B57" s="22"/>
      <c r="C57" s="37"/>
      <c r="D57" s="38" t="s">
        <v>115</v>
      </c>
      <c r="E57" s="38" t="s">
        <v>116</v>
      </c>
      <c r="F57" s="46"/>
      <c r="G57" s="46"/>
      <c r="H57" s="46"/>
      <c r="I57" s="33" t="e">
        <f>SUM(I50:I56)</f>
        <v>#REF!</v>
      </c>
      <c r="J57" s="46"/>
      <c r="K57" s="46"/>
      <c r="L57" s="46"/>
      <c r="M57" s="33" t="e">
        <f>SUM(M50:M56)</f>
        <v>#REF!</v>
      </c>
      <c r="N57" s="89" t="e">
        <f>SUM(N50:N56)</f>
        <v>#REF!</v>
      </c>
      <c r="P57" s="33" t="e">
        <f>SUM(P50:P56)</f>
        <v>#REF!</v>
      </c>
      <c r="Q57" s="46" t="e">
        <f t="shared" si="6"/>
        <v>#REF!</v>
      </c>
    </row>
    <row r="59" spans="2:17" x14ac:dyDescent="0.25">
      <c r="I59" t="s">
        <v>138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1375-1B70-48BB-BB9A-0188578E28B0}">
  <sheetPr codeName="Sheet6">
    <tabColor rgb="FF00B050"/>
  </sheetPr>
  <dimension ref="A1:X57"/>
  <sheetViews>
    <sheetView tabSelected="1" workbookViewId="0"/>
  </sheetViews>
  <sheetFormatPr defaultRowHeight="15" x14ac:dyDescent="0.25"/>
  <cols>
    <col min="1" max="1" width="4.5703125" style="4" customWidth="1"/>
    <col min="2" max="2" width="22.7109375" style="4" customWidth="1"/>
    <col min="3" max="3" width="6.7109375" style="4" customWidth="1"/>
    <col min="4" max="4" width="54.7109375" style="4" customWidth="1"/>
    <col min="5" max="18" width="12.5703125" style="4" customWidth="1"/>
  </cols>
  <sheetData>
    <row r="1" spans="1:24" ht="25.5" x14ac:dyDescent="0.35">
      <c r="A1" s="1" t="s">
        <v>12</v>
      </c>
      <c r="B1" s="2"/>
      <c r="C1" s="2"/>
      <c r="D1" s="2"/>
      <c r="E1" s="527" t="s">
        <v>139</v>
      </c>
      <c r="F1" s="34"/>
      <c r="G1" s="34"/>
      <c r="H1" s="34"/>
      <c r="I1" s="34"/>
      <c r="J1" s="34"/>
      <c r="K1" s="34"/>
      <c r="L1" s="34"/>
      <c r="M1" s="34"/>
      <c r="N1" s="34"/>
      <c r="O1" s="34"/>
      <c r="P1" s="34"/>
      <c r="Q1" s="34"/>
      <c r="R1" s="35"/>
    </row>
    <row r="2" spans="1:24" x14ac:dyDescent="0.25">
      <c r="A2" s="3"/>
    </row>
    <row r="3" spans="1:24" ht="76.5" x14ac:dyDescent="0.25">
      <c r="A3" s="25" t="s">
        <v>13</v>
      </c>
      <c r="B3" s="26" t="s">
        <v>14</v>
      </c>
      <c r="C3" s="26" t="s">
        <v>15</v>
      </c>
      <c r="D3" s="26" t="s">
        <v>16</v>
      </c>
      <c r="E3" s="27" t="s">
        <v>140</v>
      </c>
      <c r="F3" s="28" t="s">
        <v>141</v>
      </c>
      <c r="G3" s="28" t="s">
        <v>1208</v>
      </c>
      <c r="H3" s="28" t="s">
        <v>1209</v>
      </c>
      <c r="I3" s="28" t="s">
        <v>1210</v>
      </c>
      <c r="J3" s="28" t="s">
        <v>1207</v>
      </c>
      <c r="K3" s="28" t="s">
        <v>1205</v>
      </c>
      <c r="L3" s="28" t="s">
        <v>1206</v>
      </c>
      <c r="M3" s="28" t="s">
        <v>1202</v>
      </c>
      <c r="N3" s="28" t="s">
        <v>1216</v>
      </c>
      <c r="O3" s="28" t="s">
        <v>1211</v>
      </c>
      <c r="P3" s="28" t="s">
        <v>1215</v>
      </c>
      <c r="Q3" s="29" t="s">
        <v>142</v>
      </c>
      <c r="R3" s="30" t="s">
        <v>1204</v>
      </c>
    </row>
    <row r="4" spans="1:24" x14ac:dyDescent="0.25">
      <c r="A4" s="5"/>
      <c r="B4" s="5"/>
      <c r="C4" s="5"/>
      <c r="D4" s="5"/>
      <c r="E4" s="6"/>
      <c r="F4" s="7"/>
      <c r="G4" s="7"/>
      <c r="H4" s="7"/>
      <c r="I4" s="7"/>
      <c r="J4" s="7"/>
      <c r="K4" s="7"/>
      <c r="L4" s="7"/>
      <c r="M4" s="7"/>
      <c r="N4" s="7"/>
      <c r="O4" s="8"/>
      <c r="P4" s="8"/>
      <c r="Q4" s="8"/>
      <c r="R4" s="9"/>
    </row>
    <row r="5" spans="1:24" x14ac:dyDescent="0.25">
      <c r="A5" s="10" t="s">
        <v>17</v>
      </c>
      <c r="B5" s="4" t="s">
        <v>18</v>
      </c>
      <c r="C5" s="4" t="s">
        <v>19</v>
      </c>
      <c r="D5" s="4" t="s">
        <v>20</v>
      </c>
      <c r="E5" s="11">
        <v>2964813</v>
      </c>
      <c r="F5" s="12">
        <v>12571.776127262896</v>
      </c>
      <c r="G5" s="12">
        <v>42992.117441370123</v>
      </c>
      <c r="H5" s="12">
        <v>18511.406951689722</v>
      </c>
      <c r="I5" s="12">
        <v>9662.1285819346122</v>
      </c>
      <c r="J5" s="12">
        <v>621</v>
      </c>
      <c r="K5" s="12">
        <v>0</v>
      </c>
      <c r="L5" s="12">
        <v>-53</v>
      </c>
      <c r="M5" s="12">
        <v>0</v>
      </c>
      <c r="N5" s="12">
        <v>0</v>
      </c>
      <c r="O5" s="12">
        <v>0</v>
      </c>
      <c r="P5" s="12">
        <v>0</v>
      </c>
      <c r="Q5" s="12">
        <v>3049118.4291022574</v>
      </c>
      <c r="R5" s="12">
        <v>1714.4131697946223</v>
      </c>
      <c r="U5" s="58"/>
      <c r="X5" s="58"/>
    </row>
    <row r="6" spans="1:24" x14ac:dyDescent="0.25">
      <c r="A6" s="13" t="s">
        <v>17</v>
      </c>
      <c r="B6" s="14" t="s">
        <v>18</v>
      </c>
      <c r="C6" s="4" t="s">
        <v>21</v>
      </c>
      <c r="D6" s="4" t="s">
        <v>22</v>
      </c>
      <c r="E6" s="11">
        <v>5847059</v>
      </c>
      <c r="F6" s="12">
        <v>24793.441188667774</v>
      </c>
      <c r="G6" s="12">
        <v>86671.057020430249</v>
      </c>
      <c r="H6" s="12">
        <v>36462.835297592508</v>
      </c>
      <c r="I6" s="12">
        <v>19055.176796701176</v>
      </c>
      <c r="J6" s="12">
        <v>2216</v>
      </c>
      <c r="K6" s="12">
        <v>0</v>
      </c>
      <c r="L6" s="12">
        <v>0</v>
      </c>
      <c r="M6" s="12">
        <v>46</v>
      </c>
      <c r="N6" s="12">
        <v>0</v>
      </c>
      <c r="O6" s="12">
        <v>-117</v>
      </c>
      <c r="P6" s="12">
        <v>0</v>
      </c>
      <c r="Q6" s="12">
        <v>6016186.5103033921</v>
      </c>
      <c r="R6" s="12">
        <v>1906.393660989813</v>
      </c>
      <c r="U6" s="58"/>
      <c r="X6" s="58"/>
    </row>
    <row r="7" spans="1:24" x14ac:dyDescent="0.25">
      <c r="A7" s="13" t="s">
        <v>17</v>
      </c>
      <c r="B7" s="14" t="s">
        <v>18</v>
      </c>
      <c r="C7" s="4" t="s">
        <v>23</v>
      </c>
      <c r="D7" s="4" t="s">
        <v>24</v>
      </c>
      <c r="E7" s="11">
        <v>2551658</v>
      </c>
      <c r="F7" s="12">
        <v>10819.863893385313</v>
      </c>
      <c r="G7" s="12">
        <v>38307.843274300882</v>
      </c>
      <c r="H7" s="12">
        <v>15922.685089404069</v>
      </c>
      <c r="I7" s="12">
        <v>8315.6838873554952</v>
      </c>
      <c r="J7" s="12">
        <v>640</v>
      </c>
      <c r="K7" s="12">
        <v>0</v>
      </c>
      <c r="L7" s="12">
        <v>-18</v>
      </c>
      <c r="M7" s="12">
        <v>0</v>
      </c>
      <c r="N7" s="12">
        <v>0</v>
      </c>
      <c r="O7" s="12">
        <v>0</v>
      </c>
      <c r="P7" s="12">
        <v>0</v>
      </c>
      <c r="Q7" s="12">
        <v>2625646.0761444462</v>
      </c>
      <c r="R7" s="12">
        <v>1765.0364057323163</v>
      </c>
      <c r="U7" s="58"/>
      <c r="X7" s="58"/>
    </row>
    <row r="8" spans="1:24" x14ac:dyDescent="0.25">
      <c r="A8" s="15" t="s">
        <v>17</v>
      </c>
      <c r="B8" s="16" t="s">
        <v>18</v>
      </c>
      <c r="C8" s="17" t="s">
        <v>25</v>
      </c>
      <c r="D8" s="17" t="s">
        <v>26</v>
      </c>
      <c r="E8" s="18">
        <v>4287503</v>
      </c>
      <c r="F8" s="19">
        <v>18180.414029811676</v>
      </c>
      <c r="G8" s="19">
        <v>63818.856864097193</v>
      </c>
      <c r="H8" s="19">
        <v>26760.633103159471</v>
      </c>
      <c r="I8" s="19">
        <v>13972.687411121846</v>
      </c>
      <c r="J8" s="19">
        <v>2228</v>
      </c>
      <c r="K8" s="19">
        <v>0</v>
      </c>
      <c r="L8" s="19">
        <v>0</v>
      </c>
      <c r="M8" s="19">
        <v>0</v>
      </c>
      <c r="N8" s="19">
        <v>0</v>
      </c>
      <c r="O8" s="19">
        <v>0</v>
      </c>
      <c r="P8" s="19">
        <v>0</v>
      </c>
      <c r="Q8" s="19">
        <v>4412463.5914081903</v>
      </c>
      <c r="R8" s="19">
        <v>1677.8062789634369</v>
      </c>
      <c r="U8" s="58"/>
      <c r="X8" s="58"/>
    </row>
    <row r="9" spans="1:24" x14ac:dyDescent="0.25">
      <c r="A9" s="10" t="s">
        <v>27</v>
      </c>
      <c r="B9" s="4" t="s">
        <v>28</v>
      </c>
      <c r="C9" s="4" t="s">
        <v>29</v>
      </c>
      <c r="D9" s="4" t="s">
        <v>30</v>
      </c>
      <c r="E9" s="11">
        <v>5132495</v>
      </c>
      <c r="F9" s="12">
        <v>21763.454564104981</v>
      </c>
      <c r="G9" s="12">
        <v>76413.370050696496</v>
      </c>
      <c r="H9" s="12">
        <v>32045.410549176871</v>
      </c>
      <c r="I9" s="12">
        <v>16726.460197029792</v>
      </c>
      <c r="J9" s="12">
        <v>2660</v>
      </c>
      <c r="K9" s="12">
        <v>0</v>
      </c>
      <c r="L9" s="12">
        <v>0</v>
      </c>
      <c r="M9" s="12">
        <v>0</v>
      </c>
      <c r="N9" s="12">
        <v>0</v>
      </c>
      <c r="O9" s="12">
        <v>0</v>
      </c>
      <c r="P9" s="12">
        <v>0</v>
      </c>
      <c r="Q9" s="12">
        <v>5282103.6953610079</v>
      </c>
      <c r="R9" s="12">
        <v>1936.2583639374348</v>
      </c>
      <c r="U9" s="58"/>
      <c r="X9" s="58"/>
    </row>
    <row r="10" spans="1:24" x14ac:dyDescent="0.25">
      <c r="A10" s="13" t="s">
        <v>27</v>
      </c>
      <c r="B10" s="14" t="s">
        <v>28</v>
      </c>
      <c r="C10" s="4" t="s">
        <v>31</v>
      </c>
      <c r="D10" s="4" t="s">
        <v>8</v>
      </c>
      <c r="E10" s="11">
        <v>5498738</v>
      </c>
      <c r="F10" s="12">
        <v>23316.444462764699</v>
      </c>
      <c r="G10" s="12">
        <v>82351.580657052138</v>
      </c>
      <c r="H10" s="12">
        <v>34320.10451324474</v>
      </c>
      <c r="I10" s="12">
        <v>17920.02180048791</v>
      </c>
      <c r="J10" s="12">
        <v>2839</v>
      </c>
      <c r="K10" s="12">
        <v>0</v>
      </c>
      <c r="L10" s="12">
        <v>0</v>
      </c>
      <c r="M10" s="12">
        <v>0</v>
      </c>
      <c r="N10" s="12">
        <v>0</v>
      </c>
      <c r="O10" s="12">
        <v>0</v>
      </c>
      <c r="P10" s="12">
        <v>0</v>
      </c>
      <c r="Q10" s="12">
        <v>5659485.1514335498</v>
      </c>
      <c r="R10" s="12">
        <v>1782.9989592964887</v>
      </c>
      <c r="U10" s="58"/>
      <c r="X10" s="58"/>
    </row>
    <row r="11" spans="1:24" x14ac:dyDescent="0.25">
      <c r="A11" s="15" t="s">
        <v>27</v>
      </c>
      <c r="B11" s="16" t="s">
        <v>28</v>
      </c>
      <c r="C11" s="17" t="s">
        <v>32</v>
      </c>
      <c r="D11" s="17" t="s">
        <v>33</v>
      </c>
      <c r="E11" s="18">
        <v>3409586</v>
      </c>
      <c r="F11" s="19">
        <v>14457.757872810094</v>
      </c>
      <c r="G11" s="19">
        <v>50397.520000967779</v>
      </c>
      <c r="H11" s="19">
        <v>21264.689037913777</v>
      </c>
      <c r="I11" s="19">
        <v>11111.614237782993</v>
      </c>
      <c r="J11" s="19">
        <v>1643</v>
      </c>
      <c r="K11" s="19">
        <v>0</v>
      </c>
      <c r="L11" s="19">
        <v>0</v>
      </c>
      <c r="M11" s="19">
        <v>0</v>
      </c>
      <c r="N11" s="19">
        <v>0</v>
      </c>
      <c r="O11" s="19">
        <v>0</v>
      </c>
      <c r="P11" s="19">
        <v>0</v>
      </c>
      <c r="Q11" s="19">
        <v>3508460.5811494747</v>
      </c>
      <c r="R11" s="19">
        <v>1927.4226680333145</v>
      </c>
      <c r="U11" s="58"/>
      <c r="X11" s="58"/>
    </row>
    <row r="12" spans="1:24" x14ac:dyDescent="0.25">
      <c r="A12" s="10" t="s">
        <v>34</v>
      </c>
      <c r="B12" s="4" t="s">
        <v>35</v>
      </c>
      <c r="C12" s="4" t="s">
        <v>36</v>
      </c>
      <c r="D12" s="4" t="s">
        <v>37</v>
      </c>
      <c r="E12" s="11">
        <v>2504514</v>
      </c>
      <c r="F12" s="12">
        <v>10619.957086010765</v>
      </c>
      <c r="G12" s="12">
        <v>37600.893636836074</v>
      </c>
      <c r="H12" s="12">
        <v>15617.653634481541</v>
      </c>
      <c r="I12" s="12">
        <v>8162.0447236488044</v>
      </c>
      <c r="J12" s="12">
        <v>500</v>
      </c>
      <c r="K12" s="12">
        <v>0</v>
      </c>
      <c r="L12" s="12">
        <v>0</v>
      </c>
      <c r="M12" s="12">
        <v>0</v>
      </c>
      <c r="N12" s="12">
        <v>-1471</v>
      </c>
      <c r="O12" s="12">
        <v>0</v>
      </c>
      <c r="P12" s="12">
        <v>7183</v>
      </c>
      <c r="Q12" s="12">
        <v>2582726.5490809772</v>
      </c>
      <c r="R12" s="12">
        <v>1639.0220239020143</v>
      </c>
      <c r="U12" s="58"/>
      <c r="X12" s="58"/>
    </row>
    <row r="13" spans="1:24" x14ac:dyDescent="0.25">
      <c r="A13" s="13" t="s">
        <v>34</v>
      </c>
      <c r="B13" s="14" t="s">
        <v>35</v>
      </c>
      <c r="C13" s="4" t="s">
        <v>38</v>
      </c>
      <c r="D13" s="4" t="s">
        <v>39</v>
      </c>
      <c r="E13" s="11">
        <v>2212850</v>
      </c>
      <c r="F13" s="12">
        <v>9383.2064974597542</v>
      </c>
      <c r="G13" s="12">
        <v>33567.473095421839</v>
      </c>
      <c r="H13" s="12">
        <v>13803.176613139856</v>
      </c>
      <c r="I13" s="12">
        <v>7211.5311260892358</v>
      </c>
      <c r="J13" s="12">
        <v>1120</v>
      </c>
      <c r="K13" s="12">
        <v>0</v>
      </c>
      <c r="L13" s="12">
        <v>-60</v>
      </c>
      <c r="M13" s="12">
        <v>0</v>
      </c>
      <c r="N13" s="12">
        <v>1471</v>
      </c>
      <c r="O13" s="12">
        <v>0</v>
      </c>
      <c r="P13" s="12">
        <v>0</v>
      </c>
      <c r="Q13" s="12">
        <v>2279346.3873321107</v>
      </c>
      <c r="R13" s="12">
        <v>1759.4088593020856</v>
      </c>
      <c r="U13" s="58"/>
      <c r="X13" s="58"/>
    </row>
    <row r="14" spans="1:24" x14ac:dyDescent="0.25">
      <c r="A14" s="13" t="s">
        <v>34</v>
      </c>
      <c r="B14" s="14" t="s">
        <v>35</v>
      </c>
      <c r="C14" s="4" t="s">
        <v>40</v>
      </c>
      <c r="D14" s="4" t="s">
        <v>41</v>
      </c>
      <c r="E14" s="11">
        <v>1638819</v>
      </c>
      <c r="F14" s="12">
        <v>6949.1276358363648</v>
      </c>
      <c r="G14" s="12">
        <v>24181.76320883492</v>
      </c>
      <c r="H14" s="12">
        <v>10232.743743884535</v>
      </c>
      <c r="I14" s="12">
        <v>5340.8022362683578</v>
      </c>
      <c r="J14" s="12">
        <v>361</v>
      </c>
      <c r="K14" s="12">
        <v>0</v>
      </c>
      <c r="L14" s="12">
        <v>-25</v>
      </c>
      <c r="M14" s="12">
        <v>0</v>
      </c>
      <c r="N14" s="12">
        <v>0</v>
      </c>
      <c r="O14" s="12">
        <v>0</v>
      </c>
      <c r="P14" s="12">
        <v>0</v>
      </c>
      <c r="Q14" s="12">
        <v>1685859.4368248242</v>
      </c>
      <c r="R14" s="12">
        <v>1586.0425427467997</v>
      </c>
      <c r="U14" s="58"/>
      <c r="X14" s="58"/>
    </row>
    <row r="15" spans="1:24" x14ac:dyDescent="0.25">
      <c r="A15" s="13" t="s">
        <v>34</v>
      </c>
      <c r="B15" s="14" t="s">
        <v>35</v>
      </c>
      <c r="C15" s="4" t="s">
        <v>42</v>
      </c>
      <c r="D15" s="4" t="s">
        <v>43</v>
      </c>
      <c r="E15" s="11">
        <v>1908303</v>
      </c>
      <c r="F15" s="12">
        <v>8091.8277825979822</v>
      </c>
      <c r="G15" s="12">
        <v>28323.467956388624</v>
      </c>
      <c r="H15" s="12">
        <v>11903.743721112591</v>
      </c>
      <c r="I15" s="12">
        <v>6219.0326874887432</v>
      </c>
      <c r="J15" s="12">
        <v>628</v>
      </c>
      <c r="K15" s="12">
        <v>-144</v>
      </c>
      <c r="L15" s="12">
        <v>0</v>
      </c>
      <c r="M15" s="12">
        <v>0</v>
      </c>
      <c r="N15" s="12">
        <v>0</v>
      </c>
      <c r="O15" s="12">
        <v>0</v>
      </c>
      <c r="P15" s="12">
        <v>0</v>
      </c>
      <c r="Q15" s="12">
        <v>1963325.072147588</v>
      </c>
      <c r="R15" s="12">
        <v>1760.7560428328222</v>
      </c>
      <c r="U15" s="58"/>
      <c r="X15" s="58"/>
    </row>
    <row r="16" spans="1:24" x14ac:dyDescent="0.25">
      <c r="A16" s="13" t="s">
        <v>34</v>
      </c>
      <c r="B16" s="14" t="s">
        <v>35</v>
      </c>
      <c r="C16" s="4" t="s">
        <v>44</v>
      </c>
      <c r="D16" s="4" t="s">
        <v>45</v>
      </c>
      <c r="E16" s="11">
        <v>1360603</v>
      </c>
      <c r="F16" s="12">
        <v>5769.4009580691127</v>
      </c>
      <c r="G16" s="12">
        <v>19734.311651836771</v>
      </c>
      <c r="H16" s="12">
        <v>8483.704679550905</v>
      </c>
      <c r="I16" s="12">
        <v>4434.1147772105624</v>
      </c>
      <c r="J16" s="12">
        <v>83</v>
      </c>
      <c r="K16" s="12">
        <v>0</v>
      </c>
      <c r="L16" s="12">
        <v>-23</v>
      </c>
      <c r="M16" s="12">
        <v>0</v>
      </c>
      <c r="N16" s="12">
        <v>0</v>
      </c>
      <c r="O16" s="12">
        <v>0</v>
      </c>
      <c r="P16" s="12">
        <v>0</v>
      </c>
      <c r="Q16" s="12">
        <v>1399084.5320666675</v>
      </c>
      <c r="R16" s="12">
        <v>1703.6791005115219</v>
      </c>
      <c r="U16" s="58"/>
      <c r="X16" s="58"/>
    </row>
    <row r="17" spans="1:24" x14ac:dyDescent="0.25">
      <c r="A17" s="13" t="s">
        <v>34</v>
      </c>
      <c r="B17" s="14" t="s">
        <v>35</v>
      </c>
      <c r="C17" s="4" t="s">
        <v>46</v>
      </c>
      <c r="D17" s="4" t="s">
        <v>47</v>
      </c>
      <c r="E17" s="11">
        <v>1728741</v>
      </c>
      <c r="F17" s="12">
        <v>7330.426275447986</v>
      </c>
      <c r="G17" s="12">
        <v>25409.697461252912</v>
      </c>
      <c r="H17" s="12">
        <v>10784.332821050357</v>
      </c>
      <c r="I17" s="12">
        <v>5633.852059763035</v>
      </c>
      <c r="J17" s="12">
        <v>130</v>
      </c>
      <c r="K17" s="12">
        <v>-144</v>
      </c>
      <c r="L17" s="12">
        <v>0</v>
      </c>
      <c r="M17" s="12">
        <v>0</v>
      </c>
      <c r="N17" s="12">
        <v>0</v>
      </c>
      <c r="O17" s="12">
        <v>0</v>
      </c>
      <c r="P17" s="12">
        <v>0</v>
      </c>
      <c r="Q17" s="12">
        <v>1777885.3086175141</v>
      </c>
      <c r="R17" s="12">
        <v>1485.6204249034979</v>
      </c>
      <c r="U17" s="58"/>
      <c r="X17" s="58"/>
    </row>
    <row r="18" spans="1:24" x14ac:dyDescent="0.25">
      <c r="A18" s="13" t="s">
        <v>34</v>
      </c>
      <c r="B18" s="14" t="s">
        <v>35</v>
      </c>
      <c r="C18" s="4" t="s">
        <v>48</v>
      </c>
      <c r="D18" s="4" t="s">
        <v>49</v>
      </c>
      <c r="E18" s="11">
        <v>1391626</v>
      </c>
      <c r="F18" s="12">
        <v>5900.9486071057363</v>
      </c>
      <c r="G18" s="12">
        <v>19988.227945053804</v>
      </c>
      <c r="H18" s="12">
        <v>8673.4957623633163</v>
      </c>
      <c r="I18" s="12">
        <v>4535.2166730122053</v>
      </c>
      <c r="J18" s="12">
        <v>294</v>
      </c>
      <c r="K18" s="12">
        <v>-123</v>
      </c>
      <c r="L18" s="12">
        <v>0</v>
      </c>
      <c r="M18" s="12">
        <v>0</v>
      </c>
      <c r="N18" s="12">
        <v>0</v>
      </c>
      <c r="O18" s="12">
        <v>0</v>
      </c>
      <c r="P18" s="12">
        <v>0</v>
      </c>
      <c r="Q18" s="12">
        <v>1430894.8889875349</v>
      </c>
      <c r="R18" s="12">
        <v>1764.8699693214949</v>
      </c>
      <c r="U18" s="58"/>
      <c r="X18" s="58"/>
    </row>
    <row r="19" spans="1:24" x14ac:dyDescent="0.25">
      <c r="A19" s="13" t="s">
        <v>34</v>
      </c>
      <c r="B19" s="14" t="s">
        <v>35</v>
      </c>
      <c r="C19" s="4" t="s">
        <v>50</v>
      </c>
      <c r="D19" s="4" t="s">
        <v>51</v>
      </c>
      <c r="E19" s="11">
        <v>1272847</v>
      </c>
      <c r="F19" s="12">
        <v>5397.2868656583851</v>
      </c>
      <c r="G19" s="12">
        <v>18633.492030339075</v>
      </c>
      <c r="H19" s="12">
        <v>7944.5606782403629</v>
      </c>
      <c r="I19" s="12">
        <v>4148.1238038047341</v>
      </c>
      <c r="J19" s="12">
        <v>132</v>
      </c>
      <c r="K19" s="12">
        <v>-101</v>
      </c>
      <c r="L19" s="12">
        <v>0</v>
      </c>
      <c r="M19" s="12">
        <v>0</v>
      </c>
      <c r="N19" s="12">
        <v>0</v>
      </c>
      <c r="O19" s="12">
        <v>0</v>
      </c>
      <c r="P19" s="12">
        <v>0</v>
      </c>
      <c r="Q19" s="12">
        <v>1309001.4633780424</v>
      </c>
      <c r="R19" s="12">
        <v>1597.2532590315247</v>
      </c>
      <c r="U19" s="58"/>
      <c r="X19" s="58"/>
    </row>
    <row r="20" spans="1:24" x14ac:dyDescent="0.25">
      <c r="A20" s="13" t="s">
        <v>34</v>
      </c>
      <c r="B20" s="14" t="s">
        <v>35</v>
      </c>
      <c r="C20" s="4" t="s">
        <v>52</v>
      </c>
      <c r="D20" s="4" t="s">
        <v>53</v>
      </c>
      <c r="E20" s="11">
        <v>2046555</v>
      </c>
      <c r="F20" s="12">
        <v>8678.061401996858</v>
      </c>
      <c r="G20" s="12">
        <v>30654.537887953978</v>
      </c>
      <c r="H20" s="12">
        <v>12767.546137853027</v>
      </c>
      <c r="I20" s="12">
        <v>6669.5867698911161</v>
      </c>
      <c r="J20" s="12">
        <v>335</v>
      </c>
      <c r="K20" s="12">
        <v>-175</v>
      </c>
      <c r="L20" s="12">
        <v>0</v>
      </c>
      <c r="M20" s="12">
        <v>0</v>
      </c>
      <c r="N20" s="12">
        <v>0</v>
      </c>
      <c r="O20" s="12">
        <v>0</v>
      </c>
      <c r="P20" s="12">
        <v>0</v>
      </c>
      <c r="Q20" s="12">
        <v>2105484.7321976945</v>
      </c>
      <c r="R20" s="12">
        <v>1685.608871412642</v>
      </c>
      <c r="U20" s="58"/>
      <c r="X20" s="58"/>
    </row>
    <row r="21" spans="1:24" x14ac:dyDescent="0.25">
      <c r="A21" s="13" t="s">
        <v>34</v>
      </c>
      <c r="B21" s="14" t="s">
        <v>35</v>
      </c>
      <c r="C21" s="4" t="s">
        <v>54</v>
      </c>
      <c r="D21" s="4" t="s">
        <v>55</v>
      </c>
      <c r="E21" s="11">
        <v>891229</v>
      </c>
      <c r="F21" s="12">
        <v>3779.1019470477263</v>
      </c>
      <c r="G21" s="12">
        <v>12998.302660364607</v>
      </c>
      <c r="H21" s="12">
        <v>5564.2050326358012</v>
      </c>
      <c r="I21" s="12">
        <v>2904.4560968765995</v>
      </c>
      <c r="J21" s="12">
        <v>178</v>
      </c>
      <c r="K21" s="12">
        <v>0</v>
      </c>
      <c r="L21" s="12">
        <v>-2</v>
      </c>
      <c r="M21" s="12">
        <v>0</v>
      </c>
      <c r="N21" s="12">
        <v>0</v>
      </c>
      <c r="O21" s="12">
        <v>0</v>
      </c>
      <c r="P21" s="12">
        <v>0</v>
      </c>
      <c r="Q21" s="12">
        <v>916651.06573692488</v>
      </c>
      <c r="R21" s="12">
        <v>1748.4416188294035</v>
      </c>
      <c r="U21" s="58"/>
      <c r="X21" s="58"/>
    </row>
    <row r="22" spans="1:24" x14ac:dyDescent="0.25">
      <c r="A22" s="15" t="s">
        <v>34</v>
      </c>
      <c r="B22" s="16" t="s">
        <v>35</v>
      </c>
      <c r="C22" s="17" t="s">
        <v>56</v>
      </c>
      <c r="D22" s="17" t="s">
        <v>57</v>
      </c>
      <c r="E22" s="18">
        <v>2028475</v>
      </c>
      <c r="F22" s="19">
        <v>8601.396298861051</v>
      </c>
      <c r="G22" s="19">
        <v>29319.337598410613</v>
      </c>
      <c r="H22" s="19">
        <v>12651.232432179191</v>
      </c>
      <c r="I22" s="19">
        <v>6610.665251143937</v>
      </c>
      <c r="J22" s="19">
        <v>269</v>
      </c>
      <c r="K22" s="19">
        <v>0</v>
      </c>
      <c r="L22" s="19">
        <v>0</v>
      </c>
      <c r="M22" s="19">
        <v>0</v>
      </c>
      <c r="N22" s="19">
        <v>0</v>
      </c>
      <c r="O22" s="19">
        <v>0</v>
      </c>
      <c r="P22" s="19">
        <v>0</v>
      </c>
      <c r="Q22" s="19">
        <v>2085926.6315805949</v>
      </c>
      <c r="R22" s="19">
        <v>1774.0070468482877</v>
      </c>
      <c r="U22" s="58"/>
      <c r="X22" s="58"/>
    </row>
    <row r="23" spans="1:24" x14ac:dyDescent="0.25">
      <c r="A23" s="10" t="s">
        <v>58</v>
      </c>
      <c r="B23" s="4" t="s">
        <v>59</v>
      </c>
      <c r="C23" s="4" t="s">
        <v>60</v>
      </c>
      <c r="D23" s="4" t="s">
        <v>61</v>
      </c>
      <c r="E23" s="11">
        <v>1596723</v>
      </c>
      <c r="F23" s="12">
        <v>6770.6268514555586</v>
      </c>
      <c r="G23" s="12">
        <v>22803.840357553385</v>
      </c>
      <c r="H23" s="12">
        <v>9962.9866177785625</v>
      </c>
      <c r="I23" s="12">
        <v>5203.6141691676266</v>
      </c>
      <c r="J23" s="12">
        <v>996</v>
      </c>
      <c r="K23" s="12">
        <v>0</v>
      </c>
      <c r="L23" s="12">
        <v>-149</v>
      </c>
      <c r="M23" s="12">
        <v>0</v>
      </c>
      <c r="N23" s="12">
        <v>0</v>
      </c>
      <c r="O23" s="12">
        <v>0</v>
      </c>
      <c r="P23" s="12">
        <v>0</v>
      </c>
      <c r="Q23" s="12">
        <v>1642311.0679959552</v>
      </c>
      <c r="R23" s="12">
        <v>1518.1666196424217</v>
      </c>
      <c r="U23" s="58"/>
      <c r="X23" s="58"/>
    </row>
    <row r="24" spans="1:24" x14ac:dyDescent="0.25">
      <c r="A24" s="13" t="s">
        <v>58</v>
      </c>
      <c r="B24" s="14" t="s">
        <v>59</v>
      </c>
      <c r="C24" s="4" t="s">
        <v>62</v>
      </c>
      <c r="D24" s="4" t="s">
        <v>63</v>
      </c>
      <c r="E24" s="11">
        <v>1475559</v>
      </c>
      <c r="F24" s="12">
        <v>6256.8519313036222</v>
      </c>
      <c r="G24" s="12">
        <v>22700.830024726773</v>
      </c>
      <c r="H24" s="12">
        <v>9202.2732305071204</v>
      </c>
      <c r="I24" s="12">
        <v>4808.7487434218792</v>
      </c>
      <c r="J24" s="12">
        <v>1874</v>
      </c>
      <c r="K24" s="12">
        <v>0</v>
      </c>
      <c r="L24" s="12">
        <v>-8</v>
      </c>
      <c r="M24" s="12">
        <v>0</v>
      </c>
      <c r="N24" s="12">
        <v>0</v>
      </c>
      <c r="O24" s="12">
        <v>0</v>
      </c>
      <c r="P24" s="12">
        <v>0</v>
      </c>
      <c r="Q24" s="12">
        <v>1520393.7039299591</v>
      </c>
      <c r="R24" s="12">
        <v>1492.1563608527354</v>
      </c>
      <c r="U24" s="58"/>
      <c r="X24" s="58"/>
    </row>
    <row r="25" spans="1:24" x14ac:dyDescent="0.25">
      <c r="A25" s="13" t="s">
        <v>58</v>
      </c>
      <c r="B25" s="14" t="s">
        <v>59</v>
      </c>
      <c r="C25" s="4" t="s">
        <v>64</v>
      </c>
      <c r="D25" s="4" t="s">
        <v>65</v>
      </c>
      <c r="E25" s="11">
        <v>2523828</v>
      </c>
      <c r="F25" s="12">
        <v>10701.854752048652</v>
      </c>
      <c r="G25" s="12">
        <v>36254.527464883708</v>
      </c>
      <c r="H25" s="12">
        <v>15746.331468043632</v>
      </c>
      <c r="I25" s="12">
        <v>8224.9877664078194</v>
      </c>
      <c r="J25" s="12">
        <v>1284</v>
      </c>
      <c r="K25" s="12">
        <v>0</v>
      </c>
      <c r="L25" s="12">
        <v>-288</v>
      </c>
      <c r="M25" s="12">
        <v>0</v>
      </c>
      <c r="N25" s="12">
        <v>0</v>
      </c>
      <c r="O25" s="12">
        <v>0</v>
      </c>
      <c r="P25" s="12">
        <v>0</v>
      </c>
      <c r="Q25" s="12">
        <v>2595751.7014513845</v>
      </c>
      <c r="R25" s="12">
        <v>1605.3365130632701</v>
      </c>
      <c r="U25" s="58"/>
      <c r="X25" s="58"/>
    </row>
    <row r="26" spans="1:24" x14ac:dyDescent="0.25">
      <c r="A26" s="13" t="s">
        <v>58</v>
      </c>
      <c r="B26" s="14" t="s">
        <v>59</v>
      </c>
      <c r="C26" s="4" t="s">
        <v>66</v>
      </c>
      <c r="D26" s="4" t="s">
        <v>67</v>
      </c>
      <c r="E26" s="11">
        <v>2049333</v>
      </c>
      <c r="F26" s="12">
        <v>8689.8410290162865</v>
      </c>
      <c r="G26" s="12">
        <v>29881.964090540612</v>
      </c>
      <c r="H26" s="12">
        <v>12794.889972043587</v>
      </c>
      <c r="I26" s="12">
        <v>6678.6400873180883</v>
      </c>
      <c r="J26" s="12">
        <v>228</v>
      </c>
      <c r="K26" s="12">
        <v>0</v>
      </c>
      <c r="L26" s="12">
        <v>-234</v>
      </c>
      <c r="M26" s="12">
        <v>0</v>
      </c>
      <c r="N26" s="12">
        <v>0</v>
      </c>
      <c r="O26" s="12">
        <v>0</v>
      </c>
      <c r="P26" s="12">
        <v>0</v>
      </c>
      <c r="Q26" s="12">
        <v>2107372.3351789187</v>
      </c>
      <c r="R26" s="12">
        <v>1672.4242056390251</v>
      </c>
      <c r="U26" s="58"/>
      <c r="X26" s="58"/>
    </row>
    <row r="27" spans="1:24" x14ac:dyDescent="0.25">
      <c r="A27" s="13" t="s">
        <v>58</v>
      </c>
      <c r="B27" s="14" t="s">
        <v>59</v>
      </c>
      <c r="C27" s="4" t="s">
        <v>68</v>
      </c>
      <c r="D27" s="4" t="s">
        <v>69</v>
      </c>
      <c r="E27" s="11">
        <v>1874705</v>
      </c>
      <c r="F27" s="12">
        <v>7949.3612928216062</v>
      </c>
      <c r="G27" s="12">
        <v>27539.192052505648</v>
      </c>
      <c r="H27" s="12">
        <v>11701.578294666824</v>
      </c>
      <c r="I27" s="12">
        <v>6109.5390377726098</v>
      </c>
      <c r="J27" s="12">
        <v>855</v>
      </c>
      <c r="K27" s="12">
        <v>0</v>
      </c>
      <c r="L27" s="12">
        <v>0</v>
      </c>
      <c r="M27" s="12">
        <v>0</v>
      </c>
      <c r="N27" s="12">
        <v>0</v>
      </c>
      <c r="O27" s="12">
        <v>0</v>
      </c>
      <c r="P27" s="12">
        <v>0</v>
      </c>
      <c r="Q27" s="12">
        <v>1928859.6706777667</v>
      </c>
      <c r="R27" s="12">
        <v>1772.7520920226175</v>
      </c>
      <c r="U27" s="58"/>
      <c r="X27" s="58"/>
    </row>
    <row r="28" spans="1:24" x14ac:dyDescent="0.25">
      <c r="A28" s="15" t="s">
        <v>58</v>
      </c>
      <c r="B28" s="16" t="s">
        <v>59</v>
      </c>
      <c r="C28" s="17" t="s">
        <v>70</v>
      </c>
      <c r="D28" s="17" t="s">
        <v>71</v>
      </c>
      <c r="E28" s="18">
        <v>1715248</v>
      </c>
      <c r="F28" s="19">
        <v>7273.2115499716892</v>
      </c>
      <c r="G28" s="19">
        <v>25171.524984502073</v>
      </c>
      <c r="H28" s="19">
        <v>10698.679040708501</v>
      </c>
      <c r="I28" s="19">
        <v>5589.8792692511061</v>
      </c>
      <c r="J28" s="19">
        <v>1055</v>
      </c>
      <c r="K28" s="19">
        <v>0</v>
      </c>
      <c r="L28" s="19">
        <v>-25</v>
      </c>
      <c r="M28" s="19">
        <v>0</v>
      </c>
      <c r="N28" s="19">
        <v>0</v>
      </c>
      <c r="O28" s="19">
        <v>0</v>
      </c>
      <c r="P28" s="19">
        <v>0</v>
      </c>
      <c r="Q28" s="19">
        <v>1765011.2948444334</v>
      </c>
      <c r="R28" s="19">
        <v>1675.6541899405361</v>
      </c>
      <c r="U28" s="58"/>
      <c r="X28" s="58"/>
    </row>
    <row r="29" spans="1:24" x14ac:dyDescent="0.25">
      <c r="A29" s="10" t="s">
        <v>72</v>
      </c>
      <c r="B29" s="4" t="s">
        <v>73</v>
      </c>
      <c r="C29" s="4" t="s">
        <v>74</v>
      </c>
      <c r="D29" s="4" t="s">
        <v>75</v>
      </c>
      <c r="E29" s="11">
        <v>2753529</v>
      </c>
      <c r="F29" s="12">
        <v>11675.861989625986</v>
      </c>
      <c r="G29" s="12">
        <v>42709.659945975116</v>
      </c>
      <c r="H29" s="12">
        <v>17171.94074458439</v>
      </c>
      <c r="I29" s="12">
        <v>8973.5680638495014</v>
      </c>
      <c r="J29" s="12">
        <v>4026</v>
      </c>
      <c r="K29" s="12">
        <v>0</v>
      </c>
      <c r="L29" s="12">
        <v>-515</v>
      </c>
      <c r="M29" s="12">
        <v>0</v>
      </c>
      <c r="N29" s="12">
        <v>0</v>
      </c>
      <c r="O29" s="12">
        <v>0</v>
      </c>
      <c r="P29" s="12">
        <v>0</v>
      </c>
      <c r="Q29" s="12">
        <v>2837571.0307440353</v>
      </c>
      <c r="R29" s="12">
        <v>1615.6986961442196</v>
      </c>
      <c r="U29" s="58"/>
      <c r="X29" s="58"/>
    </row>
    <row r="30" spans="1:24" x14ac:dyDescent="0.25">
      <c r="A30" s="13" t="s">
        <v>72</v>
      </c>
      <c r="B30" s="14" t="s">
        <v>73</v>
      </c>
      <c r="C30" s="4" t="s">
        <v>76</v>
      </c>
      <c r="D30" s="4" t="s">
        <v>77</v>
      </c>
      <c r="E30" s="11">
        <v>3566099</v>
      </c>
      <c r="F30" s="12">
        <v>15121.424094441438</v>
      </c>
      <c r="G30" s="12">
        <v>53295.795236364742</v>
      </c>
      <c r="H30" s="12">
        <v>22237.414784303888</v>
      </c>
      <c r="I30" s="12">
        <v>11621.679705906727</v>
      </c>
      <c r="J30" s="12">
        <v>730</v>
      </c>
      <c r="K30" s="12">
        <v>0</v>
      </c>
      <c r="L30" s="12">
        <v>-215</v>
      </c>
      <c r="M30" s="12">
        <v>0</v>
      </c>
      <c r="N30" s="12">
        <v>0</v>
      </c>
      <c r="O30" s="12">
        <v>0</v>
      </c>
      <c r="P30" s="12">
        <v>2541</v>
      </c>
      <c r="Q30" s="12">
        <v>3671431.3138210168</v>
      </c>
      <c r="R30" s="12">
        <v>1546.9585552064636</v>
      </c>
      <c r="U30" s="58"/>
      <c r="X30" s="58"/>
    </row>
    <row r="31" spans="1:24" x14ac:dyDescent="0.25">
      <c r="A31" s="13" t="s">
        <v>72</v>
      </c>
      <c r="B31" s="14" t="s">
        <v>73</v>
      </c>
      <c r="C31" s="4" t="s">
        <v>78</v>
      </c>
      <c r="D31" s="4" t="s">
        <v>79</v>
      </c>
      <c r="E31" s="11">
        <v>3985866</v>
      </c>
      <c r="F31" s="12">
        <v>16901.373228733952</v>
      </c>
      <c r="G31" s="12">
        <v>60271.220623080175</v>
      </c>
      <c r="H31" s="12">
        <v>24859.739598979359</v>
      </c>
      <c r="I31" s="12">
        <v>12989.672469178118</v>
      </c>
      <c r="J31" s="12">
        <v>2993</v>
      </c>
      <c r="K31" s="12">
        <v>0</v>
      </c>
      <c r="L31" s="12">
        <v>-7</v>
      </c>
      <c r="M31" s="12">
        <v>0</v>
      </c>
      <c r="N31" s="12">
        <v>0</v>
      </c>
      <c r="O31" s="12">
        <v>0</v>
      </c>
      <c r="P31" s="12">
        <v>-11918</v>
      </c>
      <c r="Q31" s="12">
        <v>4091956.0059199715</v>
      </c>
      <c r="R31" s="12">
        <v>1475.8122859378354</v>
      </c>
      <c r="U31" s="58"/>
      <c r="X31" s="58"/>
    </row>
    <row r="32" spans="1:24" x14ac:dyDescent="0.25">
      <c r="A32" s="13" t="s">
        <v>72</v>
      </c>
      <c r="B32" s="14" t="s">
        <v>73</v>
      </c>
      <c r="C32" s="4" t="s">
        <v>80</v>
      </c>
      <c r="D32" s="4" t="s">
        <v>81</v>
      </c>
      <c r="E32" s="11">
        <v>3437838</v>
      </c>
      <c r="F32" s="12">
        <v>14577.555577112797</v>
      </c>
      <c r="G32" s="12">
        <v>52819.574668383437</v>
      </c>
      <c r="H32" s="12">
        <v>21441.588382428861</v>
      </c>
      <c r="I32" s="12">
        <v>11203.685628692576</v>
      </c>
      <c r="J32" s="12">
        <v>7019</v>
      </c>
      <c r="K32" s="12">
        <v>0</v>
      </c>
      <c r="L32" s="12">
        <v>-104</v>
      </c>
      <c r="M32" s="12">
        <v>0</v>
      </c>
      <c r="N32" s="12">
        <v>0</v>
      </c>
      <c r="O32" s="12">
        <v>0</v>
      </c>
      <c r="P32" s="12">
        <v>2194</v>
      </c>
      <c r="Q32" s="12">
        <v>3546989.4042566177</v>
      </c>
      <c r="R32" s="12">
        <v>1718.8686273636552</v>
      </c>
      <c r="U32" s="58"/>
      <c r="X32" s="58"/>
    </row>
    <row r="33" spans="1:24" x14ac:dyDescent="0.25">
      <c r="A33" s="15" t="s">
        <v>72</v>
      </c>
      <c r="B33" s="16" t="s">
        <v>73</v>
      </c>
      <c r="C33" s="17" t="s">
        <v>82</v>
      </c>
      <c r="D33" s="17" t="s">
        <v>83</v>
      </c>
      <c r="E33" s="18">
        <v>2573515</v>
      </c>
      <c r="F33" s="19">
        <v>10912.543854897594</v>
      </c>
      <c r="G33" s="19">
        <v>38656.443933348462</v>
      </c>
      <c r="H33" s="19">
        <v>16053.296867166931</v>
      </c>
      <c r="I33" s="19">
        <v>8386.9143981551115</v>
      </c>
      <c r="J33" s="19">
        <v>1427</v>
      </c>
      <c r="K33" s="19">
        <v>0</v>
      </c>
      <c r="L33" s="19">
        <v>-229</v>
      </c>
      <c r="M33" s="19">
        <v>0</v>
      </c>
      <c r="N33" s="19">
        <v>0</v>
      </c>
      <c r="O33" s="19">
        <v>0</v>
      </c>
      <c r="P33" s="19">
        <v>0</v>
      </c>
      <c r="Q33" s="19">
        <v>2648722.1990535683</v>
      </c>
      <c r="R33" s="19">
        <v>1526.200101120897</v>
      </c>
      <c r="U33" s="58"/>
      <c r="X33" s="58"/>
    </row>
    <row r="34" spans="1:24" x14ac:dyDescent="0.25">
      <c r="A34" s="10" t="s">
        <v>84</v>
      </c>
      <c r="B34" s="4" t="s">
        <v>85</v>
      </c>
      <c r="C34" s="4" t="s">
        <v>86</v>
      </c>
      <c r="D34" s="4" t="s">
        <v>87</v>
      </c>
      <c r="E34" s="11">
        <v>2692081</v>
      </c>
      <c r="F34" s="12">
        <v>11415.302406800261</v>
      </c>
      <c r="G34" s="12">
        <v>40164.054639897513</v>
      </c>
      <c r="H34" s="12">
        <v>16797.798356530981</v>
      </c>
      <c r="I34" s="12">
        <v>8773.3131145145107</v>
      </c>
      <c r="J34" s="12">
        <v>370</v>
      </c>
      <c r="K34" s="12">
        <v>0</v>
      </c>
      <c r="L34" s="12">
        <v>-81</v>
      </c>
      <c r="M34" s="12">
        <v>0</v>
      </c>
      <c r="N34" s="12">
        <v>0</v>
      </c>
      <c r="O34" s="12">
        <v>0</v>
      </c>
      <c r="P34" s="12">
        <v>0</v>
      </c>
      <c r="Q34" s="12">
        <v>2769520.4685177435</v>
      </c>
      <c r="R34" s="12">
        <v>1420.884850824023</v>
      </c>
      <c r="U34" s="58"/>
      <c r="X34" s="58"/>
    </row>
    <row r="35" spans="1:24" x14ac:dyDescent="0.25">
      <c r="A35" s="13" t="s">
        <v>84</v>
      </c>
      <c r="B35" s="14" t="s">
        <v>85</v>
      </c>
      <c r="C35" s="4" t="s">
        <v>88</v>
      </c>
      <c r="D35" s="4" t="s">
        <v>89</v>
      </c>
      <c r="E35" s="11">
        <v>1193258</v>
      </c>
      <c r="F35" s="12">
        <v>5059.8035197802983</v>
      </c>
      <c r="G35" s="12">
        <v>17155.494473801442</v>
      </c>
      <c r="H35" s="12">
        <v>7437.8750121703843</v>
      </c>
      <c r="I35" s="12">
        <v>3888.7485407754657</v>
      </c>
      <c r="J35" s="12">
        <v>652</v>
      </c>
      <c r="K35" s="12">
        <v>0</v>
      </c>
      <c r="L35" s="12">
        <v>-20</v>
      </c>
      <c r="M35" s="12">
        <v>0</v>
      </c>
      <c r="N35" s="12">
        <v>0</v>
      </c>
      <c r="O35" s="12">
        <v>0</v>
      </c>
      <c r="P35" s="12">
        <v>0</v>
      </c>
      <c r="Q35" s="12">
        <v>1227431.9215465274</v>
      </c>
      <c r="R35" s="12">
        <v>1509.5224237848045</v>
      </c>
      <c r="U35" s="58"/>
      <c r="X35" s="58"/>
    </row>
    <row r="36" spans="1:24" x14ac:dyDescent="0.25">
      <c r="A36" s="13" t="s">
        <v>84</v>
      </c>
      <c r="B36" s="14" t="s">
        <v>85</v>
      </c>
      <c r="C36" s="4" t="s">
        <v>90</v>
      </c>
      <c r="D36" s="4" t="s">
        <v>91</v>
      </c>
      <c r="E36" s="11">
        <v>3115544</v>
      </c>
      <c r="F36" s="12">
        <v>13210.923787840005</v>
      </c>
      <c r="G36" s="12">
        <v>46532.253532895578</v>
      </c>
      <c r="H36" s="12">
        <v>19452.615101573847</v>
      </c>
      <c r="I36" s="12">
        <v>10153.350896220061</v>
      </c>
      <c r="J36" s="12">
        <v>2250</v>
      </c>
      <c r="K36" s="12">
        <v>0</v>
      </c>
      <c r="L36" s="12">
        <v>-291</v>
      </c>
      <c r="M36" s="12">
        <v>0</v>
      </c>
      <c r="N36" s="12">
        <v>0</v>
      </c>
      <c r="O36" s="12">
        <v>0</v>
      </c>
      <c r="P36" s="12">
        <v>0</v>
      </c>
      <c r="Q36" s="12">
        <v>3206852.1433185297</v>
      </c>
      <c r="R36" s="12">
        <v>1663.4208666674549</v>
      </c>
      <c r="U36" s="58"/>
      <c r="X36" s="58"/>
    </row>
    <row r="37" spans="1:24" x14ac:dyDescent="0.25">
      <c r="A37" s="13" t="s">
        <v>84</v>
      </c>
      <c r="B37" s="14" t="s">
        <v>85</v>
      </c>
      <c r="C37" s="4" t="s">
        <v>92</v>
      </c>
      <c r="D37" s="4" t="s">
        <v>93</v>
      </c>
      <c r="E37" s="11">
        <v>3228681</v>
      </c>
      <c r="F37" s="12">
        <v>13690.661607169424</v>
      </c>
      <c r="G37" s="12">
        <v>46968.674777981243</v>
      </c>
      <c r="H37" s="12">
        <v>20147.037246774464</v>
      </c>
      <c r="I37" s="12">
        <v>10522.056862287511</v>
      </c>
      <c r="J37" s="12">
        <v>778</v>
      </c>
      <c r="K37" s="12">
        <v>0</v>
      </c>
      <c r="L37" s="12">
        <v>-138</v>
      </c>
      <c r="M37" s="12">
        <v>0</v>
      </c>
      <c r="N37" s="12">
        <v>0</v>
      </c>
      <c r="O37" s="12">
        <v>0</v>
      </c>
      <c r="P37" s="12">
        <v>0</v>
      </c>
      <c r="Q37" s="12">
        <v>3320649.430494213</v>
      </c>
      <c r="R37" s="12">
        <v>1678.7440105793148</v>
      </c>
      <c r="U37" s="58"/>
      <c r="X37" s="58"/>
    </row>
    <row r="38" spans="1:24" x14ac:dyDescent="0.25">
      <c r="A38" s="13" t="s">
        <v>84</v>
      </c>
      <c r="B38" s="14" t="s">
        <v>85</v>
      </c>
      <c r="C38" s="4" t="s">
        <v>94</v>
      </c>
      <c r="D38" s="4" t="s">
        <v>95</v>
      </c>
      <c r="E38" s="11">
        <v>1779642</v>
      </c>
      <c r="F38" s="12">
        <v>7546.2631346689905</v>
      </c>
      <c r="G38" s="12">
        <v>26350.718223247994</v>
      </c>
      <c r="H38" s="12">
        <v>11102.64981450782</v>
      </c>
      <c r="I38" s="12">
        <v>5799.7350368509833</v>
      </c>
      <c r="J38" s="12">
        <v>794</v>
      </c>
      <c r="K38" s="12">
        <v>0</v>
      </c>
      <c r="L38" s="12">
        <v>-1</v>
      </c>
      <c r="M38" s="12">
        <v>0</v>
      </c>
      <c r="N38" s="12">
        <v>0</v>
      </c>
      <c r="O38" s="12">
        <v>0</v>
      </c>
      <c r="P38" s="12">
        <v>0</v>
      </c>
      <c r="Q38" s="12">
        <v>1831234.3662092758</v>
      </c>
      <c r="R38" s="12">
        <v>1624.5484626685932</v>
      </c>
      <c r="U38" s="58"/>
      <c r="X38" s="58"/>
    </row>
    <row r="39" spans="1:24" x14ac:dyDescent="0.25">
      <c r="A39" s="15" t="s">
        <v>84</v>
      </c>
      <c r="B39" s="16" t="s">
        <v>85</v>
      </c>
      <c r="C39" s="17" t="s">
        <v>96</v>
      </c>
      <c r="D39" s="17" t="s">
        <v>97</v>
      </c>
      <c r="E39" s="18">
        <v>3137085</v>
      </c>
      <c r="F39" s="19">
        <v>13302.264660995339</v>
      </c>
      <c r="G39" s="19">
        <v>45773.046722665247</v>
      </c>
      <c r="H39" s="19">
        <v>19582.962547566163</v>
      </c>
      <c r="I39" s="19">
        <v>10223.551584015026</v>
      </c>
      <c r="J39" s="19">
        <v>830</v>
      </c>
      <c r="K39" s="19">
        <v>0</v>
      </c>
      <c r="L39" s="19">
        <v>-143</v>
      </c>
      <c r="M39" s="19">
        <v>0</v>
      </c>
      <c r="N39" s="19">
        <v>0</v>
      </c>
      <c r="O39" s="19">
        <v>0</v>
      </c>
      <c r="P39" s="19">
        <v>0</v>
      </c>
      <c r="Q39" s="19">
        <v>3226653.8255152423</v>
      </c>
      <c r="R39" s="19">
        <v>1764.0691460455939</v>
      </c>
      <c r="U39" s="58"/>
      <c r="X39" s="58"/>
    </row>
    <row r="40" spans="1:24" x14ac:dyDescent="0.25">
      <c r="A40" s="10" t="s">
        <v>98</v>
      </c>
      <c r="B40" s="4" t="s">
        <v>99</v>
      </c>
      <c r="C40" s="4" t="s">
        <v>100</v>
      </c>
      <c r="D40" s="4" t="s">
        <v>101</v>
      </c>
      <c r="E40" s="11">
        <v>1489713</v>
      </c>
      <c r="F40" s="12">
        <v>6316.8695125969971</v>
      </c>
      <c r="G40" s="12">
        <v>21577.800920668207</v>
      </c>
      <c r="H40" s="12">
        <v>9303.2137669916792</v>
      </c>
      <c r="I40" s="12">
        <v>4854.875689016324</v>
      </c>
      <c r="J40" s="12">
        <v>256</v>
      </c>
      <c r="K40" s="12">
        <v>0</v>
      </c>
      <c r="L40" s="12">
        <v>-48</v>
      </c>
      <c r="M40" s="12">
        <v>0</v>
      </c>
      <c r="N40" s="12">
        <v>0</v>
      </c>
      <c r="O40" s="12">
        <v>0</v>
      </c>
      <c r="P40" s="12">
        <v>0</v>
      </c>
      <c r="Q40" s="12">
        <v>1531973.7598892734</v>
      </c>
      <c r="R40" s="12">
        <v>1552.7206727035823</v>
      </c>
      <c r="U40" s="58"/>
      <c r="X40" s="58"/>
    </row>
    <row r="41" spans="1:24" x14ac:dyDescent="0.25">
      <c r="A41" s="13" t="s">
        <v>98</v>
      </c>
      <c r="B41" s="14" t="s">
        <v>99</v>
      </c>
      <c r="C41" s="4" t="s">
        <v>102</v>
      </c>
      <c r="D41" s="4" t="s">
        <v>103</v>
      </c>
      <c r="E41" s="11">
        <v>1647847</v>
      </c>
      <c r="F41" s="12">
        <v>6987.4093034862572</v>
      </c>
      <c r="G41" s="12">
        <v>24826.057368011399</v>
      </c>
      <c r="H41" s="12">
        <v>10298.060825829472</v>
      </c>
      <c r="I41" s="12">
        <v>5370.2238884392391</v>
      </c>
      <c r="J41" s="12">
        <v>1016</v>
      </c>
      <c r="K41" s="12">
        <v>0</v>
      </c>
      <c r="L41" s="12">
        <v>-8</v>
      </c>
      <c r="M41" s="12">
        <v>0</v>
      </c>
      <c r="N41" s="12">
        <v>0</v>
      </c>
      <c r="O41" s="12">
        <v>0</v>
      </c>
      <c r="P41" s="12">
        <v>0</v>
      </c>
      <c r="Q41" s="12">
        <v>1696336.7513857663</v>
      </c>
      <c r="R41" s="12">
        <v>1589.3268801741333</v>
      </c>
      <c r="U41" s="58"/>
      <c r="X41" s="58"/>
    </row>
    <row r="42" spans="1:24" x14ac:dyDescent="0.25">
      <c r="A42" s="13" t="s">
        <v>98</v>
      </c>
      <c r="B42" s="14" t="s">
        <v>99</v>
      </c>
      <c r="C42" s="4" t="s">
        <v>104</v>
      </c>
      <c r="D42" s="4" t="s">
        <v>105</v>
      </c>
      <c r="E42" s="11">
        <v>1072882</v>
      </c>
      <c r="F42" s="12">
        <v>4549.3699769110508</v>
      </c>
      <c r="G42" s="12">
        <v>15502.23960174107</v>
      </c>
      <c r="H42" s="12">
        <v>6702.073848768423</v>
      </c>
      <c r="I42" s="12">
        <v>3496.4511546742306</v>
      </c>
      <c r="J42" s="12">
        <v>322</v>
      </c>
      <c r="K42" s="12">
        <v>-3878</v>
      </c>
      <c r="L42" s="12">
        <v>0</v>
      </c>
      <c r="M42" s="12">
        <v>0</v>
      </c>
      <c r="N42" s="12">
        <v>0</v>
      </c>
      <c r="O42" s="12">
        <v>0</v>
      </c>
      <c r="P42" s="12">
        <v>0</v>
      </c>
      <c r="Q42" s="12">
        <v>1099576.1345820946</v>
      </c>
      <c r="R42" s="12">
        <v>1823.3247766109157</v>
      </c>
      <c r="U42" s="58"/>
      <c r="X42" s="58"/>
    </row>
    <row r="43" spans="1:24" x14ac:dyDescent="0.25">
      <c r="A43" s="13" t="s">
        <v>98</v>
      </c>
      <c r="B43" s="14" t="s">
        <v>99</v>
      </c>
      <c r="C43" s="4" t="s">
        <v>106</v>
      </c>
      <c r="D43" s="4" t="s">
        <v>107</v>
      </c>
      <c r="E43" s="11">
        <v>2198203</v>
      </c>
      <c r="F43" s="12">
        <v>9321.0984352014493</v>
      </c>
      <c r="G43" s="12">
        <v>32577.722888550681</v>
      </c>
      <c r="H43" s="12">
        <v>13712.798211262565</v>
      </c>
      <c r="I43" s="12">
        <v>7163.7975262501914</v>
      </c>
      <c r="J43" s="12">
        <v>998</v>
      </c>
      <c r="K43" s="12">
        <v>0</v>
      </c>
      <c r="L43" s="12">
        <v>0</v>
      </c>
      <c r="M43" s="12">
        <v>0</v>
      </c>
      <c r="N43" s="12">
        <v>0</v>
      </c>
      <c r="O43" s="12">
        <v>0</v>
      </c>
      <c r="P43" s="12">
        <v>0</v>
      </c>
      <c r="Q43" s="12">
        <v>2261976.4170612651</v>
      </c>
      <c r="R43" s="12">
        <v>1767.7633547752434</v>
      </c>
      <c r="U43" s="58"/>
      <c r="X43" s="58"/>
    </row>
    <row r="44" spans="1:24" x14ac:dyDescent="0.25">
      <c r="A44" s="13" t="s">
        <v>98</v>
      </c>
      <c r="B44" s="14" t="s">
        <v>99</v>
      </c>
      <c r="C44" s="4" t="s">
        <v>108</v>
      </c>
      <c r="D44" s="4" t="s">
        <v>109</v>
      </c>
      <c r="E44" s="11">
        <v>1413557</v>
      </c>
      <c r="F44" s="12">
        <v>5993.9432075964114</v>
      </c>
      <c r="G44" s="12">
        <v>21246.377753474342</v>
      </c>
      <c r="H44" s="12">
        <v>8830.403606411257</v>
      </c>
      <c r="I44" s="12">
        <v>4606.6883448951903</v>
      </c>
      <c r="J44" s="12">
        <v>387</v>
      </c>
      <c r="K44" s="12">
        <v>-2597</v>
      </c>
      <c r="L44" s="12">
        <v>-59</v>
      </c>
      <c r="M44" s="12">
        <v>0</v>
      </c>
      <c r="N44" s="12">
        <v>0</v>
      </c>
      <c r="O44" s="12">
        <v>0</v>
      </c>
      <c r="P44" s="12">
        <v>0</v>
      </c>
      <c r="Q44" s="12">
        <v>1451965.4129123772</v>
      </c>
      <c r="R44" s="12">
        <v>1766.1297732844223</v>
      </c>
      <c r="U44" s="58"/>
      <c r="X44" s="58"/>
    </row>
    <row r="45" spans="1:24" x14ac:dyDescent="0.25">
      <c r="A45" s="13" t="s">
        <v>98</v>
      </c>
      <c r="B45" s="14" t="s">
        <v>99</v>
      </c>
      <c r="C45" s="4" t="s">
        <v>110</v>
      </c>
      <c r="D45" s="4" t="s">
        <v>111</v>
      </c>
      <c r="E45" s="11">
        <v>1034354</v>
      </c>
      <c r="F45" s="12">
        <v>4385.9986774853642</v>
      </c>
      <c r="G45" s="12">
        <v>15140.932534586049</v>
      </c>
      <c r="H45" s="12">
        <v>6460.8737104079119</v>
      </c>
      <c r="I45" s="12">
        <v>3370.8909625121023</v>
      </c>
      <c r="J45" s="12">
        <v>1465</v>
      </c>
      <c r="K45" s="12">
        <v>0</v>
      </c>
      <c r="L45" s="12">
        <v>-5</v>
      </c>
      <c r="M45" s="12">
        <v>0</v>
      </c>
      <c r="N45" s="12">
        <v>0</v>
      </c>
      <c r="O45" s="12">
        <v>0</v>
      </c>
      <c r="P45" s="12">
        <v>0</v>
      </c>
      <c r="Q45" s="12">
        <v>1065172.6958849912</v>
      </c>
      <c r="R45" s="12">
        <v>1566.1977605341963</v>
      </c>
      <c r="U45" s="58"/>
      <c r="X45" s="58"/>
    </row>
    <row r="46" spans="1:24" x14ac:dyDescent="0.25">
      <c r="A46" s="13" t="s">
        <v>98</v>
      </c>
      <c r="B46" s="14" t="s">
        <v>99</v>
      </c>
      <c r="C46" s="4" t="s">
        <v>112</v>
      </c>
      <c r="D46" s="4" t="s">
        <v>113</v>
      </c>
      <c r="E46" s="11">
        <v>1028615</v>
      </c>
      <c r="F46" s="12">
        <v>4361.6634436968461</v>
      </c>
      <c r="G46" s="12">
        <v>15057.840394102208</v>
      </c>
      <c r="H46" s="12">
        <v>6423.6598046571962</v>
      </c>
      <c r="I46" s="12">
        <v>3352.1879428168554</v>
      </c>
      <c r="J46" s="12">
        <v>915</v>
      </c>
      <c r="K46" s="12">
        <v>0</v>
      </c>
      <c r="L46" s="12">
        <v>-15</v>
      </c>
      <c r="M46" s="12">
        <v>0</v>
      </c>
      <c r="N46" s="12">
        <v>0</v>
      </c>
      <c r="O46" s="12">
        <v>0</v>
      </c>
      <c r="P46" s="12">
        <v>0</v>
      </c>
      <c r="Q46" s="12">
        <v>1058710.3515852729</v>
      </c>
      <c r="R46" s="12">
        <v>1767.870559480064</v>
      </c>
      <c r="U46" s="58"/>
      <c r="X46" s="58"/>
    </row>
    <row r="47" spans="1:24" x14ac:dyDescent="0.25">
      <c r="C47" s="20"/>
      <c r="S47" s="4"/>
    </row>
    <row r="48" spans="1:24" x14ac:dyDescent="0.25">
      <c r="C48" s="20"/>
      <c r="S48" s="4"/>
    </row>
    <row r="49" spans="1:18" ht="76.5" x14ac:dyDescent="0.25">
      <c r="B49" s="26"/>
      <c r="C49" s="26" t="s">
        <v>13</v>
      </c>
      <c r="D49" s="26" t="s">
        <v>14</v>
      </c>
      <c r="E49" s="27" t="s">
        <v>140</v>
      </c>
      <c r="F49" s="28" t="s">
        <v>141</v>
      </c>
      <c r="G49" s="28" t="s">
        <v>1208</v>
      </c>
      <c r="H49" s="28" t="s">
        <v>1209</v>
      </c>
      <c r="I49" s="28" t="s">
        <v>1210</v>
      </c>
      <c r="J49" s="28" t="s">
        <v>1207</v>
      </c>
      <c r="K49" s="28" t="s">
        <v>1205</v>
      </c>
      <c r="L49" s="28" t="s">
        <v>1206</v>
      </c>
      <c r="M49" s="28" t="s">
        <v>1202</v>
      </c>
      <c r="N49" s="28" t="s">
        <v>1216</v>
      </c>
      <c r="O49" s="28" t="s">
        <v>1211</v>
      </c>
      <c r="P49" s="28" t="s">
        <v>1215</v>
      </c>
      <c r="Q49" s="29" t="s">
        <v>142</v>
      </c>
      <c r="R49" s="30" t="s">
        <v>1204</v>
      </c>
    </row>
    <row r="50" spans="1:18" x14ac:dyDescent="0.25">
      <c r="B50" s="21">
        <v>1</v>
      </c>
      <c r="C50" s="22" t="s">
        <v>17</v>
      </c>
      <c r="D50" s="22" t="s">
        <v>18</v>
      </c>
      <c r="E50" s="23">
        <v>15651033</v>
      </c>
      <c r="F50" s="23">
        <v>66365.49523912766</v>
      </c>
      <c r="G50" s="23">
        <v>231789.87460019847</v>
      </c>
      <c r="H50" s="23">
        <v>97657.560441845781</v>
      </c>
      <c r="I50" s="23">
        <v>51005.676677113137</v>
      </c>
      <c r="J50" s="23">
        <v>5705</v>
      </c>
      <c r="K50" s="23">
        <v>0</v>
      </c>
      <c r="L50" s="23">
        <v>-71</v>
      </c>
      <c r="M50" s="23">
        <v>46</v>
      </c>
      <c r="N50" s="23">
        <v>0</v>
      </c>
      <c r="O50" s="23">
        <v>-117</v>
      </c>
      <c r="P50" s="23">
        <v>0</v>
      </c>
      <c r="Q50" s="23">
        <v>16103414.606958285</v>
      </c>
      <c r="R50" s="23">
        <v>1779.0284737268844</v>
      </c>
    </row>
    <row r="51" spans="1:18" x14ac:dyDescent="0.25">
      <c r="B51" s="21">
        <v>2</v>
      </c>
      <c r="C51" s="22" t="s">
        <v>27</v>
      </c>
      <c r="D51" s="22" t="s">
        <v>28</v>
      </c>
      <c r="E51" s="23">
        <v>14040819</v>
      </c>
      <c r="F51" s="23">
        <v>59537.656899679772</v>
      </c>
      <c r="G51" s="23">
        <v>209162.47070871643</v>
      </c>
      <c r="H51" s="23">
        <v>87630.204100335395</v>
      </c>
      <c r="I51" s="23">
        <v>45758.096235300691</v>
      </c>
      <c r="J51" s="23">
        <v>7142</v>
      </c>
      <c r="K51" s="23">
        <v>0</v>
      </c>
      <c r="L51" s="23">
        <v>0</v>
      </c>
      <c r="M51" s="23">
        <v>0</v>
      </c>
      <c r="N51" s="23">
        <v>0</v>
      </c>
      <c r="O51" s="23">
        <v>0</v>
      </c>
      <c r="P51" s="23">
        <v>0</v>
      </c>
      <c r="Q51" s="23">
        <v>14450049.427944031</v>
      </c>
      <c r="R51" s="23">
        <v>1871.1816059575306</v>
      </c>
    </row>
    <row r="52" spans="1:18" x14ac:dyDescent="0.25">
      <c r="B52" s="21">
        <v>3</v>
      </c>
      <c r="C52" s="22" t="s">
        <v>34</v>
      </c>
      <c r="D52" s="22" t="s">
        <v>35</v>
      </c>
      <c r="E52" s="23">
        <v>18984562</v>
      </c>
      <c r="F52" s="23">
        <v>80500.741356091748</v>
      </c>
      <c r="G52" s="23">
        <v>280411.50513269322</v>
      </c>
      <c r="H52" s="23">
        <v>118426.39525649149</v>
      </c>
      <c r="I52" s="23">
        <v>61869.426205197342</v>
      </c>
      <c r="J52" s="23">
        <v>4030</v>
      </c>
      <c r="K52" s="23">
        <v>-687</v>
      </c>
      <c r="L52" s="23">
        <v>-110</v>
      </c>
      <c r="M52" s="23">
        <v>0</v>
      </c>
      <c r="N52" s="23">
        <v>0</v>
      </c>
      <c r="O52" s="23">
        <v>0</v>
      </c>
      <c r="P52" s="23">
        <v>7183</v>
      </c>
      <c r="Q52" s="23">
        <v>19536186.067950472</v>
      </c>
      <c r="R52" s="23">
        <v>1677.4005870912865</v>
      </c>
    </row>
    <row r="53" spans="1:18" x14ac:dyDescent="0.25">
      <c r="B53" s="21">
        <v>4</v>
      </c>
      <c r="C53" s="22" t="s">
        <v>58</v>
      </c>
      <c r="D53" s="22" t="s">
        <v>59</v>
      </c>
      <c r="E53" s="23">
        <v>11235396</v>
      </c>
      <c r="F53" s="23">
        <v>47641.747406617418</v>
      </c>
      <c r="G53" s="23">
        <v>164351.87897471216</v>
      </c>
      <c r="H53" s="23">
        <v>70106.738623748228</v>
      </c>
      <c r="I53" s="23">
        <v>36615.409073339135</v>
      </c>
      <c r="J53" s="23">
        <v>6292</v>
      </c>
      <c r="K53" s="23">
        <v>0</v>
      </c>
      <c r="L53" s="23">
        <v>-704</v>
      </c>
      <c r="M53" s="23">
        <v>0</v>
      </c>
      <c r="N53" s="23">
        <v>0</v>
      </c>
      <c r="O53" s="23">
        <v>0</v>
      </c>
      <c r="P53" s="23">
        <v>0</v>
      </c>
      <c r="Q53" s="23">
        <v>11559699.774078418</v>
      </c>
      <c r="R53" s="23">
        <v>1623.7574876938766</v>
      </c>
    </row>
    <row r="54" spans="1:18" x14ac:dyDescent="0.25">
      <c r="B54" s="21">
        <v>5</v>
      </c>
      <c r="C54" s="22" t="s">
        <v>72</v>
      </c>
      <c r="D54" s="22" t="s">
        <v>73</v>
      </c>
      <c r="E54" s="23">
        <v>16316847</v>
      </c>
      <c r="F54" s="23">
        <v>69188.75874481177</v>
      </c>
      <c r="G54" s="23">
        <v>247752.69440715192</v>
      </c>
      <c r="H54" s="23">
        <v>101763.98037746343</v>
      </c>
      <c r="I54" s="23">
        <v>53175.520265782034</v>
      </c>
      <c r="J54" s="23">
        <v>16195</v>
      </c>
      <c r="K54" s="23">
        <v>0</v>
      </c>
      <c r="L54" s="23">
        <v>-1070</v>
      </c>
      <c r="M54" s="23">
        <v>0</v>
      </c>
      <c r="N54" s="23">
        <v>0</v>
      </c>
      <c r="O54" s="23">
        <v>0</v>
      </c>
      <c r="P54" s="23">
        <v>-7183</v>
      </c>
      <c r="Q54" s="23">
        <v>16796669.95379521</v>
      </c>
      <c r="R54" s="23">
        <v>1569.5893740318772</v>
      </c>
    </row>
    <row r="55" spans="1:18" x14ac:dyDescent="0.25">
      <c r="B55" s="21">
        <v>6</v>
      </c>
      <c r="C55" s="22" t="s">
        <v>84</v>
      </c>
      <c r="D55" s="22" t="s">
        <v>85</v>
      </c>
      <c r="E55" s="23">
        <v>15146291</v>
      </c>
      <c r="F55" s="23">
        <v>64225.219117254317</v>
      </c>
      <c r="G55" s="23">
        <v>222944.24237048902</v>
      </c>
      <c r="H55" s="23">
        <v>94520.938079123662</v>
      </c>
      <c r="I55" s="23">
        <v>49360.756034663551</v>
      </c>
      <c r="J55" s="23">
        <v>5674</v>
      </c>
      <c r="K55" s="23">
        <v>0</v>
      </c>
      <c r="L55" s="23">
        <v>-674</v>
      </c>
      <c r="M55" s="23">
        <v>0</v>
      </c>
      <c r="N55" s="23">
        <v>0</v>
      </c>
      <c r="O55" s="23">
        <v>0</v>
      </c>
      <c r="P55" s="23">
        <v>0</v>
      </c>
      <c r="Q55" s="23">
        <v>15582342.155601533</v>
      </c>
      <c r="R55" s="23">
        <v>1619.0248118613781</v>
      </c>
    </row>
    <row r="56" spans="1:18" x14ac:dyDescent="0.25">
      <c r="B56" s="21">
        <v>7</v>
      </c>
      <c r="C56" s="22" t="s">
        <v>98</v>
      </c>
      <c r="D56" s="22" t="s">
        <v>99</v>
      </c>
      <c r="E56" s="23">
        <v>9885171</v>
      </c>
      <c r="F56" s="23">
        <v>41916.35255697438</v>
      </c>
      <c r="G56" s="23">
        <v>145928.97146113397</v>
      </c>
      <c r="H56" s="23">
        <v>61731.083774328508</v>
      </c>
      <c r="I56" s="23">
        <v>32215.115508604133</v>
      </c>
      <c r="J56" s="23">
        <v>5359</v>
      </c>
      <c r="K56" s="23">
        <v>-6475</v>
      </c>
      <c r="L56" s="23">
        <v>-135</v>
      </c>
      <c r="M56" s="23">
        <v>0</v>
      </c>
      <c r="N56" s="23">
        <v>0</v>
      </c>
      <c r="O56" s="23">
        <v>0</v>
      </c>
      <c r="P56" s="23">
        <v>0</v>
      </c>
      <c r="Q56" s="23">
        <v>10165711.523301041</v>
      </c>
      <c r="R56" s="23">
        <v>1683.711716091527</v>
      </c>
    </row>
    <row r="57" spans="1:18" x14ac:dyDescent="0.25">
      <c r="A57" s="24"/>
      <c r="B57" s="31"/>
      <c r="C57" s="32" t="s">
        <v>115</v>
      </c>
      <c r="D57" s="32" t="s">
        <v>116</v>
      </c>
      <c r="E57" s="33">
        <v>101260119</v>
      </c>
      <c r="F57" s="33">
        <v>429375.97132055706</v>
      </c>
      <c r="G57" s="33">
        <v>1502341.6376550954</v>
      </c>
      <c r="H57" s="33">
        <v>631836.90065333643</v>
      </c>
      <c r="I57" s="33">
        <v>330000</v>
      </c>
      <c r="J57" s="33">
        <v>50397</v>
      </c>
      <c r="K57" s="33">
        <v>-7162</v>
      </c>
      <c r="L57" s="33">
        <v>-2764</v>
      </c>
      <c r="M57" s="33">
        <v>46</v>
      </c>
      <c r="N57" s="33">
        <v>0</v>
      </c>
      <c r="O57" s="33">
        <v>-117</v>
      </c>
      <c r="P57" s="33">
        <v>0</v>
      </c>
      <c r="Q57" s="33">
        <v>104194073.50962898</v>
      </c>
      <c r="R57" s="33">
        <v>1683.1680576352119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6A09-EFFC-4A8E-B86E-478417BDBE5B}">
  <sheetPr codeName="Sheet7">
    <tabColor rgb="FF0070C0"/>
  </sheetPr>
  <dimension ref="A1:V65"/>
  <sheetViews>
    <sheetView zoomScale="80" zoomScaleNormal="80" workbookViewId="0">
      <pane xSplit="4" ySplit="4" topLeftCell="E5" activePane="bottomRight" state="frozen"/>
      <selection pane="topRight" activeCell="F13" sqref="F13"/>
      <selection pane="bottomLeft" activeCell="F13" sqref="F13"/>
      <selection pane="bottomRight" activeCell="P26" sqref="P26"/>
    </sheetView>
  </sheetViews>
  <sheetFormatPr defaultRowHeight="15" outlineLevelCol="1" x14ac:dyDescent="0.25"/>
  <cols>
    <col min="1" max="1" width="8.7109375" customWidth="1" outlineLevel="1"/>
    <col min="2" max="2" width="21.7109375" customWidth="1" outlineLevel="1"/>
    <col min="4" max="4" width="54" bestFit="1" customWidth="1"/>
    <col min="5" max="5" width="13.28515625" customWidth="1"/>
    <col min="6" max="6" width="13.28515625" style="41" customWidth="1"/>
    <col min="8" max="8" width="13.28515625" style="41" customWidth="1"/>
    <col min="9" max="9" width="14.42578125" style="41" customWidth="1"/>
    <col min="10" max="11" width="13.28515625" customWidth="1"/>
    <col min="12" max="12" width="13.28515625" style="41" customWidth="1"/>
    <col min="13" max="14" width="13.28515625" customWidth="1"/>
    <col min="15" max="15" width="13.28515625" style="41" customWidth="1"/>
    <col min="16" max="22" width="13.28515625" customWidth="1"/>
  </cols>
  <sheetData>
    <row r="1" spans="1:22" ht="25.5" x14ac:dyDescent="0.35">
      <c r="A1" s="1" t="s">
        <v>12</v>
      </c>
      <c r="H1" s="39" t="s">
        <v>1057</v>
      </c>
    </row>
    <row r="3" spans="1:22" ht="108.75" customHeight="1" x14ac:dyDescent="0.25">
      <c r="A3" s="25" t="s">
        <v>13</v>
      </c>
      <c r="B3" s="26" t="s">
        <v>14</v>
      </c>
      <c r="C3" s="26" t="s">
        <v>15</v>
      </c>
      <c r="D3" s="26" t="s">
        <v>16</v>
      </c>
      <c r="E3" s="27" t="s">
        <v>142</v>
      </c>
      <c r="F3" s="42" t="s">
        <v>1201</v>
      </c>
      <c r="G3" s="36" t="s">
        <v>147</v>
      </c>
      <c r="H3" s="42" t="s">
        <v>317</v>
      </c>
      <c r="I3" s="42" t="s">
        <v>318</v>
      </c>
      <c r="J3" s="42" t="s">
        <v>148</v>
      </c>
      <c r="K3" s="42" t="s">
        <v>1203</v>
      </c>
      <c r="L3" s="42" t="s">
        <v>151</v>
      </c>
      <c r="M3" s="42" t="s">
        <v>152</v>
      </c>
      <c r="N3" s="42" t="s">
        <v>153</v>
      </c>
      <c r="O3" s="42" t="s">
        <v>154</v>
      </c>
      <c r="P3" s="42" t="s">
        <v>155</v>
      </c>
      <c r="Q3" s="42" t="s">
        <v>1212</v>
      </c>
      <c r="R3" s="42" t="s">
        <v>5</v>
      </c>
      <c r="S3" s="42" t="s">
        <v>1213</v>
      </c>
      <c r="T3" s="42" t="s">
        <v>1214</v>
      </c>
      <c r="U3" s="42" t="s">
        <v>1199</v>
      </c>
      <c r="V3" s="27" t="s">
        <v>1200</v>
      </c>
    </row>
    <row r="5" spans="1:22" x14ac:dyDescent="0.25">
      <c r="A5" s="10" t="s">
        <v>17</v>
      </c>
      <c r="B5" s="4" t="s">
        <v>18</v>
      </c>
      <c r="C5" s="4" t="s">
        <v>19</v>
      </c>
      <c r="D5" s="4" t="s">
        <v>20</v>
      </c>
      <c r="E5" s="11">
        <v>3049118.4291022574</v>
      </c>
      <c r="F5" s="43">
        <v>1.2059920338417518E-2</v>
      </c>
      <c r="H5" s="43">
        <v>4.0940754025068943E-2</v>
      </c>
      <c r="I5" s="43">
        <v>-9.5081070476278375E-3</v>
      </c>
      <c r="J5" s="11">
        <v>3143773.364775687</v>
      </c>
      <c r="K5" s="11">
        <v>1764.9054976919463</v>
      </c>
      <c r="L5" s="43">
        <v>3.1043377905560332E-2</v>
      </c>
      <c r="M5" s="11">
        <v>77327.780229580632</v>
      </c>
      <c r="N5" s="11">
        <v>3221101.1450052676</v>
      </c>
      <c r="O5" s="43">
        <v>3.1082897459899783E-2</v>
      </c>
      <c r="P5" s="11">
        <v>14849.971530645595</v>
      </c>
      <c r="Q5" s="11">
        <v>4772.9174135014282</v>
      </c>
      <c r="R5" s="11">
        <v>38055.503322811222</v>
      </c>
      <c r="S5" s="11">
        <v>2418.0658985608452</v>
      </c>
      <c r="T5" s="11">
        <v>2485</v>
      </c>
      <c r="U5" s="11">
        <v>805.3483636363635</v>
      </c>
      <c r="V5" s="11">
        <v>3284487.9515344235</v>
      </c>
    </row>
    <row r="6" spans="1:22" x14ac:dyDescent="0.25">
      <c r="A6" s="13" t="s">
        <v>17</v>
      </c>
      <c r="B6" s="14" t="s">
        <v>18</v>
      </c>
      <c r="C6" s="4" t="s">
        <v>21</v>
      </c>
      <c r="D6" s="4" t="s">
        <v>22</v>
      </c>
      <c r="E6" s="11">
        <v>6016186.5103033921</v>
      </c>
      <c r="F6" s="43">
        <v>4.2213520203146837E-2</v>
      </c>
      <c r="H6" s="43">
        <v>3.9804301491899757E-2</v>
      </c>
      <c r="I6" s="43">
        <v>-1.0880000000000001E-2</v>
      </c>
      <c r="J6" s="11">
        <v>6187595.0680525461</v>
      </c>
      <c r="K6" s="11">
        <v>1957.5088475158584</v>
      </c>
      <c r="L6" s="43">
        <v>2.8491230691667813E-2</v>
      </c>
      <c r="M6" s="11">
        <v>147926.59685374834</v>
      </c>
      <c r="N6" s="11">
        <v>6335521.6649062941</v>
      </c>
      <c r="O6" s="43">
        <v>2.8562531528472768E-2</v>
      </c>
      <c r="P6" s="11">
        <v>28407.71771000783</v>
      </c>
      <c r="Q6" s="11">
        <v>9704.7128272014616</v>
      </c>
      <c r="R6" s="11">
        <v>31790.451758712392</v>
      </c>
      <c r="S6" s="11">
        <v>4758.9977118414481</v>
      </c>
      <c r="T6" s="11">
        <v>4604</v>
      </c>
      <c r="U6" s="11">
        <v>2196.1483636363628</v>
      </c>
      <c r="V6" s="11">
        <v>6416983.6932776934</v>
      </c>
    </row>
    <row r="7" spans="1:22" x14ac:dyDescent="0.25">
      <c r="A7" s="13" t="s">
        <v>17</v>
      </c>
      <c r="B7" s="14" t="s">
        <v>18</v>
      </c>
      <c r="C7" s="4" t="s">
        <v>23</v>
      </c>
      <c r="D7" s="4" t="s">
        <v>24</v>
      </c>
      <c r="E7" s="11">
        <v>2625646.0761444462</v>
      </c>
      <c r="F7" s="43">
        <v>3.5356390273651339E-2</v>
      </c>
      <c r="H7" s="43">
        <v>4.0934433051497715E-2</v>
      </c>
      <c r="I7" s="43">
        <v>-1.0880000000000001E-2</v>
      </c>
      <c r="J7" s="11">
        <v>2703389.0052081505</v>
      </c>
      <c r="K7" s="11">
        <v>1809.603048920475</v>
      </c>
      <c r="L7" s="43">
        <v>2.9609066419897578E-2</v>
      </c>
      <c r="M7" s="11">
        <v>65054.058788463633</v>
      </c>
      <c r="N7" s="11">
        <v>2768443.063996614</v>
      </c>
      <c r="O7" s="43">
        <v>2.9681154683707689E-2</v>
      </c>
      <c r="P7" s="11">
        <v>12492.934855927502</v>
      </c>
      <c r="Q7" s="11">
        <v>3608.2102476620303</v>
      </c>
      <c r="R7" s="11">
        <v>19235.577835421383</v>
      </c>
      <c r="S7" s="11">
        <v>2079.2120170744874</v>
      </c>
      <c r="T7" s="11">
        <v>2132</v>
      </c>
      <c r="U7" s="11">
        <v>10.072000000000116</v>
      </c>
      <c r="V7" s="11">
        <v>2808001.0709527</v>
      </c>
    </row>
    <row r="8" spans="1:22" x14ac:dyDescent="0.25">
      <c r="A8" s="15" t="s">
        <v>17</v>
      </c>
      <c r="B8" s="16" t="s">
        <v>18</v>
      </c>
      <c r="C8" s="17" t="s">
        <v>25</v>
      </c>
      <c r="D8" s="17" t="s">
        <v>26</v>
      </c>
      <c r="E8" s="18">
        <v>4412463.5914081903</v>
      </c>
      <c r="F8" s="44">
        <v>1.2241930164688331E-2</v>
      </c>
      <c r="H8" s="44">
        <v>4.0032011918436666E-2</v>
      </c>
      <c r="I8" s="44">
        <v>-9.6516046490595173E-3</v>
      </c>
      <c r="J8" s="18">
        <v>4544811.174909058</v>
      </c>
      <c r="K8" s="18">
        <v>1722.8616014111633</v>
      </c>
      <c r="L8" s="44">
        <v>2.9994034117033941E-2</v>
      </c>
      <c r="M8" s="18">
        <v>111707.31674924797</v>
      </c>
      <c r="N8" s="18">
        <v>4656518.4916583057</v>
      </c>
      <c r="O8" s="44">
        <v>3.0036852038131334E-2</v>
      </c>
      <c r="P8" s="18">
        <v>21452.193100152803</v>
      </c>
      <c r="Q8" s="18">
        <v>6195.8251528839728</v>
      </c>
      <c r="R8" s="18">
        <v>31410.41623277848</v>
      </c>
      <c r="S8" s="18">
        <v>3489.9769558631824</v>
      </c>
      <c r="T8" s="18">
        <v>3821</v>
      </c>
      <c r="U8" s="18">
        <v>-359.30400000000009</v>
      </c>
      <c r="V8" s="18">
        <v>4722528.5990999853</v>
      </c>
    </row>
    <row r="9" spans="1:22" x14ac:dyDescent="0.25">
      <c r="A9" s="10" t="s">
        <v>27</v>
      </c>
      <c r="B9" s="4" t="s">
        <v>28</v>
      </c>
      <c r="C9" s="4" t="s">
        <v>29</v>
      </c>
      <c r="D9" s="4" t="s">
        <v>30</v>
      </c>
      <c r="E9" s="11">
        <v>5282103.6953610079</v>
      </c>
      <c r="F9" s="43">
        <v>5.595418576396094E-2</v>
      </c>
      <c r="H9" s="43">
        <v>4.1153664874322621E-2</v>
      </c>
      <c r="I9" s="43">
        <v>-1.0880000000000001E-2</v>
      </c>
      <c r="J9" s="11">
        <v>5439647.2606384121</v>
      </c>
      <c r="K9" s="11">
        <v>1986.3581536430597</v>
      </c>
      <c r="L9" s="43">
        <v>2.982591300049009E-2</v>
      </c>
      <c r="M9" s="11">
        <v>128326.86870091685</v>
      </c>
      <c r="N9" s="11">
        <v>5567974.129339329</v>
      </c>
      <c r="O9" s="43">
        <v>2.9896680113581597E-2</v>
      </c>
      <c r="P9" s="11">
        <v>24643.799953493697</v>
      </c>
      <c r="Q9" s="11">
        <v>8201.1224215777802</v>
      </c>
      <c r="R9" s="11">
        <v>62308.704445115494</v>
      </c>
      <c r="S9" s="11">
        <v>4185.045158922896</v>
      </c>
      <c r="T9" s="11">
        <v>4492</v>
      </c>
      <c r="U9" s="11">
        <v>2955.9345454545455</v>
      </c>
      <c r="V9" s="11">
        <v>5674760.7358638924</v>
      </c>
    </row>
    <row r="10" spans="1:22" x14ac:dyDescent="0.25">
      <c r="A10" s="13" t="s">
        <v>27</v>
      </c>
      <c r="B10" s="14" t="s">
        <v>28</v>
      </c>
      <c r="C10" s="4" t="s">
        <v>31</v>
      </c>
      <c r="D10" s="4" t="s">
        <v>8</v>
      </c>
      <c r="E10" s="11">
        <v>5659485.1514335498</v>
      </c>
      <c r="F10" s="43">
        <v>2.5384321572177182E-2</v>
      </c>
      <c r="H10" s="43">
        <v>4.0229239959299307E-2</v>
      </c>
      <c r="I10" s="43">
        <v>-1.0880000000000001E-2</v>
      </c>
      <c r="J10" s="11">
        <v>5823109.6157551752</v>
      </c>
      <c r="K10" s="11">
        <v>1827.2160546365083</v>
      </c>
      <c r="L10" s="43">
        <v>2.8911545828542273E-2</v>
      </c>
      <c r="M10" s="11">
        <v>141455.87978327123</v>
      </c>
      <c r="N10" s="11">
        <v>5964565.4955384461</v>
      </c>
      <c r="O10" s="43">
        <v>2.8984093680554768E-2</v>
      </c>
      <c r="P10" s="11">
        <v>27165.085838329062</v>
      </c>
      <c r="Q10" s="11">
        <v>9040.1715560833472</v>
      </c>
      <c r="R10" s="11">
        <v>69969.123046895431</v>
      </c>
      <c r="S10" s="11">
        <v>4475.1221221948745</v>
      </c>
      <c r="T10" s="11">
        <v>4900</v>
      </c>
      <c r="U10" s="11">
        <v>861.38181818181829</v>
      </c>
      <c r="V10" s="11">
        <v>6080976.3799201306</v>
      </c>
    </row>
    <row r="11" spans="1:22" x14ac:dyDescent="0.25">
      <c r="A11" s="15" t="s">
        <v>27</v>
      </c>
      <c r="B11" s="16" t="s">
        <v>28</v>
      </c>
      <c r="C11" s="17" t="s">
        <v>32</v>
      </c>
      <c r="D11" s="17" t="s">
        <v>33</v>
      </c>
      <c r="E11" s="18">
        <v>3508460.5811494747</v>
      </c>
      <c r="F11" s="44">
        <v>6.2398747698171553E-2</v>
      </c>
      <c r="H11" s="44">
        <v>4.0531844995353478E-2</v>
      </c>
      <c r="I11" s="44">
        <v>-1.0880000000000001E-2</v>
      </c>
      <c r="J11" s="18">
        <v>3610945.7268147585</v>
      </c>
      <c r="K11" s="18">
        <v>1978.6331293730418</v>
      </c>
      <c r="L11" s="44">
        <v>2.9210858521804051E-2</v>
      </c>
      <c r="M11" s="18">
        <v>84681.059652283831</v>
      </c>
      <c r="N11" s="18">
        <v>3695626.7864670423</v>
      </c>
      <c r="O11" s="44">
        <v>2.9281038563127026E-2</v>
      </c>
      <c r="P11" s="18">
        <v>16262.090044326313</v>
      </c>
      <c r="Q11" s="18">
        <v>5411.801195137411</v>
      </c>
      <c r="R11" s="18">
        <v>41362.732694948543</v>
      </c>
      <c r="S11" s="18">
        <v>2778.1860082527573</v>
      </c>
      <c r="T11" s="18">
        <v>2950</v>
      </c>
      <c r="U11" s="18">
        <v>1046.4872727272723</v>
      </c>
      <c r="V11" s="18">
        <v>3765438.0836824342</v>
      </c>
    </row>
    <row r="12" spans="1:22" x14ac:dyDescent="0.25">
      <c r="A12" s="10" t="s">
        <v>34</v>
      </c>
      <c r="B12" s="4" t="s">
        <v>35</v>
      </c>
      <c r="C12" s="4" t="s">
        <v>36</v>
      </c>
      <c r="D12" s="4" t="s">
        <v>37</v>
      </c>
      <c r="E12" s="11">
        <v>2582726.5490809772</v>
      </c>
      <c r="F12" s="43">
        <v>-3.2268950952261344E-2</v>
      </c>
      <c r="H12" s="43">
        <v>3.8692699895227639E-2</v>
      </c>
      <c r="I12" s="43">
        <v>2E-3</v>
      </c>
      <c r="J12" s="11">
        <v>2688024.5307807163</v>
      </c>
      <c r="K12" s="11">
        <v>1699.3449040044952</v>
      </c>
      <c r="L12" s="43">
        <v>4.0770085295018132E-2</v>
      </c>
      <c r="M12" s="11">
        <v>68165.60167591543</v>
      </c>
      <c r="N12" s="11">
        <v>2756190.1324566319</v>
      </c>
      <c r="O12" s="43">
        <v>4.0512117231690015E-2</v>
      </c>
      <c r="P12" s="11">
        <v>13090.473323446664</v>
      </c>
      <c r="Q12" s="11">
        <v>6091.1624007823821</v>
      </c>
      <c r="R12" s="11">
        <v>20851.354109416927</v>
      </c>
      <c r="S12" s="11">
        <v>2033.0482142719222</v>
      </c>
      <c r="T12" s="11">
        <v>2939</v>
      </c>
      <c r="U12" s="11">
        <v>605.72581818181834</v>
      </c>
      <c r="V12" s="11">
        <v>2801800.8963227319</v>
      </c>
    </row>
    <row r="13" spans="1:22" x14ac:dyDescent="0.25">
      <c r="A13" s="13" t="s">
        <v>34</v>
      </c>
      <c r="B13" s="14" t="s">
        <v>35</v>
      </c>
      <c r="C13" s="4" t="s">
        <v>38</v>
      </c>
      <c r="D13" s="4" t="s">
        <v>39</v>
      </c>
      <c r="E13" s="11">
        <v>2279346.3873321107</v>
      </c>
      <c r="F13" s="43">
        <v>1.5842085860186206E-2</v>
      </c>
      <c r="H13" s="43">
        <v>3.9986463855988502E-2</v>
      </c>
      <c r="I13" s="43">
        <v>-1.0880000000000001E-2</v>
      </c>
      <c r="J13" s="11">
        <v>2344698.464709247</v>
      </c>
      <c r="K13" s="11">
        <v>1800.9196067793628</v>
      </c>
      <c r="L13" s="43">
        <v>2.8671411129235436E-2</v>
      </c>
      <c r="M13" s="11">
        <v>57447.095653399461</v>
      </c>
      <c r="N13" s="11">
        <v>2402145.5603626464</v>
      </c>
      <c r="O13" s="43">
        <v>2.8744495142994486E-2</v>
      </c>
      <c r="P13" s="11">
        <v>11032.099103821418</v>
      </c>
      <c r="Q13" s="11">
        <v>5133.3747855353504</v>
      </c>
      <c r="R13" s="11">
        <v>8519.2007948180362</v>
      </c>
      <c r="S13" s="11">
        <v>1800.0262586515123</v>
      </c>
      <c r="T13" s="11">
        <v>2735</v>
      </c>
      <c r="U13" s="11">
        <v>1105.3476363636364</v>
      </c>
      <c r="V13" s="11">
        <v>2432470.6089418363</v>
      </c>
    </row>
    <row r="14" spans="1:22" x14ac:dyDescent="0.25">
      <c r="A14" s="13" t="s">
        <v>34</v>
      </c>
      <c r="B14" s="14" t="s">
        <v>35</v>
      </c>
      <c r="C14" s="4" t="s">
        <v>40</v>
      </c>
      <c r="D14" s="4" t="s">
        <v>41</v>
      </c>
      <c r="E14" s="11">
        <v>1685859.4368248242</v>
      </c>
      <c r="F14" s="43">
        <v>6.6502346255354894E-3</v>
      </c>
      <c r="H14" s="43">
        <v>4.480252668365528E-2</v>
      </c>
      <c r="I14" s="43">
        <v>-5.2430794927955278E-3</v>
      </c>
      <c r="J14" s="11">
        <v>1752155.0903956769</v>
      </c>
      <c r="K14" s="11">
        <v>1633.0366577345458</v>
      </c>
      <c r="L14" s="43">
        <v>3.9324543981979376E-2</v>
      </c>
      <c r="M14" s="11">
        <v>43134.076680056867</v>
      </c>
      <c r="N14" s="11">
        <v>1795289.1670757337</v>
      </c>
      <c r="O14" s="43">
        <v>3.9257953922791078E-2</v>
      </c>
      <c r="P14" s="11">
        <v>8283.4371916252057</v>
      </c>
      <c r="Q14" s="11">
        <v>3854.3881571892161</v>
      </c>
      <c r="R14" s="11">
        <v>21210.267459761137</v>
      </c>
      <c r="S14" s="11">
        <v>1342.2891237579124</v>
      </c>
      <c r="T14" s="11">
        <v>1240</v>
      </c>
      <c r="U14" s="11">
        <v>-191.65090909090895</v>
      </c>
      <c r="V14" s="11">
        <v>1831027.8980989761</v>
      </c>
    </row>
    <row r="15" spans="1:22" x14ac:dyDescent="0.25">
      <c r="A15" s="13" t="s">
        <v>34</v>
      </c>
      <c r="B15" s="14" t="s">
        <v>35</v>
      </c>
      <c r="C15" s="4" t="s">
        <v>42</v>
      </c>
      <c r="D15" s="4" t="s">
        <v>43</v>
      </c>
      <c r="E15" s="11">
        <v>1963325.072147588</v>
      </c>
      <c r="F15" s="43">
        <v>3.5550992592230379E-2</v>
      </c>
      <c r="H15" s="43">
        <v>4.2975822587657225E-2</v>
      </c>
      <c r="I15" s="43">
        <v>-1.0880000000000001E-2</v>
      </c>
      <c r="J15" s="11">
        <v>2025421.5997965266</v>
      </c>
      <c r="K15" s="11">
        <v>1808.6987320499416</v>
      </c>
      <c r="L15" s="43">
        <v>3.1628245637903563E-2</v>
      </c>
      <c r="M15" s="11">
        <v>48739.00870626379</v>
      </c>
      <c r="N15" s="11">
        <v>2074160.6085027903</v>
      </c>
      <c r="O15" s="43">
        <v>3.170092987812767E-2</v>
      </c>
      <c r="P15" s="11">
        <v>9359.8043235054083</v>
      </c>
      <c r="Q15" s="11">
        <v>5110.5165049581374</v>
      </c>
      <c r="R15" s="11">
        <v>8432.6226854427114</v>
      </c>
      <c r="S15" s="11">
        <v>1560.3431518580992</v>
      </c>
      <c r="T15" s="11">
        <v>1919</v>
      </c>
      <c r="U15" s="11">
        <v>-262.34181818181833</v>
      </c>
      <c r="V15" s="11">
        <v>2100280.5533503727</v>
      </c>
    </row>
    <row r="16" spans="1:22" x14ac:dyDescent="0.25">
      <c r="A16" s="13" t="s">
        <v>34</v>
      </c>
      <c r="B16" s="14" t="s">
        <v>35</v>
      </c>
      <c r="C16" s="4" t="s">
        <v>44</v>
      </c>
      <c r="D16" s="4" t="s">
        <v>45</v>
      </c>
      <c r="E16" s="11">
        <v>1399084.5320666675</v>
      </c>
      <c r="F16" s="43">
        <v>3.8909324072628149E-2</v>
      </c>
      <c r="H16" s="43">
        <v>4.5262739598378815E-2</v>
      </c>
      <c r="I16" s="43">
        <v>-1.0880000000000001E-2</v>
      </c>
      <c r="J16" s="11">
        <v>1446499.899989336</v>
      </c>
      <c r="K16" s="11">
        <v>1751.2179416309741</v>
      </c>
      <c r="L16" s="43">
        <v>3.3890280991548449E-2</v>
      </c>
      <c r="M16" s="11">
        <v>34714.825263863837</v>
      </c>
      <c r="N16" s="11">
        <v>1481214.7252531999</v>
      </c>
      <c r="O16" s="43">
        <v>3.3963441843400499E-2</v>
      </c>
      <c r="P16" s="11">
        <v>6666.6101797981246</v>
      </c>
      <c r="Q16" s="11">
        <v>3102.0565131221711</v>
      </c>
      <c r="R16" s="11">
        <v>9462.755048449164</v>
      </c>
      <c r="S16" s="11">
        <v>1116.2848653245278</v>
      </c>
      <c r="T16" s="11">
        <v>707</v>
      </c>
      <c r="U16" s="11">
        <v>-174.89454545454555</v>
      </c>
      <c r="V16" s="11">
        <v>1502094.5373144397</v>
      </c>
    </row>
    <row r="17" spans="1:22" x14ac:dyDescent="0.25">
      <c r="A17" s="13" t="s">
        <v>34</v>
      </c>
      <c r="B17" s="14" t="s">
        <v>35</v>
      </c>
      <c r="C17" s="4" t="s">
        <v>46</v>
      </c>
      <c r="D17" s="4" t="s">
        <v>47</v>
      </c>
      <c r="E17" s="11">
        <v>1777885.3086175141</v>
      </c>
      <c r="F17" s="43">
        <v>7.7355035386004189E-3</v>
      </c>
      <c r="H17" s="43">
        <v>4.5197784256267998E-2</v>
      </c>
      <c r="I17" s="43">
        <v>-6.0987117909164839E-3</v>
      </c>
      <c r="J17" s="11">
        <v>1846908.9041428484</v>
      </c>
      <c r="K17" s="11">
        <v>1531.4816185928739</v>
      </c>
      <c r="L17" s="43">
        <v>3.8823424205584489E-2</v>
      </c>
      <c r="M17" s="11">
        <v>45469.201594279031</v>
      </c>
      <c r="N17" s="11">
        <v>1892378.1057371274</v>
      </c>
      <c r="O17" s="43">
        <v>3.8778477757621665E-2</v>
      </c>
      <c r="P17" s="11">
        <v>8731.872907660867</v>
      </c>
      <c r="Q17" s="11">
        <v>4767.6646284572762</v>
      </c>
      <c r="R17" s="11">
        <v>36289.59104128617</v>
      </c>
      <c r="S17" s="11">
        <v>1417.7169450335423</v>
      </c>
      <c r="T17" s="11">
        <v>1626</v>
      </c>
      <c r="U17" s="11">
        <v>0</v>
      </c>
      <c r="V17" s="11">
        <v>1945210.9512595653</v>
      </c>
    </row>
    <row r="18" spans="1:22" x14ac:dyDescent="0.25">
      <c r="A18" s="13" t="s">
        <v>34</v>
      </c>
      <c r="B18" s="14" t="s">
        <v>35</v>
      </c>
      <c r="C18" s="4" t="s">
        <v>48</v>
      </c>
      <c r="D18" s="4" t="s">
        <v>49</v>
      </c>
      <c r="E18" s="11">
        <v>1430894.8889875349</v>
      </c>
      <c r="F18" s="43">
        <v>5.6471051774535486E-2</v>
      </c>
      <c r="H18" s="43">
        <v>4.4284407738537729E-2</v>
      </c>
      <c r="I18" s="43">
        <v>-1.0880000000000001E-2</v>
      </c>
      <c r="J18" s="11">
        <v>1478003.6595905435</v>
      </c>
      <c r="K18" s="11">
        <v>1812.7506281193423</v>
      </c>
      <c r="L18" s="43">
        <v>3.2922593382342491E-2</v>
      </c>
      <c r="M18" s="11">
        <v>34883.139174117779</v>
      </c>
      <c r="N18" s="11">
        <v>1512886.7987646612</v>
      </c>
      <c r="O18" s="43">
        <v>3.2994289230863894E-2</v>
      </c>
      <c r="P18" s="11">
        <v>6698.9330625714538</v>
      </c>
      <c r="Q18" s="11">
        <v>3657.6620775260494</v>
      </c>
      <c r="R18" s="11">
        <v>12416.947162759478</v>
      </c>
      <c r="S18" s="11">
        <v>1139.887862816897</v>
      </c>
      <c r="T18" s="11">
        <v>775</v>
      </c>
      <c r="U18" s="11">
        <v>272.55272727272722</v>
      </c>
      <c r="V18" s="11">
        <v>1537847.781657608</v>
      </c>
    </row>
    <row r="19" spans="1:22" x14ac:dyDescent="0.25">
      <c r="A19" s="13" t="s">
        <v>34</v>
      </c>
      <c r="B19" s="14" t="s">
        <v>35</v>
      </c>
      <c r="C19" s="4" t="s">
        <v>50</v>
      </c>
      <c r="D19" s="4" t="s">
        <v>51</v>
      </c>
      <c r="E19" s="11">
        <v>1309001.4633780424</v>
      </c>
      <c r="F19" s="43">
        <v>1.7717023442645807E-2</v>
      </c>
      <c r="H19" s="43">
        <v>4.622079428407147E-2</v>
      </c>
      <c r="I19" s="43">
        <v>-1.0880000000000001E-2</v>
      </c>
      <c r="J19" s="11">
        <v>1354604.3412223973</v>
      </c>
      <c r="K19" s="11">
        <v>1640.8810515344501</v>
      </c>
      <c r="L19" s="43">
        <v>3.4837912042260832E-2</v>
      </c>
      <c r="M19" s="11">
        <v>33182.725736230495</v>
      </c>
      <c r="N19" s="11">
        <v>1387787.0669586277</v>
      </c>
      <c r="O19" s="43">
        <v>3.4912836993581609E-2</v>
      </c>
      <c r="P19" s="11">
        <v>6372.3868838503722</v>
      </c>
      <c r="Q19" s="11">
        <v>3479.368735853644</v>
      </c>
      <c r="R19" s="11">
        <v>10386.123860087822</v>
      </c>
      <c r="S19" s="11">
        <v>1045.5484285491821</v>
      </c>
      <c r="T19" s="11">
        <v>804</v>
      </c>
      <c r="U19" s="11">
        <v>-201.86181818181819</v>
      </c>
      <c r="V19" s="11">
        <v>1409672.6330487868</v>
      </c>
    </row>
    <row r="20" spans="1:22" x14ac:dyDescent="0.25">
      <c r="A20" s="13" t="s">
        <v>34</v>
      </c>
      <c r="B20" s="14" t="s">
        <v>35</v>
      </c>
      <c r="C20" s="4" t="s">
        <v>52</v>
      </c>
      <c r="D20" s="4" t="s">
        <v>53</v>
      </c>
      <c r="E20" s="11">
        <v>2105484.7321976945</v>
      </c>
      <c r="F20" s="43">
        <v>1.0773804975371171E-2</v>
      </c>
      <c r="H20" s="43">
        <v>4.3164233183275919E-2</v>
      </c>
      <c r="I20" s="43">
        <v>-8.4941262448200924E-3</v>
      </c>
      <c r="J20" s="11">
        <v>2177710.1529482151</v>
      </c>
      <c r="K20" s="11">
        <v>1733.5951105221079</v>
      </c>
      <c r="L20" s="43">
        <v>3.4303464492536184E-2</v>
      </c>
      <c r="M20" s="11">
        <v>53561.10038937223</v>
      </c>
      <c r="N20" s="11">
        <v>2231271.2533375872</v>
      </c>
      <c r="O20" s="43">
        <v>3.4318237220198666E-2</v>
      </c>
      <c r="P20" s="11">
        <v>10285.835356592412</v>
      </c>
      <c r="Q20" s="11">
        <v>5616.1392391574609</v>
      </c>
      <c r="R20" s="11">
        <v>11736.408274352769</v>
      </c>
      <c r="S20" s="11">
        <v>1673.4894932923248</v>
      </c>
      <c r="T20" s="11">
        <v>1949</v>
      </c>
      <c r="U20" s="11">
        <v>527.38181818181829</v>
      </c>
      <c r="V20" s="11">
        <v>2263059.5075191637</v>
      </c>
    </row>
    <row r="21" spans="1:22" x14ac:dyDescent="0.25">
      <c r="A21" s="13" t="s">
        <v>34</v>
      </c>
      <c r="B21" s="14" t="s">
        <v>35</v>
      </c>
      <c r="C21" s="4" t="s">
        <v>54</v>
      </c>
      <c r="D21" s="4" t="s">
        <v>55</v>
      </c>
      <c r="E21" s="11">
        <v>916651.06573692488</v>
      </c>
      <c r="F21" s="43">
        <v>2.4976231169256735E-2</v>
      </c>
      <c r="H21" s="43">
        <v>4.8969254131652346E-2</v>
      </c>
      <c r="I21" s="43">
        <v>-1.0880000000000001E-2</v>
      </c>
      <c r="J21" s="11">
        <v>951077.24274723791</v>
      </c>
      <c r="K21" s="11">
        <v>1798.7354282920417</v>
      </c>
      <c r="L21" s="43">
        <v>3.7556468646700036E-2</v>
      </c>
      <c r="M21" s="11">
        <v>23130.696799148744</v>
      </c>
      <c r="N21" s="11">
        <v>974207.93954638659</v>
      </c>
      <c r="O21" s="43">
        <v>3.7631680561222902E-2</v>
      </c>
      <c r="P21" s="11">
        <v>4442.002446359591</v>
      </c>
      <c r="Q21" s="11">
        <v>2066.9197106490928</v>
      </c>
      <c r="R21" s="11">
        <v>13031.707703383439</v>
      </c>
      <c r="S21" s="11">
        <v>735.04403572226011</v>
      </c>
      <c r="T21" s="11">
        <v>332</v>
      </c>
      <c r="U21" s="11">
        <v>-279.75709090909095</v>
      </c>
      <c r="V21" s="11">
        <v>994535.85635159188</v>
      </c>
    </row>
    <row r="22" spans="1:22" x14ac:dyDescent="0.25">
      <c r="A22" s="15" t="s">
        <v>34</v>
      </c>
      <c r="B22" s="16" t="s">
        <v>35</v>
      </c>
      <c r="C22" s="17" t="s">
        <v>56</v>
      </c>
      <c r="D22" s="17" t="s">
        <v>57</v>
      </c>
      <c r="E22" s="18">
        <v>2085926.6315805949</v>
      </c>
      <c r="F22" s="44">
        <v>4.634873290944963E-2</v>
      </c>
      <c r="H22" s="44">
        <v>4.1938442168579254E-2</v>
      </c>
      <c r="I22" s="44">
        <v>-1.0880000000000001E-2</v>
      </c>
      <c r="J22" s="18">
        <v>2149760.4752495782</v>
      </c>
      <c r="K22" s="18">
        <v>1821.6454573525957</v>
      </c>
      <c r="L22" s="44">
        <v>3.0602151917785259E-2</v>
      </c>
      <c r="M22" s="18">
        <v>51222.140386323401</v>
      </c>
      <c r="N22" s="18">
        <v>2200982.6156359017</v>
      </c>
      <c r="O22" s="44">
        <v>3.0673837383178082E-2</v>
      </c>
      <c r="P22" s="18">
        <v>9836.6631528452926</v>
      </c>
      <c r="Q22" s="18">
        <v>4577.1224327217888</v>
      </c>
      <c r="R22" s="18">
        <v>12515.905937856129</v>
      </c>
      <c r="S22" s="18">
        <v>1655.9625897928136</v>
      </c>
      <c r="T22" s="18">
        <v>1895</v>
      </c>
      <c r="U22" s="18">
        <v>467.21018181818181</v>
      </c>
      <c r="V22" s="18">
        <v>2231930.4799309359</v>
      </c>
    </row>
    <row r="23" spans="1:22" x14ac:dyDescent="0.25">
      <c r="A23" s="10" t="s">
        <v>58</v>
      </c>
      <c r="B23" s="4" t="s">
        <v>59</v>
      </c>
      <c r="C23" s="4" t="s">
        <v>60</v>
      </c>
      <c r="D23" s="4" t="s">
        <v>61</v>
      </c>
      <c r="E23" s="11">
        <v>1642311.0679959552</v>
      </c>
      <c r="F23" s="43">
        <v>4.5829864607678239E-3</v>
      </c>
      <c r="H23" s="43">
        <v>4.2405219523874577E-2</v>
      </c>
      <c r="I23" s="43">
        <v>-3.6132490639376696E-3</v>
      </c>
      <c r="J23" s="11">
        <v>1705767.9145120201</v>
      </c>
      <c r="K23" s="11">
        <v>1572.3030136556065</v>
      </c>
      <c r="L23" s="43">
        <v>3.8638749840186337E-2</v>
      </c>
      <c r="M23" s="11">
        <v>42015.028577579287</v>
      </c>
      <c r="N23" s="11">
        <v>1747782.9430895993</v>
      </c>
      <c r="O23" s="43">
        <v>3.8530605341069668E-2</v>
      </c>
      <c r="P23" s="11">
        <v>8068.5359955236509</v>
      </c>
      <c r="Q23" s="11">
        <v>3714.7699029453961</v>
      </c>
      <c r="R23" s="11">
        <v>12435.197368161065</v>
      </c>
      <c r="S23" s="11">
        <v>1304.8106622392679</v>
      </c>
      <c r="T23" s="11">
        <v>1362</v>
      </c>
      <c r="U23" s="11">
        <v>0</v>
      </c>
      <c r="V23" s="11">
        <v>1774668.2570184688</v>
      </c>
    </row>
    <row r="24" spans="1:22" x14ac:dyDescent="0.25">
      <c r="A24" s="13" t="s">
        <v>58</v>
      </c>
      <c r="B24" s="14" t="s">
        <v>59</v>
      </c>
      <c r="C24" s="4" t="s">
        <v>62</v>
      </c>
      <c r="D24" s="4" t="s">
        <v>63</v>
      </c>
      <c r="E24" s="11">
        <v>1520393.7039299591</v>
      </c>
      <c r="F24" s="43">
        <v>3.0039368094727736E-2</v>
      </c>
      <c r="H24" s="43">
        <v>4.2688185097326997E-2</v>
      </c>
      <c r="I24" s="43">
        <v>-1.0880000000000001E-2</v>
      </c>
      <c r="J24" s="11">
        <v>1568048.5253007205</v>
      </c>
      <c r="K24" s="11">
        <v>1533.5863603244659</v>
      </c>
      <c r="L24" s="43">
        <v>3.1343737643468206E-2</v>
      </c>
      <c r="M24" s="11">
        <v>37877.618398109626</v>
      </c>
      <c r="N24" s="11">
        <v>1605926.1436988302</v>
      </c>
      <c r="O24" s="43">
        <v>3.1416609609586477E-2</v>
      </c>
      <c r="P24" s="11">
        <v>7273.9907080045277</v>
      </c>
      <c r="Q24" s="11">
        <v>4139.2994982407854</v>
      </c>
      <c r="R24" s="11">
        <v>31503.833317652025</v>
      </c>
      <c r="S24" s="11">
        <v>1206.4490622371729</v>
      </c>
      <c r="T24" s="11">
        <v>1196</v>
      </c>
      <c r="U24" s="11">
        <v>-605.58545454545458</v>
      </c>
      <c r="V24" s="11">
        <v>1650640.1308304192</v>
      </c>
    </row>
    <row r="25" spans="1:22" x14ac:dyDescent="0.25">
      <c r="A25" s="13" t="s">
        <v>58</v>
      </c>
      <c r="B25" s="14" t="s">
        <v>59</v>
      </c>
      <c r="C25" s="4" t="s">
        <v>64</v>
      </c>
      <c r="D25" s="4" t="s">
        <v>65</v>
      </c>
      <c r="E25" s="11">
        <v>2595751.7014513845</v>
      </c>
      <c r="F25" s="43">
        <v>5.0042238946162776E-2</v>
      </c>
      <c r="H25" s="43">
        <v>4.0487375573545453E-2</v>
      </c>
      <c r="I25" s="43">
        <v>-1.0880000000000001E-2</v>
      </c>
      <c r="J25" s="11">
        <v>2671461.6614784533</v>
      </c>
      <c r="K25" s="11">
        <v>1647.7200864963092</v>
      </c>
      <c r="L25" s="43">
        <v>2.9166872927305132E-2</v>
      </c>
      <c r="M25" s="11">
        <v>63417.107567542276</v>
      </c>
      <c r="N25" s="11">
        <v>2734878.7690459955</v>
      </c>
      <c r="O25" s="43">
        <v>2.9237880668496752E-2</v>
      </c>
      <c r="P25" s="11">
        <v>12178.575915898877</v>
      </c>
      <c r="Q25" s="11">
        <v>6930.2815490207158</v>
      </c>
      <c r="R25" s="11">
        <v>22541.95595241831</v>
      </c>
      <c r="S25" s="11">
        <v>2056.4101128745056</v>
      </c>
      <c r="T25" s="11">
        <v>2234</v>
      </c>
      <c r="U25" s="11">
        <v>-153.03272727272724</v>
      </c>
      <c r="V25" s="11">
        <v>2780666.9598489353</v>
      </c>
    </row>
    <row r="26" spans="1:22" x14ac:dyDescent="0.25">
      <c r="A26" s="13" t="s">
        <v>58</v>
      </c>
      <c r="B26" s="14" t="s">
        <v>59</v>
      </c>
      <c r="C26" s="4" t="s">
        <v>66</v>
      </c>
      <c r="D26" s="4" t="s">
        <v>67</v>
      </c>
      <c r="E26" s="11">
        <v>2107372.3351789187</v>
      </c>
      <c r="F26" s="43">
        <v>4.2883468933330837E-2</v>
      </c>
      <c r="H26" s="43">
        <v>4.2096762260768111E-2</v>
      </c>
      <c r="I26" s="43">
        <v>-1.0880000000000001E-2</v>
      </c>
      <c r="J26" s="11">
        <v>2172192.4729133029</v>
      </c>
      <c r="K26" s="11">
        <v>1715.0982618199805</v>
      </c>
      <c r="L26" s="43">
        <v>3.0758749487370896E-2</v>
      </c>
      <c r="M26" s="11">
        <v>51928.751926302102</v>
      </c>
      <c r="N26" s="11">
        <v>2224121.2248396049</v>
      </c>
      <c r="O26" s="43">
        <v>3.0830713789267605E-2</v>
      </c>
      <c r="P26" s="11">
        <v>9972.3603268848892</v>
      </c>
      <c r="Q26" s="11">
        <v>5674.8234929516102</v>
      </c>
      <c r="R26" s="11">
        <v>23134.540788578401</v>
      </c>
      <c r="S26" s="11">
        <v>1673.0624128122513</v>
      </c>
      <c r="T26" s="11">
        <v>2114</v>
      </c>
      <c r="U26" s="11">
        <v>-153.03272727272724</v>
      </c>
      <c r="V26" s="11">
        <v>2266536.9791335594</v>
      </c>
    </row>
    <row r="27" spans="1:22" x14ac:dyDescent="0.25">
      <c r="A27" s="13" t="s">
        <v>58</v>
      </c>
      <c r="B27" s="14" t="s">
        <v>59</v>
      </c>
      <c r="C27" s="4" t="s">
        <v>68</v>
      </c>
      <c r="D27" s="4" t="s">
        <v>69</v>
      </c>
      <c r="E27" s="11">
        <v>1928859.6706777667</v>
      </c>
      <c r="F27" s="43">
        <v>1.5585840862471834E-2</v>
      </c>
      <c r="H27" s="43">
        <v>4.3781805401804125E-2</v>
      </c>
      <c r="I27" s="43">
        <v>-1.0880000000000001E-2</v>
      </c>
      <c r="J27" s="11">
        <v>1991403.8315386055</v>
      </c>
      <c r="K27" s="11">
        <v>1820.0100394353722</v>
      </c>
      <c r="L27" s="43">
        <v>3.2425459359032516E-2</v>
      </c>
      <c r="M27" s="11">
        <v>48860.26867896648</v>
      </c>
      <c r="N27" s="11">
        <v>2040264.1002175719</v>
      </c>
      <c r="O27" s="43">
        <v>3.249977520237457E-2</v>
      </c>
      <c r="P27" s="11">
        <v>9383.0910018129434</v>
      </c>
      <c r="Q27" s="11">
        <v>5339.4951154200107</v>
      </c>
      <c r="R27" s="11">
        <v>24945.939786977018</v>
      </c>
      <c r="S27" s="11">
        <v>1534.7528747384681</v>
      </c>
      <c r="T27" s="11">
        <v>1237</v>
      </c>
      <c r="U27" s="11">
        <v>114.41454545454542</v>
      </c>
      <c r="V27" s="11">
        <v>2082818.7935419749</v>
      </c>
    </row>
    <row r="28" spans="1:22" x14ac:dyDescent="0.25">
      <c r="A28" s="15" t="s">
        <v>58</v>
      </c>
      <c r="B28" s="16" t="s">
        <v>59</v>
      </c>
      <c r="C28" s="17" t="s">
        <v>70</v>
      </c>
      <c r="D28" s="17" t="s">
        <v>71</v>
      </c>
      <c r="E28" s="18">
        <v>1765011.2948444334</v>
      </c>
      <c r="F28" s="44">
        <v>-1.6456888245819368E-4</v>
      </c>
      <c r="H28" s="44">
        <v>4.3741157410539439E-2</v>
      </c>
      <c r="I28" s="44">
        <v>1.0971597972719762E-5</v>
      </c>
      <c r="J28" s="18">
        <v>1842235.1437652144</v>
      </c>
      <c r="K28" s="18">
        <v>1740.3615348022138</v>
      </c>
      <c r="L28" s="44">
        <v>4.37526089189062E-2</v>
      </c>
      <c r="M28" s="18">
        <v>45406.797641251302</v>
      </c>
      <c r="N28" s="18">
        <v>1887641.9414064656</v>
      </c>
      <c r="O28" s="44">
        <v>4.3552479494649576E-2</v>
      </c>
      <c r="P28" s="18">
        <v>8719.8888972171408</v>
      </c>
      <c r="Q28" s="18">
        <v>4962.0973365134923</v>
      </c>
      <c r="R28" s="18">
        <v>15581.075346313934</v>
      </c>
      <c r="S28" s="18">
        <v>1404.0478873307247</v>
      </c>
      <c r="T28" s="18">
        <v>1402</v>
      </c>
      <c r="U28" s="18">
        <v>0</v>
      </c>
      <c r="V28" s="18">
        <v>1919711.0508738407</v>
      </c>
    </row>
    <row r="29" spans="1:22" x14ac:dyDescent="0.25">
      <c r="A29" s="10" t="s">
        <v>72</v>
      </c>
      <c r="B29" s="4" t="s">
        <v>73</v>
      </c>
      <c r="C29" s="4" t="s">
        <v>74</v>
      </c>
      <c r="D29" s="4" t="s">
        <v>75</v>
      </c>
      <c r="E29" s="11">
        <v>2837571.0307440353</v>
      </c>
      <c r="F29" s="43">
        <v>3.4801489526962603E-2</v>
      </c>
      <c r="H29" s="43">
        <v>4.3013789660439367E-2</v>
      </c>
      <c r="I29" s="43">
        <v>-1.0880000000000001E-2</v>
      </c>
      <c r="J29" s="11">
        <v>2927424.9864364429</v>
      </c>
      <c r="K29" s="11">
        <v>1660.6419570815856</v>
      </c>
      <c r="L29" s="43">
        <v>3.1665799628933788E-2</v>
      </c>
      <c r="M29" s="11">
        <v>70380.025328583826</v>
      </c>
      <c r="N29" s="11">
        <v>2997805.011765027</v>
      </c>
      <c r="O29" s="43">
        <v>3.1738429999867535E-2</v>
      </c>
      <c r="P29" s="11">
        <v>13515.729655663667</v>
      </c>
      <c r="Q29" s="11">
        <v>4267.4308840789836</v>
      </c>
      <c r="R29" s="11">
        <v>32662.05458970015</v>
      </c>
      <c r="S29" s="11">
        <v>2253.2693048419251</v>
      </c>
      <c r="T29" s="11">
        <v>2160</v>
      </c>
      <c r="U29" s="11">
        <v>-284.20363636363618</v>
      </c>
      <c r="V29" s="11">
        <v>3052379.2925629476</v>
      </c>
    </row>
    <row r="30" spans="1:22" x14ac:dyDescent="0.25">
      <c r="A30" s="13" t="s">
        <v>72</v>
      </c>
      <c r="B30" s="14" t="s">
        <v>73</v>
      </c>
      <c r="C30" s="4" t="s">
        <v>76</v>
      </c>
      <c r="D30" s="4" t="s">
        <v>77</v>
      </c>
      <c r="E30" s="11">
        <v>3671431.3138210168</v>
      </c>
      <c r="F30" s="43">
        <v>1.1126286550270148E-2</v>
      </c>
      <c r="H30" s="43">
        <v>4.2927570191198111E-2</v>
      </c>
      <c r="I30" s="43">
        <v>-8.7720247604281005E-3</v>
      </c>
      <c r="J30" s="11">
        <v>3795448.5324075609</v>
      </c>
      <c r="K30" s="11">
        <v>1591.1890911680839</v>
      </c>
      <c r="L30" s="43">
        <v>3.3778983722147826E-2</v>
      </c>
      <c r="M30" s="11">
        <v>93275.708608555738</v>
      </c>
      <c r="N30" s="11">
        <v>3888724.2410161165</v>
      </c>
      <c r="O30" s="43">
        <v>3.3800629589060494E-2</v>
      </c>
      <c r="P30" s="11">
        <v>17912.600274124779</v>
      </c>
      <c r="Q30" s="11">
        <v>5655.6914550900465</v>
      </c>
      <c r="R30" s="11">
        <v>27786.725037967764</v>
      </c>
      <c r="S30" s="11">
        <v>2915.8517150827579</v>
      </c>
      <c r="T30" s="11">
        <v>3160</v>
      </c>
      <c r="U30" s="11">
        <v>-284.20363636363618</v>
      </c>
      <c r="V30" s="11">
        <v>3945870.905862018</v>
      </c>
    </row>
    <row r="31" spans="1:22" x14ac:dyDescent="0.25">
      <c r="A31" s="13" t="s">
        <v>72</v>
      </c>
      <c r="B31" s="14" t="s">
        <v>73</v>
      </c>
      <c r="C31" s="4" t="s">
        <v>78</v>
      </c>
      <c r="D31" s="4" t="s">
        <v>79</v>
      </c>
      <c r="E31" s="11">
        <v>4091956.0059199715</v>
      </c>
      <c r="F31" s="43">
        <v>-1.31175981588183E-4</v>
      </c>
      <c r="H31" s="43">
        <v>4.0827557070598625E-2</v>
      </c>
      <c r="I31" s="43">
        <v>8.7454045927101362E-6</v>
      </c>
      <c r="J31" s="11">
        <v>4259057.8201401299</v>
      </c>
      <c r="K31" s="11">
        <v>1535.1575623543524</v>
      </c>
      <c r="L31" s="43">
        <v>4.0836659528696417E-2</v>
      </c>
      <c r="M31" s="11">
        <v>105214.7059544006</v>
      </c>
      <c r="N31" s="11">
        <v>4364272.5260945307</v>
      </c>
      <c r="O31" s="43">
        <v>4.0636023068202798E-2</v>
      </c>
      <c r="P31" s="11">
        <v>20205.35677332697</v>
      </c>
      <c r="Q31" s="11">
        <v>6379.6025475068445</v>
      </c>
      <c r="R31" s="11">
        <v>33291.132335299095</v>
      </c>
      <c r="S31" s="11">
        <v>3252.9171066407912</v>
      </c>
      <c r="T31" s="11">
        <v>3042</v>
      </c>
      <c r="U31" s="11">
        <v>-306.06545454545449</v>
      </c>
      <c r="V31" s="11">
        <v>4430137.4694027584</v>
      </c>
    </row>
    <row r="32" spans="1:22" x14ac:dyDescent="0.25">
      <c r="A32" s="13" t="s">
        <v>72</v>
      </c>
      <c r="B32" s="14" t="s">
        <v>73</v>
      </c>
      <c r="C32" s="4" t="s">
        <v>80</v>
      </c>
      <c r="D32" s="4" t="s">
        <v>81</v>
      </c>
      <c r="E32" s="11">
        <v>3546989.4042566177</v>
      </c>
      <c r="F32" s="43">
        <v>7.3989385512300165E-2</v>
      </c>
      <c r="H32" s="43">
        <v>4.2182337130258013E-2</v>
      </c>
      <c r="I32" s="43">
        <v>-1.0880000000000001E-2</v>
      </c>
      <c r="J32" s="11">
        <v>3656390.5934911272</v>
      </c>
      <c r="K32" s="11">
        <v>1763.4998801954887</v>
      </c>
      <c r="L32" s="43">
        <v>3.0843393302280919E-2</v>
      </c>
      <c r="M32" s="11">
        <v>84596.531666745112</v>
      </c>
      <c r="N32" s="11">
        <v>3740987.1251578722</v>
      </c>
      <c r="O32" s="43">
        <v>3.0913117422782799E-2</v>
      </c>
      <c r="P32" s="11">
        <v>16245.857350525117</v>
      </c>
      <c r="Q32" s="11">
        <v>5129.4385625738678</v>
      </c>
      <c r="R32" s="11">
        <v>25354.023438137032</v>
      </c>
      <c r="S32" s="11">
        <v>2808.0555065513709</v>
      </c>
      <c r="T32" s="11">
        <v>2764</v>
      </c>
      <c r="U32" s="11">
        <v>2230.6909090909094</v>
      </c>
      <c r="V32" s="11">
        <v>3795519.1909247502</v>
      </c>
    </row>
    <row r="33" spans="1:22" x14ac:dyDescent="0.25">
      <c r="A33" s="15" t="s">
        <v>72</v>
      </c>
      <c r="B33" s="16" t="s">
        <v>73</v>
      </c>
      <c r="C33" s="17" t="s">
        <v>82</v>
      </c>
      <c r="D33" s="17" t="s">
        <v>83</v>
      </c>
      <c r="E33" s="18">
        <v>2648722.1990535683</v>
      </c>
      <c r="F33" s="44">
        <v>4.8644573806941205E-2</v>
      </c>
      <c r="H33" s="44">
        <v>4.1790218022811493E-2</v>
      </c>
      <c r="I33" s="44">
        <v>-1.0880000000000001E-2</v>
      </c>
      <c r="J33" s="18">
        <v>2729390.4651295734</v>
      </c>
      <c r="K33" s="18">
        <v>1568.9609682636587</v>
      </c>
      <c r="L33" s="44">
        <v>3.0455540450723406E-2</v>
      </c>
      <c r="M33" s="18">
        <v>64833.657855972509</v>
      </c>
      <c r="N33" s="18">
        <v>2794224.122985546</v>
      </c>
      <c r="O33" s="44">
        <v>3.0526968558796552E-2</v>
      </c>
      <c r="P33" s="18">
        <v>12450.609218710146</v>
      </c>
      <c r="Q33" s="18">
        <v>3931.1325507502565</v>
      </c>
      <c r="R33" s="18">
        <v>26101.25946911646</v>
      </c>
      <c r="S33" s="18">
        <v>2102.0972184604811</v>
      </c>
      <c r="T33" s="18">
        <v>2314</v>
      </c>
      <c r="U33" s="18">
        <v>1892.5527272727272</v>
      </c>
      <c r="V33" s="18">
        <v>2843015.7741698562</v>
      </c>
    </row>
    <row r="34" spans="1:22" x14ac:dyDescent="0.25">
      <c r="A34" s="10" t="s">
        <v>84</v>
      </c>
      <c r="B34" s="4" t="s">
        <v>85</v>
      </c>
      <c r="C34" s="4" t="s">
        <v>86</v>
      </c>
      <c r="D34" s="4" t="s">
        <v>87</v>
      </c>
      <c r="E34" s="11">
        <v>2769520.4685177435</v>
      </c>
      <c r="F34" s="43">
        <v>-2.9134345356398805E-2</v>
      </c>
      <c r="H34" s="43">
        <v>4.20244785898444E-2</v>
      </c>
      <c r="I34" s="43">
        <v>1.9422900197422729E-3</v>
      </c>
      <c r="J34" s="11">
        <v>2891513.3926946507</v>
      </c>
      <c r="K34" s="11">
        <v>1479.6137800192691</v>
      </c>
      <c r="L34" s="43">
        <v>4.4048392334936626E-2</v>
      </c>
      <c r="M34" s="11">
        <v>73270.592737160667</v>
      </c>
      <c r="N34" s="11">
        <v>2964783.9854318113</v>
      </c>
      <c r="O34" s="43">
        <v>4.3792105431098349E-2</v>
      </c>
      <c r="P34" s="11">
        <v>14070.832150489419</v>
      </c>
      <c r="Q34" s="11">
        <v>2704.6977003247025</v>
      </c>
      <c r="R34" s="11">
        <v>21617.367607509412</v>
      </c>
      <c r="S34" s="11">
        <v>2198.6740025968506</v>
      </c>
      <c r="T34" s="11">
        <v>2605</v>
      </c>
      <c r="U34" s="11">
        <v>48.829090909090837</v>
      </c>
      <c r="V34" s="11">
        <v>3008029.3859836408</v>
      </c>
    </row>
    <row r="35" spans="1:22" x14ac:dyDescent="0.25">
      <c r="A35" s="13" t="s">
        <v>84</v>
      </c>
      <c r="B35" s="14" t="s">
        <v>85</v>
      </c>
      <c r="C35" s="4" t="s">
        <v>88</v>
      </c>
      <c r="D35" s="4" t="s">
        <v>89</v>
      </c>
      <c r="E35" s="11">
        <v>1227431.9215465274</v>
      </c>
      <c r="F35" s="43">
        <v>2.7119865973128432E-2</v>
      </c>
      <c r="H35" s="43">
        <v>4.0807753897481064E-2</v>
      </c>
      <c r="I35" s="43">
        <v>-1.0880000000000001E-2</v>
      </c>
      <c r="J35" s="11">
        <v>1263621.2365316737</v>
      </c>
      <c r="K35" s="11">
        <v>1552.8825202029604</v>
      </c>
      <c r="L35" s="43">
        <v>2.9483765535076589E-2</v>
      </c>
      <c r="M35" s="11">
        <v>30662.083483185765</v>
      </c>
      <c r="N35" s="11">
        <v>1294283.3200148595</v>
      </c>
      <c r="O35" s="43">
        <v>2.9556405424074894E-2</v>
      </c>
      <c r="P35" s="11">
        <v>5888.324550940707</v>
      </c>
      <c r="Q35" s="11">
        <v>1211.9416520144709</v>
      </c>
      <c r="R35" s="11">
        <v>8666.4014043932712</v>
      </c>
      <c r="S35" s="11">
        <v>972.97889596863843</v>
      </c>
      <c r="T35" s="11">
        <v>1208</v>
      </c>
      <c r="U35" s="11">
        <v>0</v>
      </c>
      <c r="V35" s="11">
        <v>1312230.9665181765</v>
      </c>
    </row>
    <row r="36" spans="1:22" x14ac:dyDescent="0.25">
      <c r="A36" s="13" t="s">
        <v>84</v>
      </c>
      <c r="B36" s="14" t="s">
        <v>85</v>
      </c>
      <c r="C36" s="4" t="s">
        <v>90</v>
      </c>
      <c r="D36" s="4" t="s">
        <v>91</v>
      </c>
      <c r="E36" s="11">
        <v>3206852.1433185297</v>
      </c>
      <c r="F36" s="43">
        <v>2.7665186185872104E-2</v>
      </c>
      <c r="H36" s="43">
        <v>4.2277923992439265E-2</v>
      </c>
      <c r="I36" s="43">
        <v>-1.0880000000000001E-2</v>
      </c>
      <c r="J36" s="11">
        <v>3306065.5430927044</v>
      </c>
      <c r="K36" s="11">
        <v>1709.1853089477768</v>
      </c>
      <c r="L36" s="43">
        <v>3.0937940179401657E-2</v>
      </c>
      <c r="M36" s="11">
        <v>80128.976922850066</v>
      </c>
      <c r="N36" s="11">
        <v>3386194.5200155545</v>
      </c>
      <c r="O36" s="43">
        <v>3.1010930153902994E-2</v>
      </c>
      <c r="P36" s="11">
        <v>15387.911337313892</v>
      </c>
      <c r="Q36" s="11">
        <v>2957.8666272432429</v>
      </c>
      <c r="R36" s="11">
        <v>21681.560889328088</v>
      </c>
      <c r="S36" s="11">
        <v>2545.2002766241803</v>
      </c>
      <c r="T36" s="11">
        <v>2819</v>
      </c>
      <c r="U36" s="11">
        <v>1734.4145454545455</v>
      </c>
      <c r="V36" s="11">
        <v>3433320.4736915184</v>
      </c>
    </row>
    <row r="37" spans="1:22" x14ac:dyDescent="0.25">
      <c r="A37" s="13" t="s">
        <v>84</v>
      </c>
      <c r="B37" s="14" t="s">
        <v>85</v>
      </c>
      <c r="C37" s="4" t="s">
        <v>92</v>
      </c>
      <c r="D37" s="4" t="s">
        <v>93</v>
      </c>
      <c r="E37" s="11">
        <v>3320649.430494213</v>
      </c>
      <c r="F37" s="43">
        <v>3.2508225610629049E-2</v>
      </c>
      <c r="H37" s="43">
        <v>4.3972661551531816E-2</v>
      </c>
      <c r="I37" s="43">
        <v>-1.0880000000000001E-2</v>
      </c>
      <c r="J37" s="11">
        <v>3428949.8846351472</v>
      </c>
      <c r="K37" s="11">
        <v>1722.8660823891644</v>
      </c>
      <c r="L37" s="43">
        <v>3.2614238993851297E-2</v>
      </c>
      <c r="M37" s="11">
        <v>82784.939184084767</v>
      </c>
      <c r="N37" s="11">
        <v>3511734.8238192322</v>
      </c>
      <c r="O37" s="43">
        <v>3.2687449466924923E-2</v>
      </c>
      <c r="P37" s="11">
        <v>15897.960427675824</v>
      </c>
      <c r="Q37" s="11">
        <v>3748.9364790557847</v>
      </c>
      <c r="R37" s="11">
        <v>23437.80606090384</v>
      </c>
      <c r="S37" s="11">
        <v>2643.0870003239679</v>
      </c>
      <c r="T37" s="11">
        <v>3355</v>
      </c>
      <c r="U37" s="11">
        <v>883.24363636363614</v>
      </c>
      <c r="V37" s="11">
        <v>3561700.8574235551</v>
      </c>
    </row>
    <row r="38" spans="1:22" x14ac:dyDescent="0.25">
      <c r="A38" s="13" t="s">
        <v>84</v>
      </c>
      <c r="B38" s="14" t="s">
        <v>85</v>
      </c>
      <c r="C38" s="4" t="s">
        <v>94</v>
      </c>
      <c r="D38" s="4" t="s">
        <v>95</v>
      </c>
      <c r="E38" s="11">
        <v>1831234.3662092758</v>
      </c>
      <c r="F38" s="43">
        <v>8.0777251004062522E-2</v>
      </c>
      <c r="H38" s="43">
        <v>4.0231273317280408E-2</v>
      </c>
      <c r="I38" s="43">
        <v>-1.0880000000000001E-2</v>
      </c>
      <c r="J38" s="11">
        <v>1884181.865553472</v>
      </c>
      <c r="K38" s="11">
        <v>1669.6644330314766</v>
      </c>
      <c r="L38" s="43">
        <v>2.8913557063588557E-2</v>
      </c>
      <c r="M38" s="11">
        <v>43435.213301204552</v>
      </c>
      <c r="N38" s="11">
        <v>1927617.0788546766</v>
      </c>
      <c r="O38" s="43">
        <v>2.898248664211156E-2</v>
      </c>
      <c r="P38" s="11">
        <v>8341.2672526666756</v>
      </c>
      <c r="Q38" s="11">
        <v>1966.9745480985871</v>
      </c>
      <c r="R38" s="11">
        <v>13232.463753658878</v>
      </c>
      <c r="S38" s="11">
        <v>1449.9825864252477</v>
      </c>
      <c r="T38" s="11">
        <v>1507</v>
      </c>
      <c r="U38" s="11">
        <v>0</v>
      </c>
      <c r="V38" s="11">
        <v>1954114.7669955259</v>
      </c>
    </row>
    <row r="39" spans="1:22" x14ac:dyDescent="0.25">
      <c r="A39" s="15" t="s">
        <v>84</v>
      </c>
      <c r="B39" s="16" t="s">
        <v>85</v>
      </c>
      <c r="C39" s="17" t="s">
        <v>96</v>
      </c>
      <c r="D39" s="17" t="s">
        <v>97</v>
      </c>
      <c r="E39" s="18">
        <v>3226653.8255152423</v>
      </c>
      <c r="F39" s="44">
        <v>6.7835724934795394E-2</v>
      </c>
      <c r="H39" s="44">
        <v>4.3398776441970682E-2</v>
      </c>
      <c r="I39" s="44">
        <v>-1.0880000000000001E-2</v>
      </c>
      <c r="J39" s="18">
        <v>3330057.102753845</v>
      </c>
      <c r="K39" s="18">
        <v>1812.0458038141828</v>
      </c>
      <c r="L39" s="44">
        <v>3.2046597754282091E-2</v>
      </c>
      <c r="M39" s="18">
        <v>77732.110800529292</v>
      </c>
      <c r="N39" s="18">
        <v>3407789.2135543744</v>
      </c>
      <c r="O39" s="44">
        <v>3.2117273576719452E-2</v>
      </c>
      <c r="P39" s="18">
        <v>14927.618883896012</v>
      </c>
      <c r="Q39" s="18">
        <v>3406.9120981711962</v>
      </c>
      <c r="R39" s="18">
        <v>21275.334647375272</v>
      </c>
      <c r="S39" s="18">
        <v>2567.2358079076303</v>
      </c>
      <c r="T39" s="18">
        <v>2517</v>
      </c>
      <c r="U39" s="18">
        <v>1352.5527272727272</v>
      </c>
      <c r="V39" s="18">
        <v>3453835.8677189974</v>
      </c>
    </row>
    <row r="40" spans="1:22" x14ac:dyDescent="0.25">
      <c r="A40" s="10" t="s">
        <v>98</v>
      </c>
      <c r="B40" s="4" t="s">
        <v>99</v>
      </c>
      <c r="C40" s="4" t="s">
        <v>100</v>
      </c>
      <c r="D40" s="4" t="s">
        <v>101</v>
      </c>
      <c r="E40" s="11">
        <v>1531973.7598892734</v>
      </c>
      <c r="F40" s="43">
        <v>-4.554294225650346E-3</v>
      </c>
      <c r="H40" s="43">
        <v>4.4667008127840552E-2</v>
      </c>
      <c r="I40" s="43">
        <v>3.0361995269655054E-4</v>
      </c>
      <c r="J40" s="11">
        <v>1600888.3583883119</v>
      </c>
      <c r="K40" s="11">
        <v>1613.8848576724442</v>
      </c>
      <c r="L40" s="43">
        <v>4.4984189875431957E-2</v>
      </c>
      <c r="M40" s="11">
        <v>39645.716394324038</v>
      </c>
      <c r="N40" s="11">
        <v>1640534.074782636</v>
      </c>
      <c r="O40" s="43">
        <v>4.4775665333103287E-2</v>
      </c>
      <c r="P40" s="11">
        <v>7613.5349808288966</v>
      </c>
      <c r="Q40" s="11">
        <v>5398.1803479162454</v>
      </c>
      <c r="R40" s="11">
        <v>20841.043314556835</v>
      </c>
      <c r="S40" s="11">
        <v>1221.1565072765343</v>
      </c>
      <c r="T40" s="11">
        <v>1608</v>
      </c>
      <c r="U40" s="11">
        <v>-605.58545454545458</v>
      </c>
      <c r="V40" s="11">
        <v>1676610.4044786689</v>
      </c>
    </row>
    <row r="41" spans="1:22" x14ac:dyDescent="0.25">
      <c r="A41" s="13" t="s">
        <v>98</v>
      </c>
      <c r="B41" s="14" t="s">
        <v>99</v>
      </c>
      <c r="C41" s="4" t="s">
        <v>102</v>
      </c>
      <c r="D41" s="4" t="s">
        <v>103</v>
      </c>
      <c r="E41" s="11">
        <v>1696336.7513857663</v>
      </c>
      <c r="F41" s="43">
        <v>-1.547073686273337E-2</v>
      </c>
      <c r="H41" s="43">
        <v>4.1841570505517872E-2</v>
      </c>
      <c r="I41" s="43">
        <v>1.0313827914659143E-3</v>
      </c>
      <c r="J41" s="11">
        <v>1769136.9225664178</v>
      </c>
      <c r="K41" s="11">
        <v>1645.7844758577619</v>
      </c>
      <c r="L41" s="43">
        <v>4.2916107972771123E-2</v>
      </c>
      <c r="M41" s="11">
        <v>44219.314332824484</v>
      </c>
      <c r="N41" s="11">
        <v>1813356.2368992423</v>
      </c>
      <c r="O41" s="43">
        <v>4.2686795776725184E-2</v>
      </c>
      <c r="P41" s="11">
        <v>8491.8454531805892</v>
      </c>
      <c r="Q41" s="11">
        <v>6020.9229263620427</v>
      </c>
      <c r="R41" s="11">
        <v>24680.50941030317</v>
      </c>
      <c r="S41" s="11">
        <v>1344.1405267740518</v>
      </c>
      <c r="T41" s="11">
        <v>1361</v>
      </c>
      <c r="U41" s="11">
        <v>360</v>
      </c>
      <c r="V41" s="11">
        <v>1855614.6552158622</v>
      </c>
    </row>
    <row r="42" spans="1:22" x14ac:dyDescent="0.25">
      <c r="A42" s="13" t="s">
        <v>98</v>
      </c>
      <c r="B42" s="14" t="s">
        <v>99</v>
      </c>
      <c r="C42" s="4" t="s">
        <v>104</v>
      </c>
      <c r="D42" s="4" t="s">
        <v>105</v>
      </c>
      <c r="E42" s="11">
        <v>1099576.1345820946</v>
      </c>
      <c r="F42" s="43">
        <v>1.629701214331214E-2</v>
      </c>
      <c r="H42" s="43">
        <v>4.7285775891439258E-2</v>
      </c>
      <c r="I42" s="43">
        <v>-1.0880000000000001E-2</v>
      </c>
      <c r="J42" s="11">
        <v>1139041.3588131168</v>
      </c>
      <c r="K42" s="11">
        <v>1873.1410404169601</v>
      </c>
      <c r="L42" s="43">
        <v>3.5891306649740384E-2</v>
      </c>
      <c r="M42" s="11">
        <v>28037.564763934362</v>
      </c>
      <c r="N42" s="11">
        <v>1167078.9235770511</v>
      </c>
      <c r="O42" s="43">
        <v>3.5966904525895682E-2</v>
      </c>
      <c r="P42" s="11">
        <v>5384.3138558603796</v>
      </c>
      <c r="Q42" s="11">
        <v>3817.6078713097504</v>
      </c>
      <c r="R42" s="11">
        <v>21905.061784336071</v>
      </c>
      <c r="S42" s="11">
        <v>882.59047665992307</v>
      </c>
      <c r="T42" s="11">
        <v>697</v>
      </c>
      <c r="U42" s="11">
        <v>316.27636363636361</v>
      </c>
      <c r="V42" s="11">
        <v>1200081.7739288537</v>
      </c>
    </row>
    <row r="43" spans="1:22" x14ac:dyDescent="0.25">
      <c r="A43" s="13" t="s">
        <v>98</v>
      </c>
      <c r="B43" s="14" t="s">
        <v>99</v>
      </c>
      <c r="C43" s="4" t="s">
        <v>106</v>
      </c>
      <c r="D43" s="4" t="s">
        <v>107</v>
      </c>
      <c r="E43" s="11">
        <v>2261976.4170612651</v>
      </c>
      <c r="F43" s="43">
        <v>5.0881915676741496E-2</v>
      </c>
      <c r="H43" s="43">
        <v>4.4594168167023357E-2</v>
      </c>
      <c r="I43" s="43">
        <v>-1.0880000000000001E-2</v>
      </c>
      <c r="J43" s="11">
        <v>2337139.5943666627</v>
      </c>
      <c r="K43" s="11">
        <v>1815.1558043307555</v>
      </c>
      <c r="L43" s="43">
        <v>3.3228983617366259E-2</v>
      </c>
      <c r="M43" s="11">
        <v>55410.8158492812</v>
      </c>
      <c r="N43" s="11">
        <v>2392550.4102159441</v>
      </c>
      <c r="O43" s="43">
        <v>3.3301087110070737E-2</v>
      </c>
      <c r="P43" s="11">
        <v>10641.053388687631</v>
      </c>
      <c r="Q43" s="11">
        <v>7544.760589283128</v>
      </c>
      <c r="R43" s="11">
        <v>41869.335087225292</v>
      </c>
      <c r="S43" s="11">
        <v>1801.4422459693496</v>
      </c>
      <c r="T43" s="11">
        <v>1362</v>
      </c>
      <c r="U43" s="11">
        <v>-916.75636363636386</v>
      </c>
      <c r="V43" s="11">
        <v>2454852.2451634733</v>
      </c>
    </row>
    <row r="44" spans="1:22" x14ac:dyDescent="0.25">
      <c r="A44" s="13" t="s">
        <v>98</v>
      </c>
      <c r="B44" s="14" t="s">
        <v>99</v>
      </c>
      <c r="C44" s="4" t="s">
        <v>108</v>
      </c>
      <c r="D44" s="4" t="s">
        <v>109</v>
      </c>
      <c r="E44" s="11">
        <v>1451965.4129123772</v>
      </c>
      <c r="F44" s="43">
        <v>2.4139913379233491E-2</v>
      </c>
      <c r="H44" s="43">
        <v>4.1665962588946975E-2</v>
      </c>
      <c r="I44" s="43">
        <v>-1.0880000000000001E-2</v>
      </c>
      <c r="J44" s="11">
        <v>1496007.3525968082</v>
      </c>
      <c r="K44" s="11">
        <v>1815.3678213496546</v>
      </c>
      <c r="L44" s="43">
        <v>3.0332636915979316E-2</v>
      </c>
      <c r="M44" s="11">
        <v>36458.925761780258</v>
      </c>
      <c r="N44" s="11">
        <v>1532466.2783585885</v>
      </c>
      <c r="O44" s="43">
        <v>3.0405839337300566E-2</v>
      </c>
      <c r="P44" s="11">
        <v>7001.5459902371276</v>
      </c>
      <c r="Q44" s="11">
        <v>4964.2648270626014</v>
      </c>
      <c r="R44" s="11">
        <v>19212.194700731387</v>
      </c>
      <c r="S44" s="11">
        <v>1154.1915494265977</v>
      </c>
      <c r="T44" s="11">
        <v>963</v>
      </c>
      <c r="U44" s="11">
        <v>0</v>
      </c>
      <c r="V44" s="11">
        <v>1565761.4754260462</v>
      </c>
    </row>
    <row r="45" spans="1:22" x14ac:dyDescent="0.25">
      <c r="A45" s="13" t="s">
        <v>98</v>
      </c>
      <c r="B45" s="14" t="s">
        <v>99</v>
      </c>
      <c r="C45" s="4" t="s">
        <v>110</v>
      </c>
      <c r="D45" s="4" t="s">
        <v>111</v>
      </c>
      <c r="E45" s="11">
        <v>1065172.6958849912</v>
      </c>
      <c r="F45" s="43">
        <v>8.1257548496460608E-3</v>
      </c>
      <c r="H45" s="43">
        <v>4.6214575454400025E-2</v>
      </c>
      <c r="I45" s="43">
        <v>-6.406388185305735E-3</v>
      </c>
      <c r="J45" s="11">
        <v>1107259.9259435521</v>
      </c>
      <c r="K45" s="11">
        <v>1617.118575218421</v>
      </c>
      <c r="L45" s="43">
        <v>3.9512118758914472E-2</v>
      </c>
      <c r="M45" s="11">
        <v>27221.670660795451</v>
      </c>
      <c r="N45" s="11">
        <v>1134481.5966043475</v>
      </c>
      <c r="O45" s="43">
        <v>3.9475171191017511E-2</v>
      </c>
      <c r="P45" s="11">
        <v>5227.6301366631787</v>
      </c>
      <c r="Q45" s="11">
        <v>3706.5166914413762</v>
      </c>
      <c r="R45" s="11">
        <v>13954.689303483898</v>
      </c>
      <c r="S45" s="11">
        <v>849.73354369958793</v>
      </c>
      <c r="T45" s="11">
        <v>697</v>
      </c>
      <c r="U45" s="11">
        <v>540</v>
      </c>
      <c r="V45" s="11">
        <v>1159457.1662796354</v>
      </c>
    </row>
    <row r="46" spans="1:22" x14ac:dyDescent="0.25">
      <c r="A46" s="13" t="s">
        <v>98</v>
      </c>
      <c r="B46" s="14" t="s">
        <v>99</v>
      </c>
      <c r="C46" s="4" t="s">
        <v>112</v>
      </c>
      <c r="D46" s="4" t="s">
        <v>113</v>
      </c>
      <c r="E46" s="11">
        <v>1058710.3515852729</v>
      </c>
      <c r="F46" s="43">
        <v>2.2516253904186989E-2</v>
      </c>
      <c r="H46" s="43">
        <v>4.6253546712920285E-2</v>
      </c>
      <c r="I46" s="43">
        <v>-1.0880000000000001E-2</v>
      </c>
      <c r="J46" s="11">
        <v>1095627.9077598436</v>
      </c>
      <c r="K46" s="11">
        <v>1818.775952168211</v>
      </c>
      <c r="L46" s="43">
        <v>3.4870308124683724E-2</v>
      </c>
      <c r="M46" s="11">
        <v>26690.656246687242</v>
      </c>
      <c r="N46" s="11">
        <v>1122318.5640065309</v>
      </c>
      <c r="O46" s="43">
        <v>3.4944839072637457E-2</v>
      </c>
      <c r="P46" s="11">
        <v>5125.6545089074389</v>
      </c>
      <c r="Q46" s="11">
        <v>3634.2107466248558</v>
      </c>
      <c r="R46" s="11">
        <v>13378.905069442457</v>
      </c>
      <c r="S46" s="11">
        <v>845.17402182234014</v>
      </c>
      <c r="T46" s="11">
        <v>697</v>
      </c>
      <c r="U46" s="11">
        <v>0</v>
      </c>
      <c r="V46" s="11">
        <v>1145999.5083533279</v>
      </c>
    </row>
    <row r="47" spans="1:22" x14ac:dyDescent="0.25">
      <c r="A47" s="4"/>
      <c r="B47" s="4"/>
      <c r="C47" s="4"/>
      <c r="D47" s="4"/>
    </row>
    <row r="48" spans="1:22" x14ac:dyDescent="0.25">
      <c r="A48" s="4"/>
      <c r="B48" s="4"/>
      <c r="C48" s="4"/>
      <c r="D48" s="4"/>
    </row>
    <row r="49" spans="1:22" ht="108.75" customHeight="1" x14ac:dyDescent="0.25">
      <c r="A49" s="4"/>
      <c r="B49" s="5"/>
      <c r="C49" s="5" t="s">
        <v>13</v>
      </c>
      <c r="D49" s="5" t="s">
        <v>14</v>
      </c>
      <c r="E49" s="27" t="s">
        <v>142</v>
      </c>
      <c r="F49" s="42" t="s">
        <v>1201</v>
      </c>
      <c r="G49" s="36" t="s">
        <v>147</v>
      </c>
      <c r="H49" s="42" t="s">
        <v>317</v>
      </c>
      <c r="I49" s="42" t="s">
        <v>318</v>
      </c>
      <c r="J49" s="42" t="s">
        <v>148</v>
      </c>
      <c r="K49" s="42" t="s">
        <v>1203</v>
      </c>
      <c r="L49" s="42" t="s">
        <v>151</v>
      </c>
      <c r="M49" s="42" t="s">
        <v>152</v>
      </c>
      <c r="N49" s="42" t="s">
        <v>153</v>
      </c>
      <c r="O49" s="42" t="s">
        <v>154</v>
      </c>
      <c r="P49" s="42" t="s">
        <v>155</v>
      </c>
      <c r="Q49" s="42" t="s">
        <v>1212</v>
      </c>
      <c r="R49" s="42" t="s">
        <v>5</v>
      </c>
      <c r="S49" s="42" t="s">
        <v>1213</v>
      </c>
      <c r="T49" s="42" t="s">
        <v>1214</v>
      </c>
      <c r="U49" s="42" t="s">
        <v>1199</v>
      </c>
      <c r="V49" s="27" t="s">
        <v>1200</v>
      </c>
    </row>
    <row r="50" spans="1:22" x14ac:dyDescent="0.25">
      <c r="A50" s="4"/>
      <c r="B50" s="21">
        <v>1</v>
      </c>
      <c r="C50" s="22" t="s">
        <v>17</v>
      </c>
      <c r="D50" s="22" t="s">
        <v>18</v>
      </c>
      <c r="E50" s="23">
        <v>16103414.606958285</v>
      </c>
      <c r="F50" s="45">
        <v>2.6978288994958355E-2</v>
      </c>
      <c r="H50" s="45">
        <v>4.0266145641458945E-2</v>
      </c>
      <c r="I50" s="45">
        <v>-1.0283554659721169E-2</v>
      </c>
      <c r="J50" s="23">
        <v>16579568.612945441</v>
      </c>
      <c r="K50" s="23">
        <v>1827.1349609026229</v>
      </c>
      <c r="L50" s="45">
        <v>2.9568511872097636E-2</v>
      </c>
      <c r="M50" s="23">
        <v>402015.75262104056</v>
      </c>
      <c r="N50" s="23">
        <v>16981584.365566485</v>
      </c>
      <c r="O50" s="45">
        <v>2.9626391650941386E-2</v>
      </c>
      <c r="P50" s="23">
        <v>77202.817196733726</v>
      </c>
      <c r="Q50" s="23">
        <v>24281.665641248892</v>
      </c>
      <c r="R50" s="23">
        <v>120491.94914972348</v>
      </c>
      <c r="S50" s="23">
        <v>12746.252583339963</v>
      </c>
      <c r="T50" s="23">
        <v>13042</v>
      </c>
      <c r="U50" s="23">
        <v>2652.2647272727263</v>
      </c>
      <c r="V50" s="23">
        <v>17232001.314864803</v>
      </c>
    </row>
    <row r="51" spans="1:22" x14ac:dyDescent="0.25">
      <c r="A51" s="4"/>
      <c r="B51" s="21">
        <v>2</v>
      </c>
      <c r="C51" s="22" t="s">
        <v>27</v>
      </c>
      <c r="D51" s="22" t="s">
        <v>28</v>
      </c>
      <c r="E51" s="23">
        <v>14450049.427944031</v>
      </c>
      <c r="F51" s="45">
        <v>4.5289607822804667E-2</v>
      </c>
      <c r="H51" s="45">
        <v>4.0640628593644458E-2</v>
      </c>
      <c r="I51" s="45">
        <v>-1.0880000000000003E-2</v>
      </c>
      <c r="J51" s="23">
        <v>14873702.603208344</v>
      </c>
      <c r="K51" s="23">
        <v>1919.1013071994657</v>
      </c>
      <c r="L51" s="45">
        <v>2.9318458554545623E-2</v>
      </c>
      <c r="M51" s="23">
        <v>354463.80813647195</v>
      </c>
      <c r="N51" s="23">
        <v>15228166.411344817</v>
      </c>
      <c r="O51" s="45">
        <v>2.9389675635463464E-2</v>
      </c>
      <c r="P51" s="23">
        <v>68070.975836149068</v>
      </c>
      <c r="Q51" s="23">
        <v>22653.095172798538</v>
      </c>
      <c r="R51" s="23">
        <v>173640.56018695945</v>
      </c>
      <c r="S51" s="23">
        <v>11438.353289370527</v>
      </c>
      <c r="T51" s="23">
        <v>12342</v>
      </c>
      <c r="U51" s="23">
        <v>4863.8036363636365</v>
      </c>
      <c r="V51" s="23">
        <v>15521175.199466458</v>
      </c>
    </row>
    <row r="52" spans="1:22" x14ac:dyDescent="0.25">
      <c r="A52" s="4"/>
      <c r="B52" s="21">
        <v>3</v>
      </c>
      <c r="C52" s="22" t="s">
        <v>34</v>
      </c>
      <c r="D52" s="22" t="s">
        <v>35</v>
      </c>
      <c r="E52" s="23">
        <v>19536186.067950472</v>
      </c>
      <c r="F52" s="45">
        <v>1.7226101293708274E-2</v>
      </c>
      <c r="H52" s="45">
        <v>4.3088456289154746E-2</v>
      </c>
      <c r="I52" s="45">
        <v>-8.0040261362630798E-3</v>
      </c>
      <c r="J52" s="23">
        <v>20214864.361572322</v>
      </c>
      <c r="K52" s="23">
        <v>1725.6435915610903</v>
      </c>
      <c r="L52" s="45">
        <v>3.4739549022581917E-2</v>
      </c>
      <c r="M52" s="23">
        <v>493649.61205897102</v>
      </c>
      <c r="N52" s="23">
        <v>20708513.973631296</v>
      </c>
      <c r="O52" s="45">
        <v>3.4741313798775542E-2</v>
      </c>
      <c r="P52" s="23">
        <v>94800.117932076799</v>
      </c>
      <c r="Q52" s="23">
        <v>47456.375185952566</v>
      </c>
      <c r="R52" s="23">
        <v>164852.88407761379</v>
      </c>
      <c r="S52" s="23">
        <v>15519.640969070995</v>
      </c>
      <c r="T52" s="23">
        <v>16921</v>
      </c>
      <c r="U52" s="23">
        <v>1867.712</v>
      </c>
      <c r="V52" s="23">
        <v>21049931.703796007</v>
      </c>
    </row>
    <row r="53" spans="1:22" x14ac:dyDescent="0.25">
      <c r="A53" s="4"/>
      <c r="B53" s="21">
        <v>4</v>
      </c>
      <c r="C53" s="22" t="s">
        <v>58</v>
      </c>
      <c r="D53" s="22" t="s">
        <v>59</v>
      </c>
      <c r="E53" s="23">
        <v>11559699.774078418</v>
      </c>
      <c r="F53" s="45">
        <v>2.5872106774292858E-2</v>
      </c>
      <c r="H53" s="45">
        <v>4.2389226419813845E-2</v>
      </c>
      <c r="I53" s="45">
        <v>-8.1825192668773857E-3</v>
      </c>
      <c r="J53" s="23">
        <v>11951109.549508318</v>
      </c>
      <c r="K53" s="23">
        <v>1671.9785993308835</v>
      </c>
      <c r="L53" s="45">
        <v>3.385985649104839E-2</v>
      </c>
      <c r="M53" s="23">
        <v>289505.57278975105</v>
      </c>
      <c r="N53" s="23">
        <v>12240615.122298067</v>
      </c>
      <c r="O53" s="45">
        <v>3.3866977907758722E-2</v>
      </c>
      <c r="P53" s="23">
        <v>55596.442845342033</v>
      </c>
      <c r="Q53" s="23">
        <v>30760.766895092009</v>
      </c>
      <c r="R53" s="23">
        <v>130142.54256010076</v>
      </c>
      <c r="S53" s="23">
        <v>9179.5330122323903</v>
      </c>
      <c r="T53" s="23">
        <v>9545</v>
      </c>
      <c r="U53" s="23">
        <v>-797.23636363636365</v>
      </c>
      <c r="V53" s="23">
        <v>12475042.171247197</v>
      </c>
    </row>
    <row r="54" spans="1:22" x14ac:dyDescent="0.25">
      <c r="A54" s="4"/>
      <c r="B54" s="21">
        <v>5</v>
      </c>
      <c r="C54" s="22" t="s">
        <v>72</v>
      </c>
      <c r="D54" s="22" t="s">
        <v>73</v>
      </c>
      <c r="E54" s="23">
        <v>16796669.95379521</v>
      </c>
      <c r="F54" s="45">
        <v>3.0799980900504842E-2</v>
      </c>
      <c r="H54" s="45">
        <v>4.2093811405732304E-2</v>
      </c>
      <c r="I54" s="45">
        <v>-7.7694069437409382E-3</v>
      </c>
      <c r="J54" s="23">
        <v>17367712.397604834</v>
      </c>
      <c r="K54" s="23">
        <v>1617.7905297827772</v>
      </c>
      <c r="L54" s="45">
        <v>3.3997360511367258E-2</v>
      </c>
      <c r="M54" s="23">
        <v>418300.62941425783</v>
      </c>
      <c r="N54" s="23">
        <v>17786013.027019095</v>
      </c>
      <c r="O54" s="45">
        <v>3.3993645397573546E-2</v>
      </c>
      <c r="P54" s="23">
        <v>80330.153272350668</v>
      </c>
      <c r="Q54" s="23">
        <v>25363.295999999998</v>
      </c>
      <c r="R54" s="23">
        <v>145195.1948702205</v>
      </c>
      <c r="S54" s="23">
        <v>13332.190851577327</v>
      </c>
      <c r="T54" s="23">
        <v>13440</v>
      </c>
      <c r="U54" s="23">
        <v>3248.7709090909098</v>
      </c>
      <c r="V54" s="23">
        <v>18066922.632922329</v>
      </c>
    </row>
    <row r="55" spans="1:22" x14ac:dyDescent="0.25">
      <c r="A55" s="4"/>
      <c r="B55" s="21">
        <v>6</v>
      </c>
      <c r="C55" s="22" t="s">
        <v>84</v>
      </c>
      <c r="D55" s="22" t="s">
        <v>85</v>
      </c>
      <c r="E55" s="23">
        <v>15582342.155601533</v>
      </c>
      <c r="F55" s="45">
        <v>3.1922118359251739E-2</v>
      </c>
      <c r="H55" s="45">
        <v>4.2469800100532057E-2</v>
      </c>
      <c r="I55" s="45">
        <v>-8.6020096638465722E-3</v>
      </c>
      <c r="J55" s="23">
        <v>16104389.025261492</v>
      </c>
      <c r="K55" s="23">
        <v>1667.3408182565238</v>
      </c>
      <c r="L55" s="45">
        <v>3.3502464805799104E-2</v>
      </c>
      <c r="M55" s="23">
        <v>388013.91642901511</v>
      </c>
      <c r="N55" s="23">
        <v>16492402.941690508</v>
      </c>
      <c r="O55" s="45">
        <v>3.3519413216166249E-2</v>
      </c>
      <c r="P55" s="23">
        <v>74513.914602982521</v>
      </c>
      <c r="Q55" s="23">
        <v>15997.329104907985</v>
      </c>
      <c r="R55" s="23">
        <v>109910.93436316875</v>
      </c>
      <c r="S55" s="23">
        <v>12377.158569846517</v>
      </c>
      <c r="T55" s="23">
        <v>14011</v>
      </c>
      <c r="U55" s="23">
        <v>4019.0399999999995</v>
      </c>
      <c r="V55" s="23">
        <v>16723232.318331417</v>
      </c>
    </row>
    <row r="56" spans="1:22" x14ac:dyDescent="0.25">
      <c r="A56" s="4"/>
      <c r="B56" s="21">
        <v>7</v>
      </c>
      <c r="C56" s="22" t="s">
        <v>98</v>
      </c>
      <c r="D56" s="22" t="s">
        <v>99</v>
      </c>
      <c r="E56" s="23">
        <v>10165711.523301041</v>
      </c>
      <c r="F56" s="45">
        <v>1.5954322746410066E-2</v>
      </c>
      <c r="H56" s="45">
        <v>4.4361331102712141E-2</v>
      </c>
      <c r="I56" s="45">
        <v>-6.7417144051722042E-3</v>
      </c>
      <c r="J56" s="23">
        <v>10545101.420434712</v>
      </c>
      <c r="K56" s="23">
        <v>1736.1768185609558</v>
      </c>
      <c r="L56" s="45">
        <v>3.7320545272611971E-2</v>
      </c>
      <c r="M56" s="23">
        <v>257684.66400962701</v>
      </c>
      <c r="N56" s="23">
        <v>10802786.08444434</v>
      </c>
      <c r="O56" s="45">
        <v>3.729158588790038E-2</v>
      </c>
      <c r="P56" s="23">
        <v>49485.578314365252</v>
      </c>
      <c r="Q56" s="23">
        <v>35086.464</v>
      </c>
      <c r="R56" s="23">
        <v>155841.73867007912</v>
      </c>
      <c r="S56" s="23">
        <v>8098.4288716283854</v>
      </c>
      <c r="T56" s="23">
        <v>7385</v>
      </c>
      <c r="U56" s="23">
        <v>-306.06545454545483</v>
      </c>
      <c r="V56" s="23">
        <v>11058377.22884587</v>
      </c>
    </row>
    <row r="57" spans="1:22" x14ac:dyDescent="0.25">
      <c r="A57" s="22"/>
      <c r="B57" s="37"/>
      <c r="C57" s="38" t="s">
        <v>115</v>
      </c>
      <c r="D57" s="38" t="s">
        <v>116</v>
      </c>
      <c r="E57" s="33">
        <v>104194073.50962898</v>
      </c>
      <c r="F57" s="46">
        <v>2.7799999999999998E-2</v>
      </c>
      <c r="H57" s="46">
        <v>4.2106537551426695E-2</v>
      </c>
      <c r="I57" s="46">
        <v>-8.702023173962365E-3</v>
      </c>
      <c r="J57" s="33">
        <v>107636447.97053547</v>
      </c>
      <c r="K57" s="33">
        <v>1731.7526857905284</v>
      </c>
      <c r="L57" s="46">
        <v>3.3038102311916617E-2</v>
      </c>
      <c r="M57" s="33">
        <v>2603633.9554591347</v>
      </c>
      <c r="N57" s="33">
        <v>110240081.9259946</v>
      </c>
      <c r="O57" s="46">
        <v>3.305753001556111E-2</v>
      </c>
      <c r="P57" s="33">
        <v>500000.00000000006</v>
      </c>
      <c r="Q57" s="33">
        <v>201598.992</v>
      </c>
      <c r="R57" s="33">
        <v>1000075.803877866</v>
      </c>
      <c r="S57" s="33">
        <v>82691.558147066113</v>
      </c>
      <c r="T57" s="33">
        <v>86686</v>
      </c>
      <c r="U57" s="33">
        <v>15548.289454545453</v>
      </c>
      <c r="V57" s="33">
        <v>112126682.56947407</v>
      </c>
    </row>
    <row r="59" spans="1:22" x14ac:dyDescent="0.25">
      <c r="E59" s="58"/>
      <c r="M59" s="58"/>
      <c r="P59" s="58"/>
      <c r="R59" s="58"/>
      <c r="S59" s="58"/>
      <c r="T59" s="58"/>
      <c r="U59" s="58"/>
    </row>
    <row r="60" spans="1:22" x14ac:dyDescent="0.25">
      <c r="J60" s="58"/>
      <c r="K60" s="58"/>
      <c r="V60" s="58"/>
    </row>
    <row r="62" spans="1:22" x14ac:dyDescent="0.25">
      <c r="I62" s="80"/>
    </row>
    <row r="63" spans="1:22" x14ac:dyDescent="0.25">
      <c r="I63" s="80"/>
    </row>
    <row r="64" spans="1:22" x14ac:dyDescent="0.25">
      <c r="I64" s="80"/>
    </row>
    <row r="65" spans="9:9" x14ac:dyDescent="0.25">
      <c r="I65" s="8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F21D-0B04-4B35-AEB3-92EE6D93278D}">
  <sheetPr codeName="Sheet11">
    <tabColor rgb="FF002060"/>
    <outlinePr showOutlineSymbols="0"/>
  </sheetPr>
  <dimension ref="A1:AI96"/>
  <sheetViews>
    <sheetView showGridLines="0" showOutlineSymbols="0" topLeftCell="Q22" zoomScale="85" zoomScaleNormal="85" workbookViewId="0">
      <selection activeCell="Y63" sqref="Y63"/>
    </sheetView>
  </sheetViews>
  <sheetFormatPr defaultRowHeight="15" outlineLevelRow="2" outlineLevelCol="1" x14ac:dyDescent="0.25"/>
  <cols>
    <col min="4" max="4" width="25.7109375" bestFit="1" customWidth="1"/>
    <col min="5" max="6" width="16.7109375" customWidth="1"/>
    <col min="7" max="7" width="72.5703125" customWidth="1"/>
    <col min="10" max="10" width="10.7109375" bestFit="1" customWidth="1"/>
    <col min="11" max="11" width="38.42578125" customWidth="1"/>
    <col min="12" max="14" width="14.7109375" style="72" customWidth="1" outlineLevel="1"/>
    <col min="15" max="16" width="14.7109375" style="72" customWidth="1"/>
    <col min="17" max="17" width="80.28515625" customWidth="1"/>
    <col min="18" max="18" width="47.28515625" customWidth="1"/>
    <col min="19" max="19" width="28.28515625" customWidth="1"/>
    <col min="20" max="23" width="10.28515625" customWidth="1"/>
    <col min="24" max="24" width="17.28515625" customWidth="1"/>
    <col min="25" max="30" width="11.7109375" customWidth="1"/>
    <col min="31" max="31" width="96.28515625" style="72" hidden="1" customWidth="1"/>
    <col min="32" max="32" width="1.28515625" style="72" customWidth="1"/>
    <col min="33" max="35" width="11.28515625" customWidth="1"/>
  </cols>
  <sheetData>
    <row r="1" spans="1:32" x14ac:dyDescent="0.25">
      <c r="D1" t="s">
        <v>160</v>
      </c>
      <c r="E1" s="106">
        <v>1.2999999999999999E-2</v>
      </c>
      <c r="F1" s="106">
        <v>1.2999999999999999E-2</v>
      </c>
      <c r="O1" s="212" t="s">
        <v>161</v>
      </c>
      <c r="T1">
        <f>T7/(1-1.1%)</f>
        <v>491</v>
      </c>
      <c r="U1">
        <f t="shared" ref="U1" si="0">U7/(1-1.1%)</f>
        <v>491</v>
      </c>
      <c r="V1">
        <f>$U1*V3/0.8%</f>
        <v>245.5</v>
      </c>
      <c r="W1">
        <f>$U1*W3/0.8%</f>
        <v>429.625</v>
      </c>
      <c r="Z1" s="423">
        <f>U8/(1-0.4%)</f>
        <v>117</v>
      </c>
      <c r="AA1">
        <f>$Z1*W3/0.8%</f>
        <v>102.375</v>
      </c>
      <c r="AB1">
        <f>$Z1*V3/0.8%</f>
        <v>58.5</v>
      </c>
    </row>
    <row r="2" spans="1:32" x14ac:dyDescent="0.25">
      <c r="D2" s="61" t="s">
        <v>162</v>
      </c>
      <c r="E2" s="106">
        <v>0.01</v>
      </c>
      <c r="F2" s="104">
        <v>4.0000000000000001E-3</v>
      </c>
      <c r="G2" t="s">
        <v>163</v>
      </c>
      <c r="L2" s="533" t="s">
        <v>164</v>
      </c>
      <c r="M2" s="534"/>
      <c r="N2" s="535"/>
      <c r="O2" s="212" t="s">
        <v>165</v>
      </c>
      <c r="P2" t="s">
        <v>166</v>
      </c>
      <c r="V2">
        <v>4.1496105906051392E-3</v>
      </c>
      <c r="W2">
        <v>6.7613499403848037E-3</v>
      </c>
    </row>
    <row r="3" spans="1:32" ht="30" x14ac:dyDescent="0.25">
      <c r="D3" s="61" t="s">
        <v>167</v>
      </c>
      <c r="E3" s="106">
        <f>1.3%+E2</f>
        <v>2.3E-2</v>
      </c>
      <c r="F3" s="106">
        <v>1.6799999999999999E-2</v>
      </c>
      <c r="L3" s="213" t="s">
        <v>168</v>
      </c>
      <c r="M3" s="213" t="s">
        <v>169</v>
      </c>
      <c r="N3" s="213" t="s">
        <v>170</v>
      </c>
      <c r="O3" s="214" t="s">
        <v>171</v>
      </c>
      <c r="P3" s="55" t="s">
        <v>172</v>
      </c>
      <c r="U3" s="101">
        <v>0.84516874254810093</v>
      </c>
      <c r="V3" s="41">
        <v>4.0000000000000001E-3</v>
      </c>
      <c r="W3" s="41">
        <v>7.0000000000000001E-3</v>
      </c>
      <c r="Y3" s="41"/>
    </row>
    <row r="4" spans="1:32" ht="45" x14ac:dyDescent="0.25">
      <c r="E4" s="55" t="s">
        <v>173</v>
      </c>
      <c r="F4" s="55" t="str">
        <f>"Impact of "&amp;ROUND(F2,3)*100&amp;"% GDP Deflator"</f>
        <v>Impact of 0.4% GDP Deflator</v>
      </c>
      <c r="G4" s="55" t="s">
        <v>174</v>
      </c>
      <c r="L4" s="55" t="s">
        <v>162</v>
      </c>
      <c r="M4" s="55" t="s">
        <v>175</v>
      </c>
      <c r="N4" s="55" t="s">
        <v>176</v>
      </c>
      <c r="O4" s="55" t="s">
        <v>2</v>
      </c>
      <c r="P4" s="55" t="s">
        <v>177</v>
      </c>
      <c r="R4" s="275" t="s">
        <v>1068</v>
      </c>
      <c r="S4" s="55" t="s">
        <v>178</v>
      </c>
      <c r="T4" s="55" t="s">
        <v>179</v>
      </c>
      <c r="U4" s="55" t="s">
        <v>180</v>
      </c>
      <c r="V4" s="55" t="s">
        <v>1108</v>
      </c>
      <c r="W4" s="55" t="s">
        <v>1099</v>
      </c>
      <c r="X4" s="55" t="s">
        <v>181</v>
      </c>
      <c r="Y4" s="55" t="s">
        <v>1064</v>
      </c>
      <c r="Z4" s="55" t="s">
        <v>182</v>
      </c>
      <c r="AA4" s="55" t="s">
        <v>183</v>
      </c>
      <c r="AB4" s="55" t="s">
        <v>184</v>
      </c>
      <c r="AC4" s="55" t="s">
        <v>185</v>
      </c>
      <c r="AD4" s="55" t="s">
        <v>186</v>
      </c>
    </row>
    <row r="5" spans="1:32" x14ac:dyDescent="0.25">
      <c r="D5" s="98" t="s">
        <v>187</v>
      </c>
      <c r="E5" s="57">
        <v>252.91440479711054</v>
      </c>
      <c r="F5" s="57">
        <f>IFERROR(E5*F$2/E$2,"n/a")</f>
        <v>101.16576191884421</v>
      </c>
      <c r="G5" s="98"/>
      <c r="K5" s="98" t="s">
        <v>188</v>
      </c>
      <c r="L5" s="108">
        <f>F20</f>
        <v>101.16576191884421</v>
      </c>
      <c r="M5" s="108">
        <f>F43</f>
        <v>462.59842519685037</v>
      </c>
      <c r="N5" s="108">
        <f>F67</f>
        <v>499.99999999999545</v>
      </c>
      <c r="O5" s="108" t="e">
        <f>#REF!/1000</f>
        <v>#REF!</v>
      </c>
      <c r="P5" s="108" t="e">
        <f>#REF!/1000</f>
        <v>#REF!</v>
      </c>
      <c r="R5" s="288" t="s">
        <v>189</v>
      </c>
      <c r="S5" s="108">
        <v>80</v>
      </c>
      <c r="T5" s="108">
        <v>80</v>
      </c>
      <c r="U5" s="108">
        <v>80</v>
      </c>
      <c r="V5" s="108">
        <f>W5</f>
        <v>80</v>
      </c>
      <c r="W5" s="108">
        <f>U5</f>
        <v>80</v>
      </c>
      <c r="X5" s="289"/>
      <c r="Y5" s="290" t="s">
        <v>190</v>
      </c>
      <c r="Z5" s="291" t="s">
        <v>210</v>
      </c>
      <c r="AA5" s="292" t="s">
        <v>192</v>
      </c>
      <c r="AB5" s="291"/>
      <c r="AC5" s="291"/>
      <c r="AD5" s="291"/>
      <c r="AE5" s="293" t="s">
        <v>1060</v>
      </c>
      <c r="AF5" s="421"/>
    </row>
    <row r="6" spans="1:32" x14ac:dyDescent="0.25">
      <c r="A6" s="105" t="s">
        <v>194</v>
      </c>
      <c r="B6" s="101">
        <v>0.16</v>
      </c>
      <c r="C6">
        <v>10800</v>
      </c>
      <c r="D6" s="98" t="s">
        <v>195</v>
      </c>
      <c r="E6" s="102">
        <f>MAX(IF($A6="On",$C6/(1+2%)*$B6*(E3-2%),0),0)</f>
        <v>5.0823529411764685</v>
      </c>
      <c r="F6" s="102">
        <f>MAX(IF($A6="On",$C6/(1+2%)*$B6*(F3-2%),0),0)</f>
        <v>0</v>
      </c>
      <c r="G6" s="98" t="s">
        <v>196</v>
      </c>
      <c r="K6" s="107" t="s">
        <v>197</v>
      </c>
      <c r="L6" s="108">
        <f>F21</f>
        <v>-10.116576191884421</v>
      </c>
      <c r="M6" s="108">
        <f>F44</f>
        <v>0</v>
      </c>
      <c r="N6" s="108">
        <v>0</v>
      </c>
      <c r="O6" s="108">
        <v>0</v>
      </c>
      <c r="P6" s="108">
        <v>0</v>
      </c>
      <c r="R6" s="288" t="s">
        <v>198</v>
      </c>
      <c r="S6" s="108" t="e">
        <f>'Calcs - ICB Core Alloc (£0.5bn)'!Q57/1000</f>
        <v>#REF!</v>
      </c>
      <c r="T6" s="108">
        <v>0</v>
      </c>
      <c r="U6" s="108">
        <v>200</v>
      </c>
      <c r="V6" s="108" t="e">
        <f>#REF!/1000</f>
        <v>#REF!</v>
      </c>
      <c r="W6" s="108">
        <v>230</v>
      </c>
      <c r="X6" s="289"/>
      <c r="Y6" s="291" t="s">
        <v>192</v>
      </c>
      <c r="Z6" s="291" t="s">
        <v>1078</v>
      </c>
      <c r="AA6" s="292" t="s">
        <v>192</v>
      </c>
      <c r="AB6" s="291"/>
      <c r="AC6" s="291"/>
      <c r="AD6" s="291"/>
      <c r="AE6" s="293" t="s">
        <v>1059</v>
      </c>
      <c r="AF6" s="421"/>
    </row>
    <row r="7" spans="1:32" x14ac:dyDescent="0.25">
      <c r="A7" s="105" t="s">
        <v>200</v>
      </c>
      <c r="B7" s="101">
        <v>0.2</v>
      </c>
      <c r="C7">
        <v>1140</v>
      </c>
      <c r="D7" s="98" t="s">
        <v>201</v>
      </c>
      <c r="E7" s="102">
        <f>IF($A7="On",C7*B7*E$2,0)</f>
        <v>0</v>
      </c>
      <c r="F7" s="57">
        <f>IFERROR(E7*F$2/E$2,"n/a")</f>
        <v>0</v>
      </c>
      <c r="G7" s="98" t="s">
        <v>202</v>
      </c>
      <c r="Q7" s="425"/>
      <c r="R7" s="288" t="s">
        <v>208</v>
      </c>
      <c r="S7" s="108"/>
      <c r="T7" s="108">
        <f>(441+50)*(1-1.1%)</f>
        <v>485.59899999999999</v>
      </c>
      <c r="U7" s="108">
        <f>T7</f>
        <v>485.59899999999999</v>
      </c>
      <c r="V7" s="108" t="e">
        <f>'Op 1 - Convergence'!U61/1000</f>
        <v>#REF!</v>
      </c>
      <c r="W7" s="108" t="e">
        <f>'Op 2 - Acute'!U61/1000</f>
        <v>#REF!</v>
      </c>
      <c r="X7" s="289" t="s">
        <v>209</v>
      </c>
      <c r="Y7" s="294" t="s">
        <v>210</v>
      </c>
      <c r="Z7" s="290" t="s">
        <v>1079</v>
      </c>
      <c r="AA7" s="291"/>
      <c r="AB7" s="294" t="s">
        <v>210</v>
      </c>
      <c r="AC7" s="291"/>
      <c r="AD7" s="292" t="s">
        <v>1109</v>
      </c>
      <c r="AE7" s="536" t="s">
        <v>1086</v>
      </c>
      <c r="AF7" s="438"/>
    </row>
    <row r="8" spans="1:32" x14ac:dyDescent="0.25">
      <c r="D8" s="98" t="s">
        <v>206</v>
      </c>
      <c r="E8" s="57">
        <v>51.819022025523317</v>
      </c>
      <c r="F8" s="57">
        <f>IFERROR(E8*F$2/E$2,"n/a")</f>
        <v>20.727608810209325</v>
      </c>
      <c r="G8" s="98"/>
      <c r="K8" s="98" t="s">
        <v>207</v>
      </c>
      <c r="L8" s="108">
        <f>F24</f>
        <v>38.218147064297106</v>
      </c>
      <c r="M8" s="108">
        <f>F47</f>
        <v>37.401574803149607</v>
      </c>
      <c r="N8" s="108">
        <v>0</v>
      </c>
      <c r="O8" s="108">
        <v>0</v>
      </c>
      <c r="P8" s="108">
        <v>0</v>
      </c>
      <c r="Q8" s="425"/>
      <c r="R8" s="288" t="s">
        <v>212</v>
      </c>
      <c r="S8" s="108"/>
      <c r="T8" s="108">
        <f>117*(1-0.4%)</f>
        <v>116.532</v>
      </c>
      <c r="U8" s="108">
        <f t="shared" ref="U8:U9" si="1">T8</f>
        <v>116.532</v>
      </c>
      <c r="V8" s="108">
        <f>'Op 1 - Convergence'!Z61/1000</f>
        <v>26.662858177471847</v>
      </c>
      <c r="W8" s="108">
        <f>'Op 2 - Acute'!Z61/1000</f>
        <v>47.067469229091607</v>
      </c>
      <c r="X8" s="289" t="s">
        <v>209</v>
      </c>
      <c r="Y8" s="292" t="s">
        <v>213</v>
      </c>
      <c r="Z8" s="290" t="s">
        <v>1079</v>
      </c>
      <c r="AA8" s="291"/>
      <c r="AB8" s="294" t="s">
        <v>210</v>
      </c>
      <c r="AC8" s="291"/>
      <c r="AD8" s="291"/>
      <c r="AE8" s="537"/>
      <c r="AF8" s="438"/>
    </row>
    <row r="9" spans="1:32" x14ac:dyDescent="0.25">
      <c r="D9" s="98" t="s">
        <v>211</v>
      </c>
      <c r="E9" s="57">
        <v>5.5460586596333314</v>
      </c>
      <c r="F9" s="57">
        <f>IFERROR(E9*F$2/E$2,"n/a")</f>
        <v>2.2184234638533327</v>
      </c>
      <c r="G9" s="98"/>
      <c r="K9" s="107" t="s">
        <v>197</v>
      </c>
      <c r="L9" s="108">
        <f t="shared" ref="L9:L10" si="2">F25</f>
        <v>-3.821814706429711</v>
      </c>
      <c r="M9" s="108">
        <f t="shared" ref="M9:M10" si="3">F48</f>
        <v>0</v>
      </c>
      <c r="N9" s="108"/>
      <c r="O9" s="108"/>
      <c r="P9" s="108"/>
      <c r="Q9" s="425"/>
      <c r="R9" s="288" t="s">
        <v>216</v>
      </c>
      <c r="S9" s="108"/>
      <c r="T9" s="108">
        <v>16</v>
      </c>
      <c r="U9" s="108">
        <f t="shared" si="1"/>
        <v>16</v>
      </c>
      <c r="V9" s="108">
        <f>U9*V$3/0.8%</f>
        <v>8</v>
      </c>
      <c r="W9" s="108">
        <f>T9*W$3/0.8%</f>
        <v>14</v>
      </c>
      <c r="X9" s="289" t="s">
        <v>209</v>
      </c>
      <c r="Y9" s="292" t="s">
        <v>213</v>
      </c>
      <c r="Z9" s="290" t="s">
        <v>1079</v>
      </c>
      <c r="AA9" s="291"/>
      <c r="AB9" s="294" t="s">
        <v>210</v>
      </c>
      <c r="AC9" s="291"/>
      <c r="AD9" s="291"/>
      <c r="AE9" s="538"/>
      <c r="AF9" s="438"/>
    </row>
    <row r="10" spans="1:32" ht="15" customHeight="1" x14ac:dyDescent="0.25">
      <c r="D10" s="98" t="s">
        <v>214</v>
      </c>
      <c r="E10" s="57">
        <v>0.22369223675983108</v>
      </c>
      <c r="F10" s="57">
        <f>IFERROR(E10*F$2/E$2,"n/a")</f>
        <v>8.9476894703932427E-2</v>
      </c>
      <c r="G10" s="98"/>
      <c r="K10" s="107" t="s">
        <v>215</v>
      </c>
      <c r="L10" s="108">
        <f t="shared" si="2"/>
        <v>-6.8792664715734793</v>
      </c>
      <c r="M10" s="108">
        <f t="shared" si="3"/>
        <v>-7.4803149606299222</v>
      </c>
      <c r="N10" s="108"/>
      <c r="O10" s="108"/>
      <c r="P10" s="108"/>
      <c r="Q10" s="425"/>
      <c r="R10" s="288" t="s">
        <v>280</v>
      </c>
      <c r="S10" s="108"/>
      <c r="T10" s="108">
        <f>300*(1-1.1%)</f>
        <v>296.7</v>
      </c>
      <c r="U10" s="108">
        <f>600*(1-1.1%)</f>
        <v>593.4</v>
      </c>
      <c r="V10" s="108" t="e">
        <f>'Op 1 - Convergence'!V61/1000</f>
        <v>#REF!</v>
      </c>
      <c r="W10" s="108" t="e">
        <f>'Op 2 - Acute'!V61/1000</f>
        <v>#REF!</v>
      </c>
      <c r="X10" s="289" t="s">
        <v>219</v>
      </c>
      <c r="Y10" s="291" t="s">
        <v>192</v>
      </c>
      <c r="Z10" s="291" t="s">
        <v>1079</v>
      </c>
      <c r="AA10" s="291"/>
      <c r="AB10" s="291"/>
      <c r="AC10" s="291"/>
      <c r="AD10" s="292" t="s">
        <v>1107</v>
      </c>
      <c r="AE10" s="293" t="s">
        <v>1087</v>
      </c>
      <c r="AF10" s="421"/>
    </row>
    <row r="11" spans="1:32" x14ac:dyDescent="0.25">
      <c r="D11" s="98" t="s">
        <v>217</v>
      </c>
      <c r="E11" s="57">
        <v>2.2792563704181248</v>
      </c>
      <c r="F11" s="57">
        <f>IFERROR(E11*F$2/E$2,"n/a")</f>
        <v>0.91170254816724994</v>
      </c>
      <c r="G11" s="98"/>
      <c r="R11" s="295" t="s">
        <v>115</v>
      </c>
      <c r="S11" s="238" t="e">
        <f>SUM(S5:S10)</f>
        <v>#REF!</v>
      </c>
      <c r="T11" s="238">
        <f>SUM(T5:T10)</f>
        <v>994.8309999999999</v>
      </c>
      <c r="U11" s="238">
        <f>SUM(U5:U10)</f>
        <v>1491.5309999999999</v>
      </c>
      <c r="V11" s="238" t="e">
        <f t="shared" ref="V11" si="4">SUM(V5:V10)</f>
        <v>#REF!</v>
      </c>
      <c r="W11" s="238" t="e">
        <f>SUM(W5:W10)</f>
        <v>#REF!</v>
      </c>
      <c r="X11" s="296"/>
      <c r="Y11" s="297"/>
      <c r="Z11" s="297"/>
      <c r="AA11" s="297"/>
      <c r="AB11" s="297"/>
      <c r="AC11" s="297"/>
      <c r="AD11" s="297"/>
      <c r="AE11" s="296"/>
      <c r="AF11" s="296"/>
    </row>
    <row r="12" spans="1:32" x14ac:dyDescent="0.25">
      <c r="A12" s="105" t="str">
        <f>A6</f>
        <v>On</v>
      </c>
      <c r="B12" s="101">
        <v>0.16</v>
      </c>
      <c r="C12">
        <v>730</v>
      </c>
      <c r="D12" s="98" t="s">
        <v>221</v>
      </c>
      <c r="E12" s="102">
        <f>2.32329295459704+IF($A12="On",E6*$C$12/$C$6)</f>
        <v>2.6668223663617456</v>
      </c>
      <c r="F12" s="57">
        <f>IFERROR(E12*F$2/E$2,"n/a")+IF($A12="On",F6*$C$12/$C$6)</f>
        <v>1.0667289465446983</v>
      </c>
      <c r="G12" s="98" t="s">
        <v>222</v>
      </c>
      <c r="K12" s="98" t="s">
        <v>223</v>
      </c>
      <c r="L12" s="108">
        <f>F29</f>
        <v>0</v>
      </c>
      <c r="M12" s="108">
        <v>0</v>
      </c>
      <c r="N12" s="108">
        <v>0</v>
      </c>
      <c r="O12" s="108">
        <v>0</v>
      </c>
      <c r="P12" s="108">
        <v>0</v>
      </c>
      <c r="Q12" s="423"/>
      <c r="R12" s="297"/>
      <c r="S12" s="297"/>
      <c r="T12" s="297"/>
      <c r="U12" s="297"/>
      <c r="V12" s="424"/>
      <c r="W12" s="297"/>
      <c r="X12" s="297"/>
      <c r="Y12" s="297"/>
      <c r="Z12" s="297"/>
      <c r="AA12" s="297"/>
      <c r="AB12" s="297"/>
      <c r="AC12" s="297"/>
      <c r="AD12" s="297"/>
      <c r="AE12" s="296"/>
      <c r="AF12" s="296"/>
    </row>
    <row r="13" spans="1:32" x14ac:dyDescent="0.25">
      <c r="D13" s="98" t="s">
        <v>3</v>
      </c>
      <c r="E13" s="57">
        <v>6.5620759374733098</v>
      </c>
      <c r="F13" s="57">
        <f>IFERROR(E13*F$2/E$2,"n/a")</f>
        <v>2.6248303749893238</v>
      </c>
      <c r="G13" s="98"/>
      <c r="R13" s="298" t="s">
        <v>1067</v>
      </c>
      <c r="S13" s="297"/>
      <c r="T13" s="297"/>
      <c r="U13" s="297"/>
      <c r="V13" s="297">
        <v>55</v>
      </c>
      <c r="W13" s="297"/>
      <c r="X13" s="297"/>
      <c r="Y13" s="297"/>
      <c r="Z13" s="297"/>
      <c r="AA13" s="297"/>
      <c r="AB13" s="297"/>
      <c r="AC13" s="297"/>
      <c r="AD13" s="297"/>
      <c r="AE13" s="296"/>
      <c r="AF13" s="296"/>
    </row>
    <row r="14" spans="1:32" x14ac:dyDescent="0.25">
      <c r="A14" s="105" t="s">
        <v>200</v>
      </c>
      <c r="B14" s="101">
        <v>0.2</v>
      </c>
      <c r="C14">
        <v>1130</v>
      </c>
      <c r="D14" s="98" t="s">
        <v>224</v>
      </c>
      <c r="E14" s="102">
        <f>IF($A14="On",C14*B14*E$2,0)</f>
        <v>0</v>
      </c>
      <c r="F14" s="57">
        <f>IFERROR(E14*F$2/E$2,"n/a")</f>
        <v>0</v>
      </c>
      <c r="G14" s="98" t="s">
        <v>202</v>
      </c>
      <c r="K14" s="56" t="s">
        <v>225</v>
      </c>
      <c r="R14" s="288" t="s">
        <v>228</v>
      </c>
      <c r="S14" s="539">
        <v>130</v>
      </c>
      <c r="T14" s="540"/>
      <c r="U14" s="541"/>
      <c r="V14" s="429">
        <v>140</v>
      </c>
      <c r="W14" s="429"/>
      <c r="X14" s="434">
        <v>4.0000000000000001E-3</v>
      </c>
      <c r="Y14" s="289" t="s">
        <v>230</v>
      </c>
      <c r="Z14" s="299">
        <v>0</v>
      </c>
      <c r="AA14" s="289"/>
      <c r="AB14" s="289" t="s">
        <v>231</v>
      </c>
      <c r="AC14" s="289" t="s">
        <v>190</v>
      </c>
      <c r="AD14" s="289" t="s">
        <v>192</v>
      </c>
      <c r="AE14" s="293" t="s">
        <v>1097</v>
      </c>
      <c r="AF14" s="421"/>
    </row>
    <row r="15" spans="1:32" x14ac:dyDescent="0.25">
      <c r="A15" s="105" t="s">
        <v>200</v>
      </c>
      <c r="B15" s="101">
        <v>0.2</v>
      </c>
      <c r="C15">
        <v>330</v>
      </c>
      <c r="D15" s="98" t="s">
        <v>226</v>
      </c>
      <c r="E15" s="102">
        <f>IF($A15="On",C15*B15*E$2,0)</f>
        <v>0</v>
      </c>
      <c r="F15" s="57">
        <f>IFERROR(E15*F$2/E$2,"n/a")</f>
        <v>0</v>
      </c>
      <c r="G15" s="98" t="s">
        <v>202</v>
      </c>
      <c r="K15" s="98" t="s">
        <v>227</v>
      </c>
      <c r="L15" s="108">
        <f>SUM(L5:L6,L8:L10)</f>
        <v>118.56625161325373</v>
      </c>
      <c r="M15" s="108">
        <f>SUM(M5:M6,M8:M10)</f>
        <v>492.51968503937007</v>
      </c>
      <c r="N15" s="108">
        <f>SUM(N5:N6,N8:N10)</f>
        <v>499.99999999999545</v>
      </c>
      <c r="O15" s="108" t="e">
        <f>SUM(O5:O6,O8:O10)</f>
        <v>#REF!</v>
      </c>
      <c r="P15" s="108" t="e">
        <f>SUM(P5:P6,P8:P10)</f>
        <v>#REF!</v>
      </c>
      <c r="R15" s="288" t="s">
        <v>1061</v>
      </c>
      <c r="S15" s="539">
        <v>75</v>
      </c>
      <c r="T15" s="540"/>
      <c r="U15" s="541"/>
      <c r="V15" s="429">
        <f>S15</f>
        <v>75</v>
      </c>
      <c r="W15" s="429"/>
      <c r="X15" s="289"/>
      <c r="Y15" s="289" t="s">
        <v>213</v>
      </c>
      <c r="Z15" s="299">
        <v>0</v>
      </c>
      <c r="AA15" s="289"/>
      <c r="AB15" s="289"/>
      <c r="AC15" s="289"/>
      <c r="AD15" s="289" t="s">
        <v>190</v>
      </c>
      <c r="AE15" s="293" t="s">
        <v>237</v>
      </c>
      <c r="AF15" s="421"/>
    </row>
    <row r="16" spans="1:32" x14ac:dyDescent="0.25">
      <c r="A16" s="105" t="s">
        <v>194</v>
      </c>
      <c r="B16" s="97">
        <v>0.19900000000000001</v>
      </c>
      <c r="C16">
        <v>6090</v>
      </c>
      <c r="D16" s="98" t="s">
        <v>233</v>
      </c>
      <c r="E16" s="102">
        <f>IF($A16="On",C16*B16*E$2,0)</f>
        <v>12.119100000000001</v>
      </c>
      <c r="F16" s="57">
        <f>IFERROR(E16*F$2/E$2,"n/a")</f>
        <v>4.8476400000000002</v>
      </c>
      <c r="G16" s="98" t="s">
        <v>234</v>
      </c>
      <c r="K16" s="107" t="s">
        <v>235</v>
      </c>
      <c r="L16" s="108" t="e">
        <f>(#REF!+#REF!)/1000</f>
        <v>#REF!</v>
      </c>
      <c r="M16" s="108" t="e">
        <f>(#REF!+#REF!)/1000</f>
        <v>#REF!</v>
      </c>
      <c r="N16" s="108" t="e">
        <f>(#REF!+#REF!)/1000</f>
        <v>#REF!</v>
      </c>
      <c r="O16" s="108" t="e">
        <f>(#REF!+#REF!)/1000</f>
        <v>#REF!</v>
      </c>
      <c r="P16" s="108" t="e">
        <f>(#REF!+#REF!)/1000</f>
        <v>#REF!</v>
      </c>
      <c r="R16" s="417"/>
      <c r="S16" s="418"/>
      <c r="T16" s="418"/>
      <c r="U16" s="418"/>
      <c r="V16" s="418"/>
      <c r="W16" s="418"/>
      <c r="X16" s="419"/>
      <c r="Y16" s="419"/>
      <c r="Z16" s="420"/>
      <c r="AA16" s="419"/>
      <c r="AB16" s="419"/>
      <c r="AC16" s="419"/>
      <c r="AD16" s="419"/>
      <c r="AE16" s="421"/>
      <c r="AF16" s="421"/>
    </row>
    <row r="17" spans="1:35" x14ac:dyDescent="0.25">
      <c r="A17" s="105" t="s">
        <v>194</v>
      </c>
      <c r="D17" s="98" t="s">
        <v>238</v>
      </c>
      <c r="E17" s="57">
        <f>IF(A17="On",14.3293400645731,0)</f>
        <v>14.329340064573101</v>
      </c>
      <c r="F17" s="57">
        <f>IFERROR(E17*F$2/E$2,"n/a")</f>
        <v>5.7317360258292407</v>
      </c>
      <c r="G17" s="98" t="s">
        <v>239</v>
      </c>
      <c r="K17" s="107" t="s">
        <v>240</v>
      </c>
      <c r="L17" s="108" t="e">
        <f>(#REF!)/1000</f>
        <v>#REF!</v>
      </c>
      <c r="M17" s="108" t="e">
        <f>(#REF!)/1000</f>
        <v>#REF!</v>
      </c>
      <c r="N17" s="108" t="e">
        <f>(#REF!)/1000</f>
        <v>#REF!</v>
      </c>
      <c r="O17" s="108" t="e">
        <f>(#REF!)/1000</f>
        <v>#REF!</v>
      </c>
      <c r="P17" s="108" t="e">
        <f>(#REF!)/1000</f>
        <v>#REF!</v>
      </c>
      <c r="R17" s="295" t="s">
        <v>115</v>
      </c>
      <c r="S17" s="238" t="e">
        <f>S11+$S14+$S15</f>
        <v>#REF!</v>
      </c>
      <c r="T17" s="238">
        <f t="shared" ref="T17:U17" si="5">T11+$S14+$S15</f>
        <v>1199.8309999999999</v>
      </c>
      <c r="U17" s="238">
        <f t="shared" si="5"/>
        <v>1696.5309999999999</v>
      </c>
      <c r="V17" s="238" t="e">
        <f>V11+$V14+$V15</f>
        <v>#REF!</v>
      </c>
      <c r="W17" s="238" t="e">
        <f>W11+$V14+$V15</f>
        <v>#REF!</v>
      </c>
      <c r="X17" s="419"/>
      <c r="Y17" s="431" t="s">
        <v>1100</v>
      </c>
      <c r="Z17" s="430"/>
      <c r="AA17" s="430"/>
      <c r="AB17" s="430"/>
      <c r="AC17" s="430"/>
      <c r="AD17" s="430"/>
      <c r="AE17" s="430"/>
      <c r="AF17" s="439"/>
    </row>
    <row r="18" spans="1:35" hidden="1" x14ac:dyDescent="0.25">
      <c r="D18" s="99" t="s">
        <v>115</v>
      </c>
      <c r="E18" s="100">
        <f>SUM(E5:E17)</f>
        <v>353.54212539902983</v>
      </c>
      <c r="F18" s="100">
        <f>IFERROR(E18*500/$E$18,"n/a")</f>
        <v>500</v>
      </c>
      <c r="G18" s="99"/>
      <c r="R18" s="295" t="s">
        <v>1093</v>
      </c>
      <c r="S18" s="238"/>
      <c r="T18" s="238"/>
      <c r="U18" s="238"/>
      <c r="V18" s="238" t="e">
        <f>V5+V6+V7*90%+V8+V9+V10*90%-500</f>
        <v>#REF!</v>
      </c>
      <c r="W18" s="238" t="e">
        <f>W5+W6+W7*90%+W8+W9+W10*90%-500</f>
        <v>#REF!</v>
      </c>
      <c r="X18" s="419"/>
      <c r="Y18" s="431" t="s">
        <v>1096</v>
      </c>
      <c r="Z18" s="431"/>
      <c r="AA18" s="431"/>
      <c r="AB18" s="431"/>
      <c r="AC18" s="431"/>
      <c r="AD18" s="431"/>
      <c r="AE18" s="431"/>
      <c r="AF18" s="440"/>
    </row>
    <row r="19" spans="1:35" hidden="1" outlineLevel="2" x14ac:dyDescent="0.25">
      <c r="K19" s="98" t="s">
        <v>241</v>
      </c>
      <c r="L19" s="108">
        <f>F32</f>
        <v>20.817657369887613</v>
      </c>
      <c r="M19" s="108">
        <f>F53</f>
        <v>7.4803149606299222</v>
      </c>
      <c r="N19" s="108">
        <v>0</v>
      </c>
      <c r="O19" s="108">
        <v>0</v>
      </c>
      <c r="P19" s="108">
        <v>0</v>
      </c>
      <c r="R19" s="295" t="s">
        <v>1094</v>
      </c>
      <c r="S19" s="238"/>
      <c r="T19" s="238"/>
      <c r="U19" s="238"/>
      <c r="V19" s="238">
        <f>Comparison!AB67/1000</f>
        <v>0</v>
      </c>
      <c r="W19" s="238">
        <f>Comparison!AE67/1000</f>
        <v>0</v>
      </c>
      <c r="X19" s="419"/>
      <c r="Y19" s="431" t="s">
        <v>1095</v>
      </c>
      <c r="Z19" s="431"/>
      <c r="AA19" s="431"/>
      <c r="AB19" s="431"/>
      <c r="AC19" s="431"/>
      <c r="AD19" s="431"/>
      <c r="AE19" s="431"/>
      <c r="AF19" s="440"/>
    </row>
    <row r="20" spans="1:35" outlineLevel="2" x14ac:dyDescent="0.25">
      <c r="D20" s="98" t="s">
        <v>242</v>
      </c>
      <c r="E20" s="57">
        <f>E5</f>
        <v>252.91440479711054</v>
      </c>
      <c r="F20" s="57">
        <f>F5</f>
        <v>101.16576191884421</v>
      </c>
      <c r="G20" s="98"/>
      <c r="L20"/>
      <c r="M20"/>
      <c r="N20"/>
      <c r="O20"/>
      <c r="P20"/>
      <c r="R20" s="297"/>
      <c r="S20" s="300"/>
      <c r="T20" s="300"/>
      <c r="U20" s="300"/>
      <c r="V20" s="300"/>
      <c r="W20" s="300"/>
      <c r="X20" s="296"/>
      <c r="Z20" s="297"/>
      <c r="AA20" s="297"/>
      <c r="AB20" s="297"/>
      <c r="AC20" s="297"/>
      <c r="AD20" s="297"/>
      <c r="AE20" s="296"/>
      <c r="AF20" s="296"/>
    </row>
    <row r="21" spans="1:35" outlineLevel="2" x14ac:dyDescent="0.25">
      <c r="C21" s="103">
        <v>0.1</v>
      </c>
      <c r="D21" s="98" t="s">
        <v>243</v>
      </c>
      <c r="E21" s="57">
        <f>E20*-$C21</f>
        <v>-25.291440479711056</v>
      </c>
      <c r="F21" s="57">
        <f>F20*-$C21</f>
        <v>-10.116576191884421</v>
      </c>
      <c r="G21" s="98"/>
      <c r="K21" s="107" t="s">
        <v>235</v>
      </c>
      <c r="L21" s="210" t="e">
        <f t="shared" ref="L21:P22" si="6">L16/500</f>
        <v>#REF!</v>
      </c>
      <c r="M21" s="210" t="e">
        <f t="shared" si="6"/>
        <v>#REF!</v>
      </c>
      <c r="N21" s="210" t="e">
        <f t="shared" si="6"/>
        <v>#REF!</v>
      </c>
      <c r="O21" s="210" t="e">
        <f t="shared" si="6"/>
        <v>#REF!</v>
      </c>
      <c r="P21" s="210" t="e">
        <f t="shared" si="6"/>
        <v>#REF!</v>
      </c>
      <c r="R21" s="301" t="s">
        <v>1062</v>
      </c>
      <c r="S21" s="300"/>
      <c r="T21" s="300"/>
      <c r="U21" s="300"/>
      <c r="V21" s="300"/>
      <c r="W21" s="300"/>
      <c r="X21" s="296"/>
      <c r="Y21" s="297"/>
      <c r="Z21" s="297"/>
      <c r="AA21" s="297"/>
      <c r="AB21" s="297"/>
      <c r="AC21" s="297"/>
      <c r="AD21" s="297"/>
      <c r="AE21" s="296"/>
      <c r="AF21" s="296"/>
    </row>
    <row r="22" spans="1:35" ht="57.75" outlineLevel="2" x14ac:dyDescent="0.25">
      <c r="D22" s="99" t="s">
        <v>244</v>
      </c>
      <c r="E22" s="100">
        <f>SUM(E20:E21)</f>
        <v>227.62296431739946</v>
      </c>
      <c r="F22" s="100">
        <f>SUM(F20:F21)</f>
        <v>91.049185726959792</v>
      </c>
      <c r="G22" s="99"/>
      <c r="K22" s="107" t="s">
        <v>240</v>
      </c>
      <c r="L22" s="210" t="e">
        <f t="shared" si="6"/>
        <v>#REF!</v>
      </c>
      <c r="M22" s="210" t="e">
        <f t="shared" si="6"/>
        <v>#REF!</v>
      </c>
      <c r="N22" s="210" t="e">
        <f t="shared" si="6"/>
        <v>#REF!</v>
      </c>
      <c r="O22" s="210" t="e">
        <f t="shared" si="6"/>
        <v>#REF!</v>
      </c>
      <c r="P22" s="210" t="e">
        <f t="shared" si="6"/>
        <v>#REF!</v>
      </c>
      <c r="R22" s="288" t="s">
        <v>263</v>
      </c>
      <c r="S22" s="539" t="s">
        <v>1072</v>
      </c>
      <c r="T22" s="540"/>
      <c r="U22" s="541"/>
      <c r="V22" s="429" t="s">
        <v>1090</v>
      </c>
      <c r="W22" s="429"/>
      <c r="X22" s="289" t="s">
        <v>265</v>
      </c>
      <c r="Y22" s="292" t="s">
        <v>230</v>
      </c>
      <c r="Z22" s="290" t="s">
        <v>266</v>
      </c>
      <c r="AA22" s="291"/>
      <c r="AB22" s="292" t="s">
        <v>231</v>
      </c>
      <c r="AC22" s="292" t="s">
        <v>232</v>
      </c>
      <c r="AD22" s="292" t="s">
        <v>192</v>
      </c>
      <c r="AE22" s="293" t="s">
        <v>1092</v>
      </c>
      <c r="AF22" s="421"/>
    </row>
    <row r="23" spans="1:35" ht="43.5" outlineLevel="2" x14ac:dyDescent="0.25">
      <c r="K23" s="107" t="s">
        <v>241</v>
      </c>
      <c r="L23" s="210">
        <f>L19/500</f>
        <v>4.1635314739775227E-2</v>
      </c>
      <c r="M23" s="210">
        <f>M19/500</f>
        <v>1.4960629921259844E-2</v>
      </c>
      <c r="N23" s="210">
        <f>N19/500</f>
        <v>0</v>
      </c>
      <c r="O23" s="210">
        <f>O19/500</f>
        <v>0</v>
      </c>
      <c r="P23" s="210">
        <f>P19/500</f>
        <v>0</v>
      </c>
      <c r="R23" s="288" t="s">
        <v>267</v>
      </c>
      <c r="S23" s="530">
        <v>500</v>
      </c>
      <c r="T23" s="531"/>
      <c r="U23" s="532"/>
      <c r="V23" s="429">
        <v>500</v>
      </c>
      <c r="W23" s="429"/>
      <c r="X23" s="289" t="s">
        <v>268</v>
      </c>
      <c r="Y23" s="292" t="s">
        <v>213</v>
      </c>
      <c r="Z23" s="302" t="s">
        <v>1065</v>
      </c>
      <c r="AA23" s="291"/>
      <c r="AB23" s="291"/>
      <c r="AC23" s="291"/>
      <c r="AD23" s="291"/>
      <c r="AE23" s="293" t="s">
        <v>1066</v>
      </c>
      <c r="AF23" s="421"/>
    </row>
    <row r="24" spans="1:35" ht="43.5" outlineLevel="2" x14ac:dyDescent="0.25">
      <c r="D24" s="98" t="s">
        <v>245</v>
      </c>
      <c r="E24" s="57">
        <f>E8+E9+E10+E11+E12+E13+E16+E17</f>
        <v>95.545367660742755</v>
      </c>
      <c r="F24" s="57">
        <f>F8+F9+F10+F11+F12+F13+F16+F17</f>
        <v>38.218147064297106</v>
      </c>
      <c r="G24" s="98"/>
      <c r="L24"/>
      <c r="M24"/>
      <c r="N24"/>
      <c r="O24"/>
      <c r="P24"/>
      <c r="R24" s="288" t="s">
        <v>270</v>
      </c>
      <c r="S24" s="530">
        <v>500</v>
      </c>
      <c r="T24" s="531"/>
      <c r="U24" s="532"/>
      <c r="V24" s="429" t="s">
        <v>1091</v>
      </c>
      <c r="W24" s="429"/>
      <c r="X24" s="289" t="s">
        <v>271</v>
      </c>
      <c r="Y24" s="291" t="s">
        <v>192</v>
      </c>
      <c r="Z24" s="290" t="s">
        <v>1079</v>
      </c>
      <c r="AA24" s="291"/>
      <c r="AB24" s="291"/>
      <c r="AC24" s="291"/>
      <c r="AD24" s="292" t="s">
        <v>192</v>
      </c>
      <c r="AE24" s="293" t="s">
        <v>1063</v>
      </c>
      <c r="AF24" s="421"/>
    </row>
    <row r="25" spans="1:35" outlineLevel="2" x14ac:dyDescent="0.25">
      <c r="C25" s="103">
        <f>C21</f>
        <v>0.1</v>
      </c>
      <c r="D25" s="98" t="s">
        <v>243</v>
      </c>
      <c r="E25" s="57">
        <f>E$24*-$C25</f>
        <v>-9.5545367660742766</v>
      </c>
      <c r="F25" s="57">
        <f>F$24*-$C25</f>
        <v>-3.821814706429711</v>
      </c>
      <c r="G25" s="98"/>
      <c r="K25" s="107" t="s">
        <v>246</v>
      </c>
      <c r="L25" s="210" t="e">
        <f>L21/SUM(L21:L22)</f>
        <v>#REF!</v>
      </c>
      <c r="M25" s="210" t="e">
        <f>M21/SUM(M21:M22)</f>
        <v>#REF!</v>
      </c>
      <c r="N25" s="210" t="e">
        <f>N21/SUM(N21:N22)</f>
        <v>#REF!</v>
      </c>
      <c r="O25" s="210" t="e">
        <f>O21/SUM(O21:O22)</f>
        <v>#REF!</v>
      </c>
      <c r="P25" s="210" t="e">
        <f>P21/SUM(P21:P22)</f>
        <v>#REF!</v>
      </c>
      <c r="R25" s="288" t="s">
        <v>203</v>
      </c>
      <c r="S25" s="530" t="e">
        <f>'Calcs - ICB Core Alloc (£0.5bn)'!K57/1000</f>
        <v>#REF!</v>
      </c>
      <c r="T25" s="531"/>
      <c r="U25" s="532"/>
      <c r="V25" s="429">
        <v>300</v>
      </c>
      <c r="W25" s="429"/>
      <c r="X25" s="289"/>
      <c r="Y25" s="291" t="s">
        <v>192</v>
      </c>
      <c r="Z25" s="290" t="s">
        <v>1079</v>
      </c>
      <c r="AA25" s="292" t="s">
        <v>192</v>
      </c>
      <c r="AB25" s="291"/>
      <c r="AC25" s="291"/>
      <c r="AD25" s="292" t="s">
        <v>204</v>
      </c>
      <c r="AE25" s="293" t="s">
        <v>1058</v>
      </c>
      <c r="AF25" s="421"/>
    </row>
    <row r="26" spans="1:35" outlineLevel="2" x14ac:dyDescent="0.25">
      <c r="C26" s="103">
        <v>0.2</v>
      </c>
      <c r="D26" s="98" t="s">
        <v>247</v>
      </c>
      <c r="E26" s="57">
        <f>SUM(E24:E25)*-$C26</f>
        <v>-17.198166178933697</v>
      </c>
      <c r="F26" s="57">
        <f>SUM(F24:F25)*-$C26</f>
        <v>-6.8792664715734793</v>
      </c>
      <c r="G26" s="98"/>
      <c r="K26" s="107" t="s">
        <v>248</v>
      </c>
      <c r="L26" s="210" t="e">
        <f>L22/SUM(L21:L22)</f>
        <v>#REF!</v>
      </c>
      <c r="M26" s="210" t="e">
        <f>M22/SUM(M21:M22)</f>
        <v>#REF!</v>
      </c>
      <c r="N26" s="210" t="e">
        <f>N22/SUM(N21:N22)</f>
        <v>#REF!</v>
      </c>
      <c r="O26" s="210" t="e">
        <f>O22/SUM(O21:O22)</f>
        <v>#REF!</v>
      </c>
      <c r="P26" s="210" t="e">
        <f>P22/SUM(P21:P22)</f>
        <v>#REF!</v>
      </c>
    </row>
    <row r="27" spans="1:35" outlineLevel="2" x14ac:dyDescent="0.25">
      <c r="D27" s="99" t="s">
        <v>244</v>
      </c>
      <c r="E27" s="100">
        <f>SUM(E24:E26)</f>
        <v>68.792664715734787</v>
      </c>
      <c r="F27" s="100">
        <f>SUM(F24:F26)</f>
        <v>27.517065886293913</v>
      </c>
      <c r="G27" s="99"/>
    </row>
    <row r="28" spans="1:35" outlineLevel="2" x14ac:dyDescent="0.25">
      <c r="J28" s="56" t="s">
        <v>249</v>
      </c>
      <c r="K28" s="56" t="s">
        <v>250</v>
      </c>
    </row>
    <row r="29" spans="1:35" ht="45" outlineLevel="2" x14ac:dyDescent="0.25">
      <c r="D29" s="99" t="s">
        <v>251</v>
      </c>
      <c r="E29" s="100">
        <f>-SUM(E6:E7,E14:E15)</f>
        <v>-5.0823529411764685</v>
      </c>
      <c r="F29" s="100">
        <f>-SUM(F6:F7,F14:F15)</f>
        <v>0</v>
      </c>
      <c r="G29" s="99"/>
      <c r="J29" s="108" t="e">
        <f>#REF!/1000</f>
        <v>#REF!</v>
      </c>
      <c r="K29" s="98" t="s">
        <v>252</v>
      </c>
      <c r="L29" s="108" t="e">
        <f>(#REF!)/1000</f>
        <v>#REF!</v>
      </c>
      <c r="M29" s="108" t="e">
        <f>(#REF!)/1000</f>
        <v>#REF!</v>
      </c>
      <c r="N29" s="108" t="e">
        <f>(#REF!)/1000</f>
        <v>#REF!</v>
      </c>
      <c r="O29" s="108" t="e">
        <f>(#REF!)/1000</f>
        <v>#REF!</v>
      </c>
      <c r="P29" s="108" t="e">
        <f>(#REF!)/1000</f>
        <v>#REF!</v>
      </c>
      <c r="R29" s="55" t="s">
        <v>1111</v>
      </c>
      <c r="S29" s="55" t="s">
        <v>1112</v>
      </c>
      <c r="Y29" s="55" t="s">
        <v>1064</v>
      </c>
      <c r="Z29" s="55" t="s">
        <v>182</v>
      </c>
      <c r="AA29" s="55" t="s">
        <v>183</v>
      </c>
      <c r="AB29" s="55" t="s">
        <v>1144</v>
      </c>
      <c r="AC29" s="55" t="s">
        <v>185</v>
      </c>
      <c r="AD29" s="55" t="s">
        <v>186</v>
      </c>
      <c r="AG29" s="468" t="s">
        <v>1119</v>
      </c>
      <c r="AH29" s="465" t="s">
        <v>1120</v>
      </c>
      <c r="AI29" s="466" t="s">
        <v>1121</v>
      </c>
    </row>
    <row r="30" spans="1:35" outlineLevel="2" x14ac:dyDescent="0.25">
      <c r="J30" s="108" t="e">
        <f>#REF!/1000</f>
        <v>#REF!</v>
      </c>
      <c r="K30" s="98" t="s">
        <v>253</v>
      </c>
      <c r="L30" s="108" t="e">
        <f>(#REF!)/1000</f>
        <v>#REF!</v>
      </c>
      <c r="M30" s="108" t="e">
        <f>(#REF!)/1000</f>
        <v>#REF!</v>
      </c>
      <c r="N30" s="108" t="e">
        <f>(#REF!)/1000</f>
        <v>#REF!</v>
      </c>
      <c r="O30" s="108" t="e">
        <f>(#REF!)/1000</f>
        <v>#REF!</v>
      </c>
      <c r="P30" s="108" t="e">
        <f>(#REF!)/1000</f>
        <v>#REF!</v>
      </c>
      <c r="R30" s="288" t="s">
        <v>189</v>
      </c>
      <c r="S30" s="435" t="s">
        <v>1113</v>
      </c>
      <c r="Y30" s="290" t="s">
        <v>190</v>
      </c>
      <c r="Z30" s="290"/>
      <c r="AA30" s="292" t="s">
        <v>192</v>
      </c>
      <c r="AB30" s="291" t="s">
        <v>213</v>
      </c>
      <c r="AC30" s="291" t="s">
        <v>213</v>
      </c>
      <c r="AD30" s="291" t="s">
        <v>213</v>
      </c>
      <c r="AG30" s="291" t="s">
        <v>192</v>
      </c>
      <c r="AH30" s="291" t="s">
        <v>192</v>
      </c>
      <c r="AI30" s="291" t="s">
        <v>192</v>
      </c>
    </row>
    <row r="31" spans="1:35" outlineLevel="2" x14ac:dyDescent="0.25">
      <c r="D31" s="99" t="s">
        <v>254</v>
      </c>
      <c r="E31" s="100">
        <f>E22+E27</f>
        <v>296.41562903313422</v>
      </c>
      <c r="F31" s="100">
        <f>F22+F27</f>
        <v>118.56625161325371</v>
      </c>
      <c r="G31" s="99"/>
      <c r="J31" s="108" t="e">
        <f>#REF!/1000</f>
        <v>#REF!</v>
      </c>
      <c r="K31" s="98" t="s">
        <v>115</v>
      </c>
      <c r="L31" s="108" t="e">
        <f>(#REF!)/1000</f>
        <v>#REF!</v>
      </c>
      <c r="M31" s="108" t="e">
        <f>(#REF!)/1000</f>
        <v>#REF!</v>
      </c>
      <c r="N31" s="108" t="e">
        <f>(#REF!)/1000</f>
        <v>#REF!</v>
      </c>
      <c r="O31" s="108" t="e">
        <f>(#REF!)/1000</f>
        <v>#REF!</v>
      </c>
      <c r="P31" s="108" t="e">
        <f>(#REF!)/1000</f>
        <v>#REF!</v>
      </c>
      <c r="R31" s="454" t="s">
        <v>198</v>
      </c>
      <c r="S31" s="437" t="s">
        <v>1114</v>
      </c>
      <c r="Y31" s="291" t="s">
        <v>192</v>
      </c>
      <c r="Z31" s="291"/>
      <c r="AA31" s="292" t="s">
        <v>192</v>
      </c>
      <c r="AB31" s="291" t="s">
        <v>213</v>
      </c>
      <c r="AC31" s="291" t="s">
        <v>213</v>
      </c>
      <c r="AD31" s="291" t="s">
        <v>213</v>
      </c>
      <c r="AG31" s="291" t="s">
        <v>192</v>
      </c>
      <c r="AH31" s="292" t="s">
        <v>213</v>
      </c>
      <c r="AI31" s="292" t="s">
        <v>213</v>
      </c>
    </row>
    <row r="32" spans="1:35" outlineLevel="2" x14ac:dyDescent="0.25">
      <c r="D32" s="99" t="s">
        <v>255</v>
      </c>
      <c r="E32" s="100">
        <f>-SUM(E21,E25:E26,E29)</f>
        <v>57.126496365895498</v>
      </c>
      <c r="F32" s="100">
        <f>-SUM(F21,F25:F26,F29)</f>
        <v>20.817657369887613</v>
      </c>
      <c r="G32" s="99"/>
      <c r="R32" s="454" t="s">
        <v>208</v>
      </c>
      <c r="S32" s="528" t="s">
        <v>1115</v>
      </c>
      <c r="Y32" s="291" t="s">
        <v>192</v>
      </c>
      <c r="Z32" s="290"/>
      <c r="AA32" s="291" t="s">
        <v>213</v>
      </c>
      <c r="AB32" s="291" t="s">
        <v>213</v>
      </c>
      <c r="AC32" s="291" t="s">
        <v>213</v>
      </c>
      <c r="AD32" s="292" t="s">
        <v>192</v>
      </c>
      <c r="AG32" s="291" t="s">
        <v>192</v>
      </c>
      <c r="AH32" s="291" t="s">
        <v>192</v>
      </c>
      <c r="AI32" s="292" t="s">
        <v>213</v>
      </c>
    </row>
    <row r="33" spans="3:35" outlineLevel="2" x14ac:dyDescent="0.25">
      <c r="D33" s="99" t="s">
        <v>115</v>
      </c>
      <c r="E33" s="100">
        <f>SUM(E31:E32)</f>
        <v>353.54212539902971</v>
      </c>
      <c r="F33" s="100">
        <f>SUM(F31:F32)</f>
        <v>139.38390898314134</v>
      </c>
      <c r="G33" s="99"/>
      <c r="J33" s="108" t="e">
        <f>#REF!</f>
        <v>#REF!</v>
      </c>
      <c r="K33" s="98" t="s">
        <v>256</v>
      </c>
      <c r="L33" s="108" t="e">
        <f>#REF!</f>
        <v>#REF!</v>
      </c>
      <c r="M33" s="108" t="e">
        <f>#REF!</f>
        <v>#REF!</v>
      </c>
      <c r="N33" s="108" t="e">
        <f>#REF!</f>
        <v>#REF!</v>
      </c>
      <c r="O33" s="108" t="e">
        <f>#REF!</f>
        <v>#REF!</v>
      </c>
      <c r="P33" s="108" t="e">
        <f>#REF!</f>
        <v>#REF!</v>
      </c>
      <c r="R33" s="441" t="s">
        <v>212</v>
      </c>
      <c r="S33" s="529"/>
      <c r="Y33" s="292" t="s">
        <v>213</v>
      </c>
      <c r="Z33" s="290"/>
      <c r="AA33" s="291" t="s">
        <v>213</v>
      </c>
      <c r="AB33" s="291" t="s">
        <v>213</v>
      </c>
      <c r="AC33" s="291" t="s">
        <v>213</v>
      </c>
      <c r="AD33" s="291" t="s">
        <v>213</v>
      </c>
      <c r="AG33" s="291" t="s">
        <v>192</v>
      </c>
      <c r="AH33" s="291" t="s">
        <v>192</v>
      </c>
      <c r="AI33" s="292" t="s">
        <v>213</v>
      </c>
    </row>
    <row r="34" spans="3:35" outlineLevel="2" x14ac:dyDescent="0.25">
      <c r="J34" s="108" t="e">
        <f>#REF!</f>
        <v>#REF!</v>
      </c>
      <c r="K34" s="98" t="s">
        <v>257</v>
      </c>
      <c r="L34" s="108" t="e">
        <f>#REF!</f>
        <v>#REF!</v>
      </c>
      <c r="M34" s="108" t="e">
        <f>#REF!</f>
        <v>#REF!</v>
      </c>
      <c r="N34" s="108" t="e">
        <f>#REF!</f>
        <v>#REF!</v>
      </c>
      <c r="O34" s="108" t="e">
        <f>#REF!</f>
        <v>#REF!</v>
      </c>
      <c r="P34" s="108" t="e">
        <f>#REF!</f>
        <v>#REF!</v>
      </c>
      <c r="R34" s="441" t="s">
        <v>216</v>
      </c>
      <c r="S34" s="529"/>
      <c r="Y34" s="458" t="s">
        <v>213</v>
      </c>
      <c r="Z34" s="459"/>
      <c r="AA34" s="456" t="s">
        <v>213</v>
      </c>
      <c r="AB34" s="456" t="s">
        <v>213</v>
      </c>
      <c r="AC34" s="456" t="s">
        <v>213</v>
      </c>
      <c r="AD34" s="456" t="s">
        <v>213</v>
      </c>
      <c r="AG34" s="291" t="s">
        <v>192</v>
      </c>
      <c r="AH34" s="291" t="s">
        <v>192</v>
      </c>
      <c r="AI34" s="292" t="s">
        <v>213</v>
      </c>
    </row>
    <row r="35" spans="3:35" outlineLevel="2" x14ac:dyDescent="0.25">
      <c r="D35" s="61" t="s">
        <v>258</v>
      </c>
      <c r="E35" s="106">
        <v>2.7E-2</v>
      </c>
      <c r="F35" s="106">
        <v>2.7E-2</v>
      </c>
      <c r="J35" s="108" t="e">
        <f>#REF!</f>
        <v>#REF!</v>
      </c>
      <c r="K35" s="98" t="s">
        <v>253</v>
      </c>
      <c r="L35" s="108" t="e">
        <f>#REF!</f>
        <v>#REF!</v>
      </c>
      <c r="M35" s="108" t="e">
        <f>#REF!</f>
        <v>#REF!</v>
      </c>
      <c r="N35" s="108" t="e">
        <f>#REF!</f>
        <v>#REF!</v>
      </c>
      <c r="O35" s="108" t="e">
        <f>#REF!</f>
        <v>#REF!</v>
      </c>
      <c r="P35" s="108" t="e">
        <f>#REF!</f>
        <v>#REF!</v>
      </c>
      <c r="R35" s="288" t="s">
        <v>1161</v>
      </c>
      <c r="S35" s="462" t="s">
        <v>1160</v>
      </c>
      <c r="T35" s="428"/>
      <c r="U35" s="428"/>
      <c r="V35" s="428"/>
      <c r="W35" s="428"/>
      <c r="X35" s="428"/>
      <c r="Y35" s="291" t="s">
        <v>192</v>
      </c>
      <c r="Z35" s="291"/>
      <c r="AA35" s="291" t="s">
        <v>213</v>
      </c>
      <c r="AB35" s="291" t="s">
        <v>213</v>
      </c>
      <c r="AC35" s="291" t="s">
        <v>213</v>
      </c>
      <c r="AD35" s="292" t="s">
        <v>192</v>
      </c>
      <c r="AG35" s="291" t="s">
        <v>192</v>
      </c>
      <c r="AH35" s="291" t="s">
        <v>192</v>
      </c>
      <c r="AI35" s="291" t="s">
        <v>192</v>
      </c>
    </row>
    <row r="36" spans="3:35" outlineLevel="2" x14ac:dyDescent="0.25">
      <c r="D36" s="61" t="s">
        <v>259</v>
      </c>
      <c r="E36" s="106">
        <v>0.01</v>
      </c>
      <c r="F36" s="104">
        <v>1.968503937007874E-2</v>
      </c>
      <c r="L36" s="208"/>
      <c r="M36" s="208"/>
      <c r="N36" s="208"/>
      <c r="O36" s="208"/>
      <c r="P36" s="208"/>
      <c r="R36" s="455" t="s">
        <v>263</v>
      </c>
      <c r="S36" s="461" t="s">
        <v>1116</v>
      </c>
      <c r="Y36" s="460" t="s">
        <v>213</v>
      </c>
      <c r="Z36" s="460"/>
      <c r="AA36" s="457" t="s">
        <v>213</v>
      </c>
      <c r="AB36" s="460" t="s">
        <v>192</v>
      </c>
      <c r="AC36" s="460" t="s">
        <v>192</v>
      </c>
      <c r="AD36" s="460" t="s">
        <v>192</v>
      </c>
      <c r="AG36" s="292" t="s">
        <v>213</v>
      </c>
      <c r="AH36" s="292" t="s">
        <v>213</v>
      </c>
      <c r="AI36" s="291" t="s">
        <v>192</v>
      </c>
    </row>
    <row r="37" spans="3:35" outlineLevel="2" x14ac:dyDescent="0.25">
      <c r="D37" s="61" t="s">
        <v>260</v>
      </c>
      <c r="E37" s="106">
        <f>2.7%+E36</f>
        <v>3.7000000000000005E-2</v>
      </c>
      <c r="F37" s="106">
        <f>2.7%+F36</f>
        <v>4.6685039370078743E-2</v>
      </c>
      <c r="K37" s="56" t="s">
        <v>261</v>
      </c>
      <c r="R37" s="436" t="s">
        <v>1162</v>
      </c>
      <c r="S37" s="435" t="s">
        <v>268</v>
      </c>
      <c r="Y37" s="292" t="s">
        <v>213</v>
      </c>
      <c r="Z37" s="290"/>
      <c r="AA37" s="291" t="s">
        <v>213</v>
      </c>
      <c r="AB37" s="291" t="s">
        <v>213</v>
      </c>
      <c r="AC37" s="291" t="s">
        <v>213</v>
      </c>
      <c r="AD37" s="291" t="s">
        <v>213</v>
      </c>
      <c r="AG37" s="292" t="s">
        <v>213</v>
      </c>
      <c r="AH37" s="292" t="s">
        <v>213</v>
      </c>
      <c r="AI37" s="292" t="s">
        <v>213</v>
      </c>
    </row>
    <row r="38" spans="3:35" outlineLevel="2" x14ac:dyDescent="0.25">
      <c r="E38" s="55" t="s">
        <v>262</v>
      </c>
      <c r="F38" s="55" t="str">
        <f>ROUND(F36,3)*100&amp;"% NEL"</f>
        <v>2% NEL</v>
      </c>
      <c r="K38" s="98" t="s">
        <v>227</v>
      </c>
      <c r="L38" s="108">
        <f>L15</f>
        <v>118.56625161325373</v>
      </c>
      <c r="M38" s="108">
        <f>M15</f>
        <v>492.51968503937007</v>
      </c>
      <c r="N38" s="108"/>
      <c r="O38" s="108"/>
      <c r="P38" s="108"/>
      <c r="R38" s="288" t="s">
        <v>270</v>
      </c>
      <c r="S38" s="435" t="s">
        <v>1117</v>
      </c>
      <c r="Y38" s="291" t="s">
        <v>192</v>
      </c>
      <c r="Z38" s="290"/>
      <c r="AA38" s="291" t="s">
        <v>213</v>
      </c>
      <c r="AB38" s="291" t="s">
        <v>213</v>
      </c>
      <c r="AC38" s="291" t="s">
        <v>213</v>
      </c>
      <c r="AD38" s="292" t="s">
        <v>192</v>
      </c>
      <c r="AG38" s="292" t="s">
        <v>213</v>
      </c>
      <c r="AH38" s="292" t="s">
        <v>213</v>
      </c>
      <c r="AI38" s="292" t="s">
        <v>213</v>
      </c>
    </row>
    <row r="39" spans="3:35" outlineLevel="2" x14ac:dyDescent="0.25">
      <c r="D39" s="98" t="s">
        <v>187</v>
      </c>
      <c r="E39" s="57">
        <v>235</v>
      </c>
      <c r="F39" s="57">
        <f>E39*F$36/E$36</f>
        <v>462.59842519685037</v>
      </c>
      <c r="K39" s="107" t="s">
        <v>235</v>
      </c>
      <c r="L39" s="108">
        <f>'Provider contracts'!U1+'Provider contracts'!V1</f>
        <v>73.94749376016118</v>
      </c>
      <c r="M39" s="108">
        <f>'Provider contracts'!AA1+'Provider contracts'!AB1</f>
        <v>344.88588932846204</v>
      </c>
      <c r="N39" s="108"/>
      <c r="O39" s="108"/>
      <c r="P39" s="108"/>
      <c r="R39" s="288" t="s">
        <v>1118</v>
      </c>
      <c r="S39" s="435" t="s">
        <v>296</v>
      </c>
      <c r="Y39" s="291" t="s">
        <v>192</v>
      </c>
      <c r="Z39" s="290"/>
      <c r="AA39" s="292" t="s">
        <v>192</v>
      </c>
      <c r="AB39" s="291" t="s">
        <v>213</v>
      </c>
      <c r="AC39" s="291" t="s">
        <v>213</v>
      </c>
      <c r="AD39" s="292" t="s">
        <v>192</v>
      </c>
      <c r="AG39" s="292" t="s">
        <v>213</v>
      </c>
      <c r="AH39" s="292" t="s">
        <v>213</v>
      </c>
      <c r="AI39" s="292" t="s">
        <v>213</v>
      </c>
    </row>
    <row r="40" spans="3:35" outlineLevel="2" x14ac:dyDescent="0.25">
      <c r="D40" s="98" t="s">
        <v>206</v>
      </c>
      <c r="E40" s="57">
        <v>19</v>
      </c>
      <c r="F40" s="57">
        <f>E40*F$36/E$36</f>
        <v>37.401574803149607</v>
      </c>
      <c r="K40" s="107" t="s">
        <v>240</v>
      </c>
      <c r="L40" s="108">
        <f>'Provider contracts'!W1</f>
        <v>44.618757853092511</v>
      </c>
      <c r="M40" s="108">
        <f>'Provider contracts'!AC1</f>
        <v>147.63379571090812</v>
      </c>
      <c r="N40" s="108"/>
      <c r="O40" s="108"/>
      <c r="P40" s="108"/>
    </row>
    <row r="41" spans="3:35" x14ac:dyDescent="0.25">
      <c r="D41" s="99" t="s">
        <v>115</v>
      </c>
      <c r="E41" s="100">
        <f>SUM(E38:E40)</f>
        <v>254</v>
      </c>
      <c r="F41" s="100">
        <f>SUM(F38:F40)</f>
        <v>500</v>
      </c>
    </row>
    <row r="42" spans="3:35" x14ac:dyDescent="0.25">
      <c r="K42" s="98" t="s">
        <v>241</v>
      </c>
      <c r="L42" s="108">
        <f>L19</f>
        <v>20.817657369887613</v>
      </c>
      <c r="M42" s="108">
        <f>M19</f>
        <v>7.4803149606299222</v>
      </c>
      <c r="N42" s="108"/>
      <c r="O42" s="108"/>
      <c r="P42" s="108"/>
      <c r="Y42" s="467" t="s">
        <v>1119</v>
      </c>
      <c r="Z42" s="467"/>
      <c r="AA42" s="463" t="s">
        <v>1120</v>
      </c>
      <c r="AB42" s="463"/>
      <c r="AC42" s="464" t="s">
        <v>1121</v>
      </c>
      <c r="AD42" s="464"/>
    </row>
    <row r="43" spans="3:35" x14ac:dyDescent="0.25">
      <c r="D43" s="98" t="s">
        <v>242</v>
      </c>
      <c r="E43" s="57">
        <f>E39</f>
        <v>235</v>
      </c>
      <c r="F43" s="57">
        <f>F39</f>
        <v>462.59842519685037</v>
      </c>
      <c r="R43" s="55" t="s">
        <v>1111</v>
      </c>
      <c r="Y43" s="55" t="s">
        <v>1122</v>
      </c>
      <c r="Z43" s="55" t="s">
        <v>1108</v>
      </c>
      <c r="AA43" s="55" t="s">
        <v>1122</v>
      </c>
      <c r="AB43" s="55" t="s">
        <v>1108</v>
      </c>
      <c r="AC43" s="55" t="s">
        <v>1122</v>
      </c>
      <c r="AD43" s="55" t="s">
        <v>1108</v>
      </c>
    </row>
    <row r="44" spans="3:35" x14ac:dyDescent="0.25">
      <c r="C44" s="103">
        <v>0</v>
      </c>
      <c r="D44" s="98" t="s">
        <v>243</v>
      </c>
      <c r="E44" s="57">
        <f>E43*-$C44</f>
        <v>0</v>
      </c>
      <c r="F44" s="57">
        <f>F43*-$C44</f>
        <v>0</v>
      </c>
      <c r="K44" s="107" t="s">
        <v>235</v>
      </c>
      <c r="L44" s="210">
        <f>L39/500</f>
        <v>0.14789498752032235</v>
      </c>
      <c r="M44" s="210">
        <f>M39/500</f>
        <v>0.68977177865692407</v>
      </c>
      <c r="N44" s="210"/>
      <c r="O44" s="210"/>
      <c r="P44" s="210"/>
      <c r="R44" s="288" t="s">
        <v>189</v>
      </c>
      <c r="Y44" s="57" t="s">
        <v>1123</v>
      </c>
      <c r="Z44" s="57">
        <v>80</v>
      </c>
      <c r="AA44" s="57" t="s">
        <v>1123</v>
      </c>
      <c r="AB44" s="57">
        <v>80</v>
      </c>
      <c r="AC44" s="57" t="s">
        <v>1123</v>
      </c>
      <c r="AD44" s="57">
        <v>80</v>
      </c>
    </row>
    <row r="45" spans="3:35" x14ac:dyDescent="0.25">
      <c r="D45" s="99" t="s">
        <v>244</v>
      </c>
      <c r="E45" s="100">
        <f>SUM(E43:E44)</f>
        <v>235</v>
      </c>
      <c r="F45" s="100">
        <f>SUM(F43:F44)</f>
        <v>462.59842519685037</v>
      </c>
      <c r="K45" s="107" t="s">
        <v>240</v>
      </c>
      <c r="L45" s="210">
        <f>L40/500</f>
        <v>8.9237515706185017E-2</v>
      </c>
      <c r="M45" s="210">
        <f>M40/500</f>
        <v>0.29526759142181624</v>
      </c>
      <c r="N45" s="210"/>
      <c r="O45" s="210"/>
      <c r="P45" s="210"/>
      <c r="R45" s="288" t="s">
        <v>1125</v>
      </c>
      <c r="Y45" s="443">
        <v>0.8</v>
      </c>
      <c r="Z45" s="57">
        <v>239.37145557176615</v>
      </c>
      <c r="AA45" s="469"/>
      <c r="AB45" s="469"/>
      <c r="AC45" s="469"/>
      <c r="AD45" s="469"/>
    </row>
    <row r="46" spans="3:35" x14ac:dyDescent="0.25">
      <c r="K46" s="107" t="s">
        <v>241</v>
      </c>
      <c r="L46" s="210">
        <f>L42/500</f>
        <v>4.1635314739775227E-2</v>
      </c>
      <c r="M46" s="210">
        <f>M42/500</f>
        <v>1.4960629921259844E-2</v>
      </c>
      <c r="N46" s="210"/>
      <c r="O46" s="210"/>
      <c r="P46" s="210"/>
      <c r="R46" s="288" t="s">
        <v>1124</v>
      </c>
      <c r="W46" s="423" t="e">
        <f>V7+V8+V9</f>
        <v>#REF!</v>
      </c>
      <c r="Y46" s="444">
        <v>4.0000000000000001E-3</v>
      </c>
      <c r="Z46" s="57">
        <v>278.02670081534723</v>
      </c>
      <c r="AA46" s="444">
        <v>8.0000000000000002E-3</v>
      </c>
      <c r="AB46" s="57">
        <v>554.96467749183853</v>
      </c>
      <c r="AC46" s="469"/>
      <c r="AD46" s="469"/>
    </row>
    <row r="47" spans="3:35" x14ac:dyDescent="0.25">
      <c r="D47" s="98" t="s">
        <v>245</v>
      </c>
      <c r="E47" s="57">
        <f>E40</f>
        <v>19</v>
      </c>
      <c r="F47" s="57">
        <f>F40</f>
        <v>37.401574803149607</v>
      </c>
      <c r="L47"/>
      <c r="M47"/>
      <c r="N47"/>
      <c r="O47"/>
      <c r="P47"/>
      <c r="R47" s="436" t="s">
        <v>1127</v>
      </c>
      <c r="Y47" s="443">
        <f>Z47/669</f>
        <v>0.973993787164255</v>
      </c>
      <c r="Z47" s="57">
        <f>1249-Z46-Z45-Z44-Z48</f>
        <v>651.60184361288657</v>
      </c>
      <c r="AA47" s="443">
        <f>AB47/669</f>
        <v>0.91784054186571218</v>
      </c>
      <c r="AB47" s="57">
        <f>1249-AB46-AB45-AB44-AB48</f>
        <v>614.03532250816147</v>
      </c>
      <c r="AC47" s="443">
        <f>AD47/669</f>
        <v>0.7982062780269058</v>
      </c>
      <c r="AD47" s="57">
        <f>1249-AD46-AD45-AD44-AD48</f>
        <v>534</v>
      </c>
    </row>
    <row r="48" spans="3:35" x14ac:dyDescent="0.25">
      <c r="C48" s="103">
        <f>C44</f>
        <v>0</v>
      </c>
      <c r="D48" s="98" t="s">
        <v>243</v>
      </c>
      <c r="E48" s="57">
        <f>E47*-$C48</f>
        <v>0</v>
      </c>
      <c r="F48" s="57">
        <f>F47*-$C48</f>
        <v>0</v>
      </c>
      <c r="K48" s="107" t="s">
        <v>246</v>
      </c>
      <c r="L48" s="210">
        <f>L44/SUM(L44:L45)</f>
        <v>0.6236807924177904</v>
      </c>
      <c r="M48" s="210">
        <f>M44/SUM(M44:M45)</f>
        <v>0.70024792877241682</v>
      </c>
      <c r="N48" s="210"/>
      <c r="O48" s="210"/>
      <c r="P48" s="210"/>
      <c r="R48" s="288" t="s">
        <v>1126</v>
      </c>
      <c r="Y48" s="469"/>
      <c r="Z48" s="469"/>
      <c r="AA48" s="469"/>
      <c r="AB48" s="469"/>
      <c r="AC48" s="444">
        <v>1.7999999999999999E-2</v>
      </c>
      <c r="AD48" s="57">
        <v>635</v>
      </c>
    </row>
    <row r="49" spans="3:32" x14ac:dyDescent="0.25">
      <c r="C49" s="103">
        <v>0.2</v>
      </c>
      <c r="D49" s="98" t="s">
        <v>247</v>
      </c>
      <c r="E49" s="57">
        <f>-SUM(E47:E48)*$C49</f>
        <v>-3.8000000000000003</v>
      </c>
      <c r="F49" s="57">
        <f>-SUM(F47:F48)*$C49</f>
        <v>-7.4803149606299222</v>
      </c>
      <c r="K49" s="107" t="s">
        <v>248</v>
      </c>
      <c r="L49" s="210">
        <f>L45/SUM(L44:L45)</f>
        <v>0.3763192075822096</v>
      </c>
      <c r="M49" s="210">
        <f>M45/SUM(M44:M45)</f>
        <v>0.29975207122758318</v>
      </c>
      <c r="N49" s="210"/>
      <c r="O49" s="210"/>
      <c r="P49" s="210"/>
      <c r="R49" s="442" t="s">
        <v>115</v>
      </c>
      <c r="S49" s="85"/>
      <c r="T49" s="85"/>
      <c r="U49" s="85"/>
      <c r="V49" s="85"/>
      <c r="W49" s="85"/>
      <c r="X49" s="85"/>
      <c r="Y49" s="57"/>
      <c r="Z49" s="100">
        <f>SUM(Z44:Z48)</f>
        <v>1249</v>
      </c>
      <c r="AA49" s="57"/>
      <c r="AB49" s="100">
        <f>SUM(AB44:AB48)</f>
        <v>1249</v>
      </c>
      <c r="AC49" s="57"/>
      <c r="AD49" s="100">
        <f>SUM(AD44:AD48)</f>
        <v>1249</v>
      </c>
      <c r="AF49"/>
    </row>
    <row r="50" spans="3:32" x14ac:dyDescent="0.25">
      <c r="D50" s="99" t="s">
        <v>244</v>
      </c>
      <c r="E50" s="100">
        <f>SUM(E47:E49)</f>
        <v>15.2</v>
      </c>
      <c r="F50" s="100">
        <f>SUM(F47:F49)</f>
        <v>29.921259842519685</v>
      </c>
    </row>
    <row r="51" spans="3:32" x14ac:dyDescent="0.25">
      <c r="J51" s="56" t="s">
        <v>249</v>
      </c>
      <c r="K51" s="56" t="s">
        <v>250</v>
      </c>
    </row>
    <row r="52" spans="3:32" x14ac:dyDescent="0.25">
      <c r="D52" s="99" t="s">
        <v>254</v>
      </c>
      <c r="E52" s="100">
        <f>E50+E45</f>
        <v>250.2</v>
      </c>
      <c r="F52" s="100">
        <f>F50+F45</f>
        <v>492.51968503937007</v>
      </c>
      <c r="J52" s="108">
        <f>'Provider contracts'!Q215</f>
        <v>-2574.9886211100015</v>
      </c>
      <c r="K52" s="98" t="s">
        <v>252</v>
      </c>
      <c r="L52" s="108">
        <f>'Provider contracts'!T215</f>
        <v>-2501.0411273498403</v>
      </c>
      <c r="M52" s="108">
        <f>'Provider contracts'!Z215</f>
        <v>-2230.1027317815392</v>
      </c>
      <c r="N52" s="108"/>
      <c r="O52" s="108"/>
      <c r="P52" s="108"/>
    </row>
    <row r="53" spans="3:32" x14ac:dyDescent="0.25">
      <c r="D53" s="99" t="s">
        <v>255</v>
      </c>
      <c r="E53" s="100">
        <f>-SUM(E44,E48:E49)</f>
        <v>3.8000000000000003</v>
      </c>
      <c r="F53" s="100">
        <f>-SUM(F44,F48:F49)</f>
        <v>7.4803149606299222</v>
      </c>
      <c r="J53" s="108">
        <f>'Provider contracts'!Q216</f>
        <v>114.47228218999969</v>
      </c>
      <c r="K53" s="98" t="s">
        <v>253</v>
      </c>
      <c r="L53" s="108">
        <f>'Provider contracts'!T216</f>
        <v>159.09104004309225</v>
      </c>
      <c r="M53" s="108">
        <f>'Provider contracts'!Z216</f>
        <v>262.10607790090779</v>
      </c>
      <c r="N53" s="108"/>
      <c r="O53" s="108"/>
      <c r="P53" s="108"/>
    </row>
    <row r="54" spans="3:32" x14ac:dyDescent="0.25">
      <c r="D54" s="99" t="s">
        <v>115</v>
      </c>
      <c r="E54" s="100">
        <f>SUM(E52:E53)</f>
        <v>254</v>
      </c>
      <c r="F54" s="100">
        <f>SUM(F52:F53)</f>
        <v>500</v>
      </c>
      <c r="J54" s="108">
        <f>SUM(J52:J53)</f>
        <v>-2460.516338920002</v>
      </c>
      <c r="K54" s="98" t="s">
        <v>115</v>
      </c>
      <c r="L54" s="108">
        <f t="shared" ref="L54:M54" si="7">SUM(L52:L53)</f>
        <v>-2341.9500873067482</v>
      </c>
      <c r="M54" s="108">
        <f t="shared" si="7"/>
        <v>-1967.9966538806314</v>
      </c>
      <c r="N54" s="108"/>
      <c r="O54" s="108"/>
      <c r="P54" s="108"/>
      <c r="Z54">
        <f>2475-140-75-1000</f>
        <v>1260</v>
      </c>
    </row>
    <row r="56" spans="3:32" x14ac:dyDescent="0.25">
      <c r="D56" s="98" t="s">
        <v>273</v>
      </c>
      <c r="E56" s="106">
        <v>0.01</v>
      </c>
      <c r="F56" s="106">
        <f>E56</f>
        <v>0.01</v>
      </c>
      <c r="J56" s="108">
        <f>'Provider contracts'!Q218</f>
        <v>128</v>
      </c>
      <c r="K56" s="98" t="s">
        <v>256</v>
      </c>
      <c r="L56" s="108">
        <f>'Provider contracts'!T218</f>
        <v>119</v>
      </c>
      <c r="M56" s="108">
        <f>'Provider contracts'!Z218</f>
        <v>117</v>
      </c>
      <c r="N56" s="108"/>
      <c r="O56" s="108"/>
      <c r="P56" s="108"/>
    </row>
    <row r="57" spans="3:32" x14ac:dyDescent="0.25">
      <c r="D57" s="98" t="s">
        <v>259</v>
      </c>
      <c r="E57" s="106">
        <v>0.01</v>
      </c>
      <c r="F57" s="104">
        <f>F61</f>
        <v>3.4566194262011463E-2</v>
      </c>
      <c r="J57" s="108">
        <f>'Provider contracts'!Q219</f>
        <v>38</v>
      </c>
      <c r="K57" s="98" t="s">
        <v>257</v>
      </c>
      <c r="L57" s="108">
        <f>'Provider contracts'!T219</f>
        <v>0</v>
      </c>
      <c r="M57" s="108">
        <f>'Provider contracts'!Z219</f>
        <v>1</v>
      </c>
      <c r="N57" s="108"/>
      <c r="O57" s="108"/>
      <c r="P57" s="108"/>
    </row>
    <row r="58" spans="3:32" x14ac:dyDescent="0.25">
      <c r="D58" s="98" t="s">
        <v>274</v>
      </c>
      <c r="E58" s="106">
        <f>1%+E57</f>
        <v>0.02</v>
      </c>
      <c r="F58" s="106">
        <f>1%+F57</f>
        <v>4.4566194262011465E-2</v>
      </c>
      <c r="J58" s="108">
        <f>'Provider contracts'!Q220</f>
        <v>45</v>
      </c>
      <c r="K58" s="98" t="s">
        <v>253</v>
      </c>
      <c r="L58" s="108">
        <f>'Provider contracts'!T220</f>
        <v>92</v>
      </c>
      <c r="M58" s="108">
        <f>'Provider contracts'!Z220</f>
        <v>93</v>
      </c>
      <c r="N58" s="108"/>
      <c r="O58" s="108"/>
      <c r="P58" s="108"/>
    </row>
    <row r="60" spans="3:32" x14ac:dyDescent="0.25">
      <c r="D60" s="98" t="s">
        <v>275</v>
      </c>
      <c r="E60" s="106">
        <v>6.2E-2</v>
      </c>
      <c r="F60" s="106">
        <v>6.2E-2</v>
      </c>
      <c r="K60" s="215" t="s">
        <v>276</v>
      </c>
      <c r="V60" s="52" t="s">
        <v>1195</v>
      </c>
    </row>
    <row r="61" spans="3:32" x14ac:dyDescent="0.25">
      <c r="D61" s="98" t="s">
        <v>259</v>
      </c>
      <c r="E61" s="106">
        <v>0.01</v>
      </c>
      <c r="F61" s="104">
        <v>3.4566194262011463E-2</v>
      </c>
      <c r="K61" s="211" t="s">
        <v>277</v>
      </c>
      <c r="V61" s="213">
        <v>8.9999999999999993E-3</v>
      </c>
      <c r="W61" s="213">
        <v>2E-3</v>
      </c>
      <c r="X61" s="213">
        <v>2E-3</v>
      </c>
      <c r="Y61" s="213">
        <v>4.0000000000000001E-3</v>
      </c>
      <c r="Z61" s="213">
        <v>4.0000000000000001E-3</v>
      </c>
    </row>
    <row r="62" spans="3:32" x14ac:dyDescent="0.25">
      <c r="D62" s="98" t="s">
        <v>278</v>
      </c>
      <c r="E62" s="106">
        <f>6.2%+E61</f>
        <v>7.1999999999999995E-2</v>
      </c>
      <c r="F62" s="106">
        <f>6.2%+F61</f>
        <v>9.6566194262011462E-2</v>
      </c>
      <c r="K62" s="211" t="s">
        <v>279</v>
      </c>
      <c r="U62" t="s">
        <v>7</v>
      </c>
      <c r="V62" s="57">
        <v>470.53275961977403</v>
      </c>
      <c r="W62" s="57">
        <v>594.83533452238999</v>
      </c>
      <c r="X62" s="57">
        <f>W62-V62*(1+3%)</f>
        <v>110.18659211402274</v>
      </c>
      <c r="Y62" s="57">
        <f>X62*$Y$61/$W$61</f>
        <v>220.37318422804549</v>
      </c>
      <c r="Z62" s="57">
        <f>Y62*110%</f>
        <v>242.41050265085005</v>
      </c>
    </row>
    <row r="63" spans="3:32" x14ac:dyDescent="0.25">
      <c r="D63" s="56" t="s">
        <v>280</v>
      </c>
      <c r="K63" s="211" t="s">
        <v>281</v>
      </c>
      <c r="U63" t="s">
        <v>1196</v>
      </c>
      <c r="V63" s="57">
        <v>121.619940163794</v>
      </c>
      <c r="W63" s="57">
        <v>154.61982812664499</v>
      </c>
      <c r="X63" s="57">
        <f>W63-V63*(1+3%)</f>
        <v>29.351289757937167</v>
      </c>
      <c r="Y63" s="57">
        <f>X63*$Y$61/$W$61</f>
        <v>58.702579515874334</v>
      </c>
      <c r="Z63" s="57">
        <f>Y63</f>
        <v>58.702579515874334</v>
      </c>
    </row>
    <row r="64" spans="3:32" x14ac:dyDescent="0.25">
      <c r="E64" s="55" t="s">
        <v>282</v>
      </c>
      <c r="F64" s="55" t="str">
        <f>ROUND(F61,3)*100&amp;"% Both"</f>
        <v>3.5% Both</v>
      </c>
      <c r="K64" s="211" t="s">
        <v>283</v>
      </c>
      <c r="U64" t="s">
        <v>1197</v>
      </c>
      <c r="V64" s="57">
        <v>17.368439698478419</v>
      </c>
      <c r="W64" s="57">
        <v>21.889674477087507</v>
      </c>
      <c r="X64" s="57">
        <f>W64-V64*(1+3%)</f>
        <v>4.0001815876547333</v>
      </c>
      <c r="Y64" s="57">
        <f>X64*$Y$61/$W$61</f>
        <v>8.0003631753094666</v>
      </c>
      <c r="Z64" s="57">
        <f>Y64</f>
        <v>8.0003631753094666</v>
      </c>
    </row>
    <row r="65" spans="2:23" x14ac:dyDescent="0.25">
      <c r="B65">
        <v>9043</v>
      </c>
      <c r="C65" s="101">
        <v>0.01</v>
      </c>
      <c r="D65" s="98" t="s">
        <v>218</v>
      </c>
      <c r="E65" s="57">
        <f>$B65*(1+E58)-$B65*(1+$C65)</f>
        <v>90.430000000000291</v>
      </c>
      <c r="F65" s="57">
        <f>$B65*(1+F58)-$B65*(1+$C65)</f>
        <v>312.58209471136979</v>
      </c>
      <c r="K65" s="211" t="s">
        <v>284</v>
      </c>
    </row>
    <row r="66" spans="2:23" x14ac:dyDescent="0.25">
      <c r="B66">
        <v>5422</v>
      </c>
      <c r="C66" s="97">
        <v>6.2E-2</v>
      </c>
      <c r="D66" s="98" t="s">
        <v>285</v>
      </c>
      <c r="E66" s="57">
        <f>$B66*(1+E62)-$B66*(1+$C66)</f>
        <v>54.219999999999345</v>
      </c>
      <c r="F66" s="57">
        <f>$B66*(1+F62)-$B66*(1+$C66)</f>
        <v>187.41790528862566</v>
      </c>
      <c r="K66" s="211" t="s">
        <v>286</v>
      </c>
      <c r="W66" s="101"/>
    </row>
    <row r="67" spans="2:23" x14ac:dyDescent="0.25">
      <c r="D67" s="99" t="s">
        <v>115</v>
      </c>
      <c r="E67" s="100">
        <f>SUM(E65:E66)</f>
        <v>144.64999999999964</v>
      </c>
      <c r="F67" s="100">
        <f>SUM(F65:F66)</f>
        <v>499.99999999999545</v>
      </c>
      <c r="K67" s="211" t="s">
        <v>287</v>
      </c>
    </row>
    <row r="68" spans="2:23" x14ac:dyDescent="0.25">
      <c r="K68" s="211" t="s">
        <v>288</v>
      </c>
    </row>
    <row r="70" spans="2:23" ht="45" x14ac:dyDescent="0.25">
      <c r="K70" s="61"/>
      <c r="L70" s="232" t="s">
        <v>181</v>
      </c>
      <c r="M70" s="232" t="s">
        <v>289</v>
      </c>
      <c r="N70" s="232" t="s">
        <v>290</v>
      </c>
      <c r="O70" s="232" t="s">
        <v>291</v>
      </c>
      <c r="Q70" s="232" t="s">
        <v>292</v>
      </c>
    </row>
    <row r="71" spans="2:23" ht="43.5" x14ac:dyDescent="0.25">
      <c r="K71" s="98" t="s">
        <v>293</v>
      </c>
      <c r="L71" s="230"/>
      <c r="M71" s="230" t="s">
        <v>294</v>
      </c>
      <c r="N71" s="230" t="s">
        <v>192</v>
      </c>
      <c r="O71" s="234" t="s">
        <v>191</v>
      </c>
      <c r="Q71" s="230" t="s">
        <v>193</v>
      </c>
    </row>
    <row r="72" spans="2:23" ht="57.75" x14ac:dyDescent="0.25">
      <c r="K72" s="98" t="s">
        <v>295</v>
      </c>
      <c r="L72" s="235">
        <v>3.0000000000000001E-3</v>
      </c>
      <c r="M72" s="230" t="s">
        <v>296</v>
      </c>
      <c r="N72" s="230" t="s">
        <v>192</v>
      </c>
      <c r="O72" s="234" t="s">
        <v>191</v>
      </c>
      <c r="Q72" s="230" t="s">
        <v>205</v>
      </c>
    </row>
    <row r="73" spans="2:23" ht="43.5" x14ac:dyDescent="0.25">
      <c r="K73" s="231" t="s">
        <v>228</v>
      </c>
      <c r="L73" s="230" t="s">
        <v>297</v>
      </c>
      <c r="M73" s="230" t="s">
        <v>229</v>
      </c>
      <c r="N73" s="230"/>
      <c r="O73" s="234">
        <v>0</v>
      </c>
      <c r="Q73" s="230" t="s">
        <v>298</v>
      </c>
    </row>
    <row r="74" spans="2:23" ht="72" x14ac:dyDescent="0.25">
      <c r="K74" s="231" t="s">
        <v>263</v>
      </c>
      <c r="L74" s="230" t="s">
        <v>299</v>
      </c>
      <c r="M74" s="230" t="s">
        <v>264</v>
      </c>
      <c r="N74" s="230"/>
      <c r="O74" s="234">
        <v>0.5</v>
      </c>
      <c r="Q74" s="230" t="s">
        <v>300</v>
      </c>
    </row>
    <row r="75" spans="2:23" ht="57.75" x14ac:dyDescent="0.25">
      <c r="K75" s="231" t="s">
        <v>267</v>
      </c>
      <c r="L75" s="230"/>
      <c r="M75" s="230" t="s">
        <v>268</v>
      </c>
      <c r="N75" s="230"/>
      <c r="O75" s="234">
        <v>0</v>
      </c>
      <c r="Q75" s="230" t="s">
        <v>269</v>
      </c>
    </row>
    <row r="76" spans="2:23" ht="57.75" x14ac:dyDescent="0.25">
      <c r="K76" s="231" t="s">
        <v>301</v>
      </c>
      <c r="L76" s="230"/>
      <c r="M76" s="230" t="s">
        <v>302</v>
      </c>
      <c r="N76" s="230"/>
      <c r="O76" s="234" t="s">
        <v>303</v>
      </c>
      <c r="Q76" s="230" t="s">
        <v>304</v>
      </c>
    </row>
    <row r="77" spans="2:23" ht="57.75" x14ac:dyDescent="0.25">
      <c r="K77" s="231" t="s">
        <v>218</v>
      </c>
      <c r="L77" s="230"/>
      <c r="M77" s="230" t="s">
        <v>305</v>
      </c>
      <c r="N77" s="230"/>
      <c r="O77" s="234" t="s">
        <v>191</v>
      </c>
      <c r="Q77" s="230" t="s">
        <v>220</v>
      </c>
    </row>
    <row r="78" spans="2:23" ht="43.5" x14ac:dyDescent="0.25">
      <c r="K78" s="231" t="s">
        <v>270</v>
      </c>
      <c r="L78" s="233" t="s">
        <v>271</v>
      </c>
      <c r="M78" s="230" t="s">
        <v>306</v>
      </c>
      <c r="N78" s="230"/>
      <c r="O78" s="234" t="s">
        <v>191</v>
      </c>
      <c r="Q78" s="230" t="s">
        <v>272</v>
      </c>
    </row>
    <row r="79" spans="2:23" ht="43.5" x14ac:dyDescent="0.25">
      <c r="K79" s="231" t="s">
        <v>2</v>
      </c>
      <c r="L79" s="230"/>
      <c r="M79" s="230" t="s">
        <v>307</v>
      </c>
      <c r="N79" s="230" t="s">
        <v>192</v>
      </c>
      <c r="O79" s="234" t="s">
        <v>191</v>
      </c>
      <c r="Q79" s="230" t="s">
        <v>199</v>
      </c>
    </row>
    <row r="82" spans="11:16" x14ac:dyDescent="0.25">
      <c r="K82" t="s">
        <v>308</v>
      </c>
    </row>
    <row r="83" spans="11:16" x14ac:dyDescent="0.25">
      <c r="K83" t="s">
        <v>309</v>
      </c>
    </row>
    <row r="86" spans="11:16" x14ac:dyDescent="0.25">
      <c r="L86" s="212">
        <v>8.9999999999999993E-3</v>
      </c>
      <c r="M86" s="212">
        <v>2E-3</v>
      </c>
    </row>
    <row r="87" spans="11:16" x14ac:dyDescent="0.25">
      <c r="L87" s="236">
        <v>470.53275961977403</v>
      </c>
      <c r="M87" s="236">
        <v>594.83533452238999</v>
      </c>
      <c r="N87" s="236">
        <f>L87*(1+2.7%)</f>
        <v>483.2371441295079</v>
      </c>
      <c r="O87" s="236">
        <f>M87-N87</f>
        <v>111.59819039288209</v>
      </c>
      <c r="P87" s="236">
        <f>O87/M$86*0.1%</f>
        <v>55.799095196441044</v>
      </c>
    </row>
    <row r="88" spans="11:16" x14ac:dyDescent="0.25">
      <c r="L88" s="236">
        <v>121.619940163794</v>
      </c>
      <c r="M88" s="236">
        <v>154.61982812664499</v>
      </c>
      <c r="N88" s="236">
        <f t="shared" ref="N88:N89" si="8">L88*(1+2.7%)</f>
        <v>124.90367854821642</v>
      </c>
      <c r="O88" s="236">
        <f t="shared" ref="O88:O89" si="9">M88-N88</f>
        <v>29.716149578428571</v>
      </c>
      <c r="P88" s="236">
        <f t="shared" ref="P88:P89" si="10">O88/M$86*0.1%</f>
        <v>14.858074789214285</v>
      </c>
    </row>
    <row r="89" spans="11:16" x14ac:dyDescent="0.25">
      <c r="L89" s="236">
        <v>17.368439698478419</v>
      </c>
      <c r="M89" s="236">
        <v>21.889674477087507</v>
      </c>
      <c r="N89" s="236">
        <f t="shared" si="8"/>
        <v>17.837387570337334</v>
      </c>
      <c r="O89" s="236">
        <f t="shared" si="9"/>
        <v>4.0522869067501723</v>
      </c>
      <c r="P89" s="236">
        <f t="shared" si="10"/>
        <v>2.0261434533750862</v>
      </c>
    </row>
    <row r="90" spans="11:16" x14ac:dyDescent="0.25">
      <c r="L90" s="236"/>
      <c r="M90" s="236"/>
      <c r="N90" s="236"/>
      <c r="O90" s="236"/>
      <c r="P90" s="236">
        <f>SUM(P87:P89)</f>
        <v>72.683313439030414</v>
      </c>
    </row>
    <row r="93" spans="11:16" x14ac:dyDescent="0.25">
      <c r="L93" s="72">
        <v>75</v>
      </c>
      <c r="M93" s="72">
        <v>75</v>
      </c>
    </row>
    <row r="94" spans="11:16" x14ac:dyDescent="0.25">
      <c r="L94" s="72">
        <v>300</v>
      </c>
      <c r="M94" s="72">
        <v>550</v>
      </c>
    </row>
    <row r="95" spans="11:16" x14ac:dyDescent="0.25">
      <c r="L95" s="72">
        <v>250</v>
      </c>
      <c r="M95" s="72">
        <v>500</v>
      </c>
    </row>
    <row r="96" spans="11:16" x14ac:dyDescent="0.25">
      <c r="L96" s="72">
        <f>SUM(L92:L95)</f>
        <v>625</v>
      </c>
      <c r="M96" s="72">
        <f>SUM(M92:M95)</f>
        <v>1125</v>
      </c>
    </row>
  </sheetData>
  <mergeCells count="9">
    <mergeCell ref="S32:S34"/>
    <mergeCell ref="S25:U25"/>
    <mergeCell ref="L2:N2"/>
    <mergeCell ref="AE7:AE9"/>
    <mergeCell ref="S22:U22"/>
    <mergeCell ref="S23:U23"/>
    <mergeCell ref="S24:U24"/>
    <mergeCell ref="S14:U14"/>
    <mergeCell ref="S15:U15"/>
  </mergeCells>
  <conditionalFormatting sqref="A6:A7 A12 A14:A17">
    <cfRule type="expression" dxfId="0" priority="1">
      <formula>A6="Off"</formula>
    </cfRule>
  </conditionalFormatting>
  <dataValidations disablePrompts="1" count="1">
    <dataValidation type="list" allowBlank="1" showInputMessage="1" showErrorMessage="1" sqref="A6:A7 A12 A14:A17" xr:uid="{0945FC9D-0CA5-4542-AB7A-709E90405742}">
      <formula1>"On, Off"</formula1>
    </dataValidation>
  </dataValidations>
  <pageMargins left="0.7" right="0.7" top="0.75" bottom="0.75" header="0.3" footer="0.3"/>
  <pageSetup paperSize="9" orientation="portrait" r:id="rId1"/>
  <ignoredErrors>
    <ignoredError sqref="Z47:AA47 AB47:AC4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E30F-51C4-4E26-BDF4-98D1095C8A50}">
  <sheetPr codeName="Sheet29">
    <tabColor rgb="FF002060"/>
  </sheetPr>
  <dimension ref="B2:J21"/>
  <sheetViews>
    <sheetView showGridLines="0" workbookViewId="0">
      <selection activeCell="B2" sqref="B2:C19"/>
    </sheetView>
  </sheetViews>
  <sheetFormatPr defaultRowHeight="15" x14ac:dyDescent="0.25"/>
  <cols>
    <col min="2" max="2" width="48.28515625" customWidth="1"/>
    <col min="9" max="9" width="41.5703125" bestFit="1" customWidth="1"/>
  </cols>
  <sheetData>
    <row r="2" spans="2:10" x14ac:dyDescent="0.25">
      <c r="B2" s="56" t="s">
        <v>1145</v>
      </c>
    </row>
    <row r="3" spans="2:10" x14ac:dyDescent="0.25">
      <c r="B3" s="231" t="s">
        <v>1146</v>
      </c>
      <c r="C3" s="517">
        <v>500</v>
      </c>
    </row>
    <row r="4" spans="2:10" x14ac:dyDescent="0.25">
      <c r="B4" s="231" t="s">
        <v>1163</v>
      </c>
      <c r="C4" s="518">
        <v>310</v>
      </c>
    </row>
    <row r="5" spans="2:10" x14ac:dyDescent="0.25">
      <c r="B5" s="231" t="s">
        <v>1147</v>
      </c>
      <c r="C5" s="519">
        <v>555</v>
      </c>
    </row>
    <row r="6" spans="2:10" x14ac:dyDescent="0.25">
      <c r="B6" s="231" t="s">
        <v>1148</v>
      </c>
      <c r="C6" s="520">
        <v>740</v>
      </c>
    </row>
    <row r="7" spans="2:10" x14ac:dyDescent="0.25">
      <c r="B7" s="231" t="s">
        <v>1155</v>
      </c>
      <c r="C7" s="521">
        <v>729</v>
      </c>
    </row>
    <row r="8" spans="2:10" x14ac:dyDescent="0.25">
      <c r="B8" s="231" t="s">
        <v>1149</v>
      </c>
      <c r="C8" s="522">
        <v>500</v>
      </c>
      <c r="I8" s="448" t="s">
        <v>1145</v>
      </c>
      <c r="J8" s="516"/>
    </row>
    <row r="9" spans="2:10" x14ac:dyDescent="0.25">
      <c r="B9" s="448" t="s">
        <v>115</v>
      </c>
      <c r="C9" s="447">
        <f>SUM(C3:C8)</f>
        <v>3334</v>
      </c>
      <c r="I9" s="231" t="s">
        <v>1146</v>
      </c>
      <c r="J9" s="517" t="e">
        <f>#REF!</f>
        <v>#REF!</v>
      </c>
    </row>
    <row r="10" spans="2:10" x14ac:dyDescent="0.25">
      <c r="I10" s="231" t="s">
        <v>1163</v>
      </c>
      <c r="J10" s="518" t="e">
        <f>#REF!+J1</f>
        <v>#REF!</v>
      </c>
    </row>
    <row r="11" spans="2:10" x14ac:dyDescent="0.25">
      <c r="B11" s="56" t="s">
        <v>1150</v>
      </c>
      <c r="I11" s="231" t="s">
        <v>1147</v>
      </c>
      <c r="J11" s="519" t="e">
        <f>#REF!+#REF!</f>
        <v>#REF!</v>
      </c>
    </row>
    <row r="12" spans="2:10" x14ac:dyDescent="0.25">
      <c r="B12" s="448" t="s">
        <v>1156</v>
      </c>
      <c r="C12" s="447">
        <f>C9</f>
        <v>3334</v>
      </c>
      <c r="I12" s="231" t="s">
        <v>1148</v>
      </c>
      <c r="J12" s="520" t="e">
        <f>SUM(#REF!)</f>
        <v>#REF!</v>
      </c>
    </row>
    <row r="13" spans="2:10" x14ac:dyDescent="0.25">
      <c r="B13" s="231" t="s">
        <v>1154</v>
      </c>
      <c r="C13" s="514">
        <f>-C4-C3</f>
        <v>-810</v>
      </c>
      <c r="I13" s="231" t="s">
        <v>1155</v>
      </c>
      <c r="J13" s="521" t="e">
        <f>#REF!+SUM(#REF!)-J1</f>
        <v>#REF!</v>
      </c>
    </row>
    <row r="14" spans="2:10" x14ac:dyDescent="0.25">
      <c r="B14" s="231" t="s">
        <v>1151</v>
      </c>
      <c r="C14" s="446">
        <v>-140</v>
      </c>
      <c r="I14" s="231" t="s">
        <v>1149</v>
      </c>
      <c r="J14" s="522" t="e">
        <f>#REF!</f>
        <v>#REF!</v>
      </c>
    </row>
    <row r="15" spans="2:10" x14ac:dyDescent="0.25">
      <c r="B15" s="231" t="s">
        <v>1152</v>
      </c>
      <c r="C15" s="446">
        <v>-75</v>
      </c>
      <c r="I15" s="448" t="s">
        <v>115</v>
      </c>
      <c r="J15" s="523" t="e">
        <f>SUM(J9:J14)</f>
        <v>#REF!</v>
      </c>
    </row>
    <row r="16" spans="2:10" x14ac:dyDescent="0.25">
      <c r="B16" s="231" t="s">
        <v>1153</v>
      </c>
      <c r="C16" s="446">
        <v>-60</v>
      </c>
    </row>
    <row r="17" spans="2:3" x14ac:dyDescent="0.25">
      <c r="B17" s="448" t="s">
        <v>1158</v>
      </c>
      <c r="C17" s="447">
        <f>SUM(C12:C16)</f>
        <v>2249</v>
      </c>
    </row>
    <row r="18" spans="2:3" x14ac:dyDescent="0.25">
      <c r="B18" s="452" t="s">
        <v>1159</v>
      </c>
      <c r="C18" s="453">
        <v>-1249</v>
      </c>
    </row>
    <row r="19" spans="2:3" x14ac:dyDescent="0.25">
      <c r="B19" s="448" t="s">
        <v>1157</v>
      </c>
      <c r="C19" s="447">
        <f>SUM(C17:C18)</f>
        <v>1000</v>
      </c>
    </row>
    <row r="21" spans="2:3" x14ac:dyDescent="0.25">
      <c r="C21" s="5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A4AA3-0993-4309-9E5A-5A8C0A175F90}">
  <sheetPr codeName="Sheet30">
    <tabColor rgb="FF002060"/>
  </sheetPr>
  <dimension ref="B1:AG68"/>
  <sheetViews>
    <sheetView showGridLines="0" workbookViewId="0">
      <pane xSplit="5" ySplit="5" topLeftCell="F6" activePane="bottomRight" state="frozen"/>
      <selection pane="topRight" activeCell="F1" sqref="F1"/>
      <selection pane="bottomLeft" activeCell="A6" sqref="A6"/>
      <selection pane="bottomRight" activeCell="F1" sqref="F1:BC1048576"/>
    </sheetView>
  </sheetViews>
  <sheetFormatPr defaultRowHeight="15" outlineLevelRow="1" x14ac:dyDescent="0.25"/>
  <cols>
    <col min="2" max="2" width="0" hidden="1" customWidth="1"/>
    <col min="3" max="3" width="24.5703125" bestFit="1" customWidth="1"/>
    <col min="4" max="4" width="0" hidden="1" customWidth="1"/>
    <col min="5" max="5" width="61.7109375" bestFit="1" customWidth="1"/>
    <col min="6" max="12" width="10.42578125" customWidth="1"/>
    <col min="13" max="13" width="2.5703125" customWidth="1"/>
    <col min="14" max="20" width="10.7109375" customWidth="1"/>
    <col min="21" max="21" width="2.5703125" customWidth="1"/>
    <col min="22" max="22" width="11.42578125" customWidth="1"/>
    <col min="23" max="23" width="2.5703125" customWidth="1"/>
    <col min="24" max="25" width="11.42578125" customWidth="1"/>
    <col min="26" max="26" width="2.5703125" customWidth="1"/>
    <col min="27" max="28" width="11.42578125" customWidth="1"/>
    <col min="29" max="29" width="2.5703125" customWidth="1"/>
    <col min="30" max="31" width="11.42578125" customWidth="1"/>
    <col min="32" max="32" width="2.5703125" customWidth="1"/>
    <col min="33" max="33" width="11.42578125" customWidth="1"/>
  </cols>
  <sheetData>
    <row r="1" spans="2:33" x14ac:dyDescent="0.25">
      <c r="F1" s="101">
        <f t="shared" ref="F1:L1" si="0">N1</f>
        <v>1</v>
      </c>
      <c r="G1" s="101">
        <f t="shared" si="0"/>
        <v>0.9</v>
      </c>
      <c r="H1" s="101">
        <f t="shared" si="0"/>
        <v>0.9</v>
      </c>
      <c r="I1" s="101">
        <f t="shared" si="0"/>
        <v>0.9</v>
      </c>
      <c r="J1" s="101">
        <f t="shared" si="0"/>
        <v>1</v>
      </c>
      <c r="K1" s="101">
        <f t="shared" si="0"/>
        <v>1</v>
      </c>
      <c r="L1" s="101" t="str">
        <f t="shared" si="0"/>
        <v>MHIS Scalar</v>
      </c>
      <c r="N1" s="101">
        <f>'Op 1 - Convergence'!S1</f>
        <v>1</v>
      </c>
      <c r="O1" s="101">
        <f>'Op 1 - Convergence'!T1</f>
        <v>0.9</v>
      </c>
      <c r="P1" s="101">
        <f>'Op 1 - Convergence'!U1</f>
        <v>0.9</v>
      </c>
      <c r="Q1" s="101">
        <f>'Op 1 - Convergence'!V1</f>
        <v>0.9</v>
      </c>
      <c r="R1" s="101">
        <f>'Op 1 - Convergence'!Y1</f>
        <v>1</v>
      </c>
      <c r="S1" s="101">
        <f>'Op 1 - Convergence'!Z1</f>
        <v>1</v>
      </c>
      <c r="T1" s="101" t="str">
        <f>'Op 1 - Convergence'!AD1</f>
        <v>MHIS Scalar</v>
      </c>
    </row>
    <row r="4" spans="2:33" x14ac:dyDescent="0.25">
      <c r="F4" s="284" t="s">
        <v>338</v>
      </c>
      <c r="G4" s="284"/>
      <c r="H4" s="284"/>
      <c r="I4" s="284"/>
      <c r="J4" s="284"/>
      <c r="K4" s="284"/>
      <c r="L4" s="284"/>
      <c r="N4" s="284" t="s">
        <v>338</v>
      </c>
      <c r="O4" s="284"/>
      <c r="P4" s="284"/>
      <c r="Q4" s="284"/>
      <c r="R4" s="284"/>
      <c r="S4" s="284"/>
      <c r="T4" s="284"/>
    </row>
    <row r="5" spans="2:33" ht="45" x14ac:dyDescent="0.25">
      <c r="B5" s="263" t="s">
        <v>13</v>
      </c>
      <c r="C5" s="264" t="s">
        <v>14</v>
      </c>
      <c r="D5" s="264" t="s">
        <v>15</v>
      </c>
      <c r="E5" s="433" t="s">
        <v>16</v>
      </c>
      <c r="F5" s="265" t="s">
        <v>345</v>
      </c>
      <c r="G5" s="265" t="s">
        <v>295</v>
      </c>
      <c r="H5" s="265" t="s">
        <v>346</v>
      </c>
      <c r="I5" s="265" t="s">
        <v>280</v>
      </c>
      <c r="J5" s="265" t="s">
        <v>1073</v>
      </c>
      <c r="K5" s="265" t="s">
        <v>212</v>
      </c>
      <c r="L5" s="265" t="s">
        <v>1101</v>
      </c>
      <c r="N5" s="265" t="s">
        <v>345</v>
      </c>
      <c r="O5" s="265" t="s">
        <v>295</v>
      </c>
      <c r="P5" s="265" t="s">
        <v>346</v>
      </c>
      <c r="Q5" s="265" t="s">
        <v>280</v>
      </c>
      <c r="R5" s="265" t="s">
        <v>1073</v>
      </c>
      <c r="S5" s="265" t="s">
        <v>212</v>
      </c>
      <c r="T5" s="265" t="s">
        <v>1102</v>
      </c>
      <c r="V5" s="265" t="s">
        <v>1098</v>
      </c>
      <c r="X5" s="265" t="s">
        <v>252</v>
      </c>
      <c r="Y5" s="265" t="s">
        <v>403</v>
      </c>
      <c r="AA5" s="265" t="s">
        <v>1089</v>
      </c>
      <c r="AB5" s="265" t="s">
        <v>1103</v>
      </c>
      <c r="AD5" s="265" t="s">
        <v>1088</v>
      </c>
      <c r="AE5" s="265" t="s">
        <v>1104</v>
      </c>
      <c r="AG5" s="265" t="s">
        <v>1098</v>
      </c>
    </row>
    <row r="6" spans="2:33" x14ac:dyDescent="0.25">
      <c r="B6" s="266" t="s">
        <v>17</v>
      </c>
      <c r="C6" s="268" t="s">
        <v>28</v>
      </c>
      <c r="D6" s="61" t="s">
        <v>32</v>
      </c>
      <c r="E6" s="231" t="s">
        <v>33</v>
      </c>
      <c r="F6" s="108" t="e">
        <f>SUMIFS('Op 1 - Convergence'!S:S,'Op 1 - Convergence'!$I:$I,$D6)</f>
        <v>#REF!</v>
      </c>
      <c r="G6" s="108">
        <f>SUMIFS('Op 1 - Convergence'!T:T,'Op 1 - Convergence'!$I:$I,$D6)</f>
        <v>0</v>
      </c>
      <c r="H6" s="108" t="e">
        <f>SUMIFS('Op 1 - Convergence'!U:U,'Op 1 - Convergence'!$I:$I,$D6)</f>
        <v>#REF!</v>
      </c>
      <c r="I6" s="108" t="e">
        <f>SUMIFS('Op 1 - Convergence'!V:V,'Op 1 - Convergence'!$I:$I,$D6)</f>
        <v>#REF!</v>
      </c>
      <c r="J6" s="108">
        <f>SUMIFS('Op 1 - Convergence'!Y:Y,'Op 1 - Convergence'!$I:$I,$D6)</f>
        <v>0</v>
      </c>
      <c r="K6" s="108">
        <f>SUMIFS('Op 1 - Convergence'!Z:Z,'Op 1 - Convergence'!$I:$I,$D6)</f>
        <v>1764</v>
      </c>
      <c r="L6" s="108" t="e">
        <f t="shared" ref="L6:L47" si="1">SUM(F6:K6)</f>
        <v>#REF!</v>
      </c>
      <c r="N6" s="108" t="e">
        <f>SUMIFS('Op 2 - Acute'!S:S,'Op 2 - Acute'!$I:$I,$D6)</f>
        <v>#REF!</v>
      </c>
      <c r="O6" s="108">
        <f>SUMIFS('Op 2 - Acute'!T:T,'Op 2 - Acute'!$I:$I,$D6)</f>
        <v>0</v>
      </c>
      <c r="P6" s="108" t="e">
        <f>SUMIFS('Op 2 - Acute'!U:U,'Op 2 - Acute'!$I:$I,$D6)</f>
        <v>#REF!</v>
      </c>
      <c r="Q6" s="108" t="e">
        <f>SUMIFS('Op 2 - Acute'!V:V,'Op 2 - Acute'!$I:$I,$D6)</f>
        <v>#REF!</v>
      </c>
      <c r="R6" s="108">
        <f>SUMIFS('Op 2 - Acute'!Y:Y,'Op 2 - Acute'!$I:$I,$D6)</f>
        <v>5254.5357271557323</v>
      </c>
      <c r="S6" s="108">
        <f>SUMIFS('Op 2 - Acute'!Z:Z,'Op 2 - Acute'!$I:$I,$D6)</f>
        <v>3119.3073123340096</v>
      </c>
      <c r="T6" s="108" t="e">
        <f t="shared" ref="T6:T47" si="2">SUM(N6:S6)</f>
        <v>#REF!</v>
      </c>
      <c r="V6" s="108" t="e">
        <f t="shared" ref="V6:V47" si="3">L6-T6</f>
        <v>#REF!</v>
      </c>
      <c r="X6" s="108" t="e">
        <f>SUMIFS('Op 1 - Convergence'!AK:AK,'Op 1 - Convergence'!I:I,D6)</f>
        <v>#REF!</v>
      </c>
      <c r="Y6" s="108" t="e">
        <f>SUMIFS('Op 1 - Convergence'!AN:AN,'Op 1 - Convergence'!I:I,D6)</f>
        <v>#REF!</v>
      </c>
      <c r="AA6" s="108" t="e">
        <f t="shared" ref="AA6:AA47" si="4">SUMPRODUCT(F6:K6,$F$1:$K$1)</f>
        <v>#REF!</v>
      </c>
      <c r="AB6" s="108" t="e">
        <f t="shared" ref="AB6:AB47" si="5">SUM($X6:$Y6,AA6)</f>
        <v>#REF!</v>
      </c>
      <c r="AD6" s="108" t="e">
        <f t="shared" ref="AD6:AD47" si="6">SUMPRODUCT(N6:S6,$N$1:$S$1)</f>
        <v>#REF!</v>
      </c>
      <c r="AE6" s="108" t="e">
        <f t="shared" ref="AE6:AE47" si="7">SUM($X6:$Y6,AD6)</f>
        <v>#REF!</v>
      </c>
      <c r="AG6" s="108" t="e">
        <f t="shared" ref="AG6:AG47" si="8">AB6-AE6</f>
        <v>#REF!</v>
      </c>
    </row>
    <row r="7" spans="2:33" x14ac:dyDescent="0.25">
      <c r="B7" s="267" t="s">
        <v>17</v>
      </c>
      <c r="C7" s="268" t="s">
        <v>28</v>
      </c>
      <c r="D7" s="61" t="s">
        <v>31</v>
      </c>
      <c r="E7" s="231" t="s">
        <v>8</v>
      </c>
      <c r="F7" s="108" t="e">
        <f>SUMIFS('Op 1 - Convergence'!S:S,'Op 1 - Convergence'!$I:$I,$D7)</f>
        <v>#REF!</v>
      </c>
      <c r="G7" s="108">
        <f>SUMIFS('Op 1 - Convergence'!T:T,'Op 1 - Convergence'!$I:$I,$D7)</f>
        <v>0</v>
      </c>
      <c r="H7" s="108" t="e">
        <f>SUMIFS('Op 1 - Convergence'!U:U,'Op 1 - Convergence'!$I:$I,$D7)</f>
        <v>#REF!</v>
      </c>
      <c r="I7" s="108" t="e">
        <f>SUMIFS('Op 1 - Convergence'!V:V,'Op 1 - Convergence'!$I:$I,$D7)</f>
        <v>#REF!</v>
      </c>
      <c r="J7" s="108">
        <f>SUMIFS('Op 1 - Convergence'!Y:Y,'Op 1 - Convergence'!$I:$I,$D7)</f>
        <v>0</v>
      </c>
      <c r="K7" s="108">
        <f>SUMIFS('Op 1 - Convergence'!Z:Z,'Op 1 - Convergence'!$I:$I,$D7)</f>
        <v>-0.16119646956212819</v>
      </c>
      <c r="L7" s="108" t="e">
        <f t="shared" si="1"/>
        <v>#REF!</v>
      </c>
      <c r="N7" s="108" t="e">
        <f>SUMIFS('Op 2 - Acute'!S:S,'Op 2 - Acute'!$I:$I,$D7)</f>
        <v>#REF!</v>
      </c>
      <c r="O7" s="108">
        <f>SUMIFS('Op 2 - Acute'!T:T,'Op 2 - Acute'!$I:$I,$D7)</f>
        <v>0</v>
      </c>
      <c r="P7" s="108" t="e">
        <f>SUMIFS('Op 2 - Acute'!U:U,'Op 2 - Acute'!$I:$I,$D7)</f>
        <v>#REF!</v>
      </c>
      <c r="Q7" s="108" t="e">
        <f>SUMIFS('Op 2 - Acute'!V:V,'Op 2 - Acute'!$I:$I,$D7)</f>
        <v>#REF!</v>
      </c>
      <c r="R7" s="108">
        <f>SUMIFS('Op 2 - Acute'!Y:Y,'Op 2 - Acute'!$I:$I,$D7)</f>
        <v>-3250.6920926985031</v>
      </c>
      <c r="S7" s="108">
        <f>SUMIFS('Op 2 - Acute'!Z:Z,'Op 2 - Acute'!$I:$I,$D7)</f>
        <v>0</v>
      </c>
      <c r="T7" s="108" t="e">
        <f t="shared" si="2"/>
        <v>#REF!</v>
      </c>
      <c r="V7" s="108" t="e">
        <f t="shared" si="3"/>
        <v>#REF!</v>
      </c>
      <c r="X7" s="108" t="e">
        <f>SUMIFS('Op 1 - Convergence'!AK:AK,'Op 1 - Convergence'!I:I,D7)</f>
        <v>#REF!</v>
      </c>
      <c r="Y7" s="108" t="e">
        <f>SUMIFS('Op 1 - Convergence'!AN:AN,'Op 1 - Convergence'!I:I,D7)</f>
        <v>#REF!</v>
      </c>
      <c r="AA7" s="108" t="e">
        <f t="shared" si="4"/>
        <v>#REF!</v>
      </c>
      <c r="AB7" s="108" t="e">
        <f t="shared" si="5"/>
        <v>#REF!</v>
      </c>
      <c r="AD7" s="108" t="e">
        <f t="shared" si="6"/>
        <v>#REF!</v>
      </c>
      <c r="AE7" s="108" t="e">
        <f t="shared" si="7"/>
        <v>#REF!</v>
      </c>
      <c r="AG7" s="108" t="e">
        <f t="shared" si="8"/>
        <v>#REF!</v>
      </c>
    </row>
    <row r="8" spans="2:33" x14ac:dyDescent="0.25">
      <c r="B8" s="267" t="s">
        <v>17</v>
      </c>
      <c r="C8" s="268" t="s">
        <v>85</v>
      </c>
      <c r="D8" s="61" t="s">
        <v>90</v>
      </c>
      <c r="E8" s="231" t="s">
        <v>91</v>
      </c>
      <c r="F8" s="108" t="e">
        <f>SUMIFS('Op 1 - Convergence'!S:S,'Op 1 - Convergence'!$I:$I,$D8)</f>
        <v>#REF!</v>
      </c>
      <c r="G8" s="108">
        <f>SUMIFS('Op 1 - Convergence'!T:T,'Op 1 - Convergence'!$I:$I,$D8)</f>
        <v>0</v>
      </c>
      <c r="H8" s="108" t="e">
        <f>SUMIFS('Op 1 - Convergence'!U:U,'Op 1 - Convergence'!$I:$I,$D8)</f>
        <v>#REF!</v>
      </c>
      <c r="I8" s="108" t="e">
        <f>SUMIFS('Op 1 - Convergence'!V:V,'Op 1 - Convergence'!$I:$I,$D8)</f>
        <v>#REF!</v>
      </c>
      <c r="J8" s="108">
        <f>SUMIFS('Op 1 - Convergence'!Y:Y,'Op 1 - Convergence'!$I:$I,$D8)</f>
        <v>0</v>
      </c>
      <c r="K8" s="108">
        <f>SUMIFS('Op 1 - Convergence'!Z:Z,'Op 1 - Convergence'!$I:$I,$D8)</f>
        <v>1.3522907625883818E-2</v>
      </c>
      <c r="L8" s="108" t="e">
        <f t="shared" si="1"/>
        <v>#REF!</v>
      </c>
      <c r="N8" s="108" t="e">
        <f>SUMIFS('Op 2 - Acute'!S:S,'Op 2 - Acute'!$I:$I,$D8)</f>
        <v>#REF!</v>
      </c>
      <c r="O8" s="108">
        <f>SUMIFS('Op 2 - Acute'!T:T,'Op 2 - Acute'!$I:$I,$D8)</f>
        <v>0</v>
      </c>
      <c r="P8" s="108" t="e">
        <f>SUMIFS('Op 2 - Acute'!U:U,'Op 2 - Acute'!$I:$I,$D8)</f>
        <v>#REF!</v>
      </c>
      <c r="Q8" s="108" t="e">
        <f>SUMIFS('Op 2 - Acute'!V:V,'Op 2 - Acute'!$I:$I,$D8)</f>
        <v>#REF!</v>
      </c>
      <c r="R8" s="108">
        <f>SUMIFS('Op 2 - Acute'!Y:Y,'Op 2 - Acute'!$I:$I,$D8)</f>
        <v>274.36403677839701</v>
      </c>
      <c r="S8" s="108">
        <f>SUMIFS('Op 2 - Acute'!Z:Z,'Op 2 - Acute'!$I:$I,$D8)</f>
        <v>0</v>
      </c>
      <c r="T8" s="108" t="e">
        <f t="shared" si="2"/>
        <v>#REF!</v>
      </c>
      <c r="V8" s="108" t="e">
        <f t="shared" si="3"/>
        <v>#REF!</v>
      </c>
      <c r="X8" s="108" t="e">
        <f>SUMIFS('Op 1 - Convergence'!AK:AK,'Op 1 - Convergence'!I:I,D8)</f>
        <v>#REF!</v>
      </c>
      <c r="Y8" s="108" t="e">
        <f>SUMIFS('Op 1 - Convergence'!AN:AN,'Op 1 - Convergence'!I:I,D8)</f>
        <v>#REF!</v>
      </c>
      <c r="AA8" s="108" t="e">
        <f t="shared" si="4"/>
        <v>#REF!</v>
      </c>
      <c r="AB8" s="108" t="e">
        <f t="shared" si="5"/>
        <v>#REF!</v>
      </c>
      <c r="AD8" s="108" t="e">
        <f t="shared" si="6"/>
        <v>#REF!</v>
      </c>
      <c r="AE8" s="108" t="e">
        <f t="shared" si="7"/>
        <v>#REF!</v>
      </c>
      <c r="AG8" s="108" t="e">
        <f t="shared" si="8"/>
        <v>#REF!</v>
      </c>
    </row>
    <row r="9" spans="2:33" x14ac:dyDescent="0.25">
      <c r="B9" s="269" t="s">
        <v>17</v>
      </c>
      <c r="C9" s="270" t="s">
        <v>35</v>
      </c>
      <c r="D9" s="271" t="s">
        <v>54</v>
      </c>
      <c r="E9" s="231" t="s">
        <v>55</v>
      </c>
      <c r="F9" s="108" t="e">
        <f>SUMIFS('Op 1 - Convergence'!S:S,'Op 1 - Convergence'!$I:$I,$D9)</f>
        <v>#REF!</v>
      </c>
      <c r="G9" s="108">
        <f>SUMIFS('Op 1 - Convergence'!T:T,'Op 1 - Convergence'!$I:$I,$D9)</f>
        <v>0</v>
      </c>
      <c r="H9" s="108" t="e">
        <f>SUMIFS('Op 1 - Convergence'!U:U,'Op 1 - Convergence'!$I:$I,$D9)</f>
        <v>#REF!</v>
      </c>
      <c r="I9" s="108" t="e">
        <f>SUMIFS('Op 1 - Convergence'!V:V,'Op 1 - Convergence'!$I:$I,$D9)</f>
        <v>#REF!</v>
      </c>
      <c r="J9" s="108">
        <f>SUMIFS('Op 1 - Convergence'!Y:Y,'Op 1 - Convergence'!$I:$I,$D9)</f>
        <v>0</v>
      </c>
      <c r="K9" s="108">
        <f>SUMIFS('Op 1 - Convergence'!Z:Z,'Op 1 - Convergence'!$I:$I,$D9)</f>
        <v>456</v>
      </c>
      <c r="L9" s="108" t="e">
        <f t="shared" si="1"/>
        <v>#REF!</v>
      </c>
      <c r="N9" s="108" t="e">
        <f>SUMIFS('Op 2 - Acute'!S:S,'Op 2 - Acute'!$I:$I,$D9)</f>
        <v>#REF!</v>
      </c>
      <c r="O9" s="108">
        <f>SUMIFS('Op 2 - Acute'!T:T,'Op 2 - Acute'!$I:$I,$D9)</f>
        <v>0</v>
      </c>
      <c r="P9" s="108" t="e">
        <f>SUMIFS('Op 2 - Acute'!U:U,'Op 2 - Acute'!$I:$I,$D9)</f>
        <v>#REF!</v>
      </c>
      <c r="Q9" s="108" t="e">
        <f>SUMIFS('Op 2 - Acute'!V:V,'Op 2 - Acute'!$I:$I,$D9)</f>
        <v>#REF!</v>
      </c>
      <c r="R9" s="108">
        <f>SUMIFS('Op 2 - Acute'!Y:Y,'Op 2 - Acute'!$I:$I,$D9)</f>
        <v>1420.1086568376491</v>
      </c>
      <c r="S9" s="108">
        <f>SUMIFS('Op 2 - Acute'!Z:Z,'Op 2 - Acute'!$I:$I,$D9)</f>
        <v>800.92911147369068</v>
      </c>
      <c r="T9" s="108" t="e">
        <f t="shared" si="2"/>
        <v>#REF!</v>
      </c>
      <c r="V9" s="108" t="e">
        <f t="shared" si="3"/>
        <v>#REF!</v>
      </c>
      <c r="X9" s="108" t="e">
        <f>SUMIFS('Op 1 - Convergence'!AK:AK,'Op 1 - Convergence'!I:I,D9)</f>
        <v>#REF!</v>
      </c>
      <c r="Y9" s="108" t="e">
        <f>SUMIFS('Op 1 - Convergence'!AN:AN,'Op 1 - Convergence'!I:I,D9)</f>
        <v>#REF!</v>
      </c>
      <c r="AA9" s="108" t="e">
        <f t="shared" si="4"/>
        <v>#REF!</v>
      </c>
      <c r="AB9" s="108" t="e">
        <f t="shared" si="5"/>
        <v>#REF!</v>
      </c>
      <c r="AD9" s="108" t="e">
        <f t="shared" si="6"/>
        <v>#REF!</v>
      </c>
      <c r="AE9" s="108" t="e">
        <f t="shared" si="7"/>
        <v>#REF!</v>
      </c>
      <c r="AG9" s="108" t="e">
        <f t="shared" si="8"/>
        <v>#REF!</v>
      </c>
    </row>
    <row r="10" spans="2:33" x14ac:dyDescent="0.25">
      <c r="B10" s="266" t="s">
        <v>27</v>
      </c>
      <c r="C10" s="268" t="s">
        <v>85</v>
      </c>
      <c r="D10" s="61" t="s">
        <v>92</v>
      </c>
      <c r="E10" s="231" t="s">
        <v>93</v>
      </c>
      <c r="F10" s="108" t="e">
        <f>SUMIFS('Op 1 - Convergence'!S:S,'Op 1 - Convergence'!$I:$I,$D10)</f>
        <v>#REF!</v>
      </c>
      <c r="G10" s="108">
        <f>SUMIFS('Op 1 - Convergence'!T:T,'Op 1 - Convergence'!$I:$I,$D10)</f>
        <v>0</v>
      </c>
      <c r="H10" s="108" t="e">
        <f>SUMIFS('Op 1 - Convergence'!U:U,'Op 1 - Convergence'!$I:$I,$D10)</f>
        <v>#REF!</v>
      </c>
      <c r="I10" s="108" t="e">
        <f>SUMIFS('Op 1 - Convergence'!V:V,'Op 1 - Convergence'!$I:$I,$D10)</f>
        <v>#REF!</v>
      </c>
      <c r="J10" s="108">
        <f>SUMIFS('Op 1 - Convergence'!Y:Y,'Op 1 - Convergence'!$I:$I,$D10)</f>
        <v>0</v>
      </c>
      <c r="K10" s="108">
        <f>SUMIFS('Op 1 - Convergence'!Z:Z,'Op 1 - Convergence'!$I:$I,$D10)</f>
        <v>1805</v>
      </c>
      <c r="L10" s="108" t="e">
        <f t="shared" si="1"/>
        <v>#REF!</v>
      </c>
      <c r="N10" s="108" t="e">
        <f>SUMIFS('Op 2 - Acute'!S:S,'Op 2 - Acute'!$I:$I,$D10)</f>
        <v>#REF!</v>
      </c>
      <c r="O10" s="108">
        <f>SUMIFS('Op 2 - Acute'!T:T,'Op 2 - Acute'!$I:$I,$D10)</f>
        <v>0</v>
      </c>
      <c r="P10" s="108" t="e">
        <f>SUMIFS('Op 2 - Acute'!U:U,'Op 2 - Acute'!$I:$I,$D10)</f>
        <v>#REF!</v>
      </c>
      <c r="Q10" s="108" t="e">
        <f>SUMIFS('Op 2 - Acute'!V:V,'Op 2 - Acute'!$I:$I,$D10)</f>
        <v>#REF!</v>
      </c>
      <c r="R10" s="108">
        <f>SUMIFS('Op 2 - Acute'!Y:Y,'Op 2 - Acute'!$I:$I,$D10)</f>
        <v>5203.1486434184999</v>
      </c>
      <c r="S10" s="108">
        <f>SUMIFS('Op 2 - Acute'!Z:Z,'Op 2 - Acute'!$I:$I,$D10)</f>
        <v>3181.2177529033129</v>
      </c>
      <c r="T10" s="108" t="e">
        <f t="shared" si="2"/>
        <v>#REF!</v>
      </c>
      <c r="V10" s="108" t="e">
        <f t="shared" si="3"/>
        <v>#REF!</v>
      </c>
      <c r="X10" s="108" t="e">
        <f>SUMIFS('Op 1 - Convergence'!AK:AK,'Op 1 - Convergence'!I:I,D10)</f>
        <v>#REF!</v>
      </c>
      <c r="Y10" s="108" t="e">
        <f>SUMIFS('Op 1 - Convergence'!AN:AN,'Op 1 - Convergence'!I:I,D10)</f>
        <v>#REF!</v>
      </c>
      <c r="AA10" s="108" t="e">
        <f t="shared" si="4"/>
        <v>#REF!</v>
      </c>
      <c r="AB10" s="108" t="e">
        <f t="shared" si="5"/>
        <v>#REF!</v>
      </c>
      <c r="AD10" s="108" t="e">
        <f t="shared" si="6"/>
        <v>#REF!</v>
      </c>
      <c r="AE10" s="108" t="e">
        <f t="shared" si="7"/>
        <v>#REF!</v>
      </c>
      <c r="AG10" s="108" t="e">
        <f t="shared" si="8"/>
        <v>#REF!</v>
      </c>
    </row>
    <row r="11" spans="2:33" x14ac:dyDescent="0.25">
      <c r="B11" s="267" t="s">
        <v>27</v>
      </c>
      <c r="C11" s="268" t="s">
        <v>35</v>
      </c>
      <c r="D11" s="61" t="s">
        <v>56</v>
      </c>
      <c r="E11" s="231" t="s">
        <v>57</v>
      </c>
      <c r="F11" s="108" t="e">
        <f>SUMIFS('Op 1 - Convergence'!S:S,'Op 1 - Convergence'!$I:$I,$D11)</f>
        <v>#REF!</v>
      </c>
      <c r="G11" s="108">
        <f>SUMIFS('Op 1 - Convergence'!T:T,'Op 1 - Convergence'!$I:$I,$D11)</f>
        <v>0</v>
      </c>
      <c r="H11" s="108" t="e">
        <f>SUMIFS('Op 1 - Convergence'!U:U,'Op 1 - Convergence'!$I:$I,$D11)</f>
        <v>#REF!</v>
      </c>
      <c r="I11" s="108" t="e">
        <f>SUMIFS('Op 1 - Convergence'!V:V,'Op 1 - Convergence'!$I:$I,$D11)</f>
        <v>#REF!</v>
      </c>
      <c r="J11" s="108">
        <f>SUMIFS('Op 1 - Convergence'!Y:Y,'Op 1 - Convergence'!$I:$I,$D11)</f>
        <v>0</v>
      </c>
      <c r="K11" s="108">
        <f>SUMIFS('Op 1 - Convergence'!Z:Z,'Op 1 - Convergence'!$I:$I,$D11)</f>
        <v>0.2253889738349244</v>
      </c>
      <c r="L11" s="108" t="e">
        <f t="shared" si="1"/>
        <v>#REF!</v>
      </c>
      <c r="N11" s="108" t="e">
        <f>SUMIFS('Op 2 - Acute'!S:S,'Op 2 - Acute'!$I:$I,$D11)</f>
        <v>#REF!</v>
      </c>
      <c r="O11" s="108">
        <f>SUMIFS('Op 2 - Acute'!T:T,'Op 2 - Acute'!$I:$I,$D11)</f>
        <v>0</v>
      </c>
      <c r="P11" s="108" t="e">
        <f>SUMIFS('Op 2 - Acute'!U:U,'Op 2 - Acute'!$I:$I,$D11)</f>
        <v>#REF!</v>
      </c>
      <c r="Q11" s="108" t="e">
        <f>SUMIFS('Op 2 - Acute'!V:V,'Op 2 - Acute'!$I:$I,$D11)</f>
        <v>#REF!</v>
      </c>
      <c r="R11" s="108">
        <f>SUMIFS('Op 2 - Acute'!Y:Y,'Op 2 - Acute'!$I:$I,$D11)</f>
        <v>349.76463109469313</v>
      </c>
      <c r="S11" s="108">
        <f>SUMIFS('Op 2 - Acute'!Z:Z,'Op 2 - Acute'!$I:$I,$D11)</f>
        <v>0</v>
      </c>
      <c r="T11" s="108" t="e">
        <f t="shared" si="2"/>
        <v>#REF!</v>
      </c>
      <c r="V11" s="108" t="e">
        <f t="shared" si="3"/>
        <v>#REF!</v>
      </c>
      <c r="X11" s="108" t="e">
        <f>SUMIFS('Op 1 - Convergence'!AK:AK,'Op 1 - Convergence'!I:I,D11)</f>
        <v>#REF!</v>
      </c>
      <c r="Y11" s="108" t="e">
        <f>SUMIFS('Op 1 - Convergence'!AN:AN,'Op 1 - Convergence'!I:I,D11)</f>
        <v>#REF!</v>
      </c>
      <c r="AA11" s="108" t="e">
        <f t="shared" si="4"/>
        <v>#REF!</v>
      </c>
      <c r="AB11" s="108" t="e">
        <f t="shared" si="5"/>
        <v>#REF!</v>
      </c>
      <c r="AD11" s="108" t="e">
        <f t="shared" si="6"/>
        <v>#REF!</v>
      </c>
      <c r="AE11" s="108" t="e">
        <f t="shared" si="7"/>
        <v>#REF!</v>
      </c>
      <c r="AG11" s="108" t="e">
        <f t="shared" si="8"/>
        <v>#REF!</v>
      </c>
    </row>
    <row r="12" spans="2:33" x14ac:dyDescent="0.25">
      <c r="B12" s="269" t="s">
        <v>27</v>
      </c>
      <c r="C12" s="270" t="s">
        <v>35</v>
      </c>
      <c r="D12" s="271" t="s">
        <v>52</v>
      </c>
      <c r="E12" s="231" t="s">
        <v>53</v>
      </c>
      <c r="F12" s="108" t="e">
        <f>SUMIFS('Op 1 - Convergence'!S:S,'Op 1 - Convergence'!$I:$I,$D12)</f>
        <v>#REF!</v>
      </c>
      <c r="G12" s="108">
        <f>SUMIFS('Op 1 - Convergence'!T:T,'Op 1 - Convergence'!$I:$I,$D12)</f>
        <v>0</v>
      </c>
      <c r="H12" s="108" t="e">
        <f>SUMIFS('Op 1 - Convergence'!U:U,'Op 1 - Convergence'!$I:$I,$D12)</f>
        <v>#REF!</v>
      </c>
      <c r="I12" s="108" t="e">
        <f>SUMIFS('Op 1 - Convergence'!V:V,'Op 1 - Convergence'!$I:$I,$D12)</f>
        <v>#REF!</v>
      </c>
      <c r="J12" s="108">
        <f>SUMIFS('Op 1 - Convergence'!Y:Y,'Op 1 - Convergence'!$I:$I,$D12)</f>
        <v>0</v>
      </c>
      <c r="K12" s="108">
        <f>SUMIFS('Op 1 - Convergence'!Z:Z,'Op 1 - Convergence'!$I:$I,$D12)</f>
        <v>0.13111249351641163</v>
      </c>
      <c r="L12" s="108" t="e">
        <f t="shared" si="1"/>
        <v>#REF!</v>
      </c>
      <c r="N12" s="108" t="e">
        <f>SUMIFS('Op 2 - Acute'!S:S,'Op 2 - Acute'!$I:$I,$D12)</f>
        <v>#REF!</v>
      </c>
      <c r="O12" s="108">
        <f>SUMIFS('Op 2 - Acute'!T:T,'Op 2 - Acute'!$I:$I,$D12)</f>
        <v>0</v>
      </c>
      <c r="P12" s="108" t="e">
        <f>SUMIFS('Op 2 - Acute'!U:U,'Op 2 - Acute'!$I:$I,$D12)</f>
        <v>#REF!</v>
      </c>
      <c r="Q12" s="108" t="e">
        <f>SUMIFS('Op 2 - Acute'!V:V,'Op 2 - Acute'!$I:$I,$D12)</f>
        <v>#REF!</v>
      </c>
      <c r="R12" s="108">
        <f>SUMIFS('Op 2 - Acute'!Y:Y,'Op 2 - Acute'!$I:$I,$D12)</f>
        <v>-706.13642736882969</v>
      </c>
      <c r="S12" s="108">
        <f>SUMIFS('Op 2 - Acute'!Z:Z,'Op 2 - Acute'!$I:$I,$D12)</f>
        <v>0</v>
      </c>
      <c r="T12" s="108" t="e">
        <f t="shared" si="2"/>
        <v>#REF!</v>
      </c>
      <c r="V12" s="108" t="e">
        <f t="shared" si="3"/>
        <v>#REF!</v>
      </c>
      <c r="X12" s="108" t="e">
        <f>SUMIFS('Op 1 - Convergence'!AK:AK,'Op 1 - Convergence'!I:I,D12)</f>
        <v>#REF!</v>
      </c>
      <c r="Y12" s="108" t="e">
        <f>SUMIFS('Op 1 - Convergence'!AN:AN,'Op 1 - Convergence'!I:I,D12)</f>
        <v>#REF!</v>
      </c>
      <c r="AA12" s="108" t="e">
        <f t="shared" si="4"/>
        <v>#REF!</v>
      </c>
      <c r="AB12" s="108" t="e">
        <f t="shared" si="5"/>
        <v>#REF!</v>
      </c>
      <c r="AD12" s="108" t="e">
        <f t="shared" si="6"/>
        <v>#REF!</v>
      </c>
      <c r="AE12" s="108" t="e">
        <f t="shared" si="7"/>
        <v>#REF!</v>
      </c>
      <c r="AG12" s="108" t="e">
        <f t="shared" si="8"/>
        <v>#REF!</v>
      </c>
    </row>
    <row r="13" spans="2:33" x14ac:dyDescent="0.25">
      <c r="B13" s="266" t="s">
        <v>34</v>
      </c>
      <c r="C13" s="268" t="s">
        <v>73</v>
      </c>
      <c r="D13" s="61" t="s">
        <v>82</v>
      </c>
      <c r="E13" s="231" t="s">
        <v>83</v>
      </c>
      <c r="F13" s="108" t="e">
        <f>SUMIFS('Op 1 - Convergence'!S:S,'Op 1 - Convergence'!$I:$I,$D13)</f>
        <v>#REF!</v>
      </c>
      <c r="G13" s="108">
        <f>SUMIFS('Op 1 - Convergence'!T:T,'Op 1 - Convergence'!$I:$I,$D13)</f>
        <v>0</v>
      </c>
      <c r="H13" s="108" t="e">
        <f>SUMIFS('Op 1 - Convergence'!U:U,'Op 1 - Convergence'!$I:$I,$D13)</f>
        <v>#REF!</v>
      </c>
      <c r="I13" s="108" t="e">
        <f>SUMIFS('Op 1 - Convergence'!V:V,'Op 1 - Convergence'!$I:$I,$D13)</f>
        <v>#REF!</v>
      </c>
      <c r="J13" s="108">
        <f>SUMIFS('Op 1 - Convergence'!Y:Y,'Op 1 - Convergence'!$I:$I,$D13)</f>
        <v>0</v>
      </c>
      <c r="K13" s="108">
        <f>SUMIFS('Op 1 - Convergence'!Z:Z,'Op 1 - Convergence'!$I:$I,$D13)</f>
        <v>-0.21196883183438331</v>
      </c>
      <c r="L13" s="108" t="e">
        <f t="shared" si="1"/>
        <v>#REF!</v>
      </c>
      <c r="N13" s="108" t="e">
        <f>SUMIFS('Op 2 - Acute'!S:S,'Op 2 - Acute'!$I:$I,$D13)</f>
        <v>#REF!</v>
      </c>
      <c r="O13" s="108">
        <f>SUMIFS('Op 2 - Acute'!T:T,'Op 2 - Acute'!$I:$I,$D13)</f>
        <v>0</v>
      </c>
      <c r="P13" s="108" t="e">
        <f>SUMIFS('Op 2 - Acute'!U:U,'Op 2 - Acute'!$I:$I,$D13)</f>
        <v>#REF!</v>
      </c>
      <c r="Q13" s="108" t="e">
        <f>SUMIFS('Op 2 - Acute'!V:V,'Op 2 - Acute'!$I:$I,$D13)</f>
        <v>#REF!</v>
      </c>
      <c r="R13" s="108">
        <f>SUMIFS('Op 2 - Acute'!Y:Y,'Op 2 - Acute'!$I:$I,$D13)</f>
        <v>-3193.0016278517414</v>
      </c>
      <c r="S13" s="108">
        <f>SUMIFS('Op 2 - Acute'!Z:Z,'Op 2 - Acute'!$I:$I,$D13)</f>
        <v>0</v>
      </c>
      <c r="T13" s="108" t="e">
        <f t="shared" si="2"/>
        <v>#REF!</v>
      </c>
      <c r="V13" s="108" t="e">
        <f t="shared" si="3"/>
        <v>#REF!</v>
      </c>
      <c r="X13" s="108" t="e">
        <f>SUMIFS('Op 1 - Convergence'!AK:AK,'Op 1 - Convergence'!I:I,D13)</f>
        <v>#REF!</v>
      </c>
      <c r="Y13" s="108" t="e">
        <f>SUMIFS('Op 1 - Convergence'!AN:AN,'Op 1 - Convergence'!I:I,D13)</f>
        <v>#REF!</v>
      </c>
      <c r="AA13" s="108" t="e">
        <f t="shared" si="4"/>
        <v>#REF!</v>
      </c>
      <c r="AB13" s="108" t="e">
        <f t="shared" si="5"/>
        <v>#REF!</v>
      </c>
      <c r="AD13" s="108" t="e">
        <f t="shared" si="6"/>
        <v>#REF!</v>
      </c>
      <c r="AE13" s="108" t="e">
        <f t="shared" si="7"/>
        <v>#REF!</v>
      </c>
      <c r="AG13" s="108" t="e">
        <f t="shared" si="8"/>
        <v>#REF!</v>
      </c>
    </row>
    <row r="14" spans="2:33" x14ac:dyDescent="0.25">
      <c r="B14" s="267" t="s">
        <v>34</v>
      </c>
      <c r="C14" s="268" t="s">
        <v>99</v>
      </c>
      <c r="D14" s="61" t="s">
        <v>106</v>
      </c>
      <c r="E14" s="231" t="s">
        <v>107</v>
      </c>
      <c r="F14" s="108" t="e">
        <f>SUMIFS('Op 1 - Convergence'!S:S,'Op 1 - Convergence'!$I:$I,$D14)</f>
        <v>#REF!</v>
      </c>
      <c r="G14" s="108">
        <f>SUMIFS('Op 1 - Convergence'!T:T,'Op 1 - Convergence'!$I:$I,$D14)</f>
        <v>0</v>
      </c>
      <c r="H14" s="108" t="e">
        <f>SUMIFS('Op 1 - Convergence'!U:U,'Op 1 - Convergence'!$I:$I,$D14)</f>
        <v>#REF!</v>
      </c>
      <c r="I14" s="108" t="e">
        <f>SUMIFS('Op 1 - Convergence'!V:V,'Op 1 - Convergence'!$I:$I,$D14)</f>
        <v>#REF!</v>
      </c>
      <c r="J14" s="108">
        <f>SUMIFS('Op 1 - Convergence'!Y:Y,'Op 1 - Convergence'!$I:$I,$D14)</f>
        <v>0</v>
      </c>
      <c r="K14" s="108">
        <f>SUMIFS('Op 1 - Convergence'!Z:Z,'Op 1 - Convergence'!$I:$I,$D14)</f>
        <v>-0.11948082956951112</v>
      </c>
      <c r="L14" s="108" t="e">
        <f t="shared" si="1"/>
        <v>#REF!</v>
      </c>
      <c r="N14" s="108" t="e">
        <f>SUMIFS('Op 2 - Acute'!S:S,'Op 2 - Acute'!$I:$I,$D14)</f>
        <v>#REF!</v>
      </c>
      <c r="O14" s="108">
        <f>SUMIFS('Op 2 - Acute'!T:T,'Op 2 - Acute'!$I:$I,$D14)</f>
        <v>0</v>
      </c>
      <c r="P14" s="108" t="e">
        <f>SUMIFS('Op 2 - Acute'!U:U,'Op 2 - Acute'!$I:$I,$D14)</f>
        <v>#REF!</v>
      </c>
      <c r="Q14" s="108" t="e">
        <f>SUMIFS('Op 2 - Acute'!V:V,'Op 2 - Acute'!$I:$I,$D14)</f>
        <v>#REF!</v>
      </c>
      <c r="R14" s="108">
        <f>SUMIFS('Op 2 - Acute'!Y:Y,'Op 2 - Acute'!$I:$I,$D14)</f>
        <v>-339.81961487413923</v>
      </c>
      <c r="S14" s="108">
        <f>SUMIFS('Op 2 - Acute'!Z:Z,'Op 2 - Acute'!$I:$I,$D14)</f>
        <v>0</v>
      </c>
      <c r="T14" s="108" t="e">
        <f t="shared" si="2"/>
        <v>#REF!</v>
      </c>
      <c r="V14" s="108" t="e">
        <f t="shared" si="3"/>
        <v>#REF!</v>
      </c>
      <c r="X14" s="108" t="e">
        <f>SUMIFS('Op 1 - Convergence'!AK:AK,'Op 1 - Convergence'!I:I,D14)</f>
        <v>#REF!</v>
      </c>
      <c r="Y14" s="108" t="e">
        <f>SUMIFS('Op 1 - Convergence'!AN:AN,'Op 1 - Convergence'!I:I,D14)</f>
        <v>#REF!</v>
      </c>
      <c r="AA14" s="108" t="e">
        <f t="shared" si="4"/>
        <v>#REF!</v>
      </c>
      <c r="AB14" s="108" t="e">
        <f t="shared" si="5"/>
        <v>#REF!</v>
      </c>
      <c r="AD14" s="108" t="e">
        <f t="shared" si="6"/>
        <v>#REF!</v>
      </c>
      <c r="AE14" s="108" t="e">
        <f t="shared" si="7"/>
        <v>#REF!</v>
      </c>
      <c r="AG14" s="108" t="e">
        <f t="shared" si="8"/>
        <v>#REF!</v>
      </c>
    </row>
    <row r="15" spans="2:33" x14ac:dyDescent="0.25">
      <c r="B15" s="267" t="s">
        <v>34</v>
      </c>
      <c r="C15" s="268" t="s">
        <v>35</v>
      </c>
      <c r="D15" s="61" t="s">
        <v>38</v>
      </c>
      <c r="E15" s="231" t="s">
        <v>39</v>
      </c>
      <c r="F15" s="108" t="e">
        <f>SUMIFS('Op 1 - Convergence'!S:S,'Op 1 - Convergence'!$I:$I,$D15)</f>
        <v>#REF!</v>
      </c>
      <c r="G15" s="108">
        <f>SUMIFS('Op 1 - Convergence'!T:T,'Op 1 - Convergence'!$I:$I,$D15)</f>
        <v>0</v>
      </c>
      <c r="H15" s="108" t="e">
        <f>SUMIFS('Op 1 - Convergence'!U:U,'Op 1 - Convergence'!$I:$I,$D15)</f>
        <v>#REF!</v>
      </c>
      <c r="I15" s="108" t="e">
        <f>SUMIFS('Op 1 - Convergence'!V:V,'Op 1 - Convergence'!$I:$I,$D15)</f>
        <v>#REF!</v>
      </c>
      <c r="J15" s="108">
        <f>SUMIFS('Op 1 - Convergence'!Y:Y,'Op 1 - Convergence'!$I:$I,$D15)</f>
        <v>0</v>
      </c>
      <c r="K15" s="108">
        <f>SUMIFS('Op 1 - Convergence'!Z:Z,'Op 1 - Convergence'!$I:$I,$D15)</f>
        <v>5.6465754983946681E-2</v>
      </c>
      <c r="L15" s="108" t="e">
        <f t="shared" si="1"/>
        <v>#REF!</v>
      </c>
      <c r="N15" s="108" t="e">
        <f>SUMIFS('Op 2 - Acute'!S:S,'Op 2 - Acute'!$I:$I,$D15)</f>
        <v>#REF!</v>
      </c>
      <c r="O15" s="108">
        <f>SUMIFS('Op 2 - Acute'!T:T,'Op 2 - Acute'!$I:$I,$D15)</f>
        <v>0</v>
      </c>
      <c r="P15" s="108" t="e">
        <f>SUMIFS('Op 2 - Acute'!U:U,'Op 2 - Acute'!$I:$I,$D15)</f>
        <v>#REF!</v>
      </c>
      <c r="Q15" s="108" t="e">
        <f>SUMIFS('Op 2 - Acute'!V:V,'Op 2 - Acute'!$I:$I,$D15)</f>
        <v>#REF!</v>
      </c>
      <c r="R15" s="108">
        <f>SUMIFS('Op 2 - Acute'!Y:Y,'Op 2 - Acute'!$I:$I,$D15)</f>
        <v>64.290903533632559</v>
      </c>
      <c r="S15" s="108">
        <f>SUMIFS('Op 2 - Acute'!Z:Z,'Op 2 - Acute'!$I:$I,$D15)</f>
        <v>0</v>
      </c>
      <c r="T15" s="108" t="e">
        <f t="shared" si="2"/>
        <v>#REF!</v>
      </c>
      <c r="V15" s="108" t="e">
        <f t="shared" si="3"/>
        <v>#REF!</v>
      </c>
      <c r="X15" s="108" t="e">
        <f>SUMIFS('Op 1 - Convergence'!AK:AK,'Op 1 - Convergence'!I:I,D15)</f>
        <v>#REF!</v>
      </c>
      <c r="Y15" s="108" t="e">
        <f>SUMIFS('Op 1 - Convergence'!AN:AN,'Op 1 - Convergence'!I:I,D15)</f>
        <v>#REF!</v>
      </c>
      <c r="AA15" s="108" t="e">
        <f t="shared" si="4"/>
        <v>#REF!</v>
      </c>
      <c r="AB15" s="108" t="e">
        <f t="shared" si="5"/>
        <v>#REF!</v>
      </c>
      <c r="AD15" s="108" t="e">
        <f t="shared" si="6"/>
        <v>#REF!</v>
      </c>
      <c r="AE15" s="108" t="e">
        <f t="shared" si="7"/>
        <v>#REF!</v>
      </c>
      <c r="AG15" s="108" t="e">
        <f t="shared" si="8"/>
        <v>#REF!</v>
      </c>
    </row>
    <row r="16" spans="2:33" x14ac:dyDescent="0.25">
      <c r="B16" s="267" t="s">
        <v>34</v>
      </c>
      <c r="C16" s="61" t="s">
        <v>28</v>
      </c>
      <c r="D16" s="61" t="s">
        <v>29</v>
      </c>
      <c r="E16" s="231" t="s">
        <v>30</v>
      </c>
      <c r="F16" s="108" t="e">
        <f>SUMIFS('Op 1 - Convergence'!S:S,'Op 1 - Convergence'!$I:$I,$D16)</f>
        <v>#REF!</v>
      </c>
      <c r="G16" s="108">
        <f>SUMIFS('Op 1 - Convergence'!T:T,'Op 1 - Convergence'!$I:$I,$D16)</f>
        <v>0</v>
      </c>
      <c r="H16" s="108" t="e">
        <f>SUMIFS('Op 1 - Convergence'!U:U,'Op 1 - Convergence'!$I:$I,$D16)</f>
        <v>#REF!</v>
      </c>
      <c r="I16" s="108" t="e">
        <f>SUMIFS('Op 1 - Convergence'!V:V,'Op 1 - Convergence'!$I:$I,$D16)</f>
        <v>#REF!</v>
      </c>
      <c r="J16" s="108">
        <f>SUMIFS('Op 1 - Convergence'!Y:Y,'Op 1 - Convergence'!$I:$I,$D16)</f>
        <v>0</v>
      </c>
      <c r="K16" s="108">
        <f>SUMIFS('Op 1 - Convergence'!Z:Z,'Op 1 - Convergence'!$I:$I,$D16)</f>
        <v>0.17748141498304904</v>
      </c>
      <c r="L16" s="108" t="e">
        <f t="shared" si="1"/>
        <v>#REF!</v>
      </c>
      <c r="N16" s="108" t="e">
        <f>SUMIFS('Op 2 - Acute'!S:S,'Op 2 - Acute'!$I:$I,$D16)</f>
        <v>#REF!</v>
      </c>
      <c r="O16" s="108">
        <f>SUMIFS('Op 2 - Acute'!T:T,'Op 2 - Acute'!$I:$I,$D16)</f>
        <v>0</v>
      </c>
      <c r="P16" s="108" t="e">
        <f>SUMIFS('Op 2 - Acute'!U:U,'Op 2 - Acute'!$I:$I,$D16)</f>
        <v>#REF!</v>
      </c>
      <c r="Q16" s="108" t="e">
        <f>SUMIFS('Op 2 - Acute'!V:V,'Op 2 - Acute'!$I:$I,$D16)</f>
        <v>#REF!</v>
      </c>
      <c r="R16" s="108">
        <f>SUMIFS('Op 2 - Acute'!Y:Y,'Op 2 - Acute'!$I:$I,$D16)</f>
        <v>-370.14470349442115</v>
      </c>
      <c r="S16" s="108">
        <f>SUMIFS('Op 2 - Acute'!Z:Z,'Op 2 - Acute'!$I:$I,$D16)</f>
        <v>0</v>
      </c>
      <c r="T16" s="108" t="e">
        <f t="shared" si="2"/>
        <v>#REF!</v>
      </c>
      <c r="V16" s="108" t="e">
        <f t="shared" si="3"/>
        <v>#REF!</v>
      </c>
      <c r="X16" s="108" t="e">
        <f>SUMIFS('Op 1 - Convergence'!AK:AK,'Op 1 - Convergence'!I:I,D16)</f>
        <v>#REF!</v>
      </c>
      <c r="Y16" s="108" t="e">
        <f>SUMIFS('Op 1 - Convergence'!AN:AN,'Op 1 - Convergence'!I:I,D16)</f>
        <v>#REF!</v>
      </c>
      <c r="AA16" s="108" t="e">
        <f t="shared" si="4"/>
        <v>#REF!</v>
      </c>
      <c r="AB16" s="108" t="e">
        <f t="shared" si="5"/>
        <v>#REF!</v>
      </c>
      <c r="AD16" s="108" t="e">
        <f t="shared" si="6"/>
        <v>#REF!</v>
      </c>
      <c r="AE16" s="108" t="e">
        <f t="shared" si="7"/>
        <v>#REF!</v>
      </c>
      <c r="AG16" s="108" t="e">
        <f t="shared" si="8"/>
        <v>#REF!</v>
      </c>
    </row>
    <row r="17" spans="2:33" x14ac:dyDescent="0.25">
      <c r="B17" s="267" t="s">
        <v>34</v>
      </c>
      <c r="C17" s="268" t="s">
        <v>59</v>
      </c>
      <c r="D17" s="61" t="s">
        <v>66</v>
      </c>
      <c r="E17" s="231" t="s">
        <v>67</v>
      </c>
      <c r="F17" s="108" t="e">
        <f>SUMIFS('Op 1 - Convergence'!S:S,'Op 1 - Convergence'!$I:$I,$D17)</f>
        <v>#REF!</v>
      </c>
      <c r="G17" s="108">
        <f>SUMIFS('Op 1 - Convergence'!T:T,'Op 1 - Convergence'!$I:$I,$D17)</f>
        <v>0</v>
      </c>
      <c r="H17" s="108" t="e">
        <f>SUMIFS('Op 1 - Convergence'!U:U,'Op 1 - Convergence'!$I:$I,$D17)</f>
        <v>#REF!</v>
      </c>
      <c r="I17" s="108" t="e">
        <f>SUMIFS('Op 1 - Convergence'!V:V,'Op 1 - Convergence'!$I:$I,$D17)</f>
        <v>#REF!</v>
      </c>
      <c r="J17" s="108">
        <f>SUMIFS('Op 1 - Convergence'!Y:Y,'Op 1 - Convergence'!$I:$I,$D17)</f>
        <v>0</v>
      </c>
      <c r="K17" s="108">
        <f>SUMIFS('Op 1 - Convergence'!Z:Z,'Op 1 - Convergence'!$I:$I,$D17)</f>
        <v>1150</v>
      </c>
      <c r="L17" s="108" t="e">
        <f t="shared" si="1"/>
        <v>#REF!</v>
      </c>
      <c r="N17" s="108" t="e">
        <f>SUMIFS('Op 2 - Acute'!S:S,'Op 2 - Acute'!$I:$I,$D17)</f>
        <v>#REF!</v>
      </c>
      <c r="O17" s="108">
        <f>SUMIFS('Op 2 - Acute'!T:T,'Op 2 - Acute'!$I:$I,$D17)</f>
        <v>0</v>
      </c>
      <c r="P17" s="108" t="e">
        <f>SUMIFS('Op 2 - Acute'!U:U,'Op 2 - Acute'!$I:$I,$D17)</f>
        <v>#REF!</v>
      </c>
      <c r="Q17" s="108" t="e">
        <f>SUMIFS('Op 2 - Acute'!V:V,'Op 2 - Acute'!$I:$I,$D17)</f>
        <v>#REF!</v>
      </c>
      <c r="R17" s="108">
        <f>SUMIFS('Op 2 - Acute'!Y:Y,'Op 2 - Acute'!$I:$I,$D17)</f>
        <v>3380.55295276167</v>
      </c>
      <c r="S17" s="108">
        <f>SUMIFS('Op 2 - Acute'!Z:Z,'Op 2 - Acute'!$I:$I,$D17)</f>
        <v>2030.9211911556415</v>
      </c>
      <c r="T17" s="108" t="e">
        <f t="shared" si="2"/>
        <v>#REF!</v>
      </c>
      <c r="V17" s="108" t="e">
        <f t="shared" si="3"/>
        <v>#REF!</v>
      </c>
      <c r="X17" s="108" t="e">
        <f>SUMIFS('Op 1 - Convergence'!AK:AK,'Op 1 - Convergence'!I:I,D17)</f>
        <v>#REF!</v>
      </c>
      <c r="Y17" s="108" t="e">
        <f>SUMIFS('Op 1 - Convergence'!AN:AN,'Op 1 - Convergence'!I:I,D17)</f>
        <v>#REF!</v>
      </c>
      <c r="AA17" s="108" t="e">
        <f t="shared" si="4"/>
        <v>#REF!</v>
      </c>
      <c r="AB17" s="108" t="e">
        <f t="shared" si="5"/>
        <v>#REF!</v>
      </c>
      <c r="AD17" s="108" t="e">
        <f t="shared" si="6"/>
        <v>#REF!</v>
      </c>
      <c r="AE17" s="108" t="e">
        <f t="shared" si="7"/>
        <v>#REF!</v>
      </c>
      <c r="AG17" s="108" t="e">
        <f t="shared" si="8"/>
        <v>#REF!</v>
      </c>
    </row>
    <row r="18" spans="2:33" x14ac:dyDescent="0.25">
      <c r="B18" s="267" t="s">
        <v>34</v>
      </c>
      <c r="C18" s="268" t="s">
        <v>18</v>
      </c>
      <c r="D18" s="61" t="s">
        <v>23</v>
      </c>
      <c r="E18" s="231" t="s">
        <v>24</v>
      </c>
      <c r="F18" s="108" t="e">
        <f>SUMIFS('Op 1 - Convergence'!S:S,'Op 1 - Convergence'!$I:$I,$D18)</f>
        <v>#REF!</v>
      </c>
      <c r="G18" s="108">
        <f>SUMIFS('Op 1 - Convergence'!T:T,'Op 1 - Convergence'!$I:$I,$D18)</f>
        <v>0</v>
      </c>
      <c r="H18" s="108" t="e">
        <f>SUMIFS('Op 1 - Convergence'!U:U,'Op 1 - Convergence'!$I:$I,$D18)</f>
        <v>#REF!</v>
      </c>
      <c r="I18" s="108" t="e">
        <f>SUMIFS('Op 1 - Convergence'!V:V,'Op 1 - Convergence'!$I:$I,$D18)</f>
        <v>#REF!</v>
      </c>
      <c r="J18" s="108">
        <f>SUMIFS('Op 1 - Convergence'!Y:Y,'Op 1 - Convergence'!$I:$I,$D18)</f>
        <v>0</v>
      </c>
      <c r="K18" s="108">
        <f>SUMIFS('Op 1 - Convergence'!Z:Z,'Op 1 - Convergence'!$I:$I,$D18)</f>
        <v>0.13001096004154533</v>
      </c>
      <c r="L18" s="108" t="e">
        <f t="shared" si="1"/>
        <v>#REF!</v>
      </c>
      <c r="N18" s="108" t="e">
        <f>SUMIFS('Op 2 - Acute'!S:S,'Op 2 - Acute'!$I:$I,$D18)</f>
        <v>#REF!</v>
      </c>
      <c r="O18" s="108">
        <f>SUMIFS('Op 2 - Acute'!T:T,'Op 2 - Acute'!$I:$I,$D18)</f>
        <v>0</v>
      </c>
      <c r="P18" s="108" t="e">
        <f>SUMIFS('Op 2 - Acute'!U:U,'Op 2 - Acute'!$I:$I,$D18)</f>
        <v>#REF!</v>
      </c>
      <c r="Q18" s="108" t="e">
        <f>SUMIFS('Op 2 - Acute'!V:V,'Op 2 - Acute'!$I:$I,$D18)</f>
        <v>#REF!</v>
      </c>
      <c r="R18" s="108">
        <f>SUMIFS('Op 2 - Acute'!Y:Y,'Op 2 - Acute'!$I:$I,$D18)</f>
        <v>-72.069317914468286</v>
      </c>
      <c r="S18" s="108">
        <f>SUMIFS('Op 2 - Acute'!Z:Z,'Op 2 - Acute'!$I:$I,$D18)</f>
        <v>0</v>
      </c>
      <c r="T18" s="108" t="e">
        <f t="shared" si="2"/>
        <v>#REF!</v>
      </c>
      <c r="V18" s="108" t="e">
        <f t="shared" si="3"/>
        <v>#REF!</v>
      </c>
      <c r="X18" s="108" t="e">
        <f>SUMIFS('Op 1 - Convergence'!AK:AK,'Op 1 - Convergence'!I:I,D18)</f>
        <v>#REF!</v>
      </c>
      <c r="Y18" s="108" t="e">
        <f>SUMIFS('Op 1 - Convergence'!AN:AN,'Op 1 - Convergence'!I:I,D18)</f>
        <v>#REF!</v>
      </c>
      <c r="AA18" s="108" t="e">
        <f t="shared" si="4"/>
        <v>#REF!</v>
      </c>
      <c r="AB18" s="108" t="e">
        <f t="shared" si="5"/>
        <v>#REF!</v>
      </c>
      <c r="AD18" s="108" t="e">
        <f t="shared" si="6"/>
        <v>#REF!</v>
      </c>
      <c r="AE18" s="108" t="e">
        <f t="shared" si="7"/>
        <v>#REF!</v>
      </c>
      <c r="AG18" s="108" t="e">
        <f t="shared" si="8"/>
        <v>#REF!</v>
      </c>
    </row>
    <row r="19" spans="2:33" x14ac:dyDescent="0.25">
      <c r="B19" s="267" t="s">
        <v>34</v>
      </c>
      <c r="C19" s="268" t="s">
        <v>35</v>
      </c>
      <c r="D19" s="61" t="s">
        <v>46</v>
      </c>
      <c r="E19" s="231" t="s">
        <v>47</v>
      </c>
      <c r="F19" s="108" t="e">
        <f>SUMIFS('Op 1 - Convergence'!S:S,'Op 1 - Convergence'!$I:$I,$D19)</f>
        <v>#REF!</v>
      </c>
      <c r="G19" s="108">
        <f>SUMIFS('Op 1 - Convergence'!T:T,'Op 1 - Convergence'!$I:$I,$D19)</f>
        <v>0</v>
      </c>
      <c r="H19" s="108" t="e">
        <f>SUMIFS('Op 1 - Convergence'!U:U,'Op 1 - Convergence'!$I:$I,$D19)</f>
        <v>#REF!</v>
      </c>
      <c r="I19" s="108" t="e">
        <f>SUMIFS('Op 1 - Convergence'!V:V,'Op 1 - Convergence'!$I:$I,$D19)</f>
        <v>#REF!</v>
      </c>
      <c r="J19" s="108">
        <f>SUMIFS('Op 1 - Convergence'!Y:Y,'Op 1 - Convergence'!$I:$I,$D19)</f>
        <v>0</v>
      </c>
      <c r="K19" s="108">
        <f>SUMIFS('Op 1 - Convergence'!Z:Z,'Op 1 - Convergence'!$I:$I,$D19)</f>
        <v>-8.01487299031578E-2</v>
      </c>
      <c r="L19" s="108" t="e">
        <f t="shared" si="1"/>
        <v>#REF!</v>
      </c>
      <c r="N19" s="108" t="e">
        <f>SUMIFS('Op 2 - Acute'!S:S,'Op 2 - Acute'!$I:$I,$D19)</f>
        <v>#REF!</v>
      </c>
      <c r="O19" s="108">
        <f>SUMIFS('Op 2 - Acute'!T:T,'Op 2 - Acute'!$I:$I,$D19)</f>
        <v>0</v>
      </c>
      <c r="P19" s="108" t="e">
        <f>SUMIFS('Op 2 - Acute'!U:U,'Op 2 - Acute'!$I:$I,$D19)</f>
        <v>#REF!</v>
      </c>
      <c r="Q19" s="108" t="e">
        <f>SUMIFS('Op 2 - Acute'!V:V,'Op 2 - Acute'!$I:$I,$D19)</f>
        <v>#REF!</v>
      </c>
      <c r="R19" s="108">
        <f>SUMIFS('Op 2 - Acute'!Y:Y,'Op 2 - Acute'!$I:$I,$D19)</f>
        <v>-1942.1468894122359</v>
      </c>
      <c r="S19" s="108">
        <f>SUMIFS('Op 2 - Acute'!Z:Z,'Op 2 - Acute'!$I:$I,$D19)</f>
        <v>0</v>
      </c>
      <c r="T19" s="108" t="e">
        <f t="shared" si="2"/>
        <v>#REF!</v>
      </c>
      <c r="V19" s="108" t="e">
        <f t="shared" si="3"/>
        <v>#REF!</v>
      </c>
      <c r="X19" s="108" t="e">
        <f>SUMIFS('Op 1 - Convergence'!AK:AK,'Op 1 - Convergence'!I:I,D19)</f>
        <v>#REF!</v>
      </c>
      <c r="Y19" s="108" t="e">
        <f>SUMIFS('Op 1 - Convergence'!AN:AN,'Op 1 - Convergence'!I:I,D19)</f>
        <v>#REF!</v>
      </c>
      <c r="AA19" s="108" t="e">
        <f t="shared" si="4"/>
        <v>#REF!</v>
      </c>
      <c r="AB19" s="108" t="e">
        <f t="shared" si="5"/>
        <v>#REF!</v>
      </c>
      <c r="AD19" s="108" t="e">
        <f t="shared" si="6"/>
        <v>#REF!</v>
      </c>
      <c r="AE19" s="108" t="e">
        <f t="shared" si="7"/>
        <v>#REF!</v>
      </c>
      <c r="AG19" s="108" t="e">
        <f t="shared" si="8"/>
        <v>#REF!</v>
      </c>
    </row>
    <row r="20" spans="2:33" x14ac:dyDescent="0.25">
      <c r="B20" s="267" t="s">
        <v>34</v>
      </c>
      <c r="C20" s="268" t="s">
        <v>85</v>
      </c>
      <c r="D20" s="61" t="s">
        <v>96</v>
      </c>
      <c r="E20" s="231" t="s">
        <v>97</v>
      </c>
      <c r="F20" s="108" t="e">
        <f>SUMIFS('Op 1 - Convergence'!S:S,'Op 1 - Convergence'!$I:$I,$D20)</f>
        <v>#REF!</v>
      </c>
      <c r="G20" s="108">
        <f>SUMIFS('Op 1 - Convergence'!T:T,'Op 1 - Convergence'!$I:$I,$D20)</f>
        <v>0</v>
      </c>
      <c r="H20" s="108" t="e">
        <f>SUMIFS('Op 1 - Convergence'!U:U,'Op 1 - Convergence'!$I:$I,$D20)</f>
        <v>#REF!</v>
      </c>
      <c r="I20" s="108" t="e">
        <f>SUMIFS('Op 1 - Convergence'!V:V,'Op 1 - Convergence'!$I:$I,$D20)</f>
        <v>#REF!</v>
      </c>
      <c r="J20" s="108">
        <f>SUMIFS('Op 1 - Convergence'!Y:Y,'Op 1 - Convergence'!$I:$I,$D20)</f>
        <v>0</v>
      </c>
      <c r="K20" s="108">
        <f>SUMIFS('Op 1 - Convergence'!Z:Z,'Op 1 - Convergence'!$I:$I,$D20)</f>
        <v>-9.3185024568811059E-2</v>
      </c>
      <c r="L20" s="108" t="e">
        <f t="shared" si="1"/>
        <v>#REF!</v>
      </c>
      <c r="N20" s="108" t="e">
        <f>SUMIFS('Op 2 - Acute'!S:S,'Op 2 - Acute'!$I:$I,$D20)</f>
        <v>#REF!</v>
      </c>
      <c r="O20" s="108">
        <f>SUMIFS('Op 2 - Acute'!T:T,'Op 2 - Acute'!$I:$I,$D20)</f>
        <v>0</v>
      </c>
      <c r="P20" s="108" t="e">
        <f>SUMIFS('Op 2 - Acute'!U:U,'Op 2 - Acute'!$I:$I,$D20)</f>
        <v>#REF!</v>
      </c>
      <c r="Q20" s="108" t="e">
        <f>SUMIFS('Op 2 - Acute'!V:V,'Op 2 - Acute'!$I:$I,$D20)</f>
        <v>#REF!</v>
      </c>
      <c r="R20" s="108">
        <f>SUMIFS('Op 2 - Acute'!Y:Y,'Op 2 - Acute'!$I:$I,$D20)</f>
        <v>318.45511736591061</v>
      </c>
      <c r="S20" s="108">
        <f>SUMIFS('Op 2 - Acute'!Z:Z,'Op 2 - Acute'!$I:$I,$D20)</f>
        <v>0</v>
      </c>
      <c r="T20" s="108" t="e">
        <f t="shared" si="2"/>
        <v>#REF!</v>
      </c>
      <c r="V20" s="108" t="e">
        <f t="shared" si="3"/>
        <v>#REF!</v>
      </c>
      <c r="X20" s="108" t="e">
        <f>SUMIFS('Op 1 - Convergence'!AK:AK,'Op 1 - Convergence'!I:I,D20)</f>
        <v>#REF!</v>
      </c>
      <c r="Y20" s="108" t="e">
        <f>SUMIFS('Op 1 - Convergence'!AN:AN,'Op 1 - Convergence'!I:I,D20)</f>
        <v>#REF!</v>
      </c>
      <c r="AA20" s="108" t="e">
        <f t="shared" si="4"/>
        <v>#REF!</v>
      </c>
      <c r="AB20" s="108" t="e">
        <f t="shared" si="5"/>
        <v>#REF!</v>
      </c>
      <c r="AD20" s="108" t="e">
        <f t="shared" si="6"/>
        <v>#REF!</v>
      </c>
      <c r="AE20" s="108" t="e">
        <f t="shared" si="7"/>
        <v>#REF!</v>
      </c>
      <c r="AG20" s="108" t="e">
        <f t="shared" si="8"/>
        <v>#REF!</v>
      </c>
    </row>
    <row r="21" spans="2:33" x14ac:dyDescent="0.25">
      <c r="B21" s="267" t="s">
        <v>34</v>
      </c>
      <c r="C21" s="268" t="s">
        <v>18</v>
      </c>
      <c r="D21" s="61" t="s">
        <v>21</v>
      </c>
      <c r="E21" s="231" t="s">
        <v>22</v>
      </c>
      <c r="F21" s="108" t="e">
        <f>SUMIFS('Op 1 - Convergence'!S:S,'Op 1 - Convergence'!$I:$I,$D21)</f>
        <v>#REF!</v>
      </c>
      <c r="G21" s="108">
        <f>SUMIFS('Op 1 - Convergence'!T:T,'Op 1 - Convergence'!$I:$I,$D21)</f>
        <v>0</v>
      </c>
      <c r="H21" s="108" t="e">
        <f>SUMIFS('Op 1 - Convergence'!U:U,'Op 1 - Convergence'!$I:$I,$D21)</f>
        <v>#REF!</v>
      </c>
      <c r="I21" s="108" t="e">
        <f>SUMIFS('Op 1 - Convergence'!V:V,'Op 1 - Convergence'!$I:$I,$D21)</f>
        <v>#REF!</v>
      </c>
      <c r="J21" s="108">
        <f>SUMIFS('Op 1 - Convergence'!Y:Y,'Op 1 - Convergence'!$I:$I,$D21)</f>
        <v>0</v>
      </c>
      <c r="K21" s="108">
        <f>SUMIFS('Op 1 - Convergence'!Z:Z,'Op 1 - Convergence'!$I:$I,$D21)</f>
        <v>2769</v>
      </c>
      <c r="L21" s="108" t="e">
        <f t="shared" si="1"/>
        <v>#REF!</v>
      </c>
      <c r="N21" s="108" t="e">
        <f>SUMIFS('Op 2 - Acute'!S:S,'Op 2 - Acute'!$I:$I,$D21)</f>
        <v>#REF!</v>
      </c>
      <c r="O21" s="108">
        <f>SUMIFS('Op 2 - Acute'!T:T,'Op 2 - Acute'!$I:$I,$D21)</f>
        <v>0</v>
      </c>
      <c r="P21" s="108" t="e">
        <f>SUMIFS('Op 2 - Acute'!U:U,'Op 2 - Acute'!$I:$I,$D21)</f>
        <v>#REF!</v>
      </c>
      <c r="Q21" s="108" t="e">
        <f>SUMIFS('Op 2 - Acute'!V:V,'Op 2 - Acute'!$I:$I,$D21)</f>
        <v>#REF!</v>
      </c>
      <c r="R21" s="108">
        <f>SUMIFS('Op 2 - Acute'!Y:Y,'Op 2 - Acute'!$I:$I,$D21)</f>
        <v>8479.00049339822</v>
      </c>
      <c r="S21" s="108">
        <f>SUMIFS('Op 2 - Acute'!Z:Z,'Op 2 - Acute'!$I:$I,$D21)</f>
        <v>4898.7069514131417</v>
      </c>
      <c r="T21" s="108" t="e">
        <f t="shared" si="2"/>
        <v>#REF!</v>
      </c>
      <c r="V21" s="108" t="e">
        <f t="shared" si="3"/>
        <v>#REF!</v>
      </c>
      <c r="X21" s="108" t="e">
        <f>SUMIFS('Op 1 - Convergence'!AK:AK,'Op 1 - Convergence'!I:I,D21)</f>
        <v>#REF!</v>
      </c>
      <c r="Y21" s="108" t="e">
        <f>SUMIFS('Op 1 - Convergence'!AN:AN,'Op 1 - Convergence'!I:I,D21)</f>
        <v>#REF!</v>
      </c>
      <c r="AA21" s="108" t="e">
        <f t="shared" si="4"/>
        <v>#REF!</v>
      </c>
      <c r="AB21" s="108" t="e">
        <f t="shared" si="5"/>
        <v>#REF!</v>
      </c>
      <c r="AD21" s="108" t="e">
        <f t="shared" si="6"/>
        <v>#REF!</v>
      </c>
      <c r="AE21" s="108" t="e">
        <f t="shared" si="7"/>
        <v>#REF!</v>
      </c>
      <c r="AG21" s="108" t="e">
        <f t="shared" si="8"/>
        <v>#REF!</v>
      </c>
    </row>
    <row r="22" spans="2:33" x14ac:dyDescent="0.25">
      <c r="B22" s="267" t="s">
        <v>34</v>
      </c>
      <c r="C22" s="268" t="s">
        <v>35</v>
      </c>
      <c r="D22" s="61" t="s">
        <v>50</v>
      </c>
      <c r="E22" s="231" t="s">
        <v>51</v>
      </c>
      <c r="F22" s="108" t="e">
        <f>SUMIFS('Op 1 - Convergence'!S:S,'Op 1 - Convergence'!$I:$I,$D22)</f>
        <v>#REF!</v>
      </c>
      <c r="G22" s="108">
        <f>SUMIFS('Op 1 - Convergence'!T:T,'Op 1 - Convergence'!$I:$I,$D22)</f>
        <v>0</v>
      </c>
      <c r="H22" s="108" t="e">
        <f>SUMIFS('Op 1 - Convergence'!U:U,'Op 1 - Convergence'!$I:$I,$D22)</f>
        <v>#REF!</v>
      </c>
      <c r="I22" s="108" t="e">
        <f>SUMIFS('Op 1 - Convergence'!V:V,'Op 1 - Convergence'!$I:$I,$D22)</f>
        <v>#REF!</v>
      </c>
      <c r="J22" s="108">
        <f>SUMIFS('Op 1 - Convergence'!Y:Y,'Op 1 - Convergence'!$I:$I,$D22)</f>
        <v>0</v>
      </c>
      <c r="K22" s="108">
        <f>SUMIFS('Op 1 - Convergence'!Z:Z,'Op 1 - Convergence'!$I:$I,$D22)</f>
        <v>670</v>
      </c>
      <c r="L22" s="108" t="e">
        <f t="shared" si="1"/>
        <v>#REF!</v>
      </c>
      <c r="N22" s="108" t="e">
        <f>SUMIFS('Op 2 - Acute'!S:S,'Op 2 - Acute'!$I:$I,$D22)</f>
        <v>#REF!</v>
      </c>
      <c r="O22" s="108">
        <f>SUMIFS('Op 2 - Acute'!T:T,'Op 2 - Acute'!$I:$I,$D22)</f>
        <v>0</v>
      </c>
      <c r="P22" s="108" t="e">
        <f>SUMIFS('Op 2 - Acute'!U:U,'Op 2 - Acute'!$I:$I,$D22)</f>
        <v>#REF!</v>
      </c>
      <c r="Q22" s="108" t="e">
        <f>SUMIFS('Op 2 - Acute'!V:V,'Op 2 - Acute'!$I:$I,$D22)</f>
        <v>#REF!</v>
      </c>
      <c r="R22" s="108">
        <f>SUMIFS('Op 2 - Acute'!Y:Y,'Op 2 - Acute'!$I:$I,$D22)</f>
        <v>2163.1229705009273</v>
      </c>
      <c r="S22" s="108">
        <f>SUMIFS('Op 2 - Acute'!Z:Z,'Op 2 - Acute'!$I:$I,$D22)</f>
        <v>1179.3680158978052</v>
      </c>
      <c r="T22" s="108" t="e">
        <f t="shared" si="2"/>
        <v>#REF!</v>
      </c>
      <c r="V22" s="108" t="e">
        <f t="shared" si="3"/>
        <v>#REF!</v>
      </c>
      <c r="X22" s="108" t="e">
        <f>SUMIFS('Op 1 - Convergence'!AK:AK,'Op 1 - Convergence'!I:I,D22)</f>
        <v>#REF!</v>
      </c>
      <c r="Y22" s="108" t="e">
        <f>SUMIFS('Op 1 - Convergence'!AN:AN,'Op 1 - Convergence'!I:I,D22)</f>
        <v>#REF!</v>
      </c>
      <c r="AA22" s="108" t="e">
        <f t="shared" si="4"/>
        <v>#REF!</v>
      </c>
      <c r="AB22" s="108" t="e">
        <f t="shared" si="5"/>
        <v>#REF!</v>
      </c>
      <c r="AD22" s="108" t="e">
        <f t="shared" si="6"/>
        <v>#REF!</v>
      </c>
      <c r="AE22" s="108" t="e">
        <f t="shared" si="7"/>
        <v>#REF!</v>
      </c>
      <c r="AG22" s="108" t="e">
        <f t="shared" si="8"/>
        <v>#REF!</v>
      </c>
    </row>
    <row r="23" spans="2:33" x14ac:dyDescent="0.25">
      <c r="B23" s="269" t="s">
        <v>34</v>
      </c>
      <c r="C23" s="271" t="s">
        <v>18</v>
      </c>
      <c r="D23" s="271" t="s">
        <v>19</v>
      </c>
      <c r="E23" s="231" t="s">
        <v>20</v>
      </c>
      <c r="F23" s="108" t="e">
        <f>SUMIFS('Op 1 - Convergence'!S:S,'Op 1 - Convergence'!$I:$I,$D23)</f>
        <v>#REF!</v>
      </c>
      <c r="G23" s="108">
        <f>SUMIFS('Op 1 - Convergence'!T:T,'Op 1 - Convergence'!$I:$I,$D23)</f>
        <v>0</v>
      </c>
      <c r="H23" s="108" t="e">
        <f>SUMIFS('Op 1 - Convergence'!U:U,'Op 1 - Convergence'!$I:$I,$D23)</f>
        <v>#REF!</v>
      </c>
      <c r="I23" s="108" t="e">
        <f>SUMIFS('Op 1 - Convergence'!V:V,'Op 1 - Convergence'!$I:$I,$D23)</f>
        <v>#REF!</v>
      </c>
      <c r="J23" s="108">
        <f>SUMIFS('Op 1 - Convergence'!Y:Y,'Op 1 - Convergence'!$I:$I,$D23)</f>
        <v>0</v>
      </c>
      <c r="K23" s="108">
        <f>SUMIFS('Op 1 - Convergence'!Z:Z,'Op 1 - Convergence'!$I:$I,$D23)</f>
        <v>1520</v>
      </c>
      <c r="L23" s="108" t="e">
        <f t="shared" si="1"/>
        <v>#REF!</v>
      </c>
      <c r="N23" s="108" t="e">
        <f>SUMIFS('Op 2 - Acute'!S:S,'Op 2 - Acute'!$I:$I,$D23)</f>
        <v>#REF!</v>
      </c>
      <c r="O23" s="108">
        <f>SUMIFS('Op 2 - Acute'!T:T,'Op 2 - Acute'!$I:$I,$D23)</f>
        <v>0</v>
      </c>
      <c r="P23" s="108" t="e">
        <f>SUMIFS('Op 2 - Acute'!U:U,'Op 2 - Acute'!$I:$I,$D23)</f>
        <v>#REF!</v>
      </c>
      <c r="Q23" s="108" t="e">
        <f>SUMIFS('Op 2 - Acute'!V:V,'Op 2 - Acute'!$I:$I,$D23)</f>
        <v>#REF!</v>
      </c>
      <c r="R23" s="108">
        <f>SUMIFS('Op 2 - Acute'!Y:Y,'Op 2 - Acute'!$I:$I,$D23)</f>
        <v>4683.2570608412507</v>
      </c>
      <c r="S23" s="108">
        <f>SUMIFS('Op 2 - Acute'!Z:Z,'Op 2 - Acute'!$I:$I,$D23)</f>
        <v>2688.0066187900125</v>
      </c>
      <c r="T23" s="108" t="e">
        <f t="shared" si="2"/>
        <v>#REF!</v>
      </c>
      <c r="V23" s="108" t="e">
        <f t="shared" si="3"/>
        <v>#REF!</v>
      </c>
      <c r="X23" s="108" t="e">
        <f>SUMIFS('Op 1 - Convergence'!AK:AK,'Op 1 - Convergence'!I:I,D23)</f>
        <v>#REF!</v>
      </c>
      <c r="Y23" s="108" t="e">
        <f>SUMIFS('Op 1 - Convergence'!AN:AN,'Op 1 - Convergence'!I:I,D23)</f>
        <v>#REF!</v>
      </c>
      <c r="AA23" s="108" t="e">
        <f t="shared" si="4"/>
        <v>#REF!</v>
      </c>
      <c r="AB23" s="108" t="e">
        <f t="shared" si="5"/>
        <v>#REF!</v>
      </c>
      <c r="AD23" s="108" t="e">
        <f t="shared" si="6"/>
        <v>#REF!</v>
      </c>
      <c r="AE23" s="108" t="e">
        <f t="shared" si="7"/>
        <v>#REF!</v>
      </c>
      <c r="AG23" s="108" t="e">
        <f t="shared" si="8"/>
        <v>#REF!</v>
      </c>
    </row>
    <row r="24" spans="2:33" x14ac:dyDescent="0.25">
      <c r="B24" s="266" t="s">
        <v>58</v>
      </c>
      <c r="C24" s="268" t="s">
        <v>35</v>
      </c>
      <c r="D24" s="61" t="s">
        <v>42</v>
      </c>
      <c r="E24" s="231" t="s">
        <v>43</v>
      </c>
      <c r="F24" s="108" t="e">
        <f>SUMIFS('Op 1 - Convergence'!S:S,'Op 1 - Convergence'!$I:$I,$D24)</f>
        <v>#REF!</v>
      </c>
      <c r="G24" s="108">
        <f>SUMIFS('Op 1 - Convergence'!T:T,'Op 1 - Convergence'!$I:$I,$D24)</f>
        <v>0</v>
      </c>
      <c r="H24" s="108" t="e">
        <f>SUMIFS('Op 1 - Convergence'!U:U,'Op 1 - Convergence'!$I:$I,$D24)</f>
        <v>#REF!</v>
      </c>
      <c r="I24" s="108" t="e">
        <f>SUMIFS('Op 1 - Convergence'!V:V,'Op 1 - Convergence'!$I:$I,$D24)</f>
        <v>#REF!</v>
      </c>
      <c r="J24" s="108">
        <f>SUMIFS('Op 1 - Convergence'!Y:Y,'Op 1 - Convergence'!$I:$I,$D24)</f>
        <v>0</v>
      </c>
      <c r="K24" s="108">
        <f>SUMIFS('Op 1 - Convergence'!Z:Z,'Op 1 - Convergence'!$I:$I,$D24)</f>
        <v>946</v>
      </c>
      <c r="L24" s="108" t="e">
        <f t="shared" si="1"/>
        <v>#REF!</v>
      </c>
      <c r="N24" s="108" t="e">
        <f>SUMIFS('Op 2 - Acute'!S:S,'Op 2 - Acute'!$I:$I,$D24)</f>
        <v>#REF!</v>
      </c>
      <c r="O24" s="108">
        <f>SUMIFS('Op 2 - Acute'!T:T,'Op 2 - Acute'!$I:$I,$D24)</f>
        <v>0</v>
      </c>
      <c r="P24" s="108" t="e">
        <f>SUMIFS('Op 2 - Acute'!U:U,'Op 2 - Acute'!$I:$I,$D24)</f>
        <v>#REF!</v>
      </c>
      <c r="Q24" s="108" t="e">
        <f>SUMIFS('Op 2 - Acute'!V:V,'Op 2 - Acute'!$I:$I,$D24)</f>
        <v>#REF!</v>
      </c>
      <c r="R24" s="108">
        <f>SUMIFS('Op 2 - Acute'!Y:Y,'Op 2 - Acute'!$I:$I,$D24)</f>
        <v>2972.7781856847223</v>
      </c>
      <c r="S24" s="108">
        <f>SUMIFS('Op 2 - Acute'!Z:Z,'Op 2 - Acute'!$I:$I,$D24)</f>
        <v>1670.2238395055906</v>
      </c>
      <c r="T24" s="108" t="e">
        <f t="shared" si="2"/>
        <v>#REF!</v>
      </c>
      <c r="V24" s="108" t="e">
        <f t="shared" si="3"/>
        <v>#REF!</v>
      </c>
      <c r="X24" s="108" t="e">
        <f>SUMIFS('Op 1 - Convergence'!AK:AK,'Op 1 - Convergence'!I:I,D24)</f>
        <v>#REF!</v>
      </c>
      <c r="Y24" s="108" t="e">
        <f>SUMIFS('Op 1 - Convergence'!AN:AN,'Op 1 - Convergence'!I:I,D24)</f>
        <v>#REF!</v>
      </c>
      <c r="AA24" s="108" t="e">
        <f t="shared" si="4"/>
        <v>#REF!</v>
      </c>
      <c r="AB24" s="108" t="e">
        <f t="shared" si="5"/>
        <v>#REF!</v>
      </c>
      <c r="AD24" s="108" t="e">
        <f t="shared" si="6"/>
        <v>#REF!</v>
      </c>
      <c r="AE24" s="108" t="e">
        <f t="shared" si="7"/>
        <v>#REF!</v>
      </c>
      <c r="AG24" s="108" t="e">
        <f t="shared" si="8"/>
        <v>#REF!</v>
      </c>
    </row>
    <row r="25" spans="2:33" x14ac:dyDescent="0.25">
      <c r="B25" s="267" t="s">
        <v>58</v>
      </c>
      <c r="C25" s="268" t="s">
        <v>73</v>
      </c>
      <c r="D25" s="61" t="s">
        <v>76</v>
      </c>
      <c r="E25" s="231" t="s">
        <v>77</v>
      </c>
      <c r="F25" s="108" t="e">
        <f>SUMIFS('Op 1 - Convergence'!S:S,'Op 1 - Convergence'!$I:$I,$D25)</f>
        <v>#REF!</v>
      </c>
      <c r="G25" s="108">
        <f>SUMIFS('Op 1 - Convergence'!T:T,'Op 1 - Convergence'!$I:$I,$D25)</f>
        <v>0</v>
      </c>
      <c r="H25" s="108" t="e">
        <f>SUMIFS('Op 1 - Convergence'!U:U,'Op 1 - Convergence'!$I:$I,$D25)</f>
        <v>#REF!</v>
      </c>
      <c r="I25" s="108" t="e">
        <f>SUMIFS('Op 1 - Convergence'!V:V,'Op 1 - Convergence'!$I:$I,$D25)</f>
        <v>#REF!</v>
      </c>
      <c r="J25" s="108">
        <f>SUMIFS('Op 1 - Convergence'!Y:Y,'Op 1 - Convergence'!$I:$I,$D25)</f>
        <v>0</v>
      </c>
      <c r="K25" s="108">
        <f>SUMIFS('Op 1 - Convergence'!Z:Z,'Op 1 - Convergence'!$I:$I,$D25)</f>
        <v>6.6550185088999569E-2</v>
      </c>
      <c r="L25" s="108" t="e">
        <f t="shared" si="1"/>
        <v>#REF!</v>
      </c>
      <c r="N25" s="108" t="e">
        <f>SUMIFS('Op 2 - Acute'!S:S,'Op 2 - Acute'!$I:$I,$D25)</f>
        <v>#REF!</v>
      </c>
      <c r="O25" s="108">
        <f>SUMIFS('Op 2 - Acute'!T:T,'Op 2 - Acute'!$I:$I,$D25)</f>
        <v>0</v>
      </c>
      <c r="P25" s="108" t="e">
        <f>SUMIFS('Op 2 - Acute'!U:U,'Op 2 - Acute'!$I:$I,$D25)</f>
        <v>#REF!</v>
      </c>
      <c r="Q25" s="108" t="e">
        <f>SUMIFS('Op 2 - Acute'!V:V,'Op 2 - Acute'!$I:$I,$D25)</f>
        <v>#REF!</v>
      </c>
      <c r="R25" s="108">
        <f>SUMIFS('Op 2 - Acute'!Y:Y,'Op 2 - Acute'!$I:$I,$D25)</f>
        <v>-5641.1236040277809</v>
      </c>
      <c r="S25" s="108">
        <f>SUMIFS('Op 2 - Acute'!Z:Z,'Op 2 - Acute'!$I:$I,$D25)</f>
        <v>0</v>
      </c>
      <c r="T25" s="108" t="e">
        <f t="shared" si="2"/>
        <v>#REF!</v>
      </c>
      <c r="V25" s="108" t="e">
        <f t="shared" si="3"/>
        <v>#REF!</v>
      </c>
      <c r="X25" s="108" t="e">
        <f>SUMIFS('Op 1 - Convergence'!AK:AK,'Op 1 - Convergence'!I:I,D25)</f>
        <v>#REF!</v>
      </c>
      <c r="Y25" s="108" t="e">
        <f>SUMIFS('Op 1 - Convergence'!AN:AN,'Op 1 - Convergence'!I:I,D25)</f>
        <v>#REF!</v>
      </c>
      <c r="AA25" s="108" t="e">
        <f t="shared" si="4"/>
        <v>#REF!</v>
      </c>
      <c r="AB25" s="108" t="e">
        <f t="shared" si="5"/>
        <v>#REF!</v>
      </c>
      <c r="AD25" s="108" t="e">
        <f t="shared" si="6"/>
        <v>#REF!</v>
      </c>
      <c r="AE25" s="108" t="e">
        <f t="shared" si="7"/>
        <v>#REF!</v>
      </c>
      <c r="AG25" s="108" t="e">
        <f t="shared" si="8"/>
        <v>#REF!</v>
      </c>
    </row>
    <row r="26" spans="2:33" x14ac:dyDescent="0.25">
      <c r="B26" s="267" t="s">
        <v>58</v>
      </c>
      <c r="C26" s="61" t="s">
        <v>85</v>
      </c>
      <c r="D26" s="61" t="s">
        <v>86</v>
      </c>
      <c r="E26" s="231" t="s">
        <v>87</v>
      </c>
      <c r="F26" s="108" t="e">
        <f>SUMIFS('Op 1 - Convergence'!S:S,'Op 1 - Convergence'!$I:$I,$D26)</f>
        <v>#REF!</v>
      </c>
      <c r="G26" s="108">
        <f>SUMIFS('Op 1 - Convergence'!T:T,'Op 1 - Convergence'!$I:$I,$D26)</f>
        <v>0</v>
      </c>
      <c r="H26" s="108" t="e">
        <f>SUMIFS('Op 1 - Convergence'!U:U,'Op 1 - Convergence'!$I:$I,$D26)</f>
        <v>#REF!</v>
      </c>
      <c r="I26" s="108" t="e">
        <f>SUMIFS('Op 1 - Convergence'!V:V,'Op 1 - Convergence'!$I:$I,$D26)</f>
        <v>#REF!</v>
      </c>
      <c r="J26" s="108">
        <f>SUMIFS('Op 1 - Convergence'!Y:Y,'Op 1 - Convergence'!$I:$I,$D26)</f>
        <v>0</v>
      </c>
      <c r="K26" s="108">
        <f>SUMIFS('Op 1 - Convergence'!Z:Z,'Op 1 - Convergence'!$I:$I,$D26)</f>
        <v>-0.14499230775982141</v>
      </c>
      <c r="L26" s="108" t="e">
        <f t="shared" si="1"/>
        <v>#REF!</v>
      </c>
      <c r="N26" s="108" t="e">
        <f>SUMIFS('Op 2 - Acute'!S:S,'Op 2 - Acute'!$I:$I,$D26)</f>
        <v>#REF!</v>
      </c>
      <c r="O26" s="108">
        <f>SUMIFS('Op 2 - Acute'!T:T,'Op 2 - Acute'!$I:$I,$D26)</f>
        <v>0</v>
      </c>
      <c r="P26" s="108" t="e">
        <f>SUMIFS('Op 2 - Acute'!U:U,'Op 2 - Acute'!$I:$I,$D26)</f>
        <v>#REF!</v>
      </c>
      <c r="Q26" s="108" t="e">
        <f>SUMIFS('Op 2 - Acute'!V:V,'Op 2 - Acute'!$I:$I,$D26)</f>
        <v>#REF!</v>
      </c>
      <c r="R26" s="108">
        <f>SUMIFS('Op 2 - Acute'!Y:Y,'Op 2 - Acute'!$I:$I,$D26)</f>
        <v>-603.78470224040302</v>
      </c>
      <c r="S26" s="108">
        <f>SUMIFS('Op 2 - Acute'!Z:Z,'Op 2 - Acute'!$I:$I,$D26)</f>
        <v>0</v>
      </c>
      <c r="T26" s="108" t="e">
        <f t="shared" si="2"/>
        <v>#REF!</v>
      </c>
      <c r="V26" s="108" t="e">
        <f t="shared" si="3"/>
        <v>#REF!</v>
      </c>
      <c r="X26" s="108" t="e">
        <f>SUMIFS('Op 1 - Convergence'!AK:AK,'Op 1 - Convergence'!I:I,D26)</f>
        <v>#REF!</v>
      </c>
      <c r="Y26" s="108" t="e">
        <f>SUMIFS('Op 1 - Convergence'!AN:AN,'Op 1 - Convergence'!I:I,D26)</f>
        <v>#REF!</v>
      </c>
      <c r="AA26" s="108" t="e">
        <f t="shared" si="4"/>
        <v>#REF!</v>
      </c>
      <c r="AB26" s="108" t="e">
        <f t="shared" si="5"/>
        <v>#REF!</v>
      </c>
      <c r="AD26" s="108" t="e">
        <f t="shared" si="6"/>
        <v>#REF!</v>
      </c>
      <c r="AE26" s="108" t="e">
        <f t="shared" si="7"/>
        <v>#REF!</v>
      </c>
      <c r="AG26" s="108" t="e">
        <f t="shared" si="8"/>
        <v>#REF!</v>
      </c>
    </row>
    <row r="27" spans="2:33" x14ac:dyDescent="0.25">
      <c r="B27" s="267" t="s">
        <v>58</v>
      </c>
      <c r="C27" s="268" t="s">
        <v>99</v>
      </c>
      <c r="D27" s="61" t="s">
        <v>108</v>
      </c>
      <c r="E27" s="231" t="s">
        <v>109</v>
      </c>
      <c r="F27" s="108" t="e">
        <f>SUMIFS('Op 1 - Convergence'!S:S,'Op 1 - Convergence'!$I:$I,$D27)</f>
        <v>#REF!</v>
      </c>
      <c r="G27" s="108">
        <f>SUMIFS('Op 1 - Convergence'!T:T,'Op 1 - Convergence'!$I:$I,$D27)</f>
        <v>0</v>
      </c>
      <c r="H27" s="108" t="e">
        <f>SUMIFS('Op 1 - Convergence'!U:U,'Op 1 - Convergence'!$I:$I,$D27)</f>
        <v>#REF!</v>
      </c>
      <c r="I27" s="108" t="e">
        <f>SUMIFS('Op 1 - Convergence'!V:V,'Op 1 - Convergence'!$I:$I,$D27)</f>
        <v>#REF!</v>
      </c>
      <c r="J27" s="108">
        <f>SUMIFS('Op 1 - Convergence'!Y:Y,'Op 1 - Convergence'!$I:$I,$D27)</f>
        <v>0</v>
      </c>
      <c r="K27" s="108">
        <f>SUMIFS('Op 1 - Convergence'!Z:Z,'Op 1 - Convergence'!$I:$I,$D27)</f>
        <v>704</v>
      </c>
      <c r="L27" s="108" t="e">
        <f t="shared" si="1"/>
        <v>#REF!</v>
      </c>
      <c r="N27" s="108" t="e">
        <f>SUMIFS('Op 2 - Acute'!S:S,'Op 2 - Acute'!$I:$I,$D27)</f>
        <v>#REF!</v>
      </c>
      <c r="O27" s="108">
        <f>SUMIFS('Op 2 - Acute'!T:T,'Op 2 - Acute'!$I:$I,$D27)</f>
        <v>0</v>
      </c>
      <c r="P27" s="108" t="e">
        <f>SUMIFS('Op 2 - Acute'!U:U,'Op 2 - Acute'!$I:$I,$D27)</f>
        <v>#REF!</v>
      </c>
      <c r="Q27" s="108" t="e">
        <f>SUMIFS('Op 2 - Acute'!V:V,'Op 2 - Acute'!$I:$I,$D27)</f>
        <v>#REF!</v>
      </c>
      <c r="R27" s="108">
        <f>SUMIFS('Op 2 - Acute'!Y:Y,'Op 2 - Acute'!$I:$I,$D27)</f>
        <v>2308.2536420792526</v>
      </c>
      <c r="S27" s="108">
        <f>SUMIFS('Op 2 - Acute'!Z:Z,'Op 2 - Acute'!$I:$I,$D27)</f>
        <v>1242.7894461742601</v>
      </c>
      <c r="T27" s="108" t="e">
        <f t="shared" si="2"/>
        <v>#REF!</v>
      </c>
      <c r="V27" s="108" t="e">
        <f t="shared" si="3"/>
        <v>#REF!</v>
      </c>
      <c r="X27" s="108" t="e">
        <f>SUMIFS('Op 1 - Convergence'!AK:AK,'Op 1 - Convergence'!I:I,D27)</f>
        <v>#REF!</v>
      </c>
      <c r="Y27" s="108" t="e">
        <f>SUMIFS('Op 1 - Convergence'!AN:AN,'Op 1 - Convergence'!I:I,D27)</f>
        <v>#REF!</v>
      </c>
      <c r="AA27" s="108" t="e">
        <f t="shared" si="4"/>
        <v>#REF!</v>
      </c>
      <c r="AB27" s="108" t="e">
        <f t="shared" si="5"/>
        <v>#REF!</v>
      </c>
      <c r="AD27" s="108" t="e">
        <f t="shared" si="6"/>
        <v>#REF!</v>
      </c>
      <c r="AE27" s="108" t="e">
        <f t="shared" si="7"/>
        <v>#REF!</v>
      </c>
      <c r="AG27" s="108" t="e">
        <f t="shared" si="8"/>
        <v>#REF!</v>
      </c>
    </row>
    <row r="28" spans="2:33" x14ac:dyDescent="0.25">
      <c r="B28" s="267" t="s">
        <v>58</v>
      </c>
      <c r="C28" s="268" t="s">
        <v>35</v>
      </c>
      <c r="D28" s="61" t="s">
        <v>44</v>
      </c>
      <c r="E28" s="231" t="s">
        <v>45</v>
      </c>
      <c r="F28" s="108" t="e">
        <f>SUMIFS('Op 1 - Convergence'!S:S,'Op 1 - Convergence'!$I:$I,$D28)</f>
        <v>#REF!</v>
      </c>
      <c r="G28" s="108">
        <f>SUMIFS('Op 1 - Convergence'!T:T,'Op 1 - Convergence'!$I:$I,$D28)</f>
        <v>0</v>
      </c>
      <c r="H28" s="108" t="e">
        <f>SUMIFS('Op 1 - Convergence'!U:U,'Op 1 - Convergence'!$I:$I,$D28)</f>
        <v>#REF!</v>
      </c>
      <c r="I28" s="108" t="e">
        <f>SUMIFS('Op 1 - Convergence'!V:V,'Op 1 - Convergence'!$I:$I,$D28)</f>
        <v>#REF!</v>
      </c>
      <c r="J28" s="108">
        <f>SUMIFS('Op 1 - Convergence'!Y:Y,'Op 1 - Convergence'!$I:$I,$D28)</f>
        <v>0</v>
      </c>
      <c r="K28" s="108">
        <f>SUMIFS('Op 1 - Convergence'!Z:Z,'Op 1 - Convergence'!$I:$I,$D28)</f>
        <v>749</v>
      </c>
      <c r="L28" s="108" t="e">
        <f t="shared" si="1"/>
        <v>#REF!</v>
      </c>
      <c r="N28" s="108" t="e">
        <f>SUMIFS('Op 2 - Acute'!S:S,'Op 2 - Acute'!$I:$I,$D28)</f>
        <v>#REF!</v>
      </c>
      <c r="O28" s="108">
        <f>SUMIFS('Op 2 - Acute'!T:T,'Op 2 - Acute'!$I:$I,$D28)</f>
        <v>0</v>
      </c>
      <c r="P28" s="108" t="e">
        <f>SUMIFS('Op 2 - Acute'!U:U,'Op 2 - Acute'!$I:$I,$D28)</f>
        <v>#REF!</v>
      </c>
      <c r="Q28" s="108" t="e">
        <f>SUMIFS('Op 2 - Acute'!V:V,'Op 2 - Acute'!$I:$I,$D28)</f>
        <v>#REF!</v>
      </c>
      <c r="R28" s="108">
        <f>SUMIFS('Op 2 - Acute'!Y:Y,'Op 2 - Acute'!$I:$I,$D28)</f>
        <v>2044.0745358830738</v>
      </c>
      <c r="S28" s="108">
        <f>SUMIFS('Op 2 - Acute'!Z:Z,'Op 2 - Acute'!$I:$I,$D28)</f>
        <v>1319.6874080790506</v>
      </c>
      <c r="T28" s="108" t="e">
        <f t="shared" si="2"/>
        <v>#REF!</v>
      </c>
      <c r="V28" s="108" t="e">
        <f t="shared" si="3"/>
        <v>#REF!</v>
      </c>
      <c r="X28" s="108" t="e">
        <f>SUMIFS('Op 1 - Convergence'!AK:AK,'Op 1 - Convergence'!I:I,D28)</f>
        <v>#REF!</v>
      </c>
      <c r="Y28" s="108" t="e">
        <f>SUMIFS('Op 1 - Convergence'!AN:AN,'Op 1 - Convergence'!I:I,D28)</f>
        <v>#REF!</v>
      </c>
      <c r="AA28" s="108" t="e">
        <f t="shared" si="4"/>
        <v>#REF!</v>
      </c>
      <c r="AB28" s="108" t="e">
        <f t="shared" si="5"/>
        <v>#REF!</v>
      </c>
      <c r="AD28" s="108" t="e">
        <f t="shared" si="6"/>
        <v>#REF!</v>
      </c>
      <c r="AE28" s="108" t="e">
        <f t="shared" si="7"/>
        <v>#REF!</v>
      </c>
      <c r="AG28" s="108" t="e">
        <f t="shared" si="8"/>
        <v>#REF!</v>
      </c>
    </row>
    <row r="29" spans="2:33" x14ac:dyDescent="0.25">
      <c r="B29" s="269" t="s">
        <v>58</v>
      </c>
      <c r="C29" s="270" t="s">
        <v>35</v>
      </c>
      <c r="D29" s="271" t="s">
        <v>48</v>
      </c>
      <c r="E29" s="231" t="s">
        <v>49</v>
      </c>
      <c r="F29" s="108" t="e">
        <f>SUMIFS('Op 1 - Convergence'!S:S,'Op 1 - Convergence'!$I:$I,$D29)</f>
        <v>#REF!</v>
      </c>
      <c r="G29" s="108">
        <f>SUMIFS('Op 1 - Convergence'!T:T,'Op 1 - Convergence'!$I:$I,$D29)</f>
        <v>0</v>
      </c>
      <c r="H29" s="108" t="e">
        <f>SUMIFS('Op 1 - Convergence'!U:U,'Op 1 - Convergence'!$I:$I,$D29)</f>
        <v>#REF!</v>
      </c>
      <c r="I29" s="108" t="e">
        <f>SUMIFS('Op 1 - Convergence'!V:V,'Op 1 - Convergence'!$I:$I,$D29)</f>
        <v>#REF!</v>
      </c>
      <c r="J29" s="108">
        <f>SUMIFS('Op 1 - Convergence'!Y:Y,'Op 1 - Convergence'!$I:$I,$D29)</f>
        <v>0</v>
      </c>
      <c r="K29" s="108">
        <f>SUMIFS('Op 1 - Convergence'!Z:Z,'Op 1 - Convergence'!$I:$I,$D29)</f>
        <v>719</v>
      </c>
      <c r="L29" s="108" t="e">
        <f t="shared" si="1"/>
        <v>#REF!</v>
      </c>
      <c r="N29" s="108" t="e">
        <f>SUMIFS('Op 2 - Acute'!S:S,'Op 2 - Acute'!$I:$I,$D29)</f>
        <v>#REF!</v>
      </c>
      <c r="O29" s="108">
        <f>SUMIFS('Op 2 - Acute'!T:T,'Op 2 - Acute'!$I:$I,$D29)</f>
        <v>0</v>
      </c>
      <c r="P29" s="108" t="e">
        <f>SUMIFS('Op 2 - Acute'!U:U,'Op 2 - Acute'!$I:$I,$D29)</f>
        <v>#REF!</v>
      </c>
      <c r="Q29" s="108" t="e">
        <f>SUMIFS('Op 2 - Acute'!V:V,'Op 2 - Acute'!$I:$I,$D29)</f>
        <v>#REF!</v>
      </c>
      <c r="R29" s="108">
        <f>SUMIFS('Op 2 - Acute'!Y:Y,'Op 2 - Acute'!$I:$I,$D29)</f>
        <v>1990.7228154500262</v>
      </c>
      <c r="S29" s="108">
        <f>SUMIFS('Op 2 - Acute'!Z:Z,'Op 2 - Acute'!$I:$I,$D29)</f>
        <v>1267.1040481864636</v>
      </c>
      <c r="T29" s="108" t="e">
        <f t="shared" si="2"/>
        <v>#REF!</v>
      </c>
      <c r="V29" s="108" t="e">
        <f t="shared" si="3"/>
        <v>#REF!</v>
      </c>
      <c r="X29" s="108" t="e">
        <f>SUMIFS('Op 1 - Convergence'!AK:AK,'Op 1 - Convergence'!I:I,D29)</f>
        <v>#REF!</v>
      </c>
      <c r="Y29" s="108" t="e">
        <f>SUMIFS('Op 1 - Convergence'!AN:AN,'Op 1 - Convergence'!I:I,D29)</f>
        <v>#REF!</v>
      </c>
      <c r="AA29" s="108" t="e">
        <f t="shared" si="4"/>
        <v>#REF!</v>
      </c>
      <c r="AB29" s="108" t="e">
        <f t="shared" si="5"/>
        <v>#REF!</v>
      </c>
      <c r="AD29" s="108" t="e">
        <f t="shared" si="6"/>
        <v>#REF!</v>
      </c>
      <c r="AE29" s="108" t="e">
        <f t="shared" si="7"/>
        <v>#REF!</v>
      </c>
      <c r="AG29" s="108" t="e">
        <f t="shared" si="8"/>
        <v>#REF!</v>
      </c>
    </row>
    <row r="30" spans="2:33" x14ac:dyDescent="0.25">
      <c r="B30" s="266" t="s">
        <v>72</v>
      </c>
      <c r="C30" s="268" t="s">
        <v>59</v>
      </c>
      <c r="D30" s="61" t="s">
        <v>68</v>
      </c>
      <c r="E30" s="231" t="s">
        <v>69</v>
      </c>
      <c r="F30" s="108" t="e">
        <f>SUMIFS('Op 1 - Convergence'!S:S,'Op 1 - Convergence'!$I:$I,$D30)</f>
        <v>#REF!</v>
      </c>
      <c r="G30" s="108">
        <f>SUMIFS('Op 1 - Convergence'!T:T,'Op 1 - Convergence'!$I:$I,$D30)</f>
        <v>0</v>
      </c>
      <c r="H30" s="108" t="e">
        <f>SUMIFS('Op 1 - Convergence'!U:U,'Op 1 - Convergence'!$I:$I,$D30)</f>
        <v>#REF!</v>
      </c>
      <c r="I30" s="108" t="e">
        <f>SUMIFS('Op 1 - Convergence'!V:V,'Op 1 - Convergence'!$I:$I,$D30)</f>
        <v>#REF!</v>
      </c>
      <c r="J30" s="108">
        <f>SUMIFS('Op 1 - Convergence'!Y:Y,'Op 1 - Convergence'!$I:$I,$D30)</f>
        <v>0</v>
      </c>
      <c r="K30" s="108">
        <f>SUMIFS('Op 1 - Convergence'!Z:Z,'Op 1 - Convergence'!$I:$I,$D30)</f>
        <v>970</v>
      </c>
      <c r="L30" s="108" t="e">
        <f t="shared" si="1"/>
        <v>#REF!</v>
      </c>
      <c r="N30" s="108" t="e">
        <f>SUMIFS('Op 2 - Acute'!S:S,'Op 2 - Acute'!$I:$I,$D30)</f>
        <v>#REF!</v>
      </c>
      <c r="O30" s="108">
        <f>SUMIFS('Op 2 - Acute'!T:T,'Op 2 - Acute'!$I:$I,$D30)</f>
        <v>0</v>
      </c>
      <c r="P30" s="108" t="e">
        <f>SUMIFS('Op 2 - Acute'!U:U,'Op 2 - Acute'!$I:$I,$D30)</f>
        <v>#REF!</v>
      </c>
      <c r="Q30" s="108" t="e">
        <f>SUMIFS('Op 2 - Acute'!V:V,'Op 2 - Acute'!$I:$I,$D30)</f>
        <v>#REF!</v>
      </c>
      <c r="R30" s="108">
        <f>SUMIFS('Op 2 - Acute'!Y:Y,'Op 2 - Acute'!$I:$I,$D30)</f>
        <v>3099.9277252544298</v>
      </c>
      <c r="S30" s="108">
        <f>SUMIFS('Op 2 - Acute'!Z:Z,'Op 2 - Acute'!$I:$I,$D30)</f>
        <v>1710.354013129195</v>
      </c>
      <c r="T30" s="108" t="e">
        <f t="shared" si="2"/>
        <v>#REF!</v>
      </c>
      <c r="V30" s="108" t="e">
        <f t="shared" si="3"/>
        <v>#REF!</v>
      </c>
      <c r="X30" s="108" t="e">
        <f>SUMIFS('Op 1 - Convergence'!AK:AK,'Op 1 - Convergence'!I:I,D30)</f>
        <v>#REF!</v>
      </c>
      <c r="Y30" s="108" t="e">
        <f>SUMIFS('Op 1 - Convergence'!AN:AN,'Op 1 - Convergence'!I:I,D30)</f>
        <v>#REF!</v>
      </c>
      <c r="AA30" s="108" t="e">
        <f t="shared" si="4"/>
        <v>#REF!</v>
      </c>
      <c r="AB30" s="108" t="e">
        <f t="shared" si="5"/>
        <v>#REF!</v>
      </c>
      <c r="AD30" s="108" t="e">
        <f t="shared" si="6"/>
        <v>#REF!</v>
      </c>
      <c r="AE30" s="108" t="e">
        <f t="shared" si="7"/>
        <v>#REF!</v>
      </c>
      <c r="AG30" s="108" t="e">
        <f t="shared" si="8"/>
        <v>#REF!</v>
      </c>
    </row>
    <row r="31" spans="2:33" x14ac:dyDescent="0.25">
      <c r="B31" s="267" t="s">
        <v>72</v>
      </c>
      <c r="C31" s="268" t="s">
        <v>85</v>
      </c>
      <c r="D31" s="61" t="s">
        <v>88</v>
      </c>
      <c r="E31" s="231" t="s">
        <v>89</v>
      </c>
      <c r="F31" s="108" t="e">
        <f>SUMIFS('Op 1 - Convergence'!S:S,'Op 1 - Convergence'!$I:$I,$D31)</f>
        <v>#REF!</v>
      </c>
      <c r="G31" s="108">
        <f>SUMIFS('Op 1 - Convergence'!T:T,'Op 1 - Convergence'!$I:$I,$D31)</f>
        <v>0</v>
      </c>
      <c r="H31" s="108" t="e">
        <f>SUMIFS('Op 1 - Convergence'!U:U,'Op 1 - Convergence'!$I:$I,$D31)</f>
        <v>#REF!</v>
      </c>
      <c r="I31" s="108" t="e">
        <f>SUMIFS('Op 1 - Convergence'!V:V,'Op 1 - Convergence'!$I:$I,$D31)</f>
        <v>#REF!</v>
      </c>
      <c r="J31" s="108">
        <f>SUMIFS('Op 1 - Convergence'!Y:Y,'Op 1 - Convergence'!$I:$I,$D31)</f>
        <v>0</v>
      </c>
      <c r="K31" s="108">
        <f>SUMIFS('Op 1 - Convergence'!Z:Z,'Op 1 - Convergence'!$I:$I,$D31)</f>
        <v>655</v>
      </c>
      <c r="L31" s="108" t="e">
        <f t="shared" si="1"/>
        <v>#REF!</v>
      </c>
      <c r="N31" s="108" t="e">
        <f>SUMIFS('Op 2 - Acute'!S:S,'Op 2 - Acute'!$I:$I,$D31)</f>
        <v>#REF!</v>
      </c>
      <c r="O31" s="108">
        <f>SUMIFS('Op 2 - Acute'!T:T,'Op 2 - Acute'!$I:$I,$D31)</f>
        <v>0</v>
      </c>
      <c r="P31" s="108" t="e">
        <f>SUMIFS('Op 2 - Acute'!U:U,'Op 2 - Acute'!$I:$I,$D31)</f>
        <v>#REF!</v>
      </c>
      <c r="Q31" s="108" t="e">
        <f>SUMIFS('Op 2 - Acute'!V:V,'Op 2 - Acute'!$I:$I,$D31)</f>
        <v>#REF!</v>
      </c>
      <c r="R31" s="108">
        <f>SUMIFS('Op 2 - Acute'!Y:Y,'Op 2 - Acute'!$I:$I,$D31)</f>
        <v>2051.2744950739029</v>
      </c>
      <c r="S31" s="108">
        <f>SUMIFS('Op 2 - Acute'!Z:Z,'Op 2 - Acute'!$I:$I,$D31)</f>
        <v>1157.1580065947048</v>
      </c>
      <c r="T31" s="108" t="e">
        <f t="shared" si="2"/>
        <v>#REF!</v>
      </c>
      <c r="V31" s="108" t="e">
        <f t="shared" si="3"/>
        <v>#REF!</v>
      </c>
      <c r="X31" s="108" t="e">
        <f>SUMIFS('Op 1 - Convergence'!AK:AK,'Op 1 - Convergence'!I:I,D31)</f>
        <v>#REF!</v>
      </c>
      <c r="Y31" s="108" t="e">
        <f>SUMIFS('Op 1 - Convergence'!AN:AN,'Op 1 - Convergence'!I:I,D31)</f>
        <v>#REF!</v>
      </c>
      <c r="AA31" s="108" t="e">
        <f t="shared" si="4"/>
        <v>#REF!</v>
      </c>
      <c r="AB31" s="108" t="e">
        <f t="shared" si="5"/>
        <v>#REF!</v>
      </c>
      <c r="AD31" s="108" t="e">
        <f t="shared" si="6"/>
        <v>#REF!</v>
      </c>
      <c r="AE31" s="108" t="e">
        <f t="shared" si="7"/>
        <v>#REF!</v>
      </c>
      <c r="AG31" s="108" t="e">
        <f t="shared" si="8"/>
        <v>#REF!</v>
      </c>
    </row>
    <row r="32" spans="2:33" x14ac:dyDescent="0.25">
      <c r="B32" s="267" t="s">
        <v>72</v>
      </c>
      <c r="C32" s="61" t="s">
        <v>99</v>
      </c>
      <c r="D32" s="61" t="s">
        <v>100</v>
      </c>
      <c r="E32" s="231" t="s">
        <v>101</v>
      </c>
      <c r="F32" s="108" t="e">
        <f>SUMIFS('Op 1 - Convergence'!S:S,'Op 1 - Convergence'!$I:$I,$D32)</f>
        <v>#REF!</v>
      </c>
      <c r="G32" s="108">
        <f>SUMIFS('Op 1 - Convergence'!T:T,'Op 1 - Convergence'!$I:$I,$D32)</f>
        <v>0</v>
      </c>
      <c r="H32" s="108" t="e">
        <f>SUMIFS('Op 1 - Convergence'!U:U,'Op 1 - Convergence'!$I:$I,$D32)</f>
        <v>#REF!</v>
      </c>
      <c r="I32" s="108" t="e">
        <f>SUMIFS('Op 1 - Convergence'!V:V,'Op 1 - Convergence'!$I:$I,$D32)</f>
        <v>#REF!</v>
      </c>
      <c r="J32" s="108">
        <f>SUMIFS('Op 1 - Convergence'!Y:Y,'Op 1 - Convergence'!$I:$I,$D32)</f>
        <v>0</v>
      </c>
      <c r="K32" s="108">
        <f>SUMIFS('Op 1 - Convergence'!Z:Z,'Op 1 - Convergence'!$I:$I,$D32)</f>
        <v>837</v>
      </c>
      <c r="L32" s="108" t="e">
        <f t="shared" si="1"/>
        <v>#REF!</v>
      </c>
      <c r="N32" s="108" t="e">
        <f>SUMIFS('Op 2 - Acute'!S:S,'Op 2 - Acute'!$I:$I,$D32)</f>
        <v>#REF!</v>
      </c>
      <c r="O32" s="108">
        <f>SUMIFS('Op 2 - Acute'!T:T,'Op 2 - Acute'!$I:$I,$D32)</f>
        <v>0</v>
      </c>
      <c r="P32" s="108" t="e">
        <f>SUMIFS('Op 2 - Acute'!U:U,'Op 2 - Acute'!$I:$I,$D32)</f>
        <v>#REF!</v>
      </c>
      <c r="Q32" s="108" t="e">
        <f>SUMIFS('Op 2 - Acute'!V:V,'Op 2 - Acute'!$I:$I,$D32)</f>
        <v>#REF!</v>
      </c>
      <c r="R32" s="108">
        <f>SUMIFS('Op 2 - Acute'!Y:Y,'Op 2 - Acute'!$I:$I,$D32)</f>
        <v>2466.052512135192</v>
      </c>
      <c r="S32" s="108">
        <f>SUMIFS('Op 2 - Acute'!Z:Z,'Op 2 - Acute'!$I:$I,$D32)</f>
        <v>1475.2396987161544</v>
      </c>
      <c r="T32" s="108" t="e">
        <f t="shared" si="2"/>
        <v>#REF!</v>
      </c>
      <c r="V32" s="108" t="e">
        <f t="shared" si="3"/>
        <v>#REF!</v>
      </c>
      <c r="X32" s="108" t="e">
        <f>SUMIFS('Op 1 - Convergence'!AK:AK,'Op 1 - Convergence'!I:I,D32)</f>
        <v>#REF!</v>
      </c>
      <c r="Y32" s="108" t="e">
        <f>SUMIFS('Op 1 - Convergence'!AN:AN,'Op 1 - Convergence'!I:I,D32)</f>
        <v>#REF!</v>
      </c>
      <c r="AA32" s="108" t="e">
        <f t="shared" si="4"/>
        <v>#REF!</v>
      </c>
      <c r="AB32" s="108" t="e">
        <f t="shared" si="5"/>
        <v>#REF!</v>
      </c>
      <c r="AD32" s="108" t="e">
        <f t="shared" si="6"/>
        <v>#REF!</v>
      </c>
      <c r="AE32" s="108" t="e">
        <f t="shared" si="7"/>
        <v>#REF!</v>
      </c>
      <c r="AG32" s="108" t="e">
        <f t="shared" si="8"/>
        <v>#REF!</v>
      </c>
    </row>
    <row r="33" spans="2:33" x14ac:dyDescent="0.25">
      <c r="B33" s="267" t="s">
        <v>72</v>
      </c>
      <c r="C33" s="268" t="s">
        <v>18</v>
      </c>
      <c r="D33" s="61" t="s">
        <v>25</v>
      </c>
      <c r="E33" s="231" t="s">
        <v>26</v>
      </c>
      <c r="F33" s="108" t="e">
        <f>SUMIFS('Op 1 - Convergence'!S:S,'Op 1 - Convergence'!$I:$I,$D33)</f>
        <v>#REF!</v>
      </c>
      <c r="G33" s="108">
        <f>SUMIFS('Op 1 - Convergence'!T:T,'Op 1 - Convergence'!$I:$I,$D33)</f>
        <v>0</v>
      </c>
      <c r="H33" s="108" t="e">
        <f>SUMIFS('Op 1 - Convergence'!U:U,'Op 1 - Convergence'!$I:$I,$D33)</f>
        <v>#REF!</v>
      </c>
      <c r="I33" s="108" t="e">
        <f>SUMIFS('Op 1 - Convergence'!V:V,'Op 1 - Convergence'!$I:$I,$D33)</f>
        <v>#REF!</v>
      </c>
      <c r="J33" s="108">
        <f>SUMIFS('Op 1 - Convergence'!Y:Y,'Op 1 - Convergence'!$I:$I,$D33)</f>
        <v>0</v>
      </c>
      <c r="K33" s="108">
        <f>SUMIFS('Op 1 - Convergence'!Z:Z,'Op 1 - Convergence'!$I:$I,$D33)</f>
        <v>2045</v>
      </c>
      <c r="L33" s="108" t="e">
        <f t="shared" si="1"/>
        <v>#REF!</v>
      </c>
      <c r="N33" s="108" t="e">
        <f>SUMIFS('Op 2 - Acute'!S:S,'Op 2 - Acute'!$I:$I,$D33)</f>
        <v>#REF!</v>
      </c>
      <c r="O33" s="108">
        <f>SUMIFS('Op 2 - Acute'!T:T,'Op 2 - Acute'!$I:$I,$D33)</f>
        <v>0</v>
      </c>
      <c r="P33" s="108" t="e">
        <f>SUMIFS('Op 2 - Acute'!U:U,'Op 2 - Acute'!$I:$I,$D33)</f>
        <v>#REF!</v>
      </c>
      <c r="Q33" s="108" t="e">
        <f>SUMIFS('Op 2 - Acute'!V:V,'Op 2 - Acute'!$I:$I,$D33)</f>
        <v>#REF!</v>
      </c>
      <c r="R33" s="108">
        <f>SUMIFS('Op 2 - Acute'!Y:Y,'Op 2 - Acute'!$I:$I,$D33)</f>
        <v>6602.9754214224004</v>
      </c>
      <c r="S33" s="108">
        <f>SUMIFS('Op 2 - Acute'!Z:Z,'Op 2 - Acute'!$I:$I,$D33)</f>
        <v>3615.267605652055</v>
      </c>
      <c r="T33" s="108" t="e">
        <f t="shared" si="2"/>
        <v>#REF!</v>
      </c>
      <c r="V33" s="108" t="e">
        <f t="shared" si="3"/>
        <v>#REF!</v>
      </c>
      <c r="X33" s="108" t="e">
        <f>SUMIFS('Op 1 - Convergence'!AK:AK,'Op 1 - Convergence'!I:I,D33)</f>
        <v>#REF!</v>
      </c>
      <c r="Y33" s="108" t="e">
        <f>SUMIFS('Op 1 - Convergence'!AN:AN,'Op 1 - Convergence'!I:I,D33)</f>
        <v>#REF!</v>
      </c>
      <c r="AA33" s="108" t="e">
        <f t="shared" si="4"/>
        <v>#REF!</v>
      </c>
      <c r="AB33" s="108" t="e">
        <f t="shared" si="5"/>
        <v>#REF!</v>
      </c>
      <c r="AD33" s="108" t="e">
        <f t="shared" si="6"/>
        <v>#REF!</v>
      </c>
      <c r="AE33" s="108" t="e">
        <f t="shared" si="7"/>
        <v>#REF!</v>
      </c>
      <c r="AG33" s="108" t="e">
        <f t="shared" si="8"/>
        <v>#REF!</v>
      </c>
    </row>
    <row r="34" spans="2:33" x14ac:dyDescent="0.25">
      <c r="B34" s="269" t="s">
        <v>72</v>
      </c>
      <c r="C34" s="271" t="s">
        <v>35</v>
      </c>
      <c r="D34" s="271" t="s">
        <v>36</v>
      </c>
      <c r="E34" s="231" t="s">
        <v>37</v>
      </c>
      <c r="F34" s="108" t="e">
        <f>SUMIFS('Op 1 - Convergence'!S:S,'Op 1 - Convergence'!$I:$I,$D34)</f>
        <v>#REF!</v>
      </c>
      <c r="G34" s="108">
        <f>SUMIFS('Op 1 - Convergence'!T:T,'Op 1 - Convergence'!$I:$I,$D34)</f>
        <v>0</v>
      </c>
      <c r="H34" s="108" t="e">
        <f>SUMIFS('Op 1 - Convergence'!U:U,'Op 1 - Convergence'!$I:$I,$D34)</f>
        <v>#REF!</v>
      </c>
      <c r="I34" s="108" t="e">
        <f>SUMIFS('Op 1 - Convergence'!V:V,'Op 1 - Convergence'!$I:$I,$D34)</f>
        <v>#REF!</v>
      </c>
      <c r="J34" s="108">
        <f>SUMIFS('Op 1 - Convergence'!Y:Y,'Op 1 - Convergence'!$I:$I,$D34)</f>
        <v>0</v>
      </c>
      <c r="K34" s="108">
        <f>SUMIFS('Op 1 - Convergence'!Z:Z,'Op 1 - Convergence'!$I:$I,$D34)</f>
        <v>-9.9717373843304813E-2</v>
      </c>
      <c r="L34" s="108" t="e">
        <f t="shared" si="1"/>
        <v>#REF!</v>
      </c>
      <c r="N34" s="108" t="e">
        <f>SUMIFS('Op 2 - Acute'!S:S,'Op 2 - Acute'!$I:$I,$D34)</f>
        <v>#REF!</v>
      </c>
      <c r="O34" s="108">
        <f>SUMIFS('Op 2 - Acute'!T:T,'Op 2 - Acute'!$I:$I,$D34)</f>
        <v>0</v>
      </c>
      <c r="P34" s="108" t="e">
        <f>SUMIFS('Op 2 - Acute'!U:U,'Op 2 - Acute'!$I:$I,$D34)</f>
        <v>#REF!</v>
      </c>
      <c r="Q34" s="108" t="e">
        <f>SUMIFS('Op 2 - Acute'!V:V,'Op 2 - Acute'!$I:$I,$D34)</f>
        <v>#REF!</v>
      </c>
      <c r="R34" s="108">
        <f>SUMIFS('Op 2 - Acute'!Y:Y,'Op 2 - Acute'!$I:$I,$D34)</f>
        <v>-546.71472629346658</v>
      </c>
      <c r="S34" s="108">
        <f>SUMIFS('Op 2 - Acute'!Z:Z,'Op 2 - Acute'!$I:$I,$D34)</f>
        <v>0</v>
      </c>
      <c r="T34" s="108" t="e">
        <f t="shared" si="2"/>
        <v>#REF!</v>
      </c>
      <c r="V34" s="108" t="e">
        <f t="shared" si="3"/>
        <v>#REF!</v>
      </c>
      <c r="X34" s="108" t="e">
        <f>SUMIFS('Op 1 - Convergence'!AK:AK,'Op 1 - Convergence'!I:I,D34)</f>
        <v>#REF!</v>
      </c>
      <c r="Y34" s="108" t="e">
        <f>SUMIFS('Op 1 - Convergence'!AN:AN,'Op 1 - Convergence'!I:I,D34)</f>
        <v>#REF!</v>
      </c>
      <c r="AA34" s="108" t="e">
        <f t="shared" si="4"/>
        <v>#REF!</v>
      </c>
      <c r="AB34" s="108" t="e">
        <f t="shared" si="5"/>
        <v>#REF!</v>
      </c>
      <c r="AD34" s="108" t="e">
        <f t="shared" si="6"/>
        <v>#REF!</v>
      </c>
      <c r="AE34" s="108" t="e">
        <f t="shared" si="7"/>
        <v>#REF!</v>
      </c>
      <c r="AG34" s="108" t="e">
        <f t="shared" si="8"/>
        <v>#REF!</v>
      </c>
    </row>
    <row r="35" spans="2:33" x14ac:dyDescent="0.25">
      <c r="B35" s="266" t="s">
        <v>84</v>
      </c>
      <c r="C35" s="268" t="s">
        <v>35</v>
      </c>
      <c r="D35" s="61" t="s">
        <v>40</v>
      </c>
      <c r="E35" s="231" t="s">
        <v>41</v>
      </c>
      <c r="F35" s="108" t="e">
        <f>SUMIFS('Op 1 - Convergence'!S:S,'Op 1 - Convergence'!$I:$I,$D35)</f>
        <v>#REF!</v>
      </c>
      <c r="G35" s="108">
        <f>SUMIFS('Op 1 - Convergence'!T:T,'Op 1 - Convergence'!$I:$I,$D35)</f>
        <v>0</v>
      </c>
      <c r="H35" s="108" t="e">
        <f>SUMIFS('Op 1 - Convergence'!U:U,'Op 1 - Convergence'!$I:$I,$D35)</f>
        <v>#REF!</v>
      </c>
      <c r="I35" s="108" t="e">
        <f>SUMIFS('Op 1 - Convergence'!V:V,'Op 1 - Convergence'!$I:$I,$D35)</f>
        <v>#REF!</v>
      </c>
      <c r="J35" s="108">
        <f>SUMIFS('Op 1 - Convergence'!Y:Y,'Op 1 - Convergence'!$I:$I,$D35)</f>
        <v>0</v>
      </c>
      <c r="K35" s="108">
        <f>SUMIFS('Op 1 - Convergence'!Z:Z,'Op 1 - Convergence'!$I:$I,$D35)</f>
        <v>916</v>
      </c>
      <c r="L35" s="108" t="e">
        <f t="shared" si="1"/>
        <v>#REF!</v>
      </c>
      <c r="N35" s="108" t="e">
        <f>SUMIFS('Op 2 - Acute'!S:S,'Op 2 - Acute'!$I:$I,$D35)</f>
        <v>#REF!</v>
      </c>
      <c r="O35" s="108">
        <f>SUMIFS('Op 2 - Acute'!T:T,'Op 2 - Acute'!$I:$I,$D35)</f>
        <v>0</v>
      </c>
      <c r="P35" s="108" t="e">
        <f>SUMIFS('Op 2 - Acute'!U:U,'Op 2 - Acute'!$I:$I,$D35)</f>
        <v>#REF!</v>
      </c>
      <c r="Q35" s="108" t="e">
        <f>SUMIFS('Op 2 - Acute'!V:V,'Op 2 - Acute'!$I:$I,$D35)</f>
        <v>#REF!</v>
      </c>
      <c r="R35" s="108">
        <f>SUMIFS('Op 2 - Acute'!Y:Y,'Op 2 - Acute'!$I:$I,$D35)</f>
        <v>1178.4377321267025</v>
      </c>
      <c r="S35" s="108">
        <f>SUMIFS('Op 2 - Acute'!Z:Z,'Op 2 - Acute'!$I:$I,$D35)</f>
        <v>1613.5447344796401</v>
      </c>
      <c r="T35" s="108" t="e">
        <f t="shared" si="2"/>
        <v>#REF!</v>
      </c>
      <c r="V35" s="108" t="e">
        <f t="shared" si="3"/>
        <v>#REF!</v>
      </c>
      <c r="X35" s="108" t="e">
        <f>SUMIFS('Op 1 - Convergence'!AK:AK,'Op 1 - Convergence'!I:I,D35)</f>
        <v>#REF!</v>
      </c>
      <c r="Y35" s="108" t="e">
        <f>SUMIFS('Op 1 - Convergence'!AN:AN,'Op 1 - Convergence'!I:I,D35)</f>
        <v>#REF!</v>
      </c>
      <c r="AA35" s="108" t="e">
        <f t="shared" si="4"/>
        <v>#REF!</v>
      </c>
      <c r="AB35" s="108" t="e">
        <f t="shared" si="5"/>
        <v>#REF!</v>
      </c>
      <c r="AD35" s="108" t="e">
        <f t="shared" si="6"/>
        <v>#REF!</v>
      </c>
      <c r="AE35" s="108" t="e">
        <f t="shared" si="7"/>
        <v>#REF!</v>
      </c>
      <c r="AG35" s="108" t="e">
        <f t="shared" si="8"/>
        <v>#REF!</v>
      </c>
    </row>
    <row r="36" spans="2:33" x14ac:dyDescent="0.25">
      <c r="B36" s="267" t="s">
        <v>84</v>
      </c>
      <c r="C36" s="61" t="s">
        <v>59</v>
      </c>
      <c r="D36" s="61" t="s">
        <v>60</v>
      </c>
      <c r="E36" s="231" t="s">
        <v>61</v>
      </c>
      <c r="F36" s="108" t="e">
        <f>SUMIFS('Op 1 - Convergence'!S:S,'Op 1 - Convergence'!$I:$I,$D36)</f>
        <v>#REF!</v>
      </c>
      <c r="G36" s="108">
        <f>SUMIFS('Op 1 - Convergence'!T:T,'Op 1 - Convergence'!$I:$I,$D36)</f>
        <v>0</v>
      </c>
      <c r="H36" s="108" t="e">
        <f>SUMIFS('Op 1 - Convergence'!U:U,'Op 1 - Convergence'!$I:$I,$D36)</f>
        <v>#REF!</v>
      </c>
      <c r="I36" s="108" t="e">
        <f>SUMIFS('Op 1 - Convergence'!V:V,'Op 1 - Convergence'!$I:$I,$D36)</f>
        <v>#REF!</v>
      </c>
      <c r="J36" s="108">
        <f>SUMIFS('Op 1 - Convergence'!Y:Y,'Op 1 - Convergence'!$I:$I,$D36)</f>
        <v>0</v>
      </c>
      <c r="K36" s="108">
        <f>SUMIFS('Op 1 - Convergence'!Z:Z,'Op 1 - Convergence'!$I:$I,$D36)</f>
        <v>919</v>
      </c>
      <c r="L36" s="108" t="e">
        <f t="shared" si="1"/>
        <v>#REF!</v>
      </c>
      <c r="N36" s="108" t="e">
        <f>SUMIFS('Op 2 - Acute'!S:S,'Op 2 - Acute'!$I:$I,$D36)</f>
        <v>#REF!</v>
      </c>
      <c r="O36" s="108">
        <f>SUMIFS('Op 2 - Acute'!T:T,'Op 2 - Acute'!$I:$I,$D36)</f>
        <v>0</v>
      </c>
      <c r="P36" s="108" t="e">
        <f>SUMIFS('Op 2 - Acute'!U:U,'Op 2 - Acute'!$I:$I,$D36)</f>
        <v>#REF!</v>
      </c>
      <c r="Q36" s="108" t="e">
        <f>SUMIFS('Op 2 - Acute'!V:V,'Op 2 - Acute'!$I:$I,$D36)</f>
        <v>#REF!</v>
      </c>
      <c r="R36" s="108">
        <f>SUMIFS('Op 2 - Acute'!Y:Y,'Op 2 - Acute'!$I:$I,$D36)</f>
        <v>3036.5352870068705</v>
      </c>
      <c r="S36" s="108">
        <f>SUMIFS('Op 2 - Acute'!Z:Z,'Op 2 - Acute'!$I:$I,$D36)</f>
        <v>1624.060509922622</v>
      </c>
      <c r="T36" s="108" t="e">
        <f t="shared" si="2"/>
        <v>#REF!</v>
      </c>
      <c r="V36" s="108" t="e">
        <f t="shared" si="3"/>
        <v>#REF!</v>
      </c>
      <c r="X36" s="108" t="e">
        <f>SUMIFS('Op 1 - Convergence'!AK:AK,'Op 1 - Convergence'!I:I,D36)</f>
        <v>#REF!</v>
      </c>
      <c r="Y36" s="108" t="e">
        <f>SUMIFS('Op 1 - Convergence'!AN:AN,'Op 1 - Convergence'!I:I,D36)</f>
        <v>#REF!</v>
      </c>
      <c r="AA36" s="108" t="e">
        <f t="shared" si="4"/>
        <v>#REF!</v>
      </c>
      <c r="AB36" s="108" t="e">
        <f t="shared" si="5"/>
        <v>#REF!</v>
      </c>
      <c r="AD36" s="108" t="e">
        <f t="shared" si="6"/>
        <v>#REF!</v>
      </c>
      <c r="AE36" s="108" t="e">
        <f t="shared" si="7"/>
        <v>#REF!</v>
      </c>
      <c r="AG36" s="108" t="e">
        <f t="shared" si="8"/>
        <v>#REF!</v>
      </c>
    </row>
    <row r="37" spans="2:33" x14ac:dyDescent="0.25">
      <c r="B37" s="267" t="s">
        <v>84</v>
      </c>
      <c r="C37" s="268" t="s">
        <v>59</v>
      </c>
      <c r="D37" s="61" t="s">
        <v>62</v>
      </c>
      <c r="E37" s="231" t="s">
        <v>63</v>
      </c>
      <c r="F37" s="108" t="e">
        <f>SUMIFS('Op 1 - Convergence'!S:S,'Op 1 - Convergence'!$I:$I,$D37)</f>
        <v>#REF!</v>
      </c>
      <c r="G37" s="108">
        <f>SUMIFS('Op 1 - Convergence'!T:T,'Op 1 - Convergence'!$I:$I,$D37)</f>
        <v>0</v>
      </c>
      <c r="H37" s="108" t="e">
        <f>SUMIFS('Op 1 - Convergence'!U:U,'Op 1 - Convergence'!$I:$I,$D37)</f>
        <v>#REF!</v>
      </c>
      <c r="I37" s="108" t="e">
        <f>SUMIFS('Op 1 - Convergence'!V:V,'Op 1 - Convergence'!$I:$I,$D37)</f>
        <v>#REF!</v>
      </c>
      <c r="J37" s="108">
        <f>SUMIFS('Op 1 - Convergence'!Y:Y,'Op 1 - Convergence'!$I:$I,$D37)</f>
        <v>0</v>
      </c>
      <c r="K37" s="108">
        <f>SUMIFS('Op 1 - Convergence'!Z:Z,'Op 1 - Convergence'!$I:$I,$D37)</f>
        <v>3.1499628792516887E-2</v>
      </c>
      <c r="L37" s="108" t="e">
        <f t="shared" si="1"/>
        <v>#REF!</v>
      </c>
      <c r="N37" s="108" t="e">
        <f>SUMIFS('Op 2 - Acute'!S:S,'Op 2 - Acute'!$I:$I,$D37)</f>
        <v>#REF!</v>
      </c>
      <c r="O37" s="108">
        <f>SUMIFS('Op 2 - Acute'!T:T,'Op 2 - Acute'!$I:$I,$D37)</f>
        <v>0</v>
      </c>
      <c r="P37" s="108" t="e">
        <f>SUMIFS('Op 2 - Acute'!U:U,'Op 2 - Acute'!$I:$I,$D37)</f>
        <v>#REF!</v>
      </c>
      <c r="Q37" s="108" t="e">
        <f>SUMIFS('Op 2 - Acute'!V:V,'Op 2 - Acute'!$I:$I,$D37)</f>
        <v>#REF!</v>
      </c>
      <c r="R37" s="108">
        <f>SUMIFS('Op 2 - Acute'!Y:Y,'Op 2 - Acute'!$I:$I,$D37)</f>
        <v>-479.74279196515363</v>
      </c>
      <c r="S37" s="108">
        <f>SUMIFS('Op 2 - Acute'!Z:Z,'Op 2 - Acute'!$I:$I,$D37)</f>
        <v>0</v>
      </c>
      <c r="T37" s="108" t="e">
        <f t="shared" si="2"/>
        <v>#REF!</v>
      </c>
      <c r="V37" s="108" t="e">
        <f t="shared" si="3"/>
        <v>#REF!</v>
      </c>
      <c r="X37" s="108" t="e">
        <f>SUMIFS('Op 1 - Convergence'!AK:AK,'Op 1 - Convergence'!I:I,D37)</f>
        <v>#REF!</v>
      </c>
      <c r="Y37" s="108" t="e">
        <f>SUMIFS('Op 1 - Convergence'!AN:AN,'Op 1 - Convergence'!I:I,D37)</f>
        <v>#REF!</v>
      </c>
      <c r="AA37" s="108" t="e">
        <f t="shared" si="4"/>
        <v>#REF!</v>
      </c>
      <c r="AB37" s="108" t="e">
        <f t="shared" si="5"/>
        <v>#REF!</v>
      </c>
      <c r="AD37" s="108" t="e">
        <f t="shared" si="6"/>
        <v>#REF!</v>
      </c>
      <c r="AE37" s="108" t="e">
        <f t="shared" si="7"/>
        <v>#REF!</v>
      </c>
      <c r="AG37" s="108" t="e">
        <f t="shared" si="8"/>
        <v>#REF!</v>
      </c>
    </row>
    <row r="38" spans="2:33" x14ac:dyDescent="0.25">
      <c r="B38" s="267" t="s">
        <v>84</v>
      </c>
      <c r="C38" s="268" t="s">
        <v>59</v>
      </c>
      <c r="D38" s="61" t="s">
        <v>64</v>
      </c>
      <c r="E38" s="231" t="s">
        <v>65</v>
      </c>
      <c r="F38" s="108" t="e">
        <f>SUMIFS('Op 1 - Convergence'!S:S,'Op 1 - Convergence'!$I:$I,$D38)</f>
        <v>#REF!</v>
      </c>
      <c r="G38" s="108">
        <f>SUMIFS('Op 1 - Convergence'!T:T,'Op 1 - Convergence'!$I:$I,$D38)</f>
        <v>0</v>
      </c>
      <c r="H38" s="108" t="e">
        <f>SUMIFS('Op 1 - Convergence'!U:U,'Op 1 - Convergence'!$I:$I,$D38)</f>
        <v>#REF!</v>
      </c>
      <c r="I38" s="108" t="e">
        <f>SUMIFS('Op 1 - Convergence'!V:V,'Op 1 - Convergence'!$I:$I,$D38)</f>
        <v>#REF!</v>
      </c>
      <c r="J38" s="108">
        <f>SUMIFS('Op 1 - Convergence'!Y:Y,'Op 1 - Convergence'!$I:$I,$D38)</f>
        <v>0</v>
      </c>
      <c r="K38" s="108">
        <f>SUMIFS('Op 1 - Convergence'!Z:Z,'Op 1 - Convergence'!$I:$I,$D38)</f>
        <v>1493</v>
      </c>
      <c r="L38" s="108" t="e">
        <f t="shared" si="1"/>
        <v>#REF!</v>
      </c>
      <c r="N38" s="108" t="e">
        <f>SUMIFS('Op 2 - Acute'!S:S,'Op 2 - Acute'!$I:$I,$D38)</f>
        <v>#REF!</v>
      </c>
      <c r="O38" s="108">
        <f>SUMIFS('Op 2 - Acute'!T:T,'Op 2 - Acute'!$I:$I,$D38)</f>
        <v>0</v>
      </c>
      <c r="P38" s="108" t="e">
        <f>SUMIFS('Op 2 - Acute'!U:U,'Op 2 - Acute'!$I:$I,$D38)</f>
        <v>#REF!</v>
      </c>
      <c r="Q38" s="108" t="e">
        <f>SUMIFS('Op 2 - Acute'!V:V,'Op 2 - Acute'!$I:$I,$D38)</f>
        <v>#REF!</v>
      </c>
      <c r="R38" s="108">
        <f>SUMIFS('Op 2 - Acute'!Y:Y,'Op 2 - Acute'!$I:$I,$D38)</f>
        <v>4179.267408568081</v>
      </c>
      <c r="S38" s="108">
        <f>SUMIFS('Op 2 - Acute'!Z:Z,'Op 2 - Acute'!$I:$I,$D38)</f>
        <v>2638.4959197784392</v>
      </c>
      <c r="T38" s="108" t="e">
        <f t="shared" si="2"/>
        <v>#REF!</v>
      </c>
      <c r="V38" s="108" t="e">
        <f t="shared" si="3"/>
        <v>#REF!</v>
      </c>
      <c r="X38" s="108" t="e">
        <f>SUMIFS('Op 1 - Convergence'!AK:AK,'Op 1 - Convergence'!I:I,D38)</f>
        <v>#REF!</v>
      </c>
      <c r="Y38" s="108" t="e">
        <f>SUMIFS('Op 1 - Convergence'!AN:AN,'Op 1 - Convergence'!I:I,D38)</f>
        <v>#REF!</v>
      </c>
      <c r="AA38" s="108" t="e">
        <f t="shared" si="4"/>
        <v>#REF!</v>
      </c>
      <c r="AB38" s="108" t="e">
        <f t="shared" si="5"/>
        <v>#REF!</v>
      </c>
      <c r="AD38" s="108" t="e">
        <f t="shared" si="6"/>
        <v>#REF!</v>
      </c>
      <c r="AE38" s="108" t="e">
        <f t="shared" si="7"/>
        <v>#REF!</v>
      </c>
      <c r="AG38" s="108" t="e">
        <f t="shared" si="8"/>
        <v>#REF!</v>
      </c>
    </row>
    <row r="39" spans="2:33" x14ac:dyDescent="0.25">
      <c r="B39" s="267" t="s">
        <v>84</v>
      </c>
      <c r="C39" s="268" t="s">
        <v>59</v>
      </c>
      <c r="D39" s="61" t="s">
        <v>70</v>
      </c>
      <c r="E39" s="231" t="s">
        <v>71</v>
      </c>
      <c r="F39" s="108" t="e">
        <f>SUMIFS('Op 1 - Convergence'!S:S,'Op 1 - Convergence'!$I:$I,$D39)</f>
        <v>#REF!</v>
      </c>
      <c r="G39" s="108">
        <f>SUMIFS('Op 1 - Convergence'!T:T,'Op 1 - Convergence'!$I:$I,$D39)</f>
        <v>0</v>
      </c>
      <c r="H39" s="108" t="e">
        <f>SUMIFS('Op 1 - Convergence'!U:U,'Op 1 - Convergence'!$I:$I,$D39)</f>
        <v>#REF!</v>
      </c>
      <c r="I39" s="108" t="e">
        <f>SUMIFS('Op 1 - Convergence'!V:V,'Op 1 - Convergence'!$I:$I,$D39)</f>
        <v>#REF!</v>
      </c>
      <c r="J39" s="108">
        <f>SUMIFS('Op 1 - Convergence'!Y:Y,'Op 1 - Convergence'!$I:$I,$D39)</f>
        <v>0</v>
      </c>
      <c r="K39" s="108">
        <f>SUMIFS('Op 1 - Convergence'!Z:Z,'Op 1 - Convergence'!$I:$I,$D39)</f>
        <v>958</v>
      </c>
      <c r="L39" s="108" t="e">
        <f t="shared" si="1"/>
        <v>#REF!</v>
      </c>
      <c r="N39" s="108" t="e">
        <f>SUMIFS('Op 2 - Acute'!S:S,'Op 2 - Acute'!$I:$I,$D39)</f>
        <v>#REF!</v>
      </c>
      <c r="O39" s="108">
        <f>SUMIFS('Op 2 - Acute'!T:T,'Op 2 - Acute'!$I:$I,$D39)</f>
        <v>0</v>
      </c>
      <c r="P39" s="108" t="e">
        <f>SUMIFS('Op 2 - Acute'!U:U,'Op 2 - Acute'!$I:$I,$D39)</f>
        <v>#REF!</v>
      </c>
      <c r="Q39" s="108" t="e">
        <f>SUMIFS('Op 2 - Acute'!V:V,'Op 2 - Acute'!$I:$I,$D39)</f>
        <v>#REF!</v>
      </c>
      <c r="R39" s="108">
        <f>SUMIFS('Op 2 - Acute'!Y:Y,'Op 2 - Acute'!$I:$I,$D39)</f>
        <v>2906.6731561734018</v>
      </c>
      <c r="S39" s="108">
        <f>SUMIFS('Op 2 - Acute'!Z:Z,'Op 2 - Acute'!$I:$I,$D39)</f>
        <v>1689.3830702158705</v>
      </c>
      <c r="T39" s="108" t="e">
        <f t="shared" si="2"/>
        <v>#REF!</v>
      </c>
      <c r="V39" s="108" t="e">
        <f t="shared" si="3"/>
        <v>#REF!</v>
      </c>
      <c r="X39" s="108" t="e">
        <f>SUMIFS('Op 1 - Convergence'!AK:AK,'Op 1 - Convergence'!I:I,D39)</f>
        <v>#REF!</v>
      </c>
      <c r="Y39" s="108" t="e">
        <f>SUMIFS('Op 1 - Convergence'!AN:AN,'Op 1 - Convergence'!I:I,D39)</f>
        <v>#REF!</v>
      </c>
      <c r="AA39" s="108" t="e">
        <f t="shared" si="4"/>
        <v>#REF!</v>
      </c>
      <c r="AB39" s="108" t="e">
        <f t="shared" si="5"/>
        <v>#REF!</v>
      </c>
      <c r="AD39" s="108" t="e">
        <f t="shared" si="6"/>
        <v>#REF!</v>
      </c>
      <c r="AE39" s="108" t="e">
        <f t="shared" si="7"/>
        <v>#REF!</v>
      </c>
      <c r="AG39" s="108" t="e">
        <f t="shared" si="8"/>
        <v>#REF!</v>
      </c>
    </row>
    <row r="40" spans="2:33" x14ac:dyDescent="0.25">
      <c r="B40" s="269" t="s">
        <v>84</v>
      </c>
      <c r="C40" s="271" t="s">
        <v>73</v>
      </c>
      <c r="D40" s="271" t="s">
        <v>74</v>
      </c>
      <c r="E40" s="231" t="s">
        <v>75</v>
      </c>
      <c r="F40" s="108" t="e">
        <f>SUMIFS('Op 1 - Convergence'!S:S,'Op 1 - Convergence'!$I:$I,$D40)</f>
        <v>#REF!</v>
      </c>
      <c r="G40" s="108">
        <f>SUMIFS('Op 1 - Convergence'!T:T,'Op 1 - Convergence'!$I:$I,$D40)</f>
        <v>0</v>
      </c>
      <c r="H40" s="108" t="e">
        <f>SUMIFS('Op 1 - Convergence'!U:U,'Op 1 - Convergence'!$I:$I,$D40)</f>
        <v>#REF!</v>
      </c>
      <c r="I40" s="108" t="e">
        <f>SUMIFS('Op 1 - Convergence'!V:V,'Op 1 - Convergence'!$I:$I,$D40)</f>
        <v>#REF!</v>
      </c>
      <c r="J40" s="108">
        <f>SUMIFS('Op 1 - Convergence'!Y:Y,'Op 1 - Convergence'!$I:$I,$D40)</f>
        <v>0</v>
      </c>
      <c r="K40" s="108">
        <f>SUMIFS('Op 1 - Convergence'!Z:Z,'Op 1 - Convergence'!$I:$I,$D40)</f>
        <v>-0.16964128217659891</v>
      </c>
      <c r="L40" s="108" t="e">
        <f t="shared" si="1"/>
        <v>#REF!</v>
      </c>
      <c r="N40" s="108" t="e">
        <f>SUMIFS('Op 2 - Acute'!S:S,'Op 2 - Acute'!$I:$I,$D40)</f>
        <v>#REF!</v>
      </c>
      <c r="O40" s="108">
        <f>SUMIFS('Op 2 - Acute'!T:T,'Op 2 - Acute'!$I:$I,$D40)</f>
        <v>0</v>
      </c>
      <c r="P40" s="108" t="e">
        <f>SUMIFS('Op 2 - Acute'!U:U,'Op 2 - Acute'!$I:$I,$D40)</f>
        <v>#REF!</v>
      </c>
      <c r="Q40" s="108" t="e">
        <f>SUMIFS('Op 2 - Acute'!V:V,'Op 2 - Acute'!$I:$I,$D40)</f>
        <v>#REF!</v>
      </c>
      <c r="R40" s="108">
        <f>SUMIFS('Op 2 - Acute'!Y:Y,'Op 2 - Acute'!$I:$I,$D40)</f>
        <v>-2862.0489563638175</v>
      </c>
      <c r="S40" s="108">
        <f>SUMIFS('Op 2 - Acute'!Z:Z,'Op 2 - Acute'!$I:$I,$D40)</f>
        <v>0</v>
      </c>
      <c r="T40" s="108" t="e">
        <f t="shared" si="2"/>
        <v>#REF!</v>
      </c>
      <c r="V40" s="108" t="e">
        <f t="shared" si="3"/>
        <v>#REF!</v>
      </c>
      <c r="X40" s="108" t="e">
        <f>SUMIFS('Op 1 - Convergence'!AK:AK,'Op 1 - Convergence'!I:I,D40)</f>
        <v>#REF!</v>
      </c>
      <c r="Y40" s="108" t="e">
        <f>SUMIFS('Op 1 - Convergence'!AN:AN,'Op 1 - Convergence'!I:I,D40)</f>
        <v>#REF!</v>
      </c>
      <c r="AA40" s="108" t="e">
        <f t="shared" si="4"/>
        <v>#REF!</v>
      </c>
      <c r="AB40" s="108" t="e">
        <f t="shared" si="5"/>
        <v>#REF!</v>
      </c>
      <c r="AD40" s="108" t="e">
        <f t="shared" si="6"/>
        <v>#REF!</v>
      </c>
      <c r="AE40" s="108" t="e">
        <f t="shared" si="7"/>
        <v>#REF!</v>
      </c>
      <c r="AG40" s="108" t="e">
        <f t="shared" si="8"/>
        <v>#REF!</v>
      </c>
    </row>
    <row r="41" spans="2:33" x14ac:dyDescent="0.25">
      <c r="B41" s="266" t="s">
        <v>98</v>
      </c>
      <c r="C41" s="268" t="s">
        <v>73</v>
      </c>
      <c r="D41" s="61" t="s">
        <v>78</v>
      </c>
      <c r="E41" s="231" t="s">
        <v>79</v>
      </c>
      <c r="F41" s="108" t="e">
        <f>SUMIFS('Op 1 - Convergence'!S:S,'Op 1 - Convergence'!$I:$I,$D41)</f>
        <v>#REF!</v>
      </c>
      <c r="G41" s="108">
        <f>SUMIFS('Op 1 - Convergence'!T:T,'Op 1 - Convergence'!$I:$I,$D41)</f>
        <v>0</v>
      </c>
      <c r="H41" s="108" t="e">
        <f>SUMIFS('Op 1 - Convergence'!U:U,'Op 1 - Convergence'!$I:$I,$D41)</f>
        <v>#REF!</v>
      </c>
      <c r="I41" s="108" t="e">
        <f>SUMIFS('Op 1 - Convergence'!V:V,'Op 1 - Convergence'!$I:$I,$D41)</f>
        <v>#REF!</v>
      </c>
      <c r="J41" s="108">
        <f>SUMIFS('Op 1 - Convergence'!Y:Y,'Op 1 - Convergence'!$I:$I,$D41)</f>
        <v>0</v>
      </c>
      <c r="K41" s="108">
        <f>SUMIFS('Op 1 - Convergence'!Z:Z,'Op 1 - Convergence'!$I:$I,$D41)</f>
        <v>2471</v>
      </c>
      <c r="L41" s="108" t="e">
        <f t="shared" si="1"/>
        <v>#REF!</v>
      </c>
      <c r="N41" s="108" t="e">
        <f>SUMIFS('Op 2 - Acute'!S:S,'Op 2 - Acute'!$I:$I,$D41)</f>
        <v>#REF!</v>
      </c>
      <c r="O41" s="108">
        <f>SUMIFS('Op 2 - Acute'!T:T,'Op 2 - Acute'!$I:$I,$D41)</f>
        <v>0</v>
      </c>
      <c r="P41" s="108" t="e">
        <f>SUMIFS('Op 2 - Acute'!U:U,'Op 2 - Acute'!$I:$I,$D41)</f>
        <v>#REF!</v>
      </c>
      <c r="Q41" s="108" t="e">
        <f>SUMIFS('Op 2 - Acute'!V:V,'Op 2 - Acute'!$I:$I,$D41)</f>
        <v>#REF!</v>
      </c>
      <c r="R41" s="108">
        <f>SUMIFS('Op 2 - Acute'!Y:Y,'Op 2 - Acute'!$I:$I,$D41)</f>
        <v>6937.9841417535845</v>
      </c>
      <c r="S41" s="108">
        <f>SUMIFS('Op 2 - Acute'!Z:Z,'Op 2 - Acute'!$I:$I,$D41)</f>
        <v>4359.756819003228</v>
      </c>
      <c r="T41" s="108" t="e">
        <f t="shared" si="2"/>
        <v>#REF!</v>
      </c>
      <c r="V41" s="108" t="e">
        <f t="shared" si="3"/>
        <v>#REF!</v>
      </c>
      <c r="X41" s="108" t="e">
        <f>SUMIFS('Op 1 - Convergence'!AK:AK,'Op 1 - Convergence'!I:I,D41)</f>
        <v>#REF!</v>
      </c>
      <c r="Y41" s="108" t="e">
        <f>SUMIFS('Op 1 - Convergence'!AN:AN,'Op 1 - Convergence'!I:I,D41)</f>
        <v>#REF!</v>
      </c>
      <c r="AA41" s="108" t="e">
        <f t="shared" si="4"/>
        <v>#REF!</v>
      </c>
      <c r="AB41" s="108" t="e">
        <f t="shared" si="5"/>
        <v>#REF!</v>
      </c>
      <c r="AD41" s="108" t="e">
        <f t="shared" si="6"/>
        <v>#REF!</v>
      </c>
      <c r="AE41" s="108" t="e">
        <f t="shared" si="7"/>
        <v>#REF!</v>
      </c>
      <c r="AG41" s="108" t="e">
        <f t="shared" si="8"/>
        <v>#REF!</v>
      </c>
    </row>
    <row r="42" spans="2:33" x14ac:dyDescent="0.25">
      <c r="B42" s="267" t="s">
        <v>98</v>
      </c>
      <c r="C42" s="268" t="s">
        <v>73</v>
      </c>
      <c r="D42" s="61" t="s">
        <v>80</v>
      </c>
      <c r="E42" s="231" t="s">
        <v>81</v>
      </c>
      <c r="F42" s="108" t="e">
        <f>SUMIFS('Op 1 - Convergence'!S:S,'Op 1 - Convergence'!$I:$I,$D42)</f>
        <v>#REF!</v>
      </c>
      <c r="G42" s="108">
        <f>SUMIFS('Op 1 - Convergence'!T:T,'Op 1 - Convergence'!$I:$I,$D42)</f>
        <v>0</v>
      </c>
      <c r="H42" s="108" t="e">
        <f>SUMIFS('Op 1 - Convergence'!U:U,'Op 1 - Convergence'!$I:$I,$D42)</f>
        <v>#REF!</v>
      </c>
      <c r="I42" s="108" t="e">
        <f>SUMIFS('Op 1 - Convergence'!V:V,'Op 1 - Convergence'!$I:$I,$D42)</f>
        <v>#REF!</v>
      </c>
      <c r="J42" s="108">
        <f>SUMIFS('Op 1 - Convergence'!Y:Y,'Op 1 - Convergence'!$I:$I,$D42)</f>
        <v>0</v>
      </c>
      <c r="K42" s="108">
        <f>SUMIFS('Op 1 - Convergence'!Z:Z,'Op 1 - Convergence'!$I:$I,$D42)</f>
        <v>7.7384938718751073E-2</v>
      </c>
      <c r="L42" s="108" t="e">
        <f t="shared" si="1"/>
        <v>#REF!</v>
      </c>
      <c r="N42" s="108" t="e">
        <f>SUMIFS('Op 2 - Acute'!S:S,'Op 2 - Acute'!$I:$I,$D42)</f>
        <v>#REF!</v>
      </c>
      <c r="O42" s="108">
        <f>SUMIFS('Op 2 - Acute'!T:T,'Op 2 - Acute'!$I:$I,$D42)</f>
        <v>0</v>
      </c>
      <c r="P42" s="108" t="e">
        <f>SUMIFS('Op 2 - Acute'!U:U,'Op 2 - Acute'!$I:$I,$D42)</f>
        <v>#REF!</v>
      </c>
      <c r="Q42" s="108" t="e">
        <f>SUMIFS('Op 2 - Acute'!V:V,'Op 2 - Acute'!$I:$I,$D42)</f>
        <v>#REF!</v>
      </c>
      <c r="R42" s="108">
        <f>SUMIFS('Op 2 - Acute'!Y:Y,'Op 2 - Acute'!$I:$I,$D42)</f>
        <v>-3617.9427733648117</v>
      </c>
      <c r="S42" s="108">
        <f>SUMIFS('Op 2 - Acute'!Z:Z,'Op 2 - Acute'!$I:$I,$D42)</f>
        <v>0</v>
      </c>
      <c r="T42" s="108" t="e">
        <f t="shared" si="2"/>
        <v>#REF!</v>
      </c>
      <c r="V42" s="108" t="e">
        <f t="shared" si="3"/>
        <v>#REF!</v>
      </c>
      <c r="X42" s="108" t="e">
        <f>SUMIFS('Op 1 - Convergence'!AK:AK,'Op 1 - Convergence'!I:I,D42)</f>
        <v>#REF!</v>
      </c>
      <c r="Y42" s="108" t="e">
        <f>SUMIFS('Op 1 - Convergence'!AN:AN,'Op 1 - Convergence'!I:I,D42)</f>
        <v>#REF!</v>
      </c>
      <c r="AA42" s="108" t="e">
        <f t="shared" si="4"/>
        <v>#REF!</v>
      </c>
      <c r="AB42" s="108" t="e">
        <f t="shared" si="5"/>
        <v>#REF!</v>
      </c>
      <c r="AD42" s="108" t="e">
        <f t="shared" si="6"/>
        <v>#REF!</v>
      </c>
      <c r="AE42" s="108" t="e">
        <f t="shared" si="7"/>
        <v>#REF!</v>
      </c>
      <c r="AG42" s="108" t="e">
        <f t="shared" si="8"/>
        <v>#REF!</v>
      </c>
    </row>
    <row r="43" spans="2:33" x14ac:dyDescent="0.25">
      <c r="B43" s="267" t="s">
        <v>98</v>
      </c>
      <c r="C43" s="268" t="s">
        <v>85</v>
      </c>
      <c r="D43" s="61" t="s">
        <v>94</v>
      </c>
      <c r="E43" s="231" t="s">
        <v>95</v>
      </c>
      <c r="F43" s="108" t="e">
        <f>SUMIFS('Op 1 - Convergence'!S:S,'Op 1 - Convergence'!$I:$I,$D43)</f>
        <v>#REF!</v>
      </c>
      <c r="G43" s="108">
        <f>SUMIFS('Op 1 - Convergence'!T:T,'Op 1 - Convergence'!$I:$I,$D43)</f>
        <v>0</v>
      </c>
      <c r="H43" s="108" t="e">
        <f>SUMIFS('Op 1 - Convergence'!U:U,'Op 1 - Convergence'!$I:$I,$D43)</f>
        <v>#REF!</v>
      </c>
      <c r="I43" s="108" t="e">
        <f>SUMIFS('Op 1 - Convergence'!V:V,'Op 1 - Convergence'!$I:$I,$D43)</f>
        <v>#REF!</v>
      </c>
      <c r="J43" s="108">
        <f>SUMIFS('Op 1 - Convergence'!Y:Y,'Op 1 - Convergence'!$I:$I,$D43)</f>
        <v>0</v>
      </c>
      <c r="K43" s="108">
        <f>SUMIFS('Op 1 - Convergence'!Z:Z,'Op 1 - Convergence'!$I:$I,$D43)</f>
        <v>1032</v>
      </c>
      <c r="L43" s="108" t="e">
        <f t="shared" si="1"/>
        <v>#REF!</v>
      </c>
      <c r="N43" s="108" t="e">
        <f>SUMIFS('Op 2 - Acute'!S:S,'Op 2 - Acute'!$I:$I,$D43)</f>
        <v>#REF!</v>
      </c>
      <c r="O43" s="108">
        <f>SUMIFS('Op 2 - Acute'!T:T,'Op 2 - Acute'!$I:$I,$D43)</f>
        <v>0</v>
      </c>
      <c r="P43" s="108" t="e">
        <f>SUMIFS('Op 2 - Acute'!U:U,'Op 2 - Acute'!$I:$I,$D43)</f>
        <v>#REF!</v>
      </c>
      <c r="Q43" s="108" t="e">
        <f>SUMIFS('Op 2 - Acute'!V:V,'Op 2 - Acute'!$I:$I,$D43)</f>
        <v>#REF!</v>
      </c>
      <c r="R43" s="108">
        <f>SUMIFS('Op 2 - Acute'!Y:Y,'Op 2 - Acute'!$I:$I,$D43)</f>
        <v>2824.7351488692702</v>
      </c>
      <c r="S43" s="108">
        <f>SUMIFS('Op 2 - Acute'!Z:Z,'Op 2 - Acute'!$I:$I,$D43)</f>
        <v>1825.181551357934</v>
      </c>
      <c r="T43" s="108" t="e">
        <f t="shared" si="2"/>
        <v>#REF!</v>
      </c>
      <c r="V43" s="108" t="e">
        <f t="shared" si="3"/>
        <v>#REF!</v>
      </c>
      <c r="X43" s="108" t="e">
        <f>SUMIFS('Op 1 - Convergence'!AK:AK,'Op 1 - Convergence'!I:I,D43)</f>
        <v>#REF!</v>
      </c>
      <c r="Y43" s="108" t="e">
        <f>SUMIFS('Op 1 - Convergence'!AN:AN,'Op 1 - Convergence'!I:I,D43)</f>
        <v>#REF!</v>
      </c>
      <c r="AA43" s="108" t="e">
        <f t="shared" si="4"/>
        <v>#REF!</v>
      </c>
      <c r="AB43" s="108" t="e">
        <f t="shared" si="5"/>
        <v>#REF!</v>
      </c>
      <c r="AD43" s="108" t="e">
        <f t="shared" si="6"/>
        <v>#REF!</v>
      </c>
      <c r="AE43" s="108" t="e">
        <f t="shared" si="7"/>
        <v>#REF!</v>
      </c>
      <c r="AG43" s="108" t="e">
        <f t="shared" si="8"/>
        <v>#REF!</v>
      </c>
    </row>
    <row r="44" spans="2:33" x14ac:dyDescent="0.25">
      <c r="B44" s="267" t="s">
        <v>98</v>
      </c>
      <c r="C44" s="268" t="s">
        <v>99</v>
      </c>
      <c r="D44" s="61" t="s">
        <v>102</v>
      </c>
      <c r="E44" s="231" t="s">
        <v>103</v>
      </c>
      <c r="F44" s="108" t="e">
        <f>SUMIFS('Op 1 - Convergence'!S:S,'Op 1 - Convergence'!$I:$I,$D44)</f>
        <v>#REF!</v>
      </c>
      <c r="G44" s="108">
        <f>SUMIFS('Op 1 - Convergence'!T:T,'Op 1 - Convergence'!$I:$I,$D44)</f>
        <v>0</v>
      </c>
      <c r="H44" s="108" t="e">
        <f>SUMIFS('Op 1 - Convergence'!U:U,'Op 1 - Convergence'!$I:$I,$D44)</f>
        <v>#REF!</v>
      </c>
      <c r="I44" s="108" t="e">
        <f>SUMIFS('Op 1 - Convergence'!V:V,'Op 1 - Convergence'!$I:$I,$D44)</f>
        <v>#REF!</v>
      </c>
      <c r="J44" s="108">
        <f>SUMIFS('Op 1 - Convergence'!Y:Y,'Op 1 - Convergence'!$I:$I,$D44)</f>
        <v>0</v>
      </c>
      <c r="K44" s="108">
        <f>SUMIFS('Op 1 - Convergence'!Z:Z,'Op 1 - Convergence'!$I:$I,$D44)</f>
        <v>-0.19389893650077283</v>
      </c>
      <c r="L44" s="108" t="e">
        <f t="shared" si="1"/>
        <v>#REF!</v>
      </c>
      <c r="N44" s="108" t="e">
        <f>SUMIFS('Op 2 - Acute'!S:S,'Op 2 - Acute'!$I:$I,$D44)</f>
        <v>#REF!</v>
      </c>
      <c r="O44" s="108">
        <f>SUMIFS('Op 2 - Acute'!T:T,'Op 2 - Acute'!$I:$I,$D44)</f>
        <v>0</v>
      </c>
      <c r="P44" s="108" t="e">
        <f>SUMIFS('Op 2 - Acute'!U:U,'Op 2 - Acute'!$I:$I,$D44)</f>
        <v>#REF!</v>
      </c>
      <c r="Q44" s="108" t="e">
        <f>SUMIFS('Op 2 - Acute'!V:V,'Op 2 - Acute'!$I:$I,$D44)</f>
        <v>#REF!</v>
      </c>
      <c r="R44" s="108">
        <f>SUMIFS('Op 2 - Acute'!Y:Y,'Op 2 - Acute'!$I:$I,$D44)</f>
        <v>-652.83613910344684</v>
      </c>
      <c r="S44" s="108">
        <f>SUMIFS('Op 2 - Acute'!Z:Z,'Op 2 - Acute'!$I:$I,$D44)</f>
        <v>0</v>
      </c>
      <c r="T44" s="108" t="e">
        <f t="shared" si="2"/>
        <v>#REF!</v>
      </c>
      <c r="V44" s="108" t="e">
        <f t="shared" si="3"/>
        <v>#REF!</v>
      </c>
      <c r="X44" s="108" t="e">
        <f>SUMIFS('Op 1 - Convergence'!AK:AK,'Op 1 - Convergence'!I:I,D44)</f>
        <v>#REF!</v>
      </c>
      <c r="Y44" s="108" t="e">
        <f>SUMIFS('Op 1 - Convergence'!AN:AN,'Op 1 - Convergence'!I:I,D44)</f>
        <v>#REF!</v>
      </c>
      <c r="AA44" s="108" t="e">
        <f t="shared" si="4"/>
        <v>#REF!</v>
      </c>
      <c r="AB44" s="108" t="e">
        <f t="shared" si="5"/>
        <v>#REF!</v>
      </c>
      <c r="AD44" s="108" t="e">
        <f t="shared" si="6"/>
        <v>#REF!</v>
      </c>
      <c r="AE44" s="108" t="e">
        <f t="shared" si="7"/>
        <v>#REF!</v>
      </c>
      <c r="AG44" s="108" t="e">
        <f t="shared" si="8"/>
        <v>#REF!</v>
      </c>
    </row>
    <row r="45" spans="2:33" x14ac:dyDescent="0.25">
      <c r="B45" s="267" t="s">
        <v>98</v>
      </c>
      <c r="C45" s="268" t="s">
        <v>99</v>
      </c>
      <c r="D45" s="61" t="s">
        <v>104</v>
      </c>
      <c r="E45" s="231" t="s">
        <v>105</v>
      </c>
      <c r="F45" s="108" t="e">
        <f>SUMIFS('Op 1 - Convergence'!S:S,'Op 1 - Convergence'!$I:$I,$D45)</f>
        <v>#REF!</v>
      </c>
      <c r="G45" s="108">
        <f>SUMIFS('Op 1 - Convergence'!T:T,'Op 1 - Convergence'!$I:$I,$D45)</f>
        <v>0</v>
      </c>
      <c r="H45" s="108" t="e">
        <f>SUMIFS('Op 1 - Convergence'!U:U,'Op 1 - Convergence'!$I:$I,$D45)</f>
        <v>#REF!</v>
      </c>
      <c r="I45" s="108" t="e">
        <f>SUMIFS('Op 1 - Convergence'!V:V,'Op 1 - Convergence'!$I:$I,$D45)</f>
        <v>#REF!</v>
      </c>
      <c r="J45" s="108">
        <f>SUMIFS('Op 1 - Convergence'!Y:Y,'Op 1 - Convergence'!$I:$I,$D45)</f>
        <v>0</v>
      </c>
      <c r="K45" s="108">
        <f>SUMIFS('Op 1 - Convergence'!Z:Z,'Op 1 - Convergence'!$I:$I,$D45)</f>
        <v>601</v>
      </c>
      <c r="L45" s="108" t="e">
        <f t="shared" si="1"/>
        <v>#REF!</v>
      </c>
      <c r="N45" s="108" t="e">
        <f>SUMIFS('Op 2 - Acute'!S:S,'Op 2 - Acute'!$I:$I,$D45)</f>
        <v>#REF!</v>
      </c>
      <c r="O45" s="108">
        <f>SUMIFS('Op 2 - Acute'!T:T,'Op 2 - Acute'!$I:$I,$D45)</f>
        <v>0</v>
      </c>
      <c r="P45" s="108" t="e">
        <f>SUMIFS('Op 2 - Acute'!U:U,'Op 2 - Acute'!$I:$I,$D45)</f>
        <v>#REF!</v>
      </c>
      <c r="Q45" s="108" t="e">
        <f>SUMIFS('Op 2 - Acute'!V:V,'Op 2 - Acute'!$I:$I,$D45)</f>
        <v>#REF!</v>
      </c>
      <c r="R45" s="108">
        <f>SUMIFS('Op 2 - Acute'!Y:Y,'Op 2 - Acute'!$I:$I,$D45)</f>
        <v>1867.645801093264</v>
      </c>
      <c r="S45" s="108">
        <f>SUMIFS('Op 2 - Acute'!Z:Z,'Op 2 - Acute'!$I:$I,$D45)</f>
        <v>1056.6729388536</v>
      </c>
      <c r="T45" s="108" t="e">
        <f t="shared" si="2"/>
        <v>#REF!</v>
      </c>
      <c r="V45" s="108" t="e">
        <f t="shared" si="3"/>
        <v>#REF!</v>
      </c>
      <c r="X45" s="108" t="e">
        <f>SUMIFS('Op 1 - Convergence'!AK:AK,'Op 1 - Convergence'!I:I,D45)</f>
        <v>#REF!</v>
      </c>
      <c r="Y45" s="108" t="e">
        <f>SUMIFS('Op 1 - Convergence'!AN:AN,'Op 1 - Convergence'!I:I,D45)</f>
        <v>#REF!</v>
      </c>
      <c r="AA45" s="108" t="e">
        <f t="shared" si="4"/>
        <v>#REF!</v>
      </c>
      <c r="AB45" s="108" t="e">
        <f t="shared" si="5"/>
        <v>#REF!</v>
      </c>
      <c r="AD45" s="108" t="e">
        <f t="shared" si="6"/>
        <v>#REF!</v>
      </c>
      <c r="AE45" s="108" t="e">
        <f t="shared" si="7"/>
        <v>#REF!</v>
      </c>
      <c r="AG45" s="108" t="e">
        <f t="shared" si="8"/>
        <v>#REF!</v>
      </c>
    </row>
    <row r="46" spans="2:33" x14ac:dyDescent="0.25">
      <c r="B46" s="267" t="s">
        <v>98</v>
      </c>
      <c r="C46" s="268" t="s">
        <v>99</v>
      </c>
      <c r="D46" s="61" t="s">
        <v>110</v>
      </c>
      <c r="E46" s="231" t="s">
        <v>111</v>
      </c>
      <c r="F46" s="108" t="e">
        <f>SUMIFS('Op 1 - Convergence'!S:S,'Op 1 - Convergence'!$I:$I,$D46)</f>
        <v>#REF!</v>
      </c>
      <c r="G46" s="108">
        <f>SUMIFS('Op 1 - Convergence'!T:T,'Op 1 - Convergence'!$I:$I,$D46)</f>
        <v>0</v>
      </c>
      <c r="H46" s="108" t="e">
        <f>SUMIFS('Op 1 - Convergence'!U:U,'Op 1 - Convergence'!$I:$I,$D46)</f>
        <v>#REF!</v>
      </c>
      <c r="I46" s="108" t="e">
        <f>SUMIFS('Op 1 - Convergence'!V:V,'Op 1 - Convergence'!$I:$I,$D46)</f>
        <v>#REF!</v>
      </c>
      <c r="J46" s="108">
        <f>SUMIFS('Op 1 - Convergence'!Y:Y,'Op 1 - Convergence'!$I:$I,$D46)</f>
        <v>0</v>
      </c>
      <c r="K46" s="108">
        <f>SUMIFS('Op 1 - Convergence'!Z:Z,'Op 1 - Convergence'!$I:$I,$D46)</f>
        <v>0.22298999998020008</v>
      </c>
      <c r="L46" s="108" t="e">
        <f t="shared" si="1"/>
        <v>#REF!</v>
      </c>
      <c r="N46" s="108" t="e">
        <f>SUMIFS('Op 2 - Acute'!S:S,'Op 2 - Acute'!$I:$I,$D46)</f>
        <v>#REF!</v>
      </c>
      <c r="O46" s="108">
        <f>SUMIFS('Op 2 - Acute'!T:T,'Op 2 - Acute'!$I:$I,$D46)</f>
        <v>0</v>
      </c>
      <c r="P46" s="108" t="e">
        <f>SUMIFS('Op 2 - Acute'!U:U,'Op 2 - Acute'!$I:$I,$D46)</f>
        <v>#REF!</v>
      </c>
      <c r="Q46" s="108" t="e">
        <f>SUMIFS('Op 2 - Acute'!V:V,'Op 2 - Acute'!$I:$I,$D46)</f>
        <v>#REF!</v>
      </c>
      <c r="R46" s="108">
        <f>SUMIFS('Op 2 - Acute'!Y:Y,'Op 2 - Acute'!$I:$I,$D46)</f>
        <v>-261.84501715935801</v>
      </c>
      <c r="S46" s="108">
        <f>SUMIFS('Op 2 - Acute'!Z:Z,'Op 2 - Acute'!$I:$I,$D46)</f>
        <v>0</v>
      </c>
      <c r="T46" s="108" t="e">
        <f t="shared" si="2"/>
        <v>#REF!</v>
      </c>
      <c r="V46" s="108" t="e">
        <f t="shared" si="3"/>
        <v>#REF!</v>
      </c>
      <c r="X46" s="108" t="e">
        <f>SUMIFS('Op 1 - Convergence'!AK:AK,'Op 1 - Convergence'!I:I,D46)</f>
        <v>#REF!</v>
      </c>
      <c r="Y46" s="108" t="e">
        <f>SUMIFS('Op 1 - Convergence'!AN:AN,'Op 1 - Convergence'!I:I,D46)</f>
        <v>#REF!</v>
      </c>
      <c r="AA46" s="108" t="e">
        <f t="shared" si="4"/>
        <v>#REF!</v>
      </c>
      <c r="AB46" s="108" t="e">
        <f t="shared" si="5"/>
        <v>#REF!</v>
      </c>
      <c r="AD46" s="108" t="e">
        <f t="shared" si="6"/>
        <v>#REF!</v>
      </c>
      <c r="AE46" s="108" t="e">
        <f t="shared" si="7"/>
        <v>#REF!</v>
      </c>
      <c r="AG46" s="108" t="e">
        <f t="shared" si="8"/>
        <v>#REF!</v>
      </c>
    </row>
    <row r="47" spans="2:33" x14ac:dyDescent="0.25">
      <c r="B47" s="267" t="s">
        <v>98</v>
      </c>
      <c r="C47" s="268" t="s">
        <v>99</v>
      </c>
      <c r="D47" s="61" t="s">
        <v>112</v>
      </c>
      <c r="E47" s="231" t="s">
        <v>113</v>
      </c>
      <c r="F47" s="108" t="e">
        <f>SUMIFS('Op 1 - Convergence'!S:S,'Op 1 - Convergence'!$I:$I,$D47)</f>
        <v>#REF!</v>
      </c>
      <c r="G47" s="108">
        <f>SUMIFS('Op 1 - Convergence'!T:T,'Op 1 - Convergence'!$I:$I,$D47)</f>
        <v>0</v>
      </c>
      <c r="H47" s="108" t="e">
        <f>SUMIFS('Op 1 - Convergence'!U:U,'Op 1 - Convergence'!$I:$I,$D47)</f>
        <v>#REF!</v>
      </c>
      <c r="I47" s="108" t="e">
        <f>SUMIFS('Op 1 - Convergence'!V:V,'Op 1 - Convergence'!$I:$I,$D47)</f>
        <v>#REF!</v>
      </c>
      <c r="J47" s="108">
        <f>SUMIFS('Op 1 - Convergence'!Y:Y,'Op 1 - Convergence'!$I:$I,$D47)</f>
        <v>0</v>
      </c>
      <c r="K47" s="108">
        <f>SUMIFS('Op 1 - Convergence'!Z:Z,'Op 1 - Convergence'!$I:$I,$D47)</f>
        <v>514</v>
      </c>
      <c r="L47" s="108" t="e">
        <f t="shared" si="1"/>
        <v>#REF!</v>
      </c>
      <c r="N47" s="108" t="e">
        <f>SUMIFS('Op 2 - Acute'!S:S,'Op 2 - Acute'!$I:$I,$D47)</f>
        <v>#REF!</v>
      </c>
      <c r="O47" s="108">
        <f>SUMIFS('Op 2 - Acute'!T:T,'Op 2 - Acute'!$I:$I,$D47)</f>
        <v>0</v>
      </c>
      <c r="P47" s="108" t="e">
        <f>SUMIFS('Op 2 - Acute'!U:U,'Op 2 - Acute'!$I:$I,$D47)</f>
        <v>#REF!</v>
      </c>
      <c r="Q47" s="108" t="e">
        <f>SUMIFS('Op 2 - Acute'!V:V,'Op 2 - Acute'!$I:$I,$D47)</f>
        <v>#REF!</v>
      </c>
      <c r="R47" s="108">
        <f>SUMIFS('Op 2 - Acute'!Y:Y,'Op 2 - Acute'!$I:$I,$D47)</f>
        <v>1739.6205293338221</v>
      </c>
      <c r="S47" s="108">
        <f>SUMIFS('Op 2 - Acute'!Z:Z,'Op 2 - Acute'!$I:$I,$D47)</f>
        <v>904.09266547517939</v>
      </c>
      <c r="T47" s="108" t="e">
        <f t="shared" si="2"/>
        <v>#REF!</v>
      </c>
      <c r="V47" s="108" t="e">
        <f t="shared" si="3"/>
        <v>#REF!</v>
      </c>
      <c r="X47" s="108" t="e">
        <f>SUMIFS('Op 1 - Convergence'!AK:AK,'Op 1 - Convergence'!I:I,D47)</f>
        <v>#REF!</v>
      </c>
      <c r="Y47" s="108" t="e">
        <f>SUMIFS('Op 1 - Convergence'!AN:AN,'Op 1 - Convergence'!I:I,D47)</f>
        <v>#REF!</v>
      </c>
      <c r="AA47" s="108" t="e">
        <f t="shared" si="4"/>
        <v>#REF!</v>
      </c>
      <c r="AB47" s="108" t="e">
        <f t="shared" si="5"/>
        <v>#REF!</v>
      </c>
      <c r="AD47" s="108" t="e">
        <f t="shared" si="6"/>
        <v>#REF!</v>
      </c>
      <c r="AE47" s="108" t="e">
        <f t="shared" si="7"/>
        <v>#REF!</v>
      </c>
      <c r="AG47" s="108" t="e">
        <f t="shared" si="8"/>
        <v>#REF!</v>
      </c>
    </row>
    <row r="48" spans="2:33" hidden="1" outlineLevel="1" x14ac:dyDescent="0.25">
      <c r="B48" s="61"/>
      <c r="C48" s="61"/>
      <c r="D48" s="61"/>
      <c r="E48" s="61"/>
    </row>
    <row r="49" spans="2:33" hidden="1" outlineLevel="1" x14ac:dyDescent="0.25">
      <c r="B49" s="61"/>
      <c r="C49" s="61"/>
      <c r="D49" s="61"/>
      <c r="E49" s="61"/>
    </row>
    <row r="50" spans="2:33" hidden="1" outlineLevel="1" x14ac:dyDescent="0.25">
      <c r="B50" s="61"/>
      <c r="C50" s="272" t="s">
        <v>114</v>
      </c>
      <c r="D50" s="272" t="s">
        <v>13</v>
      </c>
      <c r="E50" s="272" t="s">
        <v>14</v>
      </c>
    </row>
    <row r="51" spans="2:33" hidden="1" outlineLevel="1" x14ac:dyDescent="0.25">
      <c r="B51" s="61"/>
      <c r="C51" s="273">
        <v>1</v>
      </c>
      <c r="D51" s="274" t="s">
        <v>17</v>
      </c>
      <c r="E51" s="274" t="s">
        <v>18</v>
      </c>
    </row>
    <row r="52" spans="2:33" hidden="1" outlineLevel="1" x14ac:dyDescent="0.25">
      <c r="B52" s="61"/>
      <c r="C52" s="273">
        <v>2</v>
      </c>
      <c r="D52" s="274" t="s">
        <v>27</v>
      </c>
      <c r="E52" s="274" t="s">
        <v>28</v>
      </c>
    </row>
    <row r="53" spans="2:33" hidden="1" outlineLevel="1" x14ac:dyDescent="0.25">
      <c r="B53" s="61"/>
      <c r="C53" s="273">
        <v>3</v>
      </c>
      <c r="D53" s="274" t="s">
        <v>34</v>
      </c>
      <c r="E53" s="274" t="s">
        <v>35</v>
      </c>
    </row>
    <row r="54" spans="2:33" hidden="1" outlineLevel="1" x14ac:dyDescent="0.25">
      <c r="B54" s="61"/>
      <c r="C54" s="273">
        <v>4</v>
      </c>
      <c r="D54" s="274" t="s">
        <v>58</v>
      </c>
      <c r="E54" s="274" t="s">
        <v>59</v>
      </c>
    </row>
    <row r="55" spans="2:33" hidden="1" outlineLevel="1" x14ac:dyDescent="0.25">
      <c r="B55" s="61"/>
      <c r="C55" s="273">
        <v>5</v>
      </c>
      <c r="D55" s="274" t="s">
        <v>72</v>
      </c>
      <c r="E55" s="274" t="s">
        <v>73</v>
      </c>
    </row>
    <row r="56" spans="2:33" hidden="1" outlineLevel="1" x14ac:dyDescent="0.25">
      <c r="B56" s="61"/>
      <c r="C56" s="273">
        <v>6</v>
      </c>
      <c r="D56" s="274" t="s">
        <v>84</v>
      </c>
      <c r="E56" s="274" t="s">
        <v>85</v>
      </c>
    </row>
    <row r="57" spans="2:33" hidden="1" outlineLevel="1" x14ac:dyDescent="0.25">
      <c r="B57" s="61"/>
      <c r="C57" s="273">
        <v>7</v>
      </c>
      <c r="D57" s="274" t="s">
        <v>98</v>
      </c>
      <c r="E57" s="274" t="s">
        <v>99</v>
      </c>
    </row>
    <row r="58" spans="2:33" hidden="1" outlineLevel="1" x14ac:dyDescent="0.25">
      <c r="B58" s="277"/>
      <c r="C58" s="278"/>
      <c r="D58" s="279" t="s">
        <v>115</v>
      </c>
      <c r="E58" s="279" t="s">
        <v>116</v>
      </c>
    </row>
    <row r="59" spans="2:33" collapsed="1" x14ac:dyDescent="0.25">
      <c r="B59" s="61"/>
      <c r="C59" s="61"/>
      <c r="D59" s="61"/>
      <c r="E59" s="61"/>
    </row>
    <row r="60" spans="2:33" x14ac:dyDescent="0.25">
      <c r="B60" s="61"/>
      <c r="C60" s="61"/>
      <c r="D60" s="61"/>
      <c r="E60" s="426" t="s">
        <v>115</v>
      </c>
      <c r="F60" s="108" t="e">
        <f t="shared" ref="F60:L60" si="9">SUM(F6:F47)</f>
        <v>#REF!</v>
      </c>
      <c r="G60" s="108">
        <f t="shared" si="9"/>
        <v>0</v>
      </c>
      <c r="H60" s="108" t="e">
        <f t="shared" si="9"/>
        <v>#REF!</v>
      </c>
      <c r="I60" s="108" t="e">
        <f t="shared" si="9"/>
        <v>#REF!</v>
      </c>
      <c r="J60" s="108">
        <f t="shared" si="9"/>
        <v>0</v>
      </c>
      <c r="K60" s="108">
        <f t="shared" si="9"/>
        <v>26662.858177471848</v>
      </c>
      <c r="L60" s="108" t="e">
        <f t="shared" si="9"/>
        <v>#REF!</v>
      </c>
      <c r="N60" s="108" t="e">
        <f t="shared" ref="N60:T60" si="10">SUM(N6:N47)</f>
        <v>#REF!</v>
      </c>
      <c r="O60" s="108">
        <f t="shared" si="10"/>
        <v>0</v>
      </c>
      <c r="P60" s="108" t="e">
        <f t="shared" si="10"/>
        <v>#REF!</v>
      </c>
      <c r="Q60" s="108" t="e">
        <f t="shared" si="10"/>
        <v>#REF!</v>
      </c>
      <c r="R60" s="108">
        <f t="shared" si="10"/>
        <v>55257.510347462005</v>
      </c>
      <c r="S60" s="108">
        <f t="shared" si="10"/>
        <v>47067.469229091606</v>
      </c>
      <c r="T60" s="108" t="e">
        <f t="shared" si="10"/>
        <v>#REF!</v>
      </c>
      <c r="V60" s="108" t="e">
        <f>SUM(V6:V47)</f>
        <v>#REF!</v>
      </c>
      <c r="X60" s="108" t="e">
        <f>SUM(X6:X47)</f>
        <v>#REF!</v>
      </c>
      <c r="Y60" s="108" t="e">
        <f>SUM(Y6:Y47)</f>
        <v>#REF!</v>
      </c>
      <c r="AA60" s="108" t="e">
        <f>SUM(AA6:AA47)</f>
        <v>#REF!</v>
      </c>
      <c r="AB60" s="108" t="e">
        <f>SUM(AB6:AB47)</f>
        <v>#REF!</v>
      </c>
      <c r="AD60" s="108" t="e">
        <f>SUM(AD6:AD47)</f>
        <v>#REF!</v>
      </c>
      <c r="AE60" s="108" t="e">
        <f>SUM(AE6:AE47)</f>
        <v>#REF!</v>
      </c>
      <c r="AG60" s="108" t="e">
        <f t="shared" ref="AG60:AG62" si="11">AB60-AE60</f>
        <v>#REF!</v>
      </c>
    </row>
    <row r="61" spans="2:33" x14ac:dyDescent="0.25">
      <c r="B61" s="61"/>
      <c r="C61" s="61"/>
      <c r="D61" s="61"/>
      <c r="E61" s="427" t="s">
        <v>252</v>
      </c>
      <c r="F61" s="428"/>
      <c r="G61" s="428"/>
      <c r="H61" s="428"/>
      <c r="I61" s="428"/>
      <c r="J61" s="428"/>
      <c r="K61" s="428"/>
      <c r="L61" s="428"/>
      <c r="N61" s="428"/>
      <c r="O61" s="428"/>
      <c r="P61" s="428"/>
      <c r="Q61" s="428"/>
      <c r="R61" s="428"/>
      <c r="S61" s="428"/>
      <c r="T61" s="428"/>
      <c r="V61" s="108"/>
      <c r="X61" s="108">
        <f>SUMIFS(X$6:X$47,X$6:X$47,"&lt;0")</f>
        <v>0</v>
      </c>
      <c r="Y61" s="108"/>
      <c r="AA61" s="108">
        <f>AB61-$X61</f>
        <v>0</v>
      </c>
      <c r="AB61" s="108">
        <f>SUMIFS(AB$6:AB$47,AB$6:AB$47,"&lt;0")</f>
        <v>0</v>
      </c>
      <c r="AD61" s="108">
        <f>AE61-$X61</f>
        <v>0</v>
      </c>
      <c r="AE61" s="108">
        <f>SUMIFS(AE$6:AE$47,AE$6:AE$47,"&lt;0")</f>
        <v>0</v>
      </c>
      <c r="AG61" s="108">
        <f t="shared" si="11"/>
        <v>0</v>
      </c>
    </row>
    <row r="62" spans="2:33" x14ac:dyDescent="0.25">
      <c r="B62" s="82"/>
      <c r="C62" s="82"/>
      <c r="D62" s="82"/>
      <c r="E62" s="427" t="s">
        <v>384</v>
      </c>
      <c r="F62" s="428"/>
      <c r="G62" s="428"/>
      <c r="H62" s="428"/>
      <c r="I62" s="428"/>
      <c r="J62" s="428"/>
      <c r="K62" s="428"/>
      <c r="L62" s="428"/>
      <c r="N62" s="428"/>
      <c r="O62" s="428"/>
      <c r="P62" s="428"/>
      <c r="Q62" s="428"/>
      <c r="R62" s="428"/>
      <c r="S62" s="428"/>
      <c r="T62" s="428"/>
      <c r="V62" s="108"/>
      <c r="X62" s="108">
        <f>SUMIFS(X$6:X$47,X$6:X$47,"&gt;0")</f>
        <v>0</v>
      </c>
      <c r="Y62" s="108"/>
      <c r="AA62" s="108">
        <f>AB62-$X62</f>
        <v>0</v>
      </c>
      <c r="AB62" s="108">
        <f>SUMIFS(AB$6:AB$47,AB$6:AB$47,"&gt;0")</f>
        <v>0</v>
      </c>
      <c r="AD62" s="108">
        <f>AE62-$X62</f>
        <v>0</v>
      </c>
      <c r="AE62" s="108">
        <f>SUMIFS(AE$6:AE$47,AE$6:AE$47,"&gt;0")</f>
        <v>0</v>
      </c>
      <c r="AG62" s="108">
        <f t="shared" si="11"/>
        <v>0</v>
      </c>
    </row>
    <row r="66" spans="27:31" x14ac:dyDescent="0.25">
      <c r="AA66" s="423"/>
      <c r="AB66" s="423" t="e">
        <f>AB60-$X60</f>
        <v>#REF!</v>
      </c>
      <c r="AE66" s="423" t="e">
        <f>AE60-$X60</f>
        <v>#REF!</v>
      </c>
    </row>
    <row r="67" spans="27:31" x14ac:dyDescent="0.25">
      <c r="AA67" s="423"/>
      <c r="AB67" s="423">
        <f>AB61-$X61</f>
        <v>0</v>
      </c>
      <c r="AE67" s="423">
        <f t="shared" ref="AE67:AE68" si="12">AE61-$X61</f>
        <v>0</v>
      </c>
    </row>
    <row r="68" spans="27:31" x14ac:dyDescent="0.25">
      <c r="AA68" s="423"/>
      <c r="AB68" s="423">
        <f>AB62-$X62</f>
        <v>0</v>
      </c>
      <c r="AE68" s="423">
        <f t="shared" si="12"/>
        <v>0</v>
      </c>
    </row>
  </sheetData>
  <autoFilter ref="C5:AG5" xr:uid="{F82A4AA3-0993-4309-9E5A-5A8C0A175F90}">
    <sortState xmlns:xlrd2="http://schemas.microsoft.com/office/spreadsheetml/2017/richdata2" ref="C6:AG47">
      <sortCondition ref="X5"/>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001F8-8F0F-4137-9617-7DFF144326C4}">
  <sheetPr codeName="Sheet31">
    <tabColor rgb="FF002060"/>
  </sheetPr>
  <dimension ref="B1:CB53"/>
  <sheetViews>
    <sheetView showGridLines="0" workbookViewId="0">
      <selection activeCell="BK5" sqref="E5:BK53"/>
    </sheetView>
  </sheetViews>
  <sheetFormatPr defaultRowHeight="15" x14ac:dyDescent="0.25"/>
  <cols>
    <col min="3" max="3" width="23.7109375" bestFit="1" customWidth="1"/>
    <col min="5" max="5" width="60.28515625" bestFit="1" customWidth="1"/>
    <col min="6" max="6" width="9.5703125" hidden="1" customWidth="1"/>
    <col min="7" max="7" width="8.7109375" hidden="1" customWidth="1"/>
    <col min="8" max="9" width="10.42578125" hidden="1" customWidth="1"/>
    <col min="10" max="16" width="8.7109375" hidden="1" customWidth="1"/>
    <col min="17" max="17" width="10.28515625" hidden="1" customWidth="1"/>
    <col min="18" max="18" width="8.7109375" hidden="1" customWidth="1"/>
    <col min="19" max="19" width="1.5703125" hidden="1" customWidth="1"/>
    <col min="20" max="30" width="8.7109375" hidden="1" customWidth="1"/>
    <col min="31" max="31" width="11.28515625" hidden="1" customWidth="1"/>
    <col min="32" max="32" width="9.28515625" hidden="1" customWidth="1"/>
    <col min="33" max="33" width="1.5703125" hidden="1" customWidth="1"/>
    <col min="34" max="44" width="8.7109375" hidden="1" customWidth="1"/>
    <col min="45" max="45" width="10.28515625" hidden="1" customWidth="1"/>
    <col min="46" max="46" width="8.7109375" hidden="1" customWidth="1"/>
    <col min="47" max="47" width="1.5703125" hidden="1" customWidth="1"/>
    <col min="48" max="48" width="9.7109375" hidden="1" customWidth="1"/>
    <col min="49" max="49" width="1.5703125" hidden="1" customWidth="1"/>
    <col min="50" max="51" width="11.5703125" customWidth="1"/>
    <col min="52" max="52" width="1.5703125" customWidth="1"/>
    <col min="53" max="55" width="11.5703125" customWidth="1"/>
    <col min="56" max="56" width="1.5703125" customWidth="1"/>
    <col min="57" max="59" width="11.5703125" customWidth="1"/>
    <col min="60" max="60" width="1.5703125" customWidth="1"/>
    <col min="61" max="63" width="11.5703125" customWidth="1"/>
    <col min="64" max="64" width="8.7109375" customWidth="1"/>
    <col min="65" max="67" width="12.7109375" customWidth="1"/>
    <col min="68" max="70" width="10.7109375" customWidth="1"/>
    <col min="72" max="72" width="1.5703125" customWidth="1"/>
    <col min="73" max="74" width="10.28515625" customWidth="1"/>
    <col min="75" max="75" width="1.5703125" customWidth="1"/>
    <col min="76" max="77" width="10.28515625" customWidth="1"/>
    <col min="78" max="78" width="1.5703125" customWidth="1"/>
    <col min="79" max="80" width="10.28515625" customWidth="1"/>
  </cols>
  <sheetData>
    <row r="1" spans="2:80" x14ac:dyDescent="0.25">
      <c r="F1" s="414">
        <v>1</v>
      </c>
      <c r="G1" s="414">
        <v>0.9</v>
      </c>
      <c r="H1" s="414">
        <v>0.9</v>
      </c>
      <c r="I1" s="414">
        <v>0.9</v>
      </c>
      <c r="J1" s="414">
        <v>1</v>
      </c>
      <c r="K1" s="414">
        <v>1</v>
      </c>
      <c r="L1" s="414">
        <v>0</v>
      </c>
      <c r="M1" s="414">
        <v>1</v>
      </c>
      <c r="N1" s="414">
        <v>1</v>
      </c>
      <c r="O1" s="414">
        <v>1</v>
      </c>
      <c r="P1" s="414">
        <v>0.75</v>
      </c>
      <c r="Q1" s="314" t="s">
        <v>332</v>
      </c>
      <c r="R1" s="314"/>
      <c r="T1" s="414">
        <f>F1</f>
        <v>1</v>
      </c>
      <c r="U1" s="414">
        <f t="shared" ref="U1:AD1" si="0">G1</f>
        <v>0.9</v>
      </c>
      <c r="V1" s="414">
        <f t="shared" si="0"/>
        <v>0.9</v>
      </c>
      <c r="W1" s="414">
        <f t="shared" si="0"/>
        <v>0.9</v>
      </c>
      <c r="X1" s="414">
        <f t="shared" si="0"/>
        <v>1</v>
      </c>
      <c r="Y1" s="414">
        <f t="shared" si="0"/>
        <v>1</v>
      </c>
      <c r="Z1" s="414">
        <f t="shared" si="0"/>
        <v>0</v>
      </c>
      <c r="AA1" s="414">
        <f t="shared" si="0"/>
        <v>1</v>
      </c>
      <c r="AB1" s="414">
        <f t="shared" si="0"/>
        <v>1</v>
      </c>
      <c r="AC1" s="414">
        <f t="shared" si="0"/>
        <v>1</v>
      </c>
      <c r="AD1" s="414">
        <f t="shared" si="0"/>
        <v>0.75</v>
      </c>
      <c r="AE1" s="314" t="s">
        <v>332</v>
      </c>
      <c r="AF1" s="314"/>
      <c r="AH1" s="414">
        <f>F1</f>
        <v>1</v>
      </c>
      <c r="AI1" s="414">
        <f t="shared" ref="AI1:AR1" si="1">G1</f>
        <v>0.9</v>
      </c>
      <c r="AJ1" s="414">
        <f t="shared" si="1"/>
        <v>0.9</v>
      </c>
      <c r="AK1" s="414">
        <f t="shared" si="1"/>
        <v>0.9</v>
      </c>
      <c r="AL1" s="414">
        <f t="shared" si="1"/>
        <v>1</v>
      </c>
      <c r="AM1" s="414">
        <f t="shared" si="1"/>
        <v>1</v>
      </c>
      <c r="AN1" s="414">
        <f t="shared" si="1"/>
        <v>0</v>
      </c>
      <c r="AO1" s="414">
        <f t="shared" si="1"/>
        <v>1</v>
      </c>
      <c r="AP1" s="414">
        <f t="shared" si="1"/>
        <v>1</v>
      </c>
      <c r="AQ1" s="414">
        <f t="shared" si="1"/>
        <v>1</v>
      </c>
      <c r="AR1" s="414">
        <f t="shared" si="1"/>
        <v>0.75</v>
      </c>
      <c r="AS1" s="314" t="s">
        <v>332</v>
      </c>
      <c r="AT1" s="314"/>
      <c r="AV1" s="314"/>
    </row>
    <row r="2" spans="2:80" x14ac:dyDescent="0.25">
      <c r="F2" s="61"/>
      <c r="G2" s="61"/>
      <c r="H2" s="61"/>
      <c r="I2" s="61"/>
      <c r="J2" s="61"/>
      <c r="K2" s="61"/>
      <c r="L2" s="61"/>
      <c r="M2" s="61"/>
      <c r="N2" s="61"/>
      <c r="O2" s="61"/>
      <c r="P2" s="61"/>
      <c r="Q2" s="61"/>
      <c r="R2" s="61"/>
      <c r="AF2" s="61"/>
      <c r="AH2" s="61"/>
      <c r="AI2" s="61"/>
      <c r="AJ2" s="61"/>
      <c r="AK2" s="61"/>
      <c r="AL2" s="61"/>
      <c r="AM2" s="61"/>
      <c r="AN2" s="61"/>
      <c r="AO2" s="61"/>
      <c r="AP2" s="61"/>
      <c r="AQ2" s="61"/>
      <c r="AR2" s="61"/>
      <c r="AS2" s="61"/>
      <c r="AT2" s="61"/>
      <c r="AV2" s="61"/>
    </row>
    <row r="3" spans="2:80" x14ac:dyDescent="0.25">
      <c r="F3" s="61"/>
      <c r="G3" s="61"/>
      <c r="H3" s="61"/>
      <c r="I3" s="61"/>
      <c r="J3" s="61"/>
      <c r="K3" s="61"/>
      <c r="L3" s="61"/>
      <c r="M3" s="61"/>
      <c r="N3" s="61"/>
      <c r="O3" s="61"/>
      <c r="P3" s="61"/>
      <c r="Q3" s="61"/>
      <c r="R3" s="61"/>
      <c r="AF3" s="61"/>
      <c r="AH3" s="61"/>
      <c r="AI3" s="61"/>
      <c r="AJ3" s="61"/>
      <c r="AK3" s="61"/>
      <c r="AL3" s="61"/>
      <c r="AM3" s="61"/>
      <c r="AN3" s="61"/>
      <c r="AO3" s="61"/>
      <c r="AP3" s="61"/>
      <c r="AQ3" s="61"/>
      <c r="AR3" s="61"/>
      <c r="AS3" s="61"/>
      <c r="AT3" s="61"/>
      <c r="AV3" s="61"/>
    </row>
    <row r="4" spans="2:80" x14ac:dyDescent="0.25">
      <c r="F4" s="82"/>
      <c r="G4" s="82"/>
      <c r="H4" s="82"/>
      <c r="I4" s="82"/>
      <c r="J4" s="82"/>
      <c r="K4" s="82"/>
      <c r="L4" s="82"/>
      <c r="M4" s="82"/>
      <c r="N4" s="82"/>
      <c r="O4" s="82"/>
      <c r="P4" s="82"/>
      <c r="Q4" s="82"/>
      <c r="R4" s="82"/>
      <c r="AF4" s="82"/>
      <c r="AH4" s="82"/>
      <c r="AI4" s="82"/>
      <c r="AJ4" s="82"/>
      <c r="AK4" s="82"/>
      <c r="AL4" s="82"/>
      <c r="AM4" s="82"/>
      <c r="AN4" s="82"/>
      <c r="AO4" s="82"/>
      <c r="AP4" s="82"/>
      <c r="AQ4" s="82"/>
      <c r="AR4" s="82"/>
      <c r="AS4" s="82"/>
      <c r="AT4" s="82"/>
      <c r="AV4" s="82"/>
    </row>
    <row r="5" spans="2:80" x14ac:dyDescent="0.25">
      <c r="F5" s="284" t="s">
        <v>1119</v>
      </c>
      <c r="G5" s="284"/>
      <c r="H5" s="284"/>
      <c r="I5" s="284"/>
      <c r="J5" s="284"/>
      <c r="K5" s="284"/>
      <c r="L5" s="284"/>
      <c r="M5" s="284"/>
      <c r="N5" s="284"/>
      <c r="O5" s="284"/>
      <c r="P5" s="284"/>
      <c r="Q5" s="284"/>
      <c r="R5" s="284"/>
      <c r="T5" s="284" t="s">
        <v>1120</v>
      </c>
      <c r="U5" s="284"/>
      <c r="V5" s="284"/>
      <c r="W5" s="284"/>
      <c r="X5" s="284"/>
      <c r="Y5" s="284"/>
      <c r="Z5" s="284"/>
      <c r="AA5" s="284"/>
      <c r="AB5" s="284"/>
      <c r="AC5" s="284"/>
      <c r="AD5" s="284"/>
      <c r="AE5" s="284"/>
      <c r="AF5" s="284"/>
      <c r="AH5" s="284" t="s">
        <v>1121</v>
      </c>
      <c r="AI5" s="284"/>
      <c r="AJ5" s="284"/>
      <c r="AK5" s="284"/>
      <c r="AL5" s="284"/>
      <c r="AM5" s="284"/>
      <c r="AN5" s="284"/>
      <c r="AO5" s="284"/>
      <c r="AP5" s="284"/>
      <c r="AQ5" s="284"/>
      <c r="AR5" s="284"/>
      <c r="AS5" s="284"/>
      <c r="AT5" s="284"/>
      <c r="BA5" s="475" t="s">
        <v>1119</v>
      </c>
      <c r="BB5" s="475"/>
      <c r="BC5" s="475"/>
      <c r="BE5" s="476" t="s">
        <v>1120</v>
      </c>
      <c r="BF5" s="476"/>
      <c r="BG5" s="476"/>
      <c r="BI5" s="477" t="s">
        <v>1121</v>
      </c>
      <c r="BJ5" s="477"/>
      <c r="BK5" s="477"/>
      <c r="BM5" s="284" t="s">
        <v>336</v>
      </c>
      <c r="BN5" s="284"/>
      <c r="BO5" s="284"/>
      <c r="BP5" s="284" t="s">
        <v>337</v>
      </c>
      <c r="BQ5" s="284"/>
      <c r="BR5" s="470" t="s">
        <v>1082</v>
      </c>
      <c r="BS5" s="470"/>
      <c r="BU5" s="475" t="s">
        <v>1119</v>
      </c>
      <c r="BV5" s="475"/>
      <c r="BX5" s="476" t="s">
        <v>1120</v>
      </c>
      <c r="BY5" s="476"/>
      <c r="CA5" s="477" t="s">
        <v>1121</v>
      </c>
      <c r="CB5" s="477"/>
    </row>
    <row r="6" spans="2:80" ht="60" x14ac:dyDescent="0.25">
      <c r="B6" s="263" t="s">
        <v>13</v>
      </c>
      <c r="C6" s="264" t="s">
        <v>14</v>
      </c>
      <c r="D6" s="264" t="s">
        <v>15</v>
      </c>
      <c r="E6" s="474" t="s">
        <v>16</v>
      </c>
      <c r="F6" s="265" t="s">
        <v>345</v>
      </c>
      <c r="G6" s="265" t="s">
        <v>295</v>
      </c>
      <c r="H6" s="265" t="s">
        <v>346</v>
      </c>
      <c r="I6" s="265" t="s">
        <v>280</v>
      </c>
      <c r="J6" s="265" t="s">
        <v>347</v>
      </c>
      <c r="K6" s="265" t="s">
        <v>348</v>
      </c>
      <c r="L6" s="265" t="s">
        <v>1073</v>
      </c>
      <c r="M6" s="265" t="s">
        <v>212</v>
      </c>
      <c r="N6" s="265" t="s">
        <v>1131</v>
      </c>
      <c r="O6" s="265" t="s">
        <v>1130</v>
      </c>
      <c r="P6" s="265" t="s">
        <v>1129</v>
      </c>
      <c r="Q6" s="265" t="s">
        <v>115</v>
      </c>
      <c r="R6" s="265" t="s">
        <v>256</v>
      </c>
      <c r="T6" s="265" t="s">
        <v>345</v>
      </c>
      <c r="U6" s="265" t="s">
        <v>295</v>
      </c>
      <c r="V6" s="265" t="s">
        <v>346</v>
      </c>
      <c r="W6" s="265" t="s">
        <v>280</v>
      </c>
      <c r="X6" s="265" t="s">
        <v>347</v>
      </c>
      <c r="Y6" s="265" t="s">
        <v>348</v>
      </c>
      <c r="Z6" s="265" t="s">
        <v>1073</v>
      </c>
      <c r="AA6" s="265" t="s">
        <v>212</v>
      </c>
      <c r="AB6" s="265" t="s">
        <v>1131</v>
      </c>
      <c r="AC6" s="265" t="s">
        <v>1130</v>
      </c>
      <c r="AD6" s="265" t="s">
        <v>1129</v>
      </c>
      <c r="AE6" s="265" t="s">
        <v>115</v>
      </c>
      <c r="AF6" s="265" t="s">
        <v>256</v>
      </c>
      <c r="AH6" s="265" t="s">
        <v>345</v>
      </c>
      <c r="AI6" s="265" t="s">
        <v>295</v>
      </c>
      <c r="AJ6" s="265" t="s">
        <v>346</v>
      </c>
      <c r="AK6" s="265" t="s">
        <v>280</v>
      </c>
      <c r="AL6" s="265" t="s">
        <v>347</v>
      </c>
      <c r="AM6" s="265" t="s">
        <v>348</v>
      </c>
      <c r="AN6" s="265" t="s">
        <v>1073</v>
      </c>
      <c r="AO6" s="265" t="s">
        <v>212</v>
      </c>
      <c r="AP6" s="265" t="s">
        <v>1131</v>
      </c>
      <c r="AQ6" s="265" t="s">
        <v>1130</v>
      </c>
      <c r="AR6" s="265" t="s">
        <v>1129</v>
      </c>
      <c r="AS6" s="265" t="s">
        <v>115</v>
      </c>
      <c r="AT6" s="265" t="s">
        <v>256</v>
      </c>
      <c r="AV6" s="265" t="s">
        <v>403</v>
      </c>
      <c r="AX6" s="471" t="s">
        <v>256</v>
      </c>
      <c r="AY6" s="471"/>
      <c r="BA6" s="265" t="s">
        <v>1132</v>
      </c>
      <c r="BB6" s="265" t="s">
        <v>182</v>
      </c>
      <c r="BC6" s="265" t="s">
        <v>1133</v>
      </c>
      <c r="BE6" s="265" t="s">
        <v>1132</v>
      </c>
      <c r="BF6" s="265" t="s">
        <v>182</v>
      </c>
      <c r="BG6" s="265" t="s">
        <v>1133</v>
      </c>
      <c r="BI6" s="265" t="s">
        <v>1132</v>
      </c>
      <c r="BJ6" s="265" t="s">
        <v>182</v>
      </c>
      <c r="BK6" s="265" t="s">
        <v>1133</v>
      </c>
      <c r="BM6" s="265" t="s">
        <v>7</v>
      </c>
      <c r="BN6" s="265" t="s">
        <v>333</v>
      </c>
      <c r="BO6" s="265" t="s">
        <v>115</v>
      </c>
      <c r="BP6" s="265" t="s">
        <v>7</v>
      </c>
      <c r="BQ6" s="265" t="s">
        <v>333</v>
      </c>
      <c r="BR6" s="472" t="s">
        <v>1110</v>
      </c>
      <c r="BS6" s="473" t="s">
        <v>1084</v>
      </c>
      <c r="BT6" s="68"/>
      <c r="BU6" s="472" t="s">
        <v>1142</v>
      </c>
      <c r="BV6" s="472" t="s">
        <v>1143</v>
      </c>
      <c r="BW6" s="68"/>
      <c r="BX6" s="472" t="s">
        <v>1142</v>
      </c>
      <c r="BY6" s="472" t="s">
        <v>1143</v>
      </c>
      <c r="BZ6" s="68"/>
      <c r="CA6" s="472" t="s">
        <v>1142</v>
      </c>
      <c r="CB6" s="472" t="s">
        <v>1143</v>
      </c>
    </row>
    <row r="7" spans="2:80" x14ac:dyDescent="0.25">
      <c r="B7" s="267" t="s">
        <v>27</v>
      </c>
      <c r="C7" s="268" t="s">
        <v>28</v>
      </c>
      <c r="D7" s="61" t="s">
        <v>31</v>
      </c>
      <c r="E7" s="231" t="s">
        <v>8</v>
      </c>
      <c r="F7" s="446">
        <f>SUMIFS('SC1'!S:S,'SC1'!$I:$I,$D7)</f>
        <v>15984.653008914531</v>
      </c>
      <c r="G7" s="446">
        <f>SUMIFS('SC1'!T:T,'SC1'!$I:$I,$D7)</f>
        <v>0</v>
      </c>
      <c r="H7" s="446">
        <f>SUMIFS('SC1'!U:U,'SC1'!$I:$I,$D7)</f>
        <v>13189.360331432936</v>
      </c>
      <c r="I7" s="446">
        <f>SUMIFS('SC1'!V:V,'SC1'!$I:$I,$D7)</f>
        <v>35320.935389626444</v>
      </c>
      <c r="J7" s="446"/>
      <c r="K7" s="446"/>
      <c r="L7" s="446"/>
      <c r="M7" s="446">
        <f>SUMIFS('SC1'!Z:Z,'SC1'!$I:$I,$D7)</f>
        <v>-0.16119646956212819</v>
      </c>
      <c r="N7" s="446"/>
      <c r="O7" s="446">
        <f>SUMIFS('SC1'!AB:AB,'SC1'!$I:$I,$D7)</f>
        <v>433.56844430036915</v>
      </c>
      <c r="P7" s="446">
        <f>SUMIFS('SC1'!AC:AC,'SC1'!$I:$I,$D7)</f>
        <v>0</v>
      </c>
      <c r="Q7" s="446">
        <f>SUM(F7:P7)</f>
        <v>64928.35597780472</v>
      </c>
      <c r="R7" s="446">
        <f t="shared" ref="R7:R48" si="2">SUMPRODUCT(F7:P7,$F$1:$P$1)</f>
        <v>60077.326405698783</v>
      </c>
      <c r="T7" s="446">
        <f>SUMIFS('SC2'!S:S,'SC2'!$I:$I,$D7)</f>
        <v>0</v>
      </c>
      <c r="U7" s="446">
        <f>SUMIFS('SC2'!T:T,'SC2'!$I:$I,$D7)</f>
        <v>0</v>
      </c>
      <c r="V7" s="446">
        <f>SUMIFS('SC2'!U:U,'SC2'!$I:$I,$D7)</f>
        <v>26306.181314553236</v>
      </c>
      <c r="W7" s="446">
        <f>SUMIFS('SC2'!V:V,'SC2'!$I:$I,$D7)</f>
        <v>33193.062740759407</v>
      </c>
      <c r="X7" s="446"/>
      <c r="Y7" s="446"/>
      <c r="Z7" s="446"/>
      <c r="AA7" s="446">
        <f>SUMIFS('SC2'!Z:Z,'SC2'!$I:$I,$D7)</f>
        <v>-0.18081156653352082</v>
      </c>
      <c r="AB7" s="446"/>
      <c r="AC7" s="446">
        <f>SUMIFS('SC2'!AB:AB,'SC2'!$I:$I,$D7)</f>
        <v>866.68104186473818</v>
      </c>
      <c r="AD7" s="446">
        <f>SUMIFS('SC2'!AC:AC,'SC2'!$I:$I,$D7)</f>
        <v>0</v>
      </c>
      <c r="AE7" s="446">
        <f>SUM(T7:AD7)</f>
        <v>60365.744285610846</v>
      </c>
      <c r="AF7" s="446">
        <f t="shared" ref="AF7:AF48" si="3">SUMPRODUCT(T7:AD7,$T$1:$AD$1)</f>
        <v>54415.81988007958</v>
      </c>
      <c r="AH7" s="446">
        <f>SUMIFS('SC3'!S:S,'SC3'!$I:$I,$D7)</f>
        <v>0</v>
      </c>
      <c r="AI7" s="446">
        <f>SUMIFS('SC3'!T:T,'SC3'!$I:$I,$D7)</f>
        <v>0</v>
      </c>
      <c r="AJ7" s="446">
        <f>SUMIFS('SC3'!U:U,'SC3'!$I:$I,$D7)</f>
        <v>0</v>
      </c>
      <c r="AK7" s="446">
        <f>SUMIFS('SC3'!V:V,'SC3'!$I:$I,$D7)</f>
        <v>28866.573068082624</v>
      </c>
      <c r="AL7" s="446"/>
      <c r="AM7" s="446"/>
      <c r="AN7" s="446"/>
      <c r="AO7" s="446">
        <f>SUMIFS('SC3'!Z:Z,'SC3'!$I:$I,$D7)</f>
        <v>0</v>
      </c>
      <c r="AP7" s="446"/>
      <c r="AQ7" s="446">
        <f>SUMIFS('SC3'!AB:AB,'SC3'!$I:$I,$D7)</f>
        <v>0</v>
      </c>
      <c r="AR7" s="446">
        <f>SUMIFS('SC3'!AC:AC,'SC3'!$I:$I,$D7)</f>
        <v>32360.353388981981</v>
      </c>
      <c r="AS7" s="446">
        <f>SUM(AH7:AR7)</f>
        <v>61226.926457064605</v>
      </c>
      <c r="AT7" s="446">
        <f t="shared" ref="AT7:AT48" si="4">SUMPRODUCT(AH7:AR7,$AH$1:$AR$1)</f>
        <v>50250.180803010851</v>
      </c>
      <c r="AV7" s="446" t="e">
        <f>SUMIFS('Op 1 - Convergence'!AN:AN,'Op 1 - Convergence'!$I:$I,$D7)</f>
        <v>#REF!</v>
      </c>
      <c r="AX7" s="446" t="e">
        <f>SUMIFS('Op 1 - Convergence'!AK:AK,'Op 1 - Convergence'!$I:$I,$D7)</f>
        <v>#REF!</v>
      </c>
      <c r="AY7" s="449" t="e">
        <f>AX7/(BO7+BR7)</f>
        <v>#REF!</v>
      </c>
      <c r="BA7" s="446">
        <f t="shared" ref="BA7:BA48" si="5">Q7</f>
        <v>64928.35597780472</v>
      </c>
      <c r="BB7" s="446" t="e">
        <f t="shared" ref="BB7:BB48" si="6">R7+$AV7</f>
        <v>#REF!</v>
      </c>
      <c r="BC7" s="446" t="e">
        <f t="shared" ref="BC7:BC48" si="7">$AX7+BB7</f>
        <v>#REF!</v>
      </c>
      <c r="BE7" s="446">
        <f t="shared" ref="BE7:BE48" si="8">AE7</f>
        <v>60365.744285610846</v>
      </c>
      <c r="BF7" s="446" t="e">
        <f t="shared" ref="BF7:BF48" si="9">AF7+$AV7</f>
        <v>#REF!</v>
      </c>
      <c r="BG7" s="446" t="e">
        <f t="shared" ref="BG7:BG48" si="10">$AX7+BF7</f>
        <v>#REF!</v>
      </c>
      <c r="BI7" s="446">
        <f t="shared" ref="BI7:BI48" si="11">AS7</f>
        <v>61226.926457064605</v>
      </c>
      <c r="BJ7" s="446" t="e">
        <f t="shared" ref="BJ7:BJ48" si="12">AT7+$AV7</f>
        <v>#REF!</v>
      </c>
      <c r="BK7" s="446" t="e">
        <f t="shared" ref="BK7:BK48" si="13">$AX7+BJ7</f>
        <v>#REF!</v>
      </c>
      <c r="BM7" s="446" t="e">
        <f>SUMIFS('Op 1 - Convergence'!K:K,'Op 1 - Convergence'!$I:$I,$D7)</f>
        <v>#REF!</v>
      </c>
      <c r="BN7" s="446">
        <f>SUMIFS('Op 1 - Convergence'!L:L,'Op 1 - Convergence'!$I:$I,$D7)</f>
        <v>1116891.9456620421</v>
      </c>
      <c r="BO7" s="446" t="e">
        <f>SUMIFS('Op 1 - Convergence'!M:M,'Op 1 - Convergence'!$I:$I,$D7)</f>
        <v>#REF!</v>
      </c>
      <c r="BP7" s="446" t="e">
        <f>SUMIFS('Op 1 - Convergence'!N:N,'Op 1 - Convergence'!$I:$I,$D7)</f>
        <v>#REF!</v>
      </c>
      <c r="BQ7" s="446">
        <f>SUMIFS('Op 1 - Convergence'!O:O,'Op 1 - Convergence'!$I:$I,$D7)</f>
        <v>36940.209962800378</v>
      </c>
      <c r="BR7" s="446" t="e">
        <f>SUMIFS('Op 1 - Convergence'!P:P,'Op 1 - Convergence'!$I:$I,$D7)</f>
        <v>#REF!</v>
      </c>
      <c r="BS7" s="449" t="e">
        <f>BR7/BO7</f>
        <v>#REF!</v>
      </c>
      <c r="BU7" s="446">
        <f>BA7</f>
        <v>64928.35597780472</v>
      </c>
      <c r="BV7" s="449" t="e">
        <f t="shared" ref="BV7:BV48" si="14">BU7/$BO7</f>
        <v>#REF!</v>
      </c>
      <c r="BX7" s="446">
        <f>BE7</f>
        <v>60365.744285610846</v>
      </c>
      <c r="BY7" s="449" t="e">
        <f>BX7/$BO7</f>
        <v>#REF!</v>
      </c>
      <c r="CA7" s="446">
        <f>BI7</f>
        <v>61226.926457064605</v>
      </c>
      <c r="CB7" s="449" t="e">
        <f>CA7/$BO7</f>
        <v>#REF!</v>
      </c>
    </row>
    <row r="8" spans="2:80" x14ac:dyDescent="0.25">
      <c r="B8" s="267" t="s">
        <v>27</v>
      </c>
      <c r="C8" s="268" t="s">
        <v>28</v>
      </c>
      <c r="D8" s="61" t="s">
        <v>32</v>
      </c>
      <c r="E8" s="231" t="s">
        <v>33</v>
      </c>
      <c r="F8" s="446">
        <f>SUMIFS('SC1'!S:S,'SC1'!$I:$I,$D8)</f>
        <v>9912.6639329674217</v>
      </c>
      <c r="G8" s="446">
        <f>SUMIFS('SC1'!T:T,'SC1'!$I:$I,$D8)</f>
        <v>0</v>
      </c>
      <c r="H8" s="446">
        <f>SUMIFS('SC1'!U:U,'SC1'!$I:$I,$D8)</f>
        <v>8176.8198894056231</v>
      </c>
      <c r="I8" s="446">
        <f>SUMIFS('SC1'!V:V,'SC1'!$I:$I,$D8)</f>
        <v>21897.417293089518</v>
      </c>
      <c r="J8" s="446"/>
      <c r="K8" s="446"/>
      <c r="L8" s="446"/>
      <c r="M8" s="446">
        <f>SUMIFS('SC1'!Z:Z,'SC1'!$I:$I,$D8)</f>
        <v>1764</v>
      </c>
      <c r="N8" s="446"/>
      <c r="O8" s="446">
        <f>SUMIFS('SC1'!AB:AB,'SC1'!$I:$I,$D8)</f>
        <v>268.79325378084877</v>
      </c>
      <c r="P8" s="446">
        <f>SUMIFS('SC1'!AC:AC,'SC1'!$I:$I,$D8)</f>
        <v>0</v>
      </c>
      <c r="Q8" s="446">
        <f t="shared" ref="Q8:Q48" si="15">SUM(F8:P8)</f>
        <v>42019.694369243414</v>
      </c>
      <c r="R8" s="446">
        <f t="shared" si="2"/>
        <v>39012.270650993902</v>
      </c>
      <c r="T8" s="446">
        <f>SUMIFS('SC2'!S:S,'SC2'!$I:$I,$D8)</f>
        <v>0</v>
      </c>
      <c r="U8" s="446">
        <f>SUMIFS('SC2'!T:T,'SC2'!$I:$I,$D8)</f>
        <v>0</v>
      </c>
      <c r="V8" s="446">
        <f>SUMIFS('SC2'!U:U,'SC2'!$I:$I,$D8)</f>
        <v>16308.66859210148</v>
      </c>
      <c r="W8" s="446">
        <f>SUMIFS('SC2'!V:V,'SC2'!$I:$I,$D8)</f>
        <v>20578.230390908044</v>
      </c>
      <c r="X8" s="446"/>
      <c r="Y8" s="446"/>
      <c r="Z8" s="446"/>
      <c r="AA8" s="446">
        <f>SUMIFS('SC2'!Z:Z,'SC2'!$I:$I,$D8)</f>
        <v>3528</v>
      </c>
      <c r="AB8" s="446"/>
      <c r="AC8" s="446">
        <f>SUMIFS('SC2'!AB:AB,'SC2'!$I:$I,$D8)</f>
        <v>537.30390275268621</v>
      </c>
      <c r="AD8" s="446">
        <f>SUMIFS('SC2'!AC:AC,'SC2'!$I:$I,$D8)</f>
        <v>0</v>
      </c>
      <c r="AE8" s="446">
        <f t="shared" ref="AE8:AE48" si="16">SUM(T8:AD8)</f>
        <v>40952.202885762206</v>
      </c>
      <c r="AF8" s="446">
        <f t="shared" si="3"/>
        <v>37263.512987461254</v>
      </c>
      <c r="AH8" s="446">
        <f>SUMIFS('SC3'!S:S,'SC3'!$I:$I,$D8)</f>
        <v>0</v>
      </c>
      <c r="AI8" s="446">
        <f>SUMIFS('SC3'!T:T,'SC3'!$I:$I,$D8)</f>
        <v>0</v>
      </c>
      <c r="AJ8" s="446">
        <f>SUMIFS('SC3'!U:U,'SC3'!$I:$I,$D8)</f>
        <v>0</v>
      </c>
      <c r="AK8" s="446">
        <f>SUMIFS('SC3'!V:V,'SC3'!$I:$I,$D8)</f>
        <v>17895.99820391251</v>
      </c>
      <c r="AL8" s="446"/>
      <c r="AM8" s="446"/>
      <c r="AN8" s="446"/>
      <c r="AO8" s="446">
        <f>SUMIFS('SC3'!Z:Z,'SC3'!$I:$I,$D8)</f>
        <v>0</v>
      </c>
      <c r="AP8" s="446"/>
      <c r="AQ8" s="446">
        <f>SUMIFS('SC3'!AB:AB,'SC3'!$I:$I,$D8)</f>
        <v>0</v>
      </c>
      <c r="AR8" s="446">
        <f>SUMIFS('SC3'!AC:AC,'SC3'!$I:$I,$D8)</f>
        <v>20061.987433053549</v>
      </c>
      <c r="AS8" s="446">
        <f t="shared" ref="AS8:AS48" si="17">SUM(AH8:AR8)</f>
        <v>37957.985636966056</v>
      </c>
      <c r="AT8" s="446">
        <f t="shared" si="4"/>
        <v>31152.888958311421</v>
      </c>
      <c r="AV8" s="446" t="e">
        <f>SUMIFS('Op 1 - Convergence'!AN:AN,'Op 1 - Convergence'!$I:$I,$D8)</f>
        <v>#REF!</v>
      </c>
      <c r="AX8" s="446" t="e">
        <f>SUMIFS('Op 1 - Convergence'!AK:AK,'Op 1 - Convergence'!$I:$I,$D8)</f>
        <v>#REF!</v>
      </c>
      <c r="AY8" s="449" t="e">
        <f t="shared" ref="AY8:AY50" si="18">AX8/(BO8+BR8)</f>
        <v>#REF!</v>
      </c>
      <c r="BA8" s="446">
        <f t="shared" si="5"/>
        <v>42019.694369243414</v>
      </c>
      <c r="BB8" s="446" t="e">
        <f t="shared" si="6"/>
        <v>#REF!</v>
      </c>
      <c r="BC8" s="446" t="e">
        <f t="shared" si="7"/>
        <v>#REF!</v>
      </c>
      <c r="BE8" s="446">
        <f t="shared" si="8"/>
        <v>40952.202885762206</v>
      </c>
      <c r="BF8" s="446" t="e">
        <f t="shared" si="9"/>
        <v>#REF!</v>
      </c>
      <c r="BG8" s="446" t="e">
        <f t="shared" si="10"/>
        <v>#REF!</v>
      </c>
      <c r="BI8" s="446">
        <f t="shared" si="11"/>
        <v>37957.985636966056</v>
      </c>
      <c r="BJ8" s="446" t="e">
        <f t="shared" si="12"/>
        <v>#REF!</v>
      </c>
      <c r="BK8" s="446" t="e">
        <f t="shared" si="13"/>
        <v>#REF!</v>
      </c>
      <c r="BM8" s="446" t="e">
        <f>SUMIFS('Op 1 - Convergence'!K:K,'Op 1 - Convergence'!$I:$I,$D8)</f>
        <v>#REF!</v>
      </c>
      <c r="BN8" s="446">
        <f>SUMIFS('Op 1 - Convergence'!L:L,'Op 1 - Convergence'!$I:$I,$D8)</f>
        <v>601835.21210633765</v>
      </c>
      <c r="BO8" s="446" t="e">
        <f>SUMIFS('Op 1 - Convergence'!M:M,'Op 1 - Convergence'!$I:$I,$D8)</f>
        <v>#REF!</v>
      </c>
      <c r="BP8" s="446" t="e">
        <f>SUMIFS('Op 1 - Convergence'!N:N,'Op 1 - Convergence'!$I:$I,$D8)</f>
        <v>#REF!</v>
      </c>
      <c r="BQ8" s="446">
        <f>SUMIFS('Op 1 - Convergence'!O:O,'Op 1 - Convergence'!$I:$I,$D8)</f>
        <v>28459.787893662346</v>
      </c>
      <c r="BR8" s="446" t="e">
        <f>SUMIFS('Op 1 - Convergence'!P:P,'Op 1 - Convergence'!$I:$I,$D8)</f>
        <v>#REF!</v>
      </c>
      <c r="BS8" s="449" t="e">
        <f t="shared" ref="BS8:BS50" si="19">BR8/BO8</f>
        <v>#REF!</v>
      </c>
      <c r="BU8" s="446">
        <f t="shared" ref="BU8:BU48" si="20">BA8</f>
        <v>42019.694369243414</v>
      </c>
      <c r="BV8" s="449" t="e">
        <f t="shared" si="14"/>
        <v>#REF!</v>
      </c>
      <c r="BX8" s="446">
        <f t="shared" ref="BX8:BX48" si="21">BE8</f>
        <v>40952.202885762206</v>
      </c>
      <c r="BY8" s="449" t="e">
        <f t="shared" ref="BY8:BY50" si="22">BX8/$BO8</f>
        <v>#REF!</v>
      </c>
      <c r="CA8" s="446">
        <f t="shared" ref="CA8:CA48" si="23">BI8</f>
        <v>37957.985636966056</v>
      </c>
      <c r="CB8" s="449" t="e">
        <f t="shared" ref="CB8:CB50" si="24">CA8/$BO8</f>
        <v>#REF!</v>
      </c>
    </row>
    <row r="9" spans="2:80" x14ac:dyDescent="0.25">
      <c r="B9" s="267" t="s">
        <v>84</v>
      </c>
      <c r="C9" s="268" t="s">
        <v>85</v>
      </c>
      <c r="D9" s="61" t="s">
        <v>90</v>
      </c>
      <c r="E9" s="231" t="s">
        <v>91</v>
      </c>
      <c r="F9" s="446">
        <f>SUMIFS('SC1'!S:S,'SC1'!$I:$I,$D9)</f>
        <v>9073.412696772124</v>
      </c>
      <c r="G9" s="446">
        <f>SUMIFS('SC1'!T:T,'SC1'!$I:$I,$D9)</f>
        <v>0</v>
      </c>
      <c r="H9" s="446">
        <f>SUMIFS('SC1'!U:U,'SC1'!$I:$I,$D9)</f>
        <v>7471.9795413874244</v>
      </c>
      <c r="I9" s="446">
        <f>SUMIFS('SC1'!V:V,'SC1'!$I:$I,$D9)</f>
        <v>20009.864010234603</v>
      </c>
      <c r="J9" s="446"/>
      <c r="K9" s="446"/>
      <c r="L9" s="446"/>
      <c r="M9" s="446">
        <f>SUMIFS('SC1'!Z:Z,'SC1'!$I:$I,$D9)</f>
        <v>1.3522907625883818E-2</v>
      </c>
      <c r="N9" s="446"/>
      <c r="O9" s="446">
        <f>SUMIFS('SC1'!AB:AB,'SC1'!$I:$I,$D9)</f>
        <v>245.62332548325864</v>
      </c>
      <c r="P9" s="446">
        <f>SUMIFS('SC1'!AC:AC,'SC1'!$I:$I,$D9)</f>
        <v>0</v>
      </c>
      <c r="Q9" s="446">
        <f t="shared" si="15"/>
        <v>36800.893096785032</v>
      </c>
      <c r="R9" s="446">
        <f t="shared" si="2"/>
        <v>34052.708741622831</v>
      </c>
      <c r="T9" s="446">
        <f>SUMIFS('SC2'!S:S,'SC2'!$I:$I,$D9)</f>
        <v>0</v>
      </c>
      <c r="U9" s="446">
        <f>SUMIFS('SC2'!T:T,'SC2'!$I:$I,$D9)</f>
        <v>0</v>
      </c>
      <c r="V9" s="446">
        <f>SUMIFS('SC2'!U:U,'SC2'!$I:$I,$D9)</f>
        <v>14902.864403964242</v>
      </c>
      <c r="W9" s="446">
        <f>SUMIFS('SC2'!V:V,'SC2'!$I:$I,$D9)</f>
        <v>18804.390772755392</v>
      </c>
      <c r="X9" s="446"/>
      <c r="Y9" s="446"/>
      <c r="Z9" s="446"/>
      <c r="AA9" s="446">
        <f>SUMIFS('SC2'!Z:Z,'SC2'!$I:$I,$D9)</f>
        <v>0.12454206624533981</v>
      </c>
      <c r="AB9" s="446"/>
      <c r="AC9" s="446">
        <f>SUMIFS('SC2'!AB:AB,'SC2'!$I:$I,$D9)</f>
        <v>490.98840663928593</v>
      </c>
      <c r="AD9" s="446">
        <f>SUMIFS('SC2'!AC:AC,'SC2'!$I:$I,$D9)</f>
        <v>0</v>
      </c>
      <c r="AE9" s="446">
        <f t="shared" si="16"/>
        <v>34198.368125425164</v>
      </c>
      <c r="AF9" s="446">
        <f t="shared" si="3"/>
        <v>30827.642607753201</v>
      </c>
      <c r="AH9" s="446">
        <f>SUMIFS('SC3'!S:S,'SC3'!$I:$I,$D9)</f>
        <v>0</v>
      </c>
      <c r="AI9" s="446">
        <f>SUMIFS('SC3'!T:T,'SC3'!$I:$I,$D9)</f>
        <v>0</v>
      </c>
      <c r="AJ9" s="446">
        <f>SUMIFS('SC3'!U:U,'SC3'!$I:$I,$D9)</f>
        <v>0</v>
      </c>
      <c r="AK9" s="446">
        <f>SUMIFS('SC3'!V:V,'SC3'!$I:$I,$D9)</f>
        <v>16353.366499559823</v>
      </c>
      <c r="AL9" s="446"/>
      <c r="AM9" s="446"/>
      <c r="AN9" s="446"/>
      <c r="AO9" s="446">
        <f>SUMIFS('SC3'!Z:Z,'SC3'!$I:$I,$D9)</f>
        <v>0</v>
      </c>
      <c r="AP9" s="446"/>
      <c r="AQ9" s="446">
        <f>SUMIFS('SC3'!AB:AB,'SC3'!$I:$I,$D9)</f>
        <v>0</v>
      </c>
      <c r="AR9" s="446">
        <f>SUMIFS('SC3'!AC:AC,'SC3'!$I:$I,$D9)</f>
        <v>18332.647861495727</v>
      </c>
      <c r="AS9" s="446">
        <f t="shared" si="17"/>
        <v>34686.014361055553</v>
      </c>
      <c r="AT9" s="446">
        <f t="shared" si="4"/>
        <v>28467.515745725635</v>
      </c>
      <c r="AV9" s="446" t="e">
        <f>SUMIFS('Op 1 - Convergence'!AN:AN,'Op 1 - Convergence'!$I:$I,$D9)</f>
        <v>#REF!</v>
      </c>
      <c r="AX9" s="446" t="e">
        <f>SUMIFS('Op 1 - Convergence'!AK:AK,'Op 1 - Convergence'!$I:$I,$D9)</f>
        <v>#REF!</v>
      </c>
      <c r="AY9" s="449" t="e">
        <f t="shared" si="18"/>
        <v>#REF!</v>
      </c>
      <c r="BA9" s="446">
        <f t="shared" si="5"/>
        <v>36800.893096785032</v>
      </c>
      <c r="BB9" s="446" t="e">
        <f t="shared" si="6"/>
        <v>#REF!</v>
      </c>
      <c r="BC9" s="446" t="e">
        <f t="shared" si="7"/>
        <v>#REF!</v>
      </c>
      <c r="BE9" s="446">
        <f t="shared" si="8"/>
        <v>34198.368125425164</v>
      </c>
      <c r="BF9" s="446" t="e">
        <f t="shared" si="9"/>
        <v>#REF!</v>
      </c>
      <c r="BG9" s="446" t="e">
        <f t="shared" si="10"/>
        <v>#REF!</v>
      </c>
      <c r="BI9" s="446">
        <f t="shared" si="11"/>
        <v>34686.014361055553</v>
      </c>
      <c r="BJ9" s="446" t="e">
        <f t="shared" si="12"/>
        <v>#REF!</v>
      </c>
      <c r="BK9" s="446" t="e">
        <f t="shared" si="13"/>
        <v>#REF!</v>
      </c>
      <c r="BM9" s="446" t="e">
        <f>SUMIFS('Op 1 - Convergence'!K:K,'Op 1 - Convergence'!$I:$I,$D9)</f>
        <v>#REF!</v>
      </c>
      <c r="BN9" s="446">
        <f>SUMIFS('Op 1 - Convergence'!L:L,'Op 1 - Convergence'!$I:$I,$D9)</f>
        <v>619994.00625621236</v>
      </c>
      <c r="BO9" s="446" t="e">
        <f>SUMIFS('Op 1 - Convergence'!M:M,'Op 1 - Convergence'!$I:$I,$D9)</f>
        <v>#REF!</v>
      </c>
      <c r="BP9" s="446" t="e">
        <f>SUMIFS('Op 1 - Convergence'!N:N,'Op 1 - Convergence'!$I:$I,$D9)</f>
        <v>#REF!</v>
      </c>
      <c r="BQ9" s="446">
        <f>SUMIFS('Op 1 - Convergence'!O:O,'Op 1 - Convergence'!$I:$I,$D9)</f>
        <v>22992.902881181333</v>
      </c>
      <c r="BR9" s="446" t="e">
        <f>SUMIFS('Op 1 - Convergence'!P:P,'Op 1 - Convergence'!$I:$I,$D9)</f>
        <v>#REF!</v>
      </c>
      <c r="BS9" s="449" t="e">
        <f t="shared" si="19"/>
        <v>#REF!</v>
      </c>
      <c r="BU9" s="446">
        <f t="shared" si="20"/>
        <v>36800.893096785032</v>
      </c>
      <c r="BV9" s="449" t="e">
        <f t="shared" si="14"/>
        <v>#REF!</v>
      </c>
      <c r="BX9" s="446">
        <f t="shared" si="21"/>
        <v>34198.368125425164</v>
      </c>
      <c r="BY9" s="449" t="e">
        <f t="shared" si="22"/>
        <v>#REF!</v>
      </c>
      <c r="CA9" s="446">
        <f t="shared" si="23"/>
        <v>34686.014361055553</v>
      </c>
      <c r="CB9" s="449" t="e">
        <f t="shared" si="24"/>
        <v>#REF!</v>
      </c>
    </row>
    <row r="10" spans="2:80" x14ac:dyDescent="0.25">
      <c r="B10" s="269" t="s">
        <v>34</v>
      </c>
      <c r="C10" s="270" t="s">
        <v>35</v>
      </c>
      <c r="D10" s="271" t="s">
        <v>54</v>
      </c>
      <c r="E10" s="231" t="s">
        <v>55</v>
      </c>
      <c r="F10" s="446">
        <f>SUMIFS('SC1'!S:S,'SC1'!$I:$I,$D10)</f>
        <v>2611.5563427725556</v>
      </c>
      <c r="G10" s="446">
        <f>SUMIFS('SC1'!T:T,'SC1'!$I:$I,$D10)</f>
        <v>0</v>
      </c>
      <c r="H10" s="446">
        <f>SUMIFS('SC1'!U:U,'SC1'!$I:$I,$D10)</f>
        <v>2136.8884763022502</v>
      </c>
      <c r="I10" s="446">
        <f>SUMIFS('SC1'!V:V,'SC1'!$I:$I,$D10)</f>
        <v>5722.5595411501681</v>
      </c>
      <c r="J10" s="446"/>
      <c r="K10" s="446"/>
      <c r="L10" s="446"/>
      <c r="M10" s="446">
        <f>SUMIFS('SC1'!Z:Z,'SC1'!$I:$I,$D10)</f>
        <v>456</v>
      </c>
      <c r="N10" s="446"/>
      <c r="O10" s="446">
        <f>SUMIFS('SC1'!AB:AB,'SC1'!$I:$I,$D10)</f>
        <v>70.245060338957046</v>
      </c>
      <c r="P10" s="446">
        <f>SUMIFS('SC1'!AC:AC,'SC1'!$I:$I,$D10)</f>
        <v>0</v>
      </c>
      <c r="Q10" s="446">
        <f t="shared" si="15"/>
        <v>10997.249420563932</v>
      </c>
      <c r="R10" s="446">
        <f t="shared" si="2"/>
        <v>10211.304618818689</v>
      </c>
      <c r="T10" s="446">
        <f>SUMIFS('SC2'!S:S,'SC2'!$I:$I,$D10)</f>
        <v>0</v>
      </c>
      <c r="U10" s="446">
        <f>SUMIFS('SC2'!T:T,'SC2'!$I:$I,$D10)</f>
        <v>0</v>
      </c>
      <c r="V10" s="446">
        <f>SUMIFS('SC2'!U:U,'SC2'!$I:$I,$D10)</f>
        <v>4262.0244116478079</v>
      </c>
      <c r="W10" s="446">
        <f>SUMIFS('SC2'!V:V,'SC2'!$I:$I,$D10)</f>
        <v>5377.8099529865767</v>
      </c>
      <c r="X10" s="446"/>
      <c r="Y10" s="446"/>
      <c r="Z10" s="446"/>
      <c r="AA10" s="446">
        <f>SUMIFS('SC2'!Z:Z,'SC2'!$I:$I,$D10)</f>
        <v>912</v>
      </c>
      <c r="AB10" s="446"/>
      <c r="AC10" s="446">
        <f>SUMIFS('SC2'!AB:AB,'SC2'!$I:$I,$D10)</f>
        <v>140.41626617605493</v>
      </c>
      <c r="AD10" s="446">
        <f>SUMIFS('SC2'!AC:AC,'SC2'!$I:$I,$D10)</f>
        <v>0</v>
      </c>
      <c r="AE10" s="446">
        <f t="shared" si="16"/>
        <v>10692.25063081044</v>
      </c>
      <c r="AF10" s="446">
        <f t="shared" si="3"/>
        <v>9728.2671943470014</v>
      </c>
      <c r="AH10" s="446">
        <f>SUMIFS('SC3'!S:S,'SC3'!$I:$I,$D10)</f>
        <v>0</v>
      </c>
      <c r="AI10" s="446">
        <f>SUMIFS('SC3'!T:T,'SC3'!$I:$I,$D10)</f>
        <v>0</v>
      </c>
      <c r="AJ10" s="446">
        <f>SUMIFS('SC3'!U:U,'SC3'!$I:$I,$D10)</f>
        <v>0</v>
      </c>
      <c r="AK10" s="446">
        <f>SUMIFS('SC3'!V:V,'SC3'!$I:$I,$D10)</f>
        <v>4676.8490502542099</v>
      </c>
      <c r="AL10" s="446"/>
      <c r="AM10" s="446"/>
      <c r="AN10" s="446"/>
      <c r="AO10" s="446">
        <f>SUMIFS('SC3'!Z:Z,'SC3'!$I:$I,$D10)</f>
        <v>0</v>
      </c>
      <c r="AP10" s="446"/>
      <c r="AQ10" s="446">
        <f>SUMIFS('SC3'!AB:AB,'SC3'!$I:$I,$D10)</f>
        <v>0</v>
      </c>
      <c r="AR10" s="446">
        <f>SUMIFS('SC3'!AC:AC,'SC3'!$I:$I,$D10)</f>
        <v>5242.897646915023</v>
      </c>
      <c r="AS10" s="446">
        <f t="shared" si="17"/>
        <v>9919.7466971692338</v>
      </c>
      <c r="AT10" s="446">
        <f t="shared" si="4"/>
        <v>8141.3373804150569</v>
      </c>
      <c r="AV10" s="446" t="e">
        <f>SUMIFS('Op 1 - Convergence'!AN:AN,'Op 1 - Convergence'!$I:$I,$D10)</f>
        <v>#REF!</v>
      </c>
      <c r="AX10" s="446" t="e">
        <f>SUMIFS('Op 1 - Convergence'!AK:AK,'Op 1 - Convergence'!$I:$I,$D10)</f>
        <v>#REF!</v>
      </c>
      <c r="AY10" s="515" t="e">
        <f t="shared" si="18"/>
        <v>#REF!</v>
      </c>
      <c r="BA10" s="446">
        <f t="shared" si="5"/>
        <v>10997.249420563932</v>
      </c>
      <c r="BB10" s="446" t="e">
        <f t="shared" si="6"/>
        <v>#REF!</v>
      </c>
      <c r="BC10" s="446" t="e">
        <f t="shared" si="7"/>
        <v>#REF!</v>
      </c>
      <c r="BE10" s="446">
        <f t="shared" si="8"/>
        <v>10692.25063081044</v>
      </c>
      <c r="BF10" s="446" t="e">
        <f t="shared" si="9"/>
        <v>#REF!</v>
      </c>
      <c r="BG10" s="446" t="e">
        <f t="shared" si="10"/>
        <v>#REF!</v>
      </c>
      <c r="BI10" s="446">
        <f t="shared" si="11"/>
        <v>9919.7466971692338</v>
      </c>
      <c r="BJ10" s="446" t="e">
        <f t="shared" si="12"/>
        <v>#REF!</v>
      </c>
      <c r="BK10" s="446" t="e">
        <f t="shared" si="13"/>
        <v>#REF!</v>
      </c>
      <c r="BM10" s="446" t="e">
        <f>SUMIFS('Op 1 - Convergence'!K:K,'Op 1 - Convergence'!$I:$I,$D10)</f>
        <v>#REF!</v>
      </c>
      <c r="BN10" s="446">
        <f>SUMIFS('Op 1 - Convergence'!L:L,'Op 1 - Convergence'!$I:$I,$D10)</f>
        <v>154471.73507291987</v>
      </c>
      <c r="BO10" s="446" t="e">
        <f>SUMIFS('Op 1 - Convergence'!M:M,'Op 1 - Convergence'!$I:$I,$D10)</f>
        <v>#REF!</v>
      </c>
      <c r="BP10" s="446" t="e">
        <f>SUMIFS('Op 1 - Convergence'!N:N,'Op 1 - Convergence'!$I:$I,$D10)</f>
        <v>#REF!</v>
      </c>
      <c r="BQ10" s="446">
        <f>SUMIFS('Op 1 - Convergence'!O:O,'Op 1 - Convergence'!$I:$I,$D10)</f>
        <v>8481.2649270801339</v>
      </c>
      <c r="BR10" s="446" t="e">
        <f>SUMIFS('Op 1 - Convergence'!P:P,'Op 1 - Convergence'!$I:$I,$D10)</f>
        <v>#REF!</v>
      </c>
      <c r="BS10" s="449" t="e">
        <f t="shared" si="19"/>
        <v>#REF!</v>
      </c>
      <c r="BU10" s="446">
        <f t="shared" si="20"/>
        <v>10997.249420563932</v>
      </c>
      <c r="BV10" s="449" t="e">
        <f t="shared" si="14"/>
        <v>#REF!</v>
      </c>
      <c r="BX10" s="446">
        <f t="shared" si="21"/>
        <v>10692.25063081044</v>
      </c>
      <c r="BY10" s="449" t="e">
        <f t="shared" si="22"/>
        <v>#REF!</v>
      </c>
      <c r="CA10" s="446">
        <f t="shared" si="23"/>
        <v>9919.7466971692338</v>
      </c>
      <c r="CB10" s="449" t="e">
        <f t="shared" si="24"/>
        <v>#REF!</v>
      </c>
    </row>
    <row r="11" spans="2:80" x14ac:dyDescent="0.25">
      <c r="B11" s="267" t="s">
        <v>84</v>
      </c>
      <c r="C11" s="268" t="s">
        <v>85</v>
      </c>
      <c r="D11" s="61" t="s">
        <v>92</v>
      </c>
      <c r="E11" s="231" t="s">
        <v>93</v>
      </c>
      <c r="F11" s="446">
        <f>SUMIFS('SC1'!S:S,'SC1'!$I:$I,$D11)</f>
        <v>9415.196361228569</v>
      </c>
      <c r="G11" s="446">
        <f>SUMIFS('SC1'!T:T,'SC1'!$I:$I,$D11)</f>
        <v>0</v>
      </c>
      <c r="H11" s="446">
        <f>SUMIFS('SC1'!U:U,'SC1'!$I:$I,$D11)</f>
        <v>7740.8376048963291</v>
      </c>
      <c r="I11" s="446">
        <f>SUMIFS('SC1'!V:V,'SC1'!$I:$I,$D11)</f>
        <v>20729.862406786593</v>
      </c>
      <c r="J11" s="446"/>
      <c r="K11" s="446"/>
      <c r="L11" s="446"/>
      <c r="M11" s="446">
        <f>SUMIFS('SC1'!Z:Z,'SC1'!$I:$I,$D11)</f>
        <v>1805</v>
      </c>
      <c r="N11" s="446"/>
      <c r="O11" s="446">
        <f>SUMIFS('SC1'!AB:AB,'SC1'!$I:$I,$D11)</f>
        <v>254.46138657219251</v>
      </c>
      <c r="P11" s="446">
        <f>SUMIFS('SC1'!AC:AC,'SC1'!$I:$I,$D11)</f>
        <v>0</v>
      </c>
      <c r="Q11" s="446">
        <f t="shared" si="15"/>
        <v>39945.357759483682</v>
      </c>
      <c r="R11" s="446">
        <f t="shared" si="2"/>
        <v>37098.28775831539</v>
      </c>
      <c r="T11" s="446">
        <f>SUMIFS('SC2'!S:S,'SC2'!$I:$I,$D11)</f>
        <v>0</v>
      </c>
      <c r="U11" s="446">
        <f>SUMIFS('SC2'!T:T,'SC2'!$I:$I,$D11)</f>
        <v>0</v>
      </c>
      <c r="V11" s="446">
        <f>SUMIFS('SC2'!U:U,'SC2'!$I:$I,$D11)</f>
        <v>15439.101855123219</v>
      </c>
      <c r="W11" s="446">
        <f>SUMIFS('SC2'!V:V,'SC2'!$I:$I,$D11)</f>
        <v>19481.013622245817</v>
      </c>
      <c r="X11" s="446"/>
      <c r="Y11" s="446"/>
      <c r="Z11" s="446"/>
      <c r="AA11" s="446">
        <f>SUMIFS('SC2'!Z:Z,'SC2'!$I:$I,$D11)</f>
        <v>3609</v>
      </c>
      <c r="AB11" s="446"/>
      <c r="AC11" s="446">
        <f>SUMIFS('SC2'!AB:AB,'SC2'!$I:$I,$D11)</f>
        <v>508.65523662499146</v>
      </c>
      <c r="AD11" s="446">
        <f>SUMIFS('SC2'!AC:AC,'SC2'!$I:$I,$D11)</f>
        <v>0</v>
      </c>
      <c r="AE11" s="446">
        <f t="shared" si="16"/>
        <v>39037.770713994025</v>
      </c>
      <c r="AF11" s="446">
        <f t="shared" si="3"/>
        <v>35545.759166257121</v>
      </c>
      <c r="AH11" s="446">
        <f>SUMIFS('SC3'!S:S,'SC3'!$I:$I,$D11)</f>
        <v>0</v>
      </c>
      <c r="AI11" s="446">
        <f>SUMIFS('SC3'!T:T,'SC3'!$I:$I,$D11)</f>
        <v>0</v>
      </c>
      <c r="AJ11" s="446">
        <f>SUMIFS('SC3'!U:U,'SC3'!$I:$I,$D11)</f>
        <v>0</v>
      </c>
      <c r="AK11" s="446">
        <f>SUMIFS('SC3'!V:V,'SC3'!$I:$I,$D11)</f>
        <v>16941.796168641416</v>
      </c>
      <c r="AL11" s="446"/>
      <c r="AM11" s="446"/>
      <c r="AN11" s="446"/>
      <c r="AO11" s="446">
        <f>SUMIFS('SC3'!Z:Z,'SC3'!$I:$I,$D11)</f>
        <v>0</v>
      </c>
      <c r="AP11" s="446"/>
      <c r="AQ11" s="446">
        <f>SUMIFS('SC3'!AB:AB,'SC3'!$I:$I,$D11)</f>
        <v>0</v>
      </c>
      <c r="AR11" s="446">
        <f>SUMIFS('SC3'!AC:AC,'SC3'!$I:$I,$D11)</f>
        <v>18992.296375752394</v>
      </c>
      <c r="AS11" s="446">
        <f t="shared" si="17"/>
        <v>35934.09254439381</v>
      </c>
      <c r="AT11" s="446">
        <f t="shared" si="4"/>
        <v>29491.83883359157</v>
      </c>
      <c r="AV11" s="446" t="e">
        <f>SUMIFS('Op 1 - Convergence'!AN:AN,'Op 1 - Convergence'!$I:$I,$D11)</f>
        <v>#REF!</v>
      </c>
      <c r="AX11" s="446" t="e">
        <f>SUMIFS('Op 1 - Convergence'!AK:AK,'Op 1 - Convergence'!$I:$I,$D11)</f>
        <v>#REF!</v>
      </c>
      <c r="AY11" s="449" t="e">
        <f t="shared" si="18"/>
        <v>#REF!</v>
      </c>
      <c r="BA11" s="446">
        <f t="shared" si="5"/>
        <v>39945.357759483682</v>
      </c>
      <c r="BB11" s="446" t="e">
        <f t="shared" si="6"/>
        <v>#REF!</v>
      </c>
      <c r="BC11" s="446" t="e">
        <f t="shared" si="7"/>
        <v>#REF!</v>
      </c>
      <c r="BE11" s="446">
        <f t="shared" si="8"/>
        <v>39037.770713994025</v>
      </c>
      <c r="BF11" s="446" t="e">
        <f t="shared" si="9"/>
        <v>#REF!</v>
      </c>
      <c r="BG11" s="446" t="e">
        <f t="shared" si="10"/>
        <v>#REF!</v>
      </c>
      <c r="BI11" s="446">
        <f t="shared" si="11"/>
        <v>35934.09254439381</v>
      </c>
      <c r="BJ11" s="446" t="e">
        <f t="shared" si="12"/>
        <v>#REF!</v>
      </c>
      <c r="BK11" s="446" t="e">
        <f t="shared" si="13"/>
        <v>#REF!</v>
      </c>
      <c r="BM11" s="446" t="e">
        <f>SUMIFS('Op 1 - Convergence'!K:K,'Op 1 - Convergence'!$I:$I,$D11)</f>
        <v>#REF!</v>
      </c>
      <c r="BN11" s="446">
        <f>SUMIFS('Op 1 - Convergence'!L:L,'Op 1 - Convergence'!$I:$I,$D11)</f>
        <v>613945.57198142598</v>
      </c>
      <c r="BO11" s="446" t="e">
        <f>SUMIFS('Op 1 - Convergence'!M:M,'Op 1 - Convergence'!$I:$I,$D11)</f>
        <v>#REF!</v>
      </c>
      <c r="BP11" s="446" t="e">
        <f>SUMIFS('Op 1 - Convergence'!N:N,'Op 1 - Convergence'!$I:$I,$D11)</f>
        <v>#REF!</v>
      </c>
      <c r="BQ11" s="446">
        <f>SUMIFS('Op 1 - Convergence'!O:O,'Op 1 - Convergence'!$I:$I,$D11)</f>
        <v>30804.428018574021</v>
      </c>
      <c r="BR11" s="446" t="e">
        <f>SUMIFS('Op 1 - Convergence'!P:P,'Op 1 - Convergence'!$I:$I,$D11)</f>
        <v>#REF!</v>
      </c>
      <c r="BS11" s="449" t="e">
        <f t="shared" si="19"/>
        <v>#REF!</v>
      </c>
      <c r="BU11" s="446">
        <f t="shared" si="20"/>
        <v>39945.357759483682</v>
      </c>
      <c r="BV11" s="449" t="e">
        <f t="shared" si="14"/>
        <v>#REF!</v>
      </c>
      <c r="BX11" s="446">
        <f t="shared" si="21"/>
        <v>39037.770713994025</v>
      </c>
      <c r="BY11" s="449" t="e">
        <f t="shared" si="22"/>
        <v>#REF!</v>
      </c>
      <c r="CA11" s="446">
        <f t="shared" si="23"/>
        <v>35934.09254439381</v>
      </c>
      <c r="CB11" s="449" t="e">
        <f t="shared" si="24"/>
        <v>#REF!</v>
      </c>
    </row>
    <row r="12" spans="2:80" x14ac:dyDescent="0.25">
      <c r="B12" s="267" t="s">
        <v>34</v>
      </c>
      <c r="C12" s="268" t="s">
        <v>35</v>
      </c>
      <c r="D12" s="61" t="s">
        <v>52</v>
      </c>
      <c r="E12" s="231" t="s">
        <v>53</v>
      </c>
      <c r="F12" s="446">
        <f>SUMIFS('SC1'!S:S,'SC1'!$I:$I,$D12)</f>
        <v>4657.4277515574213</v>
      </c>
      <c r="G12" s="446">
        <f>SUMIFS('SC1'!T:T,'SC1'!$I:$I,$D12)</f>
        <v>0</v>
      </c>
      <c r="H12" s="446">
        <f>SUMIFS('SC1'!U:U,'SC1'!$I:$I,$D12)</f>
        <v>4920.3730952690476</v>
      </c>
      <c r="I12" s="446">
        <f>SUMIFS('SC1'!V:V,'SC1'!$I:$I,$D12)</f>
        <v>13176.695140906273</v>
      </c>
      <c r="J12" s="446"/>
      <c r="K12" s="446"/>
      <c r="L12" s="446"/>
      <c r="M12" s="446">
        <f>SUMIFS('SC1'!Z:Z,'SC1'!$I:$I,$D12)</f>
        <v>0.13111249351641163</v>
      </c>
      <c r="N12" s="446"/>
      <c r="O12" s="446">
        <f>SUMIFS('SC1'!AB:AB,'SC1'!$I:$I,$D12)</f>
        <v>161.74541104992485</v>
      </c>
      <c r="P12" s="446">
        <f>SUMIFS('SC1'!AC:AC,'SC1'!$I:$I,$D12)</f>
        <v>0</v>
      </c>
      <c r="Q12" s="446">
        <f t="shared" si="15"/>
        <v>22916.372511276182</v>
      </c>
      <c r="R12" s="446">
        <f t="shared" si="2"/>
        <v>21106.665687658649</v>
      </c>
      <c r="T12" s="446">
        <f>SUMIFS('SC2'!S:S,'SC2'!$I:$I,$D12)</f>
        <v>0</v>
      </c>
      <c r="U12" s="446">
        <f>SUMIFS('SC2'!T:T,'SC2'!$I:$I,$D12)</f>
        <v>0</v>
      </c>
      <c r="V12" s="446">
        <f>SUMIFS('SC2'!U:U,'SC2'!$I:$I,$D12)</f>
        <v>9819.6700318641469</v>
      </c>
      <c r="W12" s="446">
        <f>SUMIFS('SC2'!V:V,'SC2'!$I:$I,$D12)</f>
        <v>12390.430962357152</v>
      </c>
      <c r="X12" s="446"/>
      <c r="Y12" s="446"/>
      <c r="Z12" s="446"/>
      <c r="AA12" s="446">
        <f>SUMIFS('SC2'!Z:Z,'SC2'!$I:$I,$D12)</f>
        <v>1.2327281932812184E-2</v>
      </c>
      <c r="AB12" s="446"/>
      <c r="AC12" s="446">
        <f>SUMIFS('SC2'!AB:AB,'SC2'!$I:$I,$D12)</f>
        <v>323.51795010535159</v>
      </c>
      <c r="AD12" s="446">
        <f>SUMIFS('SC2'!AC:AC,'SC2'!$I:$I,$D12)</f>
        <v>0</v>
      </c>
      <c r="AE12" s="446">
        <f t="shared" si="16"/>
        <v>22533.631271608581</v>
      </c>
      <c r="AF12" s="446">
        <f t="shared" si="3"/>
        <v>20312.621172186453</v>
      </c>
      <c r="AH12" s="446">
        <f>SUMIFS('SC3'!S:S,'SC3'!$I:$I,$D12)</f>
        <v>0</v>
      </c>
      <c r="AI12" s="446">
        <f>SUMIFS('SC3'!T:T,'SC3'!$I:$I,$D12)</f>
        <v>0</v>
      </c>
      <c r="AJ12" s="446">
        <f>SUMIFS('SC3'!U:U,'SC3'!$I:$I,$D12)</f>
        <v>0</v>
      </c>
      <c r="AK12" s="446">
        <f>SUMIFS('SC3'!V:V,'SC3'!$I:$I,$D12)</f>
        <v>10775.422669289153</v>
      </c>
      <c r="AL12" s="446"/>
      <c r="AM12" s="446"/>
      <c r="AN12" s="446"/>
      <c r="AO12" s="446">
        <f>SUMIFS('SC3'!Z:Z,'SC3'!$I:$I,$D12)</f>
        <v>0</v>
      </c>
      <c r="AP12" s="446"/>
      <c r="AQ12" s="446">
        <f>SUMIFS('SC3'!AB:AB,'SC3'!$I:$I,$D12)</f>
        <v>0</v>
      </c>
      <c r="AR12" s="446">
        <f>SUMIFS('SC3'!AC:AC,'SC3'!$I:$I,$D12)</f>
        <v>12079.594092150603</v>
      </c>
      <c r="AS12" s="446">
        <f t="shared" si="17"/>
        <v>22855.016761439758</v>
      </c>
      <c r="AT12" s="446">
        <f t="shared" si="4"/>
        <v>18757.57597147319</v>
      </c>
      <c r="AV12" s="446" t="e">
        <f>SUMIFS('Op 1 - Convergence'!AN:AN,'Op 1 - Convergence'!$I:$I,$D12)</f>
        <v>#REF!</v>
      </c>
      <c r="AX12" s="446" t="e">
        <f>SUMIFS('Op 1 - Convergence'!AK:AK,'Op 1 - Convergence'!$I:$I,$D12)</f>
        <v>#REF!</v>
      </c>
      <c r="AY12" s="449" t="e">
        <f t="shared" si="18"/>
        <v>#REF!</v>
      </c>
      <c r="BA12" s="446">
        <f t="shared" si="5"/>
        <v>22916.372511276182</v>
      </c>
      <c r="BB12" s="446" t="e">
        <f t="shared" si="6"/>
        <v>#REF!</v>
      </c>
      <c r="BC12" s="446" t="e">
        <f t="shared" si="7"/>
        <v>#REF!</v>
      </c>
      <c r="BE12" s="446">
        <f t="shared" si="8"/>
        <v>22533.631271608581</v>
      </c>
      <c r="BF12" s="446" t="e">
        <f t="shared" si="9"/>
        <v>#REF!</v>
      </c>
      <c r="BG12" s="446" t="e">
        <f t="shared" si="10"/>
        <v>#REF!</v>
      </c>
      <c r="BI12" s="446">
        <f t="shared" si="11"/>
        <v>22855.016761439758</v>
      </c>
      <c r="BJ12" s="446" t="e">
        <f t="shared" si="12"/>
        <v>#REF!</v>
      </c>
      <c r="BK12" s="446" t="e">
        <f t="shared" si="13"/>
        <v>#REF!</v>
      </c>
      <c r="BM12" s="446" t="e">
        <f>SUMIFS('Op 1 - Convergence'!K:K,'Op 1 - Convergence'!$I:$I,$D12)</f>
        <v>#REF!</v>
      </c>
      <c r="BN12" s="446">
        <f>SUMIFS('Op 1 - Convergence'!L:L,'Op 1 - Convergence'!$I:$I,$D12)</f>
        <v>405681.49977994605</v>
      </c>
      <c r="BO12" s="446" t="e">
        <f>SUMIFS('Op 1 - Convergence'!M:M,'Op 1 - Convergence'!$I:$I,$D12)</f>
        <v>#REF!</v>
      </c>
      <c r="BP12" s="446" t="e">
        <f>SUMIFS('Op 1 - Convergence'!N:N,'Op 1 - Convergence'!$I:$I,$D12)</f>
        <v>#REF!</v>
      </c>
      <c r="BQ12" s="446">
        <f>SUMIFS('Op 1 - Convergence'!O:O,'Op 1 - Convergence'!$I:$I,$D12)</f>
        <v>14810.223440669535</v>
      </c>
      <c r="BR12" s="446" t="e">
        <f>SUMIFS('Op 1 - Convergence'!P:P,'Op 1 - Convergence'!$I:$I,$D12)</f>
        <v>#REF!</v>
      </c>
      <c r="BS12" s="449" t="e">
        <f t="shared" si="19"/>
        <v>#REF!</v>
      </c>
      <c r="BU12" s="446">
        <f t="shared" si="20"/>
        <v>22916.372511276182</v>
      </c>
      <c r="BV12" s="449" t="e">
        <f t="shared" si="14"/>
        <v>#REF!</v>
      </c>
      <c r="BX12" s="446">
        <f t="shared" si="21"/>
        <v>22533.631271608581</v>
      </c>
      <c r="BY12" s="449" t="e">
        <f t="shared" si="22"/>
        <v>#REF!</v>
      </c>
      <c r="CA12" s="446">
        <f t="shared" si="23"/>
        <v>22855.016761439758</v>
      </c>
      <c r="CB12" s="449" t="e">
        <f t="shared" si="24"/>
        <v>#REF!</v>
      </c>
    </row>
    <row r="13" spans="2:80" x14ac:dyDescent="0.25">
      <c r="B13" s="269" t="s">
        <v>34</v>
      </c>
      <c r="C13" s="270" t="s">
        <v>35</v>
      </c>
      <c r="D13" s="271" t="s">
        <v>56</v>
      </c>
      <c r="E13" s="231" t="s">
        <v>57</v>
      </c>
      <c r="F13" s="446">
        <f>SUMIFS('SC1'!S:S,'SC1'!$I:$I,$D13)</f>
        <v>5903.471829102833</v>
      </c>
      <c r="G13" s="446">
        <f>SUMIFS('SC1'!T:T,'SC1'!$I:$I,$D13)</f>
        <v>0</v>
      </c>
      <c r="H13" s="446">
        <f>SUMIFS('SC1'!U:U,'SC1'!$I:$I,$D13)</f>
        <v>4863.1106632864839</v>
      </c>
      <c r="I13" s="446">
        <f>SUMIFS('SC1'!V:V,'SC1'!$I:$I,$D13)</f>
        <v>13023.347092973363</v>
      </c>
      <c r="J13" s="446"/>
      <c r="K13" s="446"/>
      <c r="L13" s="446"/>
      <c r="M13" s="446">
        <f>SUMIFS('SC1'!Z:Z,'SC1'!$I:$I,$D13)</f>
        <v>0.2253889738349244</v>
      </c>
      <c r="N13" s="446"/>
      <c r="O13" s="446">
        <f>SUMIFS('SC1'!AB:AB,'SC1'!$I:$I,$D13)</f>
        <v>159.86304655857285</v>
      </c>
      <c r="P13" s="446">
        <f>SUMIFS('SC1'!AC:AC,'SC1'!$I:$I,$D13)</f>
        <v>0</v>
      </c>
      <c r="Q13" s="446">
        <f t="shared" si="15"/>
        <v>23950.018020895088</v>
      </c>
      <c r="R13" s="446">
        <f t="shared" si="2"/>
        <v>22161.372245269107</v>
      </c>
      <c r="T13" s="446">
        <f>SUMIFS('SC2'!S:S,'SC2'!$I:$I,$D13)</f>
        <v>0</v>
      </c>
      <c r="U13" s="446">
        <f>SUMIFS('SC2'!T:T,'SC2'!$I:$I,$D13)</f>
        <v>0</v>
      </c>
      <c r="V13" s="446">
        <f>SUMIFS('SC2'!U:U,'SC2'!$I:$I,$D13)</f>
        <v>9699.4750045814217</v>
      </c>
      <c r="W13" s="446">
        <f>SUMIFS('SC2'!V:V,'SC2'!$I:$I,$D13)</f>
        <v>12238.769228028741</v>
      </c>
      <c r="X13" s="446"/>
      <c r="Y13" s="446"/>
      <c r="Z13" s="446"/>
      <c r="AA13" s="446">
        <f>SUMIFS('SC2'!Z:Z,'SC2'!$I:$I,$D13)</f>
        <v>0.18454753851983696</v>
      </c>
      <c r="AB13" s="446"/>
      <c r="AC13" s="446">
        <f>SUMIFS('SC2'!AB:AB,'SC2'!$I:$I,$D13)</f>
        <v>319.55801573757913</v>
      </c>
      <c r="AD13" s="446">
        <f>SUMIFS('SC2'!AC:AC,'SC2'!$I:$I,$D13)</f>
        <v>0</v>
      </c>
      <c r="AE13" s="446">
        <f t="shared" si="16"/>
        <v>22257.986795886263</v>
      </c>
      <c r="AF13" s="446">
        <f t="shared" si="3"/>
        <v>20064.162372625247</v>
      </c>
      <c r="AH13" s="446">
        <f>SUMIFS('SC3'!S:S,'SC3'!$I:$I,$D13)</f>
        <v>0</v>
      </c>
      <c r="AI13" s="446">
        <f>SUMIFS('SC3'!T:T,'SC3'!$I:$I,$D13)</f>
        <v>0</v>
      </c>
      <c r="AJ13" s="446">
        <f>SUMIFS('SC3'!U:U,'SC3'!$I:$I,$D13)</f>
        <v>0</v>
      </c>
      <c r="AK13" s="446">
        <f>SUMIFS('SC3'!V:V,'SC3'!$I:$I,$D13)</f>
        <v>10643.529009164584</v>
      </c>
      <c r="AL13" s="446"/>
      <c r="AM13" s="446"/>
      <c r="AN13" s="446"/>
      <c r="AO13" s="446">
        <f>SUMIFS('SC3'!Z:Z,'SC3'!$I:$I,$D13)</f>
        <v>0</v>
      </c>
      <c r="AP13" s="446"/>
      <c r="AQ13" s="446">
        <f>SUMIFS('SC3'!AB:AB,'SC3'!$I:$I,$D13)</f>
        <v>0</v>
      </c>
      <c r="AR13" s="446">
        <f>SUMIFS('SC3'!AC:AC,'SC3'!$I:$I,$D13)</f>
        <v>11931.737072845581</v>
      </c>
      <c r="AS13" s="446">
        <f t="shared" si="17"/>
        <v>22575.266082010166</v>
      </c>
      <c r="AT13" s="446">
        <f t="shared" si="4"/>
        <v>18527.97891288231</v>
      </c>
      <c r="AV13" s="446" t="e">
        <f>SUMIFS('Op 1 - Convergence'!AN:AN,'Op 1 - Convergence'!$I:$I,$D13)</f>
        <v>#REF!</v>
      </c>
      <c r="AX13" s="446" t="e">
        <f>SUMIFS('Op 1 - Convergence'!AK:AK,'Op 1 - Convergence'!$I:$I,$D13)</f>
        <v>#REF!</v>
      </c>
      <c r="AY13" s="449" t="e">
        <f t="shared" si="18"/>
        <v>#REF!</v>
      </c>
      <c r="BA13" s="446">
        <f t="shared" si="5"/>
        <v>23950.018020895088</v>
      </c>
      <c r="BB13" s="446" t="e">
        <f t="shared" si="6"/>
        <v>#REF!</v>
      </c>
      <c r="BC13" s="446" t="e">
        <f t="shared" si="7"/>
        <v>#REF!</v>
      </c>
      <c r="BE13" s="446">
        <f t="shared" si="8"/>
        <v>22257.986795886263</v>
      </c>
      <c r="BF13" s="446" t="e">
        <f t="shared" si="9"/>
        <v>#REF!</v>
      </c>
      <c r="BG13" s="446" t="e">
        <f t="shared" si="10"/>
        <v>#REF!</v>
      </c>
      <c r="BI13" s="446">
        <f t="shared" si="11"/>
        <v>22575.266082010166</v>
      </c>
      <c r="BJ13" s="446" t="e">
        <f t="shared" si="12"/>
        <v>#REF!</v>
      </c>
      <c r="BK13" s="446" t="e">
        <f t="shared" si="13"/>
        <v>#REF!</v>
      </c>
      <c r="BM13" s="446" t="e">
        <f>SUMIFS('Op 1 - Convergence'!K:K,'Op 1 - Convergence'!$I:$I,$D13)</f>
        <v>#REF!</v>
      </c>
      <c r="BN13" s="446">
        <f>SUMIFS('Op 1 - Convergence'!L:L,'Op 1 - Convergence'!$I:$I,$D13)</f>
        <v>389957.46990226448</v>
      </c>
      <c r="BO13" s="446" t="e">
        <f>SUMIFS('Op 1 - Convergence'!M:M,'Op 1 - Convergence'!$I:$I,$D13)</f>
        <v>#REF!</v>
      </c>
      <c r="BP13" s="446" t="e">
        <f>SUMIFS('Op 1 - Convergence'!N:N,'Op 1 - Convergence'!$I:$I,$D13)</f>
        <v>#REF!</v>
      </c>
      <c r="BQ13" s="446">
        <f>SUMIFS('Op 1 - Convergence'!O:O,'Op 1 - Convergence'!$I:$I,$D13)</f>
        <v>14311.21266796469</v>
      </c>
      <c r="BR13" s="446" t="e">
        <f>SUMIFS('Op 1 - Convergence'!P:P,'Op 1 - Convergence'!$I:$I,$D13)</f>
        <v>#REF!</v>
      </c>
      <c r="BS13" s="449" t="e">
        <f t="shared" si="19"/>
        <v>#REF!</v>
      </c>
      <c r="BU13" s="446">
        <f t="shared" si="20"/>
        <v>23950.018020895088</v>
      </c>
      <c r="BV13" s="449" t="e">
        <f t="shared" si="14"/>
        <v>#REF!</v>
      </c>
      <c r="BX13" s="446">
        <f t="shared" si="21"/>
        <v>22257.986795886263</v>
      </c>
      <c r="BY13" s="449" t="e">
        <f t="shared" si="22"/>
        <v>#REF!</v>
      </c>
      <c r="CA13" s="446">
        <f t="shared" si="23"/>
        <v>22575.266082010166</v>
      </c>
      <c r="CB13" s="449" t="e">
        <f t="shared" si="24"/>
        <v>#REF!</v>
      </c>
    </row>
    <row r="14" spans="2:80" x14ac:dyDescent="0.25">
      <c r="B14" s="267" t="s">
        <v>98</v>
      </c>
      <c r="C14" s="268" t="s">
        <v>99</v>
      </c>
      <c r="D14" s="61" t="s">
        <v>106</v>
      </c>
      <c r="E14" s="231" t="s">
        <v>107</v>
      </c>
      <c r="F14" s="446">
        <f>SUMIFS('SC1'!S:S,'SC1'!$I:$I,$D14)</f>
        <v>6416.0223806324575</v>
      </c>
      <c r="G14" s="446">
        <f>SUMIFS('SC1'!T:T,'SC1'!$I:$I,$D14)</f>
        <v>0</v>
      </c>
      <c r="H14" s="446">
        <f>SUMIFS('SC1'!U:U,'SC1'!$I:$I,$D14)</f>
        <v>5271.8817878368682</v>
      </c>
      <c r="I14" s="446">
        <f>SUMIFS('SC1'!V:V,'SC1'!$I:$I,$D14)</f>
        <v>14118.030846891279</v>
      </c>
      <c r="J14" s="446"/>
      <c r="K14" s="446"/>
      <c r="L14" s="446"/>
      <c r="M14" s="446">
        <f>SUMIFS('SC1'!Z:Z,'SC1'!$I:$I,$D14)</f>
        <v>-0.11948082956951112</v>
      </c>
      <c r="N14" s="446"/>
      <c r="O14" s="446">
        <f>SUMIFS('SC1'!AB:AB,'SC1'!$I:$I,$D14)</f>
        <v>173.30041244233348</v>
      </c>
      <c r="P14" s="446">
        <f>SUMIFS('SC1'!AC:AC,'SC1'!$I:$I,$D14)</f>
        <v>0</v>
      </c>
      <c r="Q14" s="446">
        <f t="shared" si="15"/>
        <v>25979.115946973372</v>
      </c>
      <c r="R14" s="446">
        <f t="shared" si="2"/>
        <v>24040.124683500555</v>
      </c>
      <c r="T14" s="446">
        <f>SUMIFS('SC2'!S:S,'SC2'!$I:$I,$D14)</f>
        <v>0</v>
      </c>
      <c r="U14" s="446">
        <f>SUMIFS('SC2'!T:T,'SC2'!$I:$I,$D14)</f>
        <v>0</v>
      </c>
      <c r="V14" s="446">
        <f>SUMIFS('SC2'!U:U,'SC2'!$I:$I,$D14)</f>
        <v>10514.76907861996</v>
      </c>
      <c r="W14" s="446">
        <f>SUMIFS('SC2'!V:V,'SC2'!$I:$I,$D14)</f>
        <v>13267.504909127352</v>
      </c>
      <c r="X14" s="446"/>
      <c r="Y14" s="446"/>
      <c r="Z14" s="446"/>
      <c r="AA14" s="446">
        <f>SUMIFS('SC2'!Z:Z,'SC2'!$I:$I,$D14)</f>
        <v>0.17498543323017657</v>
      </c>
      <c r="AB14" s="446"/>
      <c r="AC14" s="446">
        <f>SUMIFS('SC2'!AB:AB,'SC2'!$I:$I,$D14)</f>
        <v>346.41861967947318</v>
      </c>
      <c r="AD14" s="446">
        <f>SUMIFS('SC2'!AC:AC,'SC2'!$I:$I,$D14)</f>
        <v>0</v>
      </c>
      <c r="AE14" s="446">
        <f t="shared" si="16"/>
        <v>24128.867592860017</v>
      </c>
      <c r="AF14" s="446">
        <f t="shared" si="3"/>
        <v>21750.640194085285</v>
      </c>
      <c r="AH14" s="446">
        <f>SUMIFS('SC3'!S:S,'SC3'!$I:$I,$D14)</f>
        <v>0</v>
      </c>
      <c r="AI14" s="446">
        <f>SUMIFS('SC3'!T:T,'SC3'!$I:$I,$D14)</f>
        <v>0</v>
      </c>
      <c r="AJ14" s="446">
        <f>SUMIFS('SC3'!U:U,'SC3'!$I:$I,$D14)</f>
        <v>0</v>
      </c>
      <c r="AK14" s="446">
        <f>SUMIFS('SC3'!V:V,'SC3'!$I:$I,$D14)</f>
        <v>11538.176000257443</v>
      </c>
      <c r="AL14" s="446"/>
      <c r="AM14" s="446"/>
      <c r="AN14" s="446"/>
      <c r="AO14" s="446">
        <f>SUMIFS('SC3'!Z:Z,'SC3'!$I:$I,$D14)</f>
        <v>0</v>
      </c>
      <c r="AP14" s="446"/>
      <c r="AQ14" s="446">
        <f>SUMIFS('SC3'!AB:AB,'SC3'!$I:$I,$D14)</f>
        <v>0</v>
      </c>
      <c r="AR14" s="446">
        <f>SUMIFS('SC3'!AC:AC,'SC3'!$I:$I,$D14)</f>
        <v>12934.665017284024</v>
      </c>
      <c r="AS14" s="446">
        <f t="shared" si="17"/>
        <v>24472.841017541468</v>
      </c>
      <c r="AT14" s="446">
        <f t="shared" si="4"/>
        <v>20085.357163194716</v>
      </c>
      <c r="AV14" s="446" t="e">
        <f>SUMIFS('Op 1 - Convergence'!AN:AN,'Op 1 - Convergence'!$I:$I,$D14)</f>
        <v>#REF!</v>
      </c>
      <c r="AX14" s="446" t="e">
        <f>SUMIFS('Op 1 - Convergence'!AK:AK,'Op 1 - Convergence'!$I:$I,$D14)</f>
        <v>#REF!</v>
      </c>
      <c r="AY14" s="449" t="e">
        <f t="shared" si="18"/>
        <v>#REF!</v>
      </c>
      <c r="BA14" s="446">
        <f t="shared" si="5"/>
        <v>25979.115946973372</v>
      </c>
      <c r="BB14" s="446" t="e">
        <f t="shared" si="6"/>
        <v>#REF!</v>
      </c>
      <c r="BC14" s="446" t="e">
        <f t="shared" si="7"/>
        <v>#REF!</v>
      </c>
      <c r="BE14" s="446">
        <f t="shared" si="8"/>
        <v>24128.867592860017</v>
      </c>
      <c r="BF14" s="446" t="e">
        <f t="shared" si="9"/>
        <v>#REF!</v>
      </c>
      <c r="BG14" s="446" t="e">
        <f t="shared" si="10"/>
        <v>#REF!</v>
      </c>
      <c r="BI14" s="446">
        <f t="shared" si="11"/>
        <v>24472.841017541468</v>
      </c>
      <c r="BJ14" s="446" t="e">
        <f t="shared" si="12"/>
        <v>#REF!</v>
      </c>
      <c r="BK14" s="446" t="e">
        <f t="shared" si="13"/>
        <v>#REF!</v>
      </c>
      <c r="BM14" s="446" t="e">
        <f>SUMIFS('Op 1 - Convergence'!K:K,'Op 1 - Convergence'!$I:$I,$D14)</f>
        <v>#REF!</v>
      </c>
      <c r="BN14" s="446">
        <f>SUMIFS('Op 1 - Convergence'!L:L,'Op 1 - Convergence'!$I:$I,$D14)</f>
        <v>432487.4580030879</v>
      </c>
      <c r="BO14" s="446" t="e">
        <f>SUMIFS('Op 1 - Convergence'!M:M,'Op 1 - Convergence'!$I:$I,$D14)</f>
        <v>#REF!</v>
      </c>
      <c r="BP14" s="446" t="e">
        <f>SUMIFS('Op 1 - Convergence'!N:N,'Op 1 - Convergence'!$I:$I,$D14)</f>
        <v>#REF!</v>
      </c>
      <c r="BQ14" s="446">
        <f>SUMIFS('Op 1 - Convergence'!O:O,'Op 1 - Convergence'!$I:$I,$D14)</f>
        <v>16870.260058616986</v>
      </c>
      <c r="BR14" s="446" t="e">
        <f>SUMIFS('Op 1 - Convergence'!P:P,'Op 1 - Convergence'!$I:$I,$D14)</f>
        <v>#REF!</v>
      </c>
      <c r="BS14" s="449" t="e">
        <f t="shared" si="19"/>
        <v>#REF!</v>
      </c>
      <c r="BU14" s="446">
        <f t="shared" si="20"/>
        <v>25979.115946973372</v>
      </c>
      <c r="BV14" s="449" t="e">
        <f t="shared" si="14"/>
        <v>#REF!</v>
      </c>
      <c r="BX14" s="446">
        <f t="shared" si="21"/>
        <v>24128.867592860017</v>
      </c>
      <c r="BY14" s="449" t="e">
        <f t="shared" si="22"/>
        <v>#REF!</v>
      </c>
      <c r="CA14" s="446">
        <f t="shared" si="23"/>
        <v>24472.841017541468</v>
      </c>
      <c r="CB14" s="449" t="e">
        <f t="shared" si="24"/>
        <v>#REF!</v>
      </c>
    </row>
    <row r="15" spans="2:80" x14ac:dyDescent="0.25">
      <c r="B15" s="267" t="s">
        <v>72</v>
      </c>
      <c r="C15" s="268" t="s">
        <v>73</v>
      </c>
      <c r="D15" s="61" t="s">
        <v>82</v>
      </c>
      <c r="E15" s="231" t="s">
        <v>83</v>
      </c>
      <c r="F15" s="446">
        <f>SUMIFS('SC1'!S:S,'SC1'!$I:$I,$D15)</f>
        <v>7492.0991718228179</v>
      </c>
      <c r="G15" s="446">
        <f>SUMIFS('SC1'!T:T,'SC1'!$I:$I,$D15)</f>
        <v>0</v>
      </c>
      <c r="H15" s="446">
        <f>SUMIFS('SC1'!U:U,'SC1'!$I:$I,$D15)</f>
        <v>6172.6554412835621</v>
      </c>
      <c r="I15" s="446">
        <f>SUMIFS('SC1'!V:V,'SC1'!$I:$I,$D15)</f>
        <v>16530.290972823546</v>
      </c>
      <c r="J15" s="446"/>
      <c r="K15" s="446"/>
      <c r="L15" s="446"/>
      <c r="M15" s="446">
        <f>SUMIFS('SC1'!Z:Z,'SC1'!$I:$I,$D15)</f>
        <v>-0.21196883183438331</v>
      </c>
      <c r="N15" s="446"/>
      <c r="O15" s="446">
        <f>SUMIFS('SC1'!AB:AB,'SC1'!$I:$I,$D15)</f>
        <v>202.91117610165134</v>
      </c>
      <c r="P15" s="446">
        <f>SUMIFS('SC1'!AC:AC,'SC1'!$I:$I,$D15)</f>
        <v>0</v>
      </c>
      <c r="Q15" s="446">
        <f t="shared" si="15"/>
        <v>30397.744793199741</v>
      </c>
      <c r="R15" s="446">
        <f t="shared" si="2"/>
        <v>28127.450151789031</v>
      </c>
      <c r="T15" s="446">
        <f>SUMIFS('SC2'!S:S,'SC2'!$I:$I,$D15)</f>
        <v>0</v>
      </c>
      <c r="U15" s="446">
        <f>SUMIFS('SC2'!T:T,'SC2'!$I:$I,$D15)</f>
        <v>0</v>
      </c>
      <c r="V15" s="446">
        <f>SUMIFS('SC2'!U:U,'SC2'!$I:$I,$D15)</f>
        <v>12311.362276128491</v>
      </c>
      <c r="W15" s="446">
        <f>SUMIFS('SC2'!V:V,'SC2'!$I:$I,$D15)</f>
        <v>15534.440957786417</v>
      </c>
      <c r="X15" s="446"/>
      <c r="Y15" s="446"/>
      <c r="Z15" s="446"/>
      <c r="AA15" s="446">
        <f>SUMIFS('SC2'!Z:Z,'SC2'!$I:$I,$D15)</f>
        <v>-0.10821777489036322</v>
      </c>
      <c r="AB15" s="446"/>
      <c r="AC15" s="446">
        <f>SUMIFS('SC2'!AB:AB,'SC2'!$I:$I,$D15)</f>
        <v>405.60901472789408</v>
      </c>
      <c r="AD15" s="446">
        <f>SUMIFS('SC2'!AC:AC,'SC2'!$I:$I,$D15)</f>
        <v>0</v>
      </c>
      <c r="AE15" s="446">
        <f t="shared" si="16"/>
        <v>28251.304030867912</v>
      </c>
      <c r="AF15" s="446">
        <f t="shared" si="3"/>
        <v>25466.723707476423</v>
      </c>
      <c r="AH15" s="446">
        <f>SUMIFS('SC3'!S:S,'SC3'!$I:$I,$D15)</f>
        <v>0</v>
      </c>
      <c r="AI15" s="446">
        <f>SUMIFS('SC3'!T:T,'SC3'!$I:$I,$D15)</f>
        <v>0</v>
      </c>
      <c r="AJ15" s="446">
        <f>SUMIFS('SC3'!U:U,'SC3'!$I:$I,$D15)</f>
        <v>0</v>
      </c>
      <c r="AK15" s="446">
        <f>SUMIFS('SC3'!V:V,'SC3'!$I:$I,$D15)</f>
        <v>13509.632373547516</v>
      </c>
      <c r="AL15" s="446"/>
      <c r="AM15" s="446"/>
      <c r="AN15" s="446"/>
      <c r="AO15" s="446">
        <f>SUMIFS('SC3'!Z:Z,'SC3'!$I:$I,$D15)</f>
        <v>0</v>
      </c>
      <c r="AP15" s="446"/>
      <c r="AQ15" s="446">
        <f>SUMIFS('SC3'!AB:AB,'SC3'!$I:$I,$D15)</f>
        <v>0</v>
      </c>
      <c r="AR15" s="446">
        <f>SUMIFS('SC3'!AC:AC,'SC3'!$I:$I,$D15)</f>
        <v>15144.730783669265</v>
      </c>
      <c r="AS15" s="446">
        <f t="shared" si="17"/>
        <v>28654.36315721678</v>
      </c>
      <c r="AT15" s="446">
        <f t="shared" si="4"/>
        <v>23517.217223944714</v>
      </c>
      <c r="AV15" s="446" t="e">
        <f>SUMIFS('Op 1 - Convergence'!AN:AN,'Op 1 - Convergence'!$I:$I,$D15)</f>
        <v>#REF!</v>
      </c>
      <c r="AX15" s="446" t="e">
        <f>SUMIFS('Op 1 - Convergence'!AK:AK,'Op 1 - Convergence'!$I:$I,$D15)</f>
        <v>#REF!</v>
      </c>
      <c r="AY15" s="449" t="e">
        <f t="shared" si="18"/>
        <v>#REF!</v>
      </c>
      <c r="BA15" s="446">
        <f t="shared" si="5"/>
        <v>30397.744793199741</v>
      </c>
      <c r="BB15" s="446" t="e">
        <f t="shared" si="6"/>
        <v>#REF!</v>
      </c>
      <c r="BC15" s="446" t="e">
        <f t="shared" si="7"/>
        <v>#REF!</v>
      </c>
      <c r="BE15" s="446">
        <f t="shared" si="8"/>
        <v>28251.304030867912</v>
      </c>
      <c r="BF15" s="446" t="e">
        <f t="shared" si="9"/>
        <v>#REF!</v>
      </c>
      <c r="BG15" s="446" t="e">
        <f t="shared" si="10"/>
        <v>#REF!</v>
      </c>
      <c r="BI15" s="446">
        <f t="shared" si="11"/>
        <v>28654.36315721678</v>
      </c>
      <c r="BJ15" s="446" t="e">
        <f t="shared" si="12"/>
        <v>#REF!</v>
      </c>
      <c r="BK15" s="446" t="e">
        <f t="shared" si="13"/>
        <v>#REF!</v>
      </c>
      <c r="BM15" s="446" t="e">
        <f>SUMIFS('Op 1 - Convergence'!K:K,'Op 1 - Convergence'!$I:$I,$D15)</f>
        <v>#REF!</v>
      </c>
      <c r="BN15" s="446">
        <f>SUMIFS('Op 1 - Convergence'!L:L,'Op 1 - Convergence'!$I:$I,$D15)</f>
        <v>565251.22518915194</v>
      </c>
      <c r="BO15" s="446" t="e">
        <f>SUMIFS('Op 1 - Convergence'!M:M,'Op 1 - Convergence'!$I:$I,$D15)</f>
        <v>#REF!</v>
      </c>
      <c r="BP15" s="446" t="e">
        <f>SUMIFS('Op 1 - Convergence'!N:N,'Op 1 - Convergence'!$I:$I,$D15)</f>
        <v>#REF!</v>
      </c>
      <c r="BQ15" s="446">
        <f>SUMIFS('Op 1 - Convergence'!O:O,'Op 1 - Convergence'!$I:$I,$D15)</f>
        <v>18541.027165667736</v>
      </c>
      <c r="BR15" s="446" t="e">
        <f>SUMIFS('Op 1 - Convergence'!P:P,'Op 1 - Convergence'!$I:$I,$D15)</f>
        <v>#REF!</v>
      </c>
      <c r="BS15" s="449" t="e">
        <f t="shared" si="19"/>
        <v>#REF!</v>
      </c>
      <c r="BU15" s="446">
        <f t="shared" si="20"/>
        <v>30397.744793199741</v>
      </c>
      <c r="BV15" s="449" t="e">
        <f t="shared" si="14"/>
        <v>#REF!</v>
      </c>
      <c r="BX15" s="446">
        <f t="shared" si="21"/>
        <v>28251.304030867912</v>
      </c>
      <c r="BY15" s="449" t="e">
        <f t="shared" si="22"/>
        <v>#REF!</v>
      </c>
      <c r="CA15" s="446">
        <f t="shared" si="23"/>
        <v>28654.36315721678</v>
      </c>
      <c r="CB15" s="449" t="e">
        <f t="shared" si="24"/>
        <v>#REF!</v>
      </c>
    </row>
    <row r="16" spans="2:80" x14ac:dyDescent="0.25">
      <c r="B16" s="267" t="s">
        <v>34</v>
      </c>
      <c r="C16" s="268" t="s">
        <v>35</v>
      </c>
      <c r="D16" s="61" t="s">
        <v>38</v>
      </c>
      <c r="E16" s="231" t="s">
        <v>39</v>
      </c>
      <c r="F16" s="446">
        <f>SUMIFS('SC1'!S:S,'SC1'!$I:$I,$D16)</f>
        <v>6436.4256693645875</v>
      </c>
      <c r="G16" s="446">
        <f>SUMIFS('SC1'!T:T,'SC1'!$I:$I,$D16)</f>
        <v>0</v>
      </c>
      <c r="H16" s="446">
        <f>SUMIFS('SC1'!U:U,'SC1'!$I:$I,$D16)</f>
        <v>5312.1064715239627</v>
      </c>
      <c r="I16" s="446">
        <f>SUMIFS('SC1'!V:V,'SC1'!$I:$I,$D16)</f>
        <v>14225.752026529843</v>
      </c>
      <c r="J16" s="446"/>
      <c r="K16" s="446"/>
      <c r="L16" s="446"/>
      <c r="M16" s="446">
        <f>SUMIFS('SC1'!Z:Z,'SC1'!$I:$I,$D16)</f>
        <v>5.6465754983946681E-2</v>
      </c>
      <c r="N16" s="446"/>
      <c r="O16" s="446">
        <f>SUMIFS('SC1'!AB:AB,'SC1'!$I:$I,$D16)</f>
        <v>174.62270200683378</v>
      </c>
      <c r="P16" s="446">
        <f>SUMIFS('SC1'!AC:AC,'SC1'!$I:$I,$D16)</f>
        <v>0</v>
      </c>
      <c r="Q16" s="446">
        <f t="shared" si="15"/>
        <v>26148.963335180211</v>
      </c>
      <c r="R16" s="446">
        <f t="shared" si="2"/>
        <v>24195.177485374828</v>
      </c>
      <c r="T16" s="446">
        <f>SUMIFS('SC2'!S:S,'SC2'!$I:$I,$D16)</f>
        <v>0</v>
      </c>
      <c r="U16" s="446">
        <f>SUMIFS('SC2'!T:T,'SC2'!$I:$I,$D16)</f>
        <v>0</v>
      </c>
      <c r="V16" s="446">
        <f>SUMIFS('SC2'!U:U,'SC2'!$I:$I,$D16)</f>
        <v>10594.997216740612</v>
      </c>
      <c r="W16" s="446">
        <f>SUMIFS('SC2'!V:V,'SC2'!$I:$I,$D16)</f>
        <v>13368.736539456757</v>
      </c>
      <c r="X16" s="446"/>
      <c r="Y16" s="446"/>
      <c r="Z16" s="446"/>
      <c r="AA16" s="446">
        <f>SUMIFS('SC2'!Z:Z,'SC2'!$I:$I,$D16)</f>
        <v>-0.14100423658965155</v>
      </c>
      <c r="AB16" s="446"/>
      <c r="AC16" s="446">
        <f>SUMIFS('SC2'!AB:AB,'SC2'!$I:$I,$D16)</f>
        <v>349.0618085749594</v>
      </c>
      <c r="AD16" s="446">
        <f>SUMIFS('SC2'!AC:AC,'SC2'!$I:$I,$D16)</f>
        <v>0</v>
      </c>
      <c r="AE16" s="446">
        <f t="shared" si="16"/>
        <v>24312.654560535739</v>
      </c>
      <c r="AF16" s="446">
        <f t="shared" si="3"/>
        <v>21916.281184916003</v>
      </c>
      <c r="AH16" s="446">
        <f>SUMIFS('SC3'!S:S,'SC3'!$I:$I,$D16)</f>
        <v>0</v>
      </c>
      <c r="AI16" s="446">
        <f>SUMIFS('SC3'!T:T,'SC3'!$I:$I,$D16)</f>
        <v>0</v>
      </c>
      <c r="AJ16" s="446">
        <f>SUMIFS('SC3'!U:U,'SC3'!$I:$I,$D16)</f>
        <v>0</v>
      </c>
      <c r="AK16" s="446">
        <f>SUMIFS('SC3'!V:V,'SC3'!$I:$I,$D16)</f>
        <v>11626.212776993822</v>
      </c>
      <c r="AL16" s="446"/>
      <c r="AM16" s="446"/>
      <c r="AN16" s="446"/>
      <c r="AO16" s="446">
        <f>SUMIFS('SC3'!Z:Z,'SC3'!$I:$I,$D16)</f>
        <v>0</v>
      </c>
      <c r="AP16" s="446"/>
      <c r="AQ16" s="446">
        <f>SUMIFS('SC3'!AB:AB,'SC3'!$I:$I,$D16)</f>
        <v>0</v>
      </c>
      <c r="AR16" s="446">
        <f>SUMIFS('SC3'!AC:AC,'SC3'!$I:$I,$D16)</f>
        <v>13033.357064992526</v>
      </c>
      <c r="AS16" s="446">
        <f t="shared" si="17"/>
        <v>24659.569841986347</v>
      </c>
      <c r="AT16" s="446">
        <f t="shared" si="4"/>
        <v>20238.609298038835</v>
      </c>
      <c r="AV16" s="446" t="e">
        <f>SUMIFS('Op 1 - Convergence'!AN:AN,'Op 1 - Convergence'!$I:$I,$D16)</f>
        <v>#REF!</v>
      </c>
      <c r="AX16" s="446" t="e">
        <f>SUMIFS('Op 1 - Convergence'!AK:AK,'Op 1 - Convergence'!$I:$I,$D16)</f>
        <v>#REF!</v>
      </c>
      <c r="AY16" s="449" t="e">
        <f t="shared" si="18"/>
        <v>#REF!</v>
      </c>
      <c r="BA16" s="446">
        <f t="shared" si="5"/>
        <v>26148.963335180211</v>
      </c>
      <c r="BB16" s="446" t="e">
        <f t="shared" si="6"/>
        <v>#REF!</v>
      </c>
      <c r="BC16" s="446" t="e">
        <f t="shared" si="7"/>
        <v>#REF!</v>
      </c>
      <c r="BE16" s="446">
        <f t="shared" si="8"/>
        <v>24312.654560535739</v>
      </c>
      <c r="BF16" s="446" t="e">
        <f t="shared" si="9"/>
        <v>#REF!</v>
      </c>
      <c r="BG16" s="446" t="e">
        <f t="shared" si="10"/>
        <v>#REF!</v>
      </c>
      <c r="BI16" s="446">
        <f t="shared" si="11"/>
        <v>24659.569841986347</v>
      </c>
      <c r="BJ16" s="446" t="e">
        <f t="shared" si="12"/>
        <v>#REF!</v>
      </c>
      <c r="BK16" s="446" t="e">
        <f t="shared" si="13"/>
        <v>#REF!</v>
      </c>
      <c r="BM16" s="446" t="e">
        <f>SUMIFS('Op 1 - Convergence'!K:K,'Op 1 - Convergence'!$I:$I,$D16)</f>
        <v>#REF!</v>
      </c>
      <c r="BN16" s="446">
        <f>SUMIFS('Op 1 - Convergence'!L:L,'Op 1 - Convergence'!$I:$I,$D16)</f>
        <v>412828.24853130744</v>
      </c>
      <c r="BO16" s="446" t="e">
        <f>SUMIFS('Op 1 - Convergence'!M:M,'Op 1 - Convergence'!$I:$I,$D16)</f>
        <v>#REF!</v>
      </c>
      <c r="BP16" s="446" t="e">
        <f>SUMIFS('Op 1 - Convergence'!N:N,'Op 1 - Convergence'!$I:$I,$D16)</f>
        <v>#REF!</v>
      </c>
      <c r="BQ16" s="446">
        <f>SUMIFS('Op 1 - Convergence'!O:O,'Op 1 - Convergence'!$I:$I,$D16)</f>
        <v>14952.869283407053</v>
      </c>
      <c r="BR16" s="446" t="e">
        <f>SUMIFS('Op 1 - Convergence'!P:P,'Op 1 - Convergence'!$I:$I,$D16)</f>
        <v>#REF!</v>
      </c>
      <c r="BS16" s="449" t="e">
        <f t="shared" si="19"/>
        <v>#REF!</v>
      </c>
      <c r="BU16" s="446">
        <f t="shared" si="20"/>
        <v>26148.963335180211</v>
      </c>
      <c r="BV16" s="449" t="e">
        <f t="shared" si="14"/>
        <v>#REF!</v>
      </c>
      <c r="BX16" s="446">
        <f t="shared" si="21"/>
        <v>24312.654560535739</v>
      </c>
      <c r="BY16" s="449" t="e">
        <f t="shared" si="22"/>
        <v>#REF!</v>
      </c>
      <c r="CA16" s="446">
        <f t="shared" si="23"/>
        <v>24659.569841986347</v>
      </c>
      <c r="CB16" s="449" t="e">
        <f t="shared" si="24"/>
        <v>#REF!</v>
      </c>
    </row>
    <row r="17" spans="2:80" x14ac:dyDescent="0.25">
      <c r="B17" s="267" t="s">
        <v>34</v>
      </c>
      <c r="C17" s="268" t="s">
        <v>35</v>
      </c>
      <c r="D17" s="61" t="s">
        <v>44</v>
      </c>
      <c r="E17" s="231" t="s">
        <v>45</v>
      </c>
      <c r="F17" s="446">
        <f>SUMIFS('SC1'!S:S,'SC1'!$I:$I,$D17)</f>
        <v>3972.5549229600983</v>
      </c>
      <c r="G17" s="446">
        <f>SUMIFS('SC1'!T:T,'SC1'!$I:$I,$D17)</f>
        <v>0</v>
      </c>
      <c r="H17" s="446">
        <f>SUMIFS('SC1'!U:U,'SC1'!$I:$I,$D17)</f>
        <v>3262.0566406506155</v>
      </c>
      <c r="I17" s="446">
        <f>SUMIFS('SC1'!V:V,'SC1'!$I:$I,$D17)</f>
        <v>8735.7452481703876</v>
      </c>
      <c r="J17" s="446"/>
      <c r="K17" s="446"/>
      <c r="L17" s="446"/>
      <c r="M17" s="446">
        <f>SUMIFS('SC1'!Z:Z,'SC1'!$I:$I,$D17)</f>
        <v>749</v>
      </c>
      <c r="N17" s="446"/>
      <c r="O17" s="446">
        <f>SUMIFS('SC1'!AB:AB,'SC1'!$I:$I,$D17)</f>
        <v>107.23225291949537</v>
      </c>
      <c r="P17" s="446">
        <f>SUMIFS('SC1'!AC:AC,'SC1'!$I:$I,$D17)</f>
        <v>0</v>
      </c>
      <c r="Q17" s="446">
        <f t="shared" si="15"/>
        <v>16826.589064700598</v>
      </c>
      <c r="R17" s="446">
        <f t="shared" si="2"/>
        <v>15626.808875818497</v>
      </c>
      <c r="T17" s="446">
        <f>SUMIFS('SC2'!S:S,'SC2'!$I:$I,$D17)</f>
        <v>0</v>
      </c>
      <c r="U17" s="446">
        <f>SUMIFS('SC2'!T:T,'SC2'!$I:$I,$D17)</f>
        <v>0</v>
      </c>
      <c r="V17" s="446">
        <f>SUMIFS('SC2'!U:U,'SC2'!$I:$I,$D17)</f>
        <v>6506.1724974477665</v>
      </c>
      <c r="W17" s="446">
        <f>SUMIFS('SC2'!V:V,'SC2'!$I:$I,$D17)</f>
        <v>8209.4694523569142</v>
      </c>
      <c r="X17" s="446"/>
      <c r="Y17" s="446"/>
      <c r="Z17" s="446"/>
      <c r="AA17" s="446">
        <f>SUMIFS('SC2'!Z:Z,'SC2'!$I:$I,$D17)</f>
        <v>1497</v>
      </c>
      <c r="AB17" s="446"/>
      <c r="AC17" s="446">
        <f>SUMIFS('SC2'!AB:AB,'SC2'!$I:$I,$D17)</f>
        <v>214.35176361079152</v>
      </c>
      <c r="AD17" s="446">
        <f>SUMIFS('SC2'!AC:AC,'SC2'!$I:$I,$D17)</f>
        <v>0</v>
      </c>
      <c r="AE17" s="446">
        <f t="shared" si="16"/>
        <v>16426.993713415472</v>
      </c>
      <c r="AF17" s="446">
        <f t="shared" si="3"/>
        <v>14955.429518435003</v>
      </c>
      <c r="AH17" s="446">
        <f>SUMIFS('SC3'!S:S,'SC3'!$I:$I,$D17)</f>
        <v>0</v>
      </c>
      <c r="AI17" s="446">
        <f>SUMIFS('SC3'!T:T,'SC3'!$I:$I,$D17)</f>
        <v>0</v>
      </c>
      <c r="AJ17" s="446">
        <f>SUMIFS('SC3'!U:U,'SC3'!$I:$I,$D17)</f>
        <v>0</v>
      </c>
      <c r="AK17" s="446">
        <f>SUMIFS('SC3'!V:V,'SC3'!$I:$I,$D17)</f>
        <v>7139.4210184061922</v>
      </c>
      <c r="AL17" s="446"/>
      <c r="AM17" s="446"/>
      <c r="AN17" s="446"/>
      <c r="AO17" s="446">
        <f>SUMIFS('SC3'!Z:Z,'SC3'!$I:$I,$D17)</f>
        <v>0</v>
      </c>
      <c r="AP17" s="446"/>
      <c r="AQ17" s="446">
        <f>SUMIFS('SC3'!AB:AB,'SC3'!$I:$I,$D17)</f>
        <v>0</v>
      </c>
      <c r="AR17" s="446">
        <f>SUMIFS('SC3'!AC:AC,'SC3'!$I:$I,$D17)</f>
        <v>8003.5197320946054</v>
      </c>
      <c r="AS17" s="446">
        <f t="shared" si="17"/>
        <v>15142.940750500798</v>
      </c>
      <c r="AT17" s="446">
        <f t="shared" si="4"/>
        <v>12428.118715636527</v>
      </c>
      <c r="AV17" s="446" t="e">
        <f>SUMIFS('Op 1 - Convergence'!AN:AN,'Op 1 - Convergence'!$I:$I,$D17)</f>
        <v>#REF!</v>
      </c>
      <c r="AX17" s="446" t="e">
        <f>SUMIFS('Op 1 - Convergence'!AK:AK,'Op 1 - Convergence'!$I:$I,$D17)</f>
        <v>#REF!</v>
      </c>
      <c r="AY17" s="449" t="e">
        <f t="shared" si="18"/>
        <v>#REF!</v>
      </c>
      <c r="BA17" s="446">
        <f t="shared" si="5"/>
        <v>16826.589064700598</v>
      </c>
      <c r="BB17" s="446" t="e">
        <f t="shared" si="6"/>
        <v>#REF!</v>
      </c>
      <c r="BC17" s="446" t="e">
        <f t="shared" si="7"/>
        <v>#REF!</v>
      </c>
      <c r="BE17" s="446">
        <f t="shared" si="8"/>
        <v>16426.993713415472</v>
      </c>
      <c r="BF17" s="446" t="e">
        <f t="shared" si="9"/>
        <v>#REF!</v>
      </c>
      <c r="BG17" s="446" t="e">
        <f t="shared" si="10"/>
        <v>#REF!</v>
      </c>
      <c r="BI17" s="446">
        <f t="shared" si="11"/>
        <v>15142.940750500798</v>
      </c>
      <c r="BJ17" s="446" t="e">
        <f t="shared" si="12"/>
        <v>#REF!</v>
      </c>
      <c r="BK17" s="446" t="e">
        <f t="shared" si="13"/>
        <v>#REF!</v>
      </c>
      <c r="BM17" s="446" t="e">
        <f>SUMIFS('Op 1 - Convergence'!K:K,'Op 1 - Convergence'!$I:$I,$D17)</f>
        <v>#REF!</v>
      </c>
      <c r="BN17" s="446">
        <f>SUMIFS('Op 1 - Convergence'!L:L,'Op 1 - Convergence'!$I:$I,$D17)</f>
        <v>254797.12308630819</v>
      </c>
      <c r="BO17" s="446" t="e">
        <f>SUMIFS('Op 1 - Convergence'!M:M,'Op 1 - Convergence'!$I:$I,$D17)</f>
        <v>#REF!</v>
      </c>
      <c r="BP17" s="446" t="e">
        <f>SUMIFS('Op 1 - Convergence'!N:N,'Op 1 - Convergence'!$I:$I,$D17)</f>
        <v>#REF!</v>
      </c>
      <c r="BQ17" s="446">
        <f>SUMIFS('Op 1 - Convergence'!O:O,'Op 1 - Convergence'!$I:$I,$D17)</f>
        <v>12680.876913691813</v>
      </c>
      <c r="BR17" s="446" t="e">
        <f>SUMIFS('Op 1 - Convergence'!P:P,'Op 1 - Convergence'!$I:$I,$D17)</f>
        <v>#REF!</v>
      </c>
      <c r="BS17" s="449" t="e">
        <f t="shared" si="19"/>
        <v>#REF!</v>
      </c>
      <c r="BU17" s="446">
        <f t="shared" si="20"/>
        <v>16826.589064700598</v>
      </c>
      <c r="BV17" s="449" t="e">
        <f t="shared" si="14"/>
        <v>#REF!</v>
      </c>
      <c r="BX17" s="446">
        <f t="shared" si="21"/>
        <v>16426.993713415472</v>
      </c>
      <c r="BY17" s="449" t="e">
        <f t="shared" si="22"/>
        <v>#REF!</v>
      </c>
      <c r="CA17" s="446">
        <f t="shared" si="23"/>
        <v>15142.940750500798</v>
      </c>
      <c r="CB17" s="449" t="e">
        <f t="shared" si="24"/>
        <v>#REF!</v>
      </c>
    </row>
    <row r="18" spans="2:80" x14ac:dyDescent="0.25">
      <c r="B18" s="267" t="s">
        <v>34</v>
      </c>
      <c r="C18" s="268" t="s">
        <v>35</v>
      </c>
      <c r="D18" s="61" t="s">
        <v>42</v>
      </c>
      <c r="E18" s="231" t="s">
        <v>43</v>
      </c>
      <c r="F18" s="446">
        <f>SUMIFS('SC1'!S:S,'SC1'!$I:$I,$D18)</f>
        <v>5560.9501466811198</v>
      </c>
      <c r="G18" s="446">
        <f>SUMIFS('SC1'!T:T,'SC1'!$I:$I,$D18)</f>
        <v>0</v>
      </c>
      <c r="H18" s="446">
        <f>SUMIFS('SC1'!U:U,'SC1'!$I:$I,$D18)</f>
        <v>4576.3892794333515</v>
      </c>
      <c r="I18" s="446">
        <f>SUMIFS('SC1'!V:V,'SC1'!$I:$I,$D18)</f>
        <v>12255.510956920165</v>
      </c>
      <c r="J18" s="446"/>
      <c r="K18" s="446"/>
      <c r="L18" s="446"/>
      <c r="M18" s="446">
        <f>SUMIFS('SC1'!Z:Z,'SC1'!$I:$I,$D18)</f>
        <v>946</v>
      </c>
      <c r="N18" s="446"/>
      <c r="O18" s="446">
        <f>SUMIFS('SC1'!AB:AB,'SC1'!$I:$I,$D18)</f>
        <v>150.43777185070186</v>
      </c>
      <c r="P18" s="446">
        <f>SUMIFS('SC1'!AC:AC,'SC1'!$I:$I,$D18)</f>
        <v>0</v>
      </c>
      <c r="Q18" s="446">
        <f t="shared" si="15"/>
        <v>23489.28815488534</v>
      </c>
      <c r="R18" s="446">
        <f t="shared" si="2"/>
        <v>21806.098131249986</v>
      </c>
      <c r="T18" s="446">
        <f>SUMIFS('SC2'!S:S,'SC2'!$I:$I,$D18)</f>
        <v>0</v>
      </c>
      <c r="U18" s="446">
        <f>SUMIFS('SC2'!T:T,'SC2'!$I:$I,$D18)</f>
        <v>0</v>
      </c>
      <c r="V18" s="446">
        <f>SUMIFS('SC2'!U:U,'SC2'!$I:$I,$D18)</f>
        <v>9127.6091581063138</v>
      </c>
      <c r="W18" s="446">
        <f>SUMIFS('SC2'!V:V,'SC2'!$I:$I,$D18)</f>
        <v>11517.190573401112</v>
      </c>
      <c r="X18" s="446"/>
      <c r="Y18" s="446"/>
      <c r="Z18" s="446"/>
      <c r="AA18" s="446">
        <f>SUMIFS('SC2'!Z:Z,'SC2'!$I:$I,$D18)</f>
        <v>1892</v>
      </c>
      <c r="AB18" s="446"/>
      <c r="AC18" s="446">
        <f>SUMIFS('SC2'!AB:AB,'SC2'!$I:$I,$D18)</f>
        <v>300.71737590074679</v>
      </c>
      <c r="AD18" s="446">
        <f>SUMIFS('SC2'!AC:AC,'SC2'!$I:$I,$D18)</f>
        <v>0</v>
      </c>
      <c r="AE18" s="446">
        <f t="shared" si="16"/>
        <v>22837.51710740817</v>
      </c>
      <c r="AF18" s="446">
        <f t="shared" si="3"/>
        <v>20773.037134257429</v>
      </c>
      <c r="AH18" s="446">
        <f>SUMIFS('SC3'!S:S,'SC3'!$I:$I,$D18)</f>
        <v>0</v>
      </c>
      <c r="AI18" s="446">
        <f>SUMIFS('SC3'!T:T,'SC3'!$I:$I,$D18)</f>
        <v>0</v>
      </c>
      <c r="AJ18" s="446">
        <f>SUMIFS('SC3'!U:U,'SC3'!$I:$I,$D18)</f>
        <v>0</v>
      </c>
      <c r="AK18" s="446">
        <f>SUMIFS('SC3'!V:V,'SC3'!$I:$I,$D18)</f>
        <v>10016.00321798173</v>
      </c>
      <c r="AL18" s="446"/>
      <c r="AM18" s="446"/>
      <c r="AN18" s="446"/>
      <c r="AO18" s="446">
        <f>SUMIFS('SC3'!Z:Z,'SC3'!$I:$I,$D18)</f>
        <v>0</v>
      </c>
      <c r="AP18" s="446"/>
      <c r="AQ18" s="446">
        <f>SUMIFS('SC3'!AB:AB,'SC3'!$I:$I,$D18)</f>
        <v>0</v>
      </c>
      <c r="AR18" s="446">
        <f>SUMIFS('SC3'!AC:AC,'SC3'!$I:$I,$D18)</f>
        <v>11228.260552945445</v>
      </c>
      <c r="AS18" s="446">
        <f t="shared" si="17"/>
        <v>21244.263770927173</v>
      </c>
      <c r="AT18" s="446">
        <f t="shared" si="4"/>
        <v>17435.598310892641</v>
      </c>
      <c r="AV18" s="446" t="e">
        <f>SUMIFS('Op 1 - Convergence'!AN:AN,'Op 1 - Convergence'!$I:$I,$D18)</f>
        <v>#REF!</v>
      </c>
      <c r="AX18" s="446" t="e">
        <f>SUMIFS('Op 1 - Convergence'!AK:AK,'Op 1 - Convergence'!$I:$I,$D18)</f>
        <v>#REF!</v>
      </c>
      <c r="AY18" s="449" t="e">
        <f t="shared" si="18"/>
        <v>#REF!</v>
      </c>
      <c r="BA18" s="446">
        <f t="shared" si="5"/>
        <v>23489.28815488534</v>
      </c>
      <c r="BB18" s="446" t="e">
        <f t="shared" si="6"/>
        <v>#REF!</v>
      </c>
      <c r="BC18" s="446" t="e">
        <f t="shared" si="7"/>
        <v>#REF!</v>
      </c>
      <c r="BE18" s="446">
        <f t="shared" si="8"/>
        <v>22837.51710740817</v>
      </c>
      <c r="BF18" s="446" t="e">
        <f t="shared" si="9"/>
        <v>#REF!</v>
      </c>
      <c r="BG18" s="446" t="e">
        <f t="shared" si="10"/>
        <v>#REF!</v>
      </c>
      <c r="BI18" s="446">
        <f t="shared" si="11"/>
        <v>21244.263770927173</v>
      </c>
      <c r="BJ18" s="446" t="e">
        <f t="shared" si="12"/>
        <v>#REF!</v>
      </c>
      <c r="BK18" s="446" t="e">
        <f t="shared" si="13"/>
        <v>#REF!</v>
      </c>
      <c r="BM18" s="446" t="e">
        <f>SUMIFS('Op 1 - Convergence'!K:K,'Op 1 - Convergence'!$I:$I,$D18)</f>
        <v>#REF!</v>
      </c>
      <c r="BN18" s="446">
        <f>SUMIFS('Op 1 - Convergence'!L:L,'Op 1 - Convergence'!$I:$I,$D18)</f>
        <v>322102.10294092807</v>
      </c>
      <c r="BO18" s="446" t="e">
        <f>SUMIFS('Op 1 - Convergence'!M:M,'Op 1 - Convergence'!$I:$I,$D18)</f>
        <v>#REF!</v>
      </c>
      <c r="BP18" s="446" t="e">
        <f>SUMIFS('Op 1 - Convergence'!N:N,'Op 1 - Convergence'!$I:$I,$D18)</f>
        <v>#REF!</v>
      </c>
      <c r="BQ18" s="446">
        <f>SUMIFS('Op 1 - Convergence'!O:O,'Op 1 - Convergence'!$I:$I,$D18)</f>
        <v>15912.897059071925</v>
      </c>
      <c r="BR18" s="446" t="e">
        <f>SUMIFS('Op 1 - Convergence'!P:P,'Op 1 - Convergence'!$I:$I,$D18)</f>
        <v>#REF!</v>
      </c>
      <c r="BS18" s="449" t="e">
        <f t="shared" si="19"/>
        <v>#REF!</v>
      </c>
      <c r="BU18" s="446">
        <f t="shared" si="20"/>
        <v>23489.28815488534</v>
      </c>
      <c r="BV18" s="449" t="e">
        <f t="shared" si="14"/>
        <v>#REF!</v>
      </c>
      <c r="BX18" s="446">
        <f t="shared" si="21"/>
        <v>22837.51710740817</v>
      </c>
      <c r="BY18" s="449" t="e">
        <f t="shared" si="22"/>
        <v>#REF!</v>
      </c>
      <c r="CA18" s="446">
        <f t="shared" si="23"/>
        <v>21244.263770927173</v>
      </c>
      <c r="CB18" s="449" t="e">
        <f t="shared" si="24"/>
        <v>#REF!</v>
      </c>
    </row>
    <row r="19" spans="2:80" x14ac:dyDescent="0.25">
      <c r="B19" s="267" t="s">
        <v>34</v>
      </c>
      <c r="C19" s="268" t="s">
        <v>35</v>
      </c>
      <c r="D19" s="61" t="s">
        <v>46</v>
      </c>
      <c r="E19" s="231" t="s">
        <v>47</v>
      </c>
      <c r="F19" s="446">
        <f>SUMIFS('SC1'!S:S,'SC1'!$I:$I,$D19)</f>
        <v>2829.4480924607542</v>
      </c>
      <c r="G19" s="446">
        <f>SUMIFS('SC1'!T:T,'SC1'!$I:$I,$D19)</f>
        <v>0</v>
      </c>
      <c r="H19" s="446">
        <f>SUMIFS('SC1'!U:U,'SC1'!$I:$I,$D19)</f>
        <v>4165.1955428919518</v>
      </c>
      <c r="I19" s="446">
        <f>SUMIFS('SC1'!V:V,'SC1'!$I:$I,$D19)</f>
        <v>11154.339479605622</v>
      </c>
      <c r="J19" s="446"/>
      <c r="K19" s="446"/>
      <c r="L19" s="446"/>
      <c r="M19" s="446">
        <f>SUMIFS('SC1'!Z:Z,'SC1'!$I:$I,$D19)</f>
        <v>-8.01487299031578E-2</v>
      </c>
      <c r="N19" s="446"/>
      <c r="O19" s="446">
        <f>SUMIFS('SC1'!AB:AB,'SC1'!$I:$I,$D19)</f>
        <v>136.92076843443829</v>
      </c>
      <c r="P19" s="446">
        <f>SUMIFS('SC1'!AC:AC,'SC1'!$I:$I,$D19)</f>
        <v>0</v>
      </c>
      <c r="Q19" s="446">
        <f t="shared" si="15"/>
        <v>18285.823734662859</v>
      </c>
      <c r="R19" s="446">
        <f t="shared" si="2"/>
        <v>16753.870232413108</v>
      </c>
      <c r="T19" s="446">
        <f>SUMIFS('SC2'!S:S,'SC2'!$I:$I,$D19)</f>
        <v>0</v>
      </c>
      <c r="U19" s="446">
        <f>SUMIFS('SC2'!T:T,'SC2'!$I:$I,$D19)</f>
        <v>0</v>
      </c>
      <c r="V19" s="446">
        <f>SUMIFS('SC2'!U:U,'SC2'!$I:$I,$D19)</f>
        <v>8317.6119861538591</v>
      </c>
      <c r="W19" s="446">
        <f>SUMIFS('SC2'!V:V,'SC2'!$I:$I,$D19)</f>
        <v>10495.138507882149</v>
      </c>
      <c r="X19" s="446"/>
      <c r="Y19" s="446"/>
      <c r="Z19" s="446"/>
      <c r="AA19" s="446">
        <f>SUMIFS('SC2'!Z:Z,'SC2'!$I:$I,$D19)</f>
        <v>-0.11254197993548587</v>
      </c>
      <c r="AB19" s="446"/>
      <c r="AC19" s="446">
        <f>SUMIFS('SC2'!AB:AB,'SC2'!$I:$I,$D19)</f>
        <v>274.03128321017152</v>
      </c>
      <c r="AD19" s="446">
        <f>SUMIFS('SC2'!AC:AC,'SC2'!$I:$I,$D19)</f>
        <v>0</v>
      </c>
      <c r="AE19" s="446">
        <f t="shared" si="16"/>
        <v>19086.669235266243</v>
      </c>
      <c r="AF19" s="446">
        <f t="shared" si="3"/>
        <v>17205.394185862642</v>
      </c>
      <c r="AH19" s="446">
        <f>SUMIFS('SC3'!S:S,'SC3'!$I:$I,$D19)</f>
        <v>0</v>
      </c>
      <c r="AI19" s="446">
        <f>SUMIFS('SC3'!T:T,'SC3'!$I:$I,$D19)</f>
        <v>0</v>
      </c>
      <c r="AJ19" s="446">
        <f>SUMIFS('SC3'!U:U,'SC3'!$I:$I,$D19)</f>
        <v>0</v>
      </c>
      <c r="AK19" s="446">
        <f>SUMIFS('SC3'!V:V,'SC3'!$I:$I,$D19)</f>
        <v>9127.168678695316</v>
      </c>
      <c r="AL19" s="446"/>
      <c r="AM19" s="446"/>
      <c r="AN19" s="446"/>
      <c r="AO19" s="446">
        <f>SUMIFS('SC3'!Z:Z,'SC3'!$I:$I,$D19)</f>
        <v>0</v>
      </c>
      <c r="AP19" s="446"/>
      <c r="AQ19" s="446">
        <f>SUMIFS('SC3'!AB:AB,'SC3'!$I:$I,$D19)</f>
        <v>0</v>
      </c>
      <c r="AR19" s="446">
        <f>SUMIFS('SC3'!AC:AC,'SC3'!$I:$I,$D19)</f>
        <v>10231.848553232039</v>
      </c>
      <c r="AS19" s="446">
        <f t="shared" si="17"/>
        <v>19359.017231927355</v>
      </c>
      <c r="AT19" s="446">
        <f t="shared" si="4"/>
        <v>15888.338225749814</v>
      </c>
      <c r="AV19" s="446" t="e">
        <f>SUMIFS('Op 1 - Convergence'!AN:AN,'Op 1 - Convergence'!$I:$I,$D19)</f>
        <v>#REF!</v>
      </c>
      <c r="AX19" s="446" t="e">
        <f>SUMIFS('Op 1 - Convergence'!AK:AK,'Op 1 - Convergence'!$I:$I,$D19)</f>
        <v>#REF!</v>
      </c>
      <c r="AY19" s="449" t="e">
        <f t="shared" si="18"/>
        <v>#REF!</v>
      </c>
      <c r="BA19" s="446">
        <f t="shared" si="5"/>
        <v>18285.823734662859</v>
      </c>
      <c r="BB19" s="446" t="e">
        <f t="shared" si="6"/>
        <v>#REF!</v>
      </c>
      <c r="BC19" s="446" t="e">
        <f t="shared" si="7"/>
        <v>#REF!</v>
      </c>
      <c r="BE19" s="446">
        <f t="shared" si="8"/>
        <v>19086.669235266243</v>
      </c>
      <c r="BF19" s="446" t="e">
        <f t="shared" si="9"/>
        <v>#REF!</v>
      </c>
      <c r="BG19" s="446" t="e">
        <f t="shared" si="10"/>
        <v>#REF!</v>
      </c>
      <c r="BI19" s="446">
        <f t="shared" si="11"/>
        <v>19359.017231927355</v>
      </c>
      <c r="BJ19" s="446" t="e">
        <f t="shared" si="12"/>
        <v>#REF!</v>
      </c>
      <c r="BK19" s="446" t="e">
        <f t="shared" si="13"/>
        <v>#REF!</v>
      </c>
      <c r="BM19" s="446" t="e">
        <f>SUMIFS('Op 1 - Convergence'!K:K,'Op 1 - Convergence'!$I:$I,$D19)</f>
        <v>#REF!</v>
      </c>
      <c r="BN19" s="446">
        <f>SUMIFS('Op 1 - Convergence'!L:L,'Op 1 - Convergence'!$I:$I,$D19)</f>
        <v>359790.82190727431</v>
      </c>
      <c r="BO19" s="446" t="e">
        <f>SUMIFS('Op 1 - Convergence'!M:M,'Op 1 - Convergence'!$I:$I,$D19)</f>
        <v>#REF!</v>
      </c>
      <c r="BP19" s="446" t="e">
        <f>SUMIFS('Op 1 - Convergence'!N:N,'Op 1 - Convergence'!$I:$I,$D19)</f>
        <v>#REF!</v>
      </c>
      <c r="BQ19" s="446">
        <f>SUMIFS('Op 1 - Convergence'!O:O,'Op 1 - Convergence'!$I:$I,$D19)</f>
        <v>12537.156591430306</v>
      </c>
      <c r="BR19" s="446" t="e">
        <f>SUMIFS('Op 1 - Convergence'!P:P,'Op 1 - Convergence'!$I:$I,$D19)</f>
        <v>#REF!</v>
      </c>
      <c r="BS19" s="449" t="e">
        <f t="shared" si="19"/>
        <v>#REF!</v>
      </c>
      <c r="BU19" s="446">
        <f t="shared" si="20"/>
        <v>18285.823734662859</v>
      </c>
      <c r="BV19" s="449" t="e">
        <f t="shared" si="14"/>
        <v>#REF!</v>
      </c>
      <c r="BX19" s="446">
        <f t="shared" si="21"/>
        <v>19086.669235266243</v>
      </c>
      <c r="BY19" s="449" t="e">
        <f t="shared" si="22"/>
        <v>#REF!</v>
      </c>
      <c r="CA19" s="446">
        <f t="shared" si="23"/>
        <v>19359.017231927355</v>
      </c>
      <c r="CB19" s="449" t="e">
        <f t="shared" si="24"/>
        <v>#REF!</v>
      </c>
    </row>
    <row r="20" spans="2:80" x14ac:dyDescent="0.25">
      <c r="B20" s="267" t="s">
        <v>58</v>
      </c>
      <c r="C20" s="268" t="s">
        <v>59</v>
      </c>
      <c r="D20" s="61" t="s">
        <v>66</v>
      </c>
      <c r="E20" s="231" t="s">
        <v>67</v>
      </c>
      <c r="F20" s="446">
        <f>SUMIFS('SC1'!S:S,'SC1'!$I:$I,$D20)</f>
        <v>5965.0712546929208</v>
      </c>
      <c r="G20" s="446">
        <f>SUMIFS('SC1'!T:T,'SC1'!$I:$I,$D20)</f>
        <v>0</v>
      </c>
      <c r="H20" s="446">
        <f>SUMIFS('SC1'!U:U,'SC1'!$I:$I,$D20)</f>
        <v>4913.1070688367045</v>
      </c>
      <c r="I20" s="446">
        <f>SUMIFS('SC1'!V:V,'SC1'!$I:$I,$D20)</f>
        <v>13157.236816642853</v>
      </c>
      <c r="J20" s="446"/>
      <c r="K20" s="446"/>
      <c r="L20" s="446"/>
      <c r="M20" s="446">
        <f>SUMIFS('SC1'!Z:Z,'SC1'!$I:$I,$D20)</f>
        <v>1150</v>
      </c>
      <c r="N20" s="446"/>
      <c r="O20" s="446">
        <f>SUMIFS('SC1'!AB:AB,'SC1'!$I:$I,$D20)</f>
        <v>161.50655793670688</v>
      </c>
      <c r="P20" s="446">
        <f>SUMIFS('SC1'!AC:AC,'SC1'!$I:$I,$D20)</f>
        <v>0</v>
      </c>
      <c r="Q20" s="446">
        <f t="shared" si="15"/>
        <v>25346.921698109185</v>
      </c>
      <c r="R20" s="446">
        <f t="shared" si="2"/>
        <v>23539.887309561229</v>
      </c>
      <c r="T20" s="446">
        <f>SUMIFS('SC2'!S:S,'SC2'!$I:$I,$D20)</f>
        <v>0</v>
      </c>
      <c r="U20" s="446">
        <f>SUMIFS('SC2'!T:T,'SC2'!$I:$I,$D20)</f>
        <v>0</v>
      </c>
      <c r="V20" s="446">
        <f>SUMIFS('SC2'!U:U,'SC2'!$I:$I,$D20)</f>
        <v>9799.1928435387526</v>
      </c>
      <c r="W20" s="446">
        <f>SUMIFS('SC2'!V:V,'SC2'!$I:$I,$D20)</f>
        <v>12364.592905943273</v>
      </c>
      <c r="X20" s="446"/>
      <c r="Y20" s="446"/>
      <c r="Z20" s="446"/>
      <c r="AA20" s="446">
        <f>SUMIFS('SC2'!Z:Z,'SC2'!$I:$I,$D20)</f>
        <v>2301</v>
      </c>
      <c r="AB20" s="446"/>
      <c r="AC20" s="446">
        <f>SUMIFS('SC2'!AB:AB,'SC2'!$I:$I,$D20)</f>
        <v>322.84331053299769</v>
      </c>
      <c r="AD20" s="446">
        <f>SUMIFS('SC2'!AC:AC,'SC2'!$I:$I,$D20)</f>
        <v>0</v>
      </c>
      <c r="AE20" s="446">
        <f t="shared" si="16"/>
        <v>24787.629060015024</v>
      </c>
      <c r="AF20" s="446">
        <f t="shared" si="3"/>
        <v>22571.250485066819</v>
      </c>
      <c r="AH20" s="446">
        <f>SUMIFS('SC3'!S:S,'SC3'!$I:$I,$D20)</f>
        <v>0</v>
      </c>
      <c r="AI20" s="446">
        <f>SUMIFS('SC3'!T:T,'SC3'!$I:$I,$D20)</f>
        <v>0</v>
      </c>
      <c r="AJ20" s="446">
        <f>SUMIFS('SC3'!U:U,'SC3'!$I:$I,$D20)</f>
        <v>0</v>
      </c>
      <c r="AK20" s="446">
        <f>SUMIFS('SC3'!V:V,'SC3'!$I:$I,$D20)</f>
        <v>10752.952427563234</v>
      </c>
      <c r="AL20" s="446"/>
      <c r="AM20" s="446"/>
      <c r="AN20" s="446"/>
      <c r="AO20" s="446">
        <f>SUMIFS('SC3'!Z:Z,'SC3'!$I:$I,$D20)</f>
        <v>0</v>
      </c>
      <c r="AP20" s="446"/>
      <c r="AQ20" s="446">
        <f>SUMIFS('SC3'!AB:AB,'SC3'!$I:$I,$D20)</f>
        <v>0</v>
      </c>
      <c r="AR20" s="446">
        <f>SUMIFS('SC3'!AC:AC,'SC3'!$I:$I,$D20)</f>
        <v>12054.404231155617</v>
      </c>
      <c r="AS20" s="446">
        <f t="shared" si="17"/>
        <v>22807.356658718851</v>
      </c>
      <c r="AT20" s="446">
        <f t="shared" si="4"/>
        <v>18718.460358173623</v>
      </c>
      <c r="AV20" s="446" t="e">
        <f>SUMIFS('Op 1 - Convergence'!AN:AN,'Op 1 - Convergence'!$I:$I,$D20)</f>
        <v>#REF!</v>
      </c>
      <c r="AX20" s="446" t="e">
        <f>SUMIFS('Op 1 - Convergence'!AK:AK,'Op 1 - Convergence'!$I:$I,$D20)</f>
        <v>#REF!</v>
      </c>
      <c r="AY20" s="449" t="e">
        <f t="shared" si="18"/>
        <v>#REF!</v>
      </c>
      <c r="BA20" s="446">
        <f t="shared" si="5"/>
        <v>25346.921698109185</v>
      </c>
      <c r="BB20" s="446" t="e">
        <f t="shared" si="6"/>
        <v>#REF!</v>
      </c>
      <c r="BC20" s="446" t="e">
        <f t="shared" si="7"/>
        <v>#REF!</v>
      </c>
      <c r="BE20" s="446">
        <f t="shared" si="8"/>
        <v>24787.629060015024</v>
      </c>
      <c r="BF20" s="446" t="e">
        <f t="shared" si="9"/>
        <v>#REF!</v>
      </c>
      <c r="BG20" s="446" t="e">
        <f t="shared" si="10"/>
        <v>#REF!</v>
      </c>
      <c r="BI20" s="446">
        <f t="shared" si="11"/>
        <v>22807.356658718851</v>
      </c>
      <c r="BJ20" s="446" t="e">
        <f t="shared" si="12"/>
        <v>#REF!</v>
      </c>
      <c r="BK20" s="446" t="e">
        <f t="shared" si="13"/>
        <v>#REF!</v>
      </c>
      <c r="BM20" s="446" t="e">
        <f>SUMIFS('Op 1 - Convergence'!K:K,'Op 1 - Convergence'!$I:$I,$D20)</f>
        <v>#REF!</v>
      </c>
      <c r="BN20" s="446">
        <f>SUMIFS('Op 1 - Convergence'!L:L,'Op 1 - Convergence'!$I:$I,$D20)</f>
        <v>391887.59398342425</v>
      </c>
      <c r="BO20" s="446" t="e">
        <f>SUMIFS('Op 1 - Convergence'!M:M,'Op 1 - Convergence'!$I:$I,$D20)</f>
        <v>#REF!</v>
      </c>
      <c r="BP20" s="446" t="e">
        <f>SUMIFS('Op 1 - Convergence'!N:N,'Op 1 - Convergence'!$I:$I,$D20)</f>
        <v>#REF!</v>
      </c>
      <c r="BQ20" s="446">
        <f>SUMIFS('Op 1 - Convergence'!O:O,'Op 1 - Convergence'!$I:$I,$D20)</f>
        <v>19090.406016575755</v>
      </c>
      <c r="BR20" s="446" t="e">
        <f>SUMIFS('Op 1 - Convergence'!P:P,'Op 1 - Convergence'!$I:$I,$D20)</f>
        <v>#REF!</v>
      </c>
      <c r="BS20" s="449" t="e">
        <f t="shared" si="19"/>
        <v>#REF!</v>
      </c>
      <c r="BU20" s="446">
        <f t="shared" si="20"/>
        <v>25346.921698109185</v>
      </c>
      <c r="BV20" s="449" t="e">
        <f t="shared" si="14"/>
        <v>#REF!</v>
      </c>
      <c r="BX20" s="446">
        <f t="shared" si="21"/>
        <v>24787.629060015024</v>
      </c>
      <c r="BY20" s="449" t="e">
        <f t="shared" si="22"/>
        <v>#REF!</v>
      </c>
      <c r="CA20" s="446">
        <f t="shared" si="23"/>
        <v>22807.356658718851</v>
      </c>
      <c r="CB20" s="449" t="e">
        <f t="shared" si="24"/>
        <v>#REF!</v>
      </c>
    </row>
    <row r="21" spans="2:80" x14ac:dyDescent="0.25">
      <c r="B21" s="267" t="s">
        <v>17</v>
      </c>
      <c r="C21" s="268" t="s">
        <v>18</v>
      </c>
      <c r="D21" s="61" t="s">
        <v>23</v>
      </c>
      <c r="E21" s="231" t="s">
        <v>24</v>
      </c>
      <c r="F21" s="446">
        <f>SUMIFS('SC1'!S:S,'SC1'!$I:$I,$D21)</f>
        <v>7422.8556532127477</v>
      </c>
      <c r="G21" s="446">
        <f>SUMIFS('SC1'!T:T,'SC1'!$I:$I,$D21)</f>
        <v>0</v>
      </c>
      <c r="H21" s="446">
        <f>SUMIFS('SC1'!U:U,'SC1'!$I:$I,$D21)</f>
        <v>6120.6403809544036</v>
      </c>
      <c r="I21" s="446">
        <f>SUMIFS('SC1'!V:V,'SC1'!$I:$I,$D21)</f>
        <v>16390.995317916364</v>
      </c>
      <c r="J21" s="446"/>
      <c r="K21" s="446"/>
      <c r="L21" s="446"/>
      <c r="M21" s="446">
        <f>SUMIFS('SC1'!Z:Z,'SC1'!$I:$I,$D21)</f>
        <v>0.13001096004154533</v>
      </c>
      <c r="N21" s="446"/>
      <c r="O21" s="446">
        <f>SUMIFS('SC1'!AB:AB,'SC1'!$I:$I,$D21)</f>
        <v>201.20130631112352</v>
      </c>
      <c r="P21" s="446">
        <f>SUMIFS('SC1'!AC:AC,'SC1'!$I:$I,$D21)</f>
        <v>0</v>
      </c>
      <c r="Q21" s="446">
        <f t="shared" si="15"/>
        <v>30135.822669354679</v>
      </c>
      <c r="R21" s="446">
        <f t="shared" si="2"/>
        <v>27884.659099467601</v>
      </c>
      <c r="T21" s="446">
        <f>SUMIFS('SC2'!S:S,'SC2'!$I:$I,$D21)</f>
        <v>0</v>
      </c>
      <c r="U21" s="446">
        <f>SUMIFS('SC2'!T:T,'SC2'!$I:$I,$D21)</f>
        <v>0</v>
      </c>
      <c r="V21" s="446">
        <f>SUMIFS('SC2'!U:U,'SC2'!$I:$I,$D21)</f>
        <v>12207.61822988803</v>
      </c>
      <c r="W21" s="446">
        <f>SUMIFS('SC2'!V:V,'SC2'!$I:$I,$D21)</f>
        <v>15403.537023282828</v>
      </c>
      <c r="X21" s="446"/>
      <c r="Y21" s="446"/>
      <c r="Z21" s="446"/>
      <c r="AA21" s="446">
        <f>SUMIFS('SC2'!Z:Z,'SC2'!$I:$I,$D21)</f>
        <v>1.9526824238710105E-2</v>
      </c>
      <c r="AB21" s="446"/>
      <c r="AC21" s="446">
        <f>SUMIFS('SC2'!AB:AB,'SC2'!$I:$I,$D21)</f>
        <v>402.19107287583194</v>
      </c>
      <c r="AD21" s="446">
        <f>SUMIFS('SC2'!AC:AC,'SC2'!$I:$I,$D21)</f>
        <v>0</v>
      </c>
      <c r="AE21" s="446">
        <f t="shared" si="16"/>
        <v>28013.365852870927</v>
      </c>
      <c r="AF21" s="446">
        <f t="shared" si="3"/>
        <v>25252.25032755384</v>
      </c>
      <c r="AH21" s="446">
        <f>SUMIFS('SC3'!S:S,'SC3'!$I:$I,$D21)</f>
        <v>0</v>
      </c>
      <c r="AI21" s="446">
        <f>SUMIFS('SC3'!T:T,'SC3'!$I:$I,$D21)</f>
        <v>0</v>
      </c>
      <c r="AJ21" s="446">
        <f>SUMIFS('SC3'!U:U,'SC3'!$I:$I,$D21)</f>
        <v>0</v>
      </c>
      <c r="AK21" s="446">
        <f>SUMIFS('SC3'!V:V,'SC3'!$I:$I,$D21)</f>
        <v>13395.790875407989</v>
      </c>
      <c r="AL21" s="446"/>
      <c r="AM21" s="446"/>
      <c r="AN21" s="446"/>
      <c r="AO21" s="446">
        <f>SUMIFS('SC3'!Z:Z,'SC3'!$I:$I,$D21)</f>
        <v>0</v>
      </c>
      <c r="AP21" s="446"/>
      <c r="AQ21" s="446">
        <f>SUMIFS('SC3'!AB:AB,'SC3'!$I:$I,$D21)</f>
        <v>0</v>
      </c>
      <c r="AR21" s="446">
        <f>SUMIFS('SC3'!AC:AC,'SC3'!$I:$I,$D21)</f>
        <v>15017.110816399942</v>
      </c>
      <c r="AS21" s="446">
        <f t="shared" si="17"/>
        <v>28412.901691807929</v>
      </c>
      <c r="AT21" s="446">
        <f t="shared" si="4"/>
        <v>23319.044900167144</v>
      </c>
      <c r="AV21" s="446" t="e">
        <f>SUMIFS('Op 1 - Convergence'!AN:AN,'Op 1 - Convergence'!$I:$I,$D21)</f>
        <v>#REF!</v>
      </c>
      <c r="AX21" s="446" t="e">
        <f>SUMIFS('Op 1 - Convergence'!AK:AK,'Op 1 - Convergence'!$I:$I,$D21)</f>
        <v>#REF!</v>
      </c>
      <c r="AY21" s="449" t="e">
        <f t="shared" si="18"/>
        <v>#REF!</v>
      </c>
      <c r="BA21" s="446">
        <f t="shared" si="5"/>
        <v>30135.822669354679</v>
      </c>
      <c r="BB21" s="446" t="e">
        <f t="shared" si="6"/>
        <v>#REF!</v>
      </c>
      <c r="BC21" s="446" t="e">
        <f t="shared" si="7"/>
        <v>#REF!</v>
      </c>
      <c r="BE21" s="446">
        <f t="shared" si="8"/>
        <v>28013.365852870927</v>
      </c>
      <c r="BF21" s="446" t="e">
        <f t="shared" si="9"/>
        <v>#REF!</v>
      </c>
      <c r="BG21" s="446" t="e">
        <f t="shared" si="10"/>
        <v>#REF!</v>
      </c>
      <c r="BI21" s="446">
        <f t="shared" si="11"/>
        <v>28412.901691807929</v>
      </c>
      <c r="BJ21" s="446" t="e">
        <f t="shared" si="12"/>
        <v>#REF!</v>
      </c>
      <c r="BK21" s="446" t="e">
        <f t="shared" si="13"/>
        <v>#REF!</v>
      </c>
      <c r="BM21" s="446" t="e">
        <f>SUMIFS('Op 1 - Convergence'!K:K,'Op 1 - Convergence'!$I:$I,$D21)</f>
        <v>#REF!</v>
      </c>
      <c r="BN21" s="446">
        <f>SUMIFS('Op 1 - Convergence'!L:L,'Op 1 - Convergence'!$I:$I,$D21)</f>
        <v>484846.53629568382</v>
      </c>
      <c r="BO21" s="446" t="e">
        <f>SUMIFS('Op 1 - Convergence'!M:M,'Op 1 - Convergence'!$I:$I,$D21)</f>
        <v>#REF!</v>
      </c>
      <c r="BP21" s="446" t="e">
        <f>SUMIFS('Op 1 - Convergence'!N:N,'Op 1 - Convergence'!$I:$I,$D21)</f>
        <v>#REF!</v>
      </c>
      <c r="BQ21" s="446">
        <f>SUMIFS('Op 1 - Convergence'!O:O,'Op 1 - Convergence'!$I:$I,$D21)</f>
        <v>17472.259423059877</v>
      </c>
      <c r="BR21" s="446" t="e">
        <f>SUMIFS('Op 1 - Convergence'!P:P,'Op 1 - Convergence'!$I:$I,$D21)</f>
        <v>#REF!</v>
      </c>
      <c r="BS21" s="449" t="e">
        <f t="shared" si="19"/>
        <v>#REF!</v>
      </c>
      <c r="BU21" s="446">
        <f t="shared" si="20"/>
        <v>30135.822669354679</v>
      </c>
      <c r="BV21" s="449" t="e">
        <f t="shared" si="14"/>
        <v>#REF!</v>
      </c>
      <c r="BX21" s="446">
        <f t="shared" si="21"/>
        <v>28013.365852870927</v>
      </c>
      <c r="BY21" s="449" t="e">
        <f t="shared" si="22"/>
        <v>#REF!</v>
      </c>
      <c r="CA21" s="446">
        <f t="shared" si="23"/>
        <v>28412.901691807929</v>
      </c>
      <c r="CB21" s="449" t="e">
        <f t="shared" si="24"/>
        <v>#REF!</v>
      </c>
    </row>
    <row r="22" spans="2:80" x14ac:dyDescent="0.25">
      <c r="B22" s="266" t="s">
        <v>84</v>
      </c>
      <c r="C22" s="61" t="s">
        <v>85</v>
      </c>
      <c r="D22" s="61" t="s">
        <v>86</v>
      </c>
      <c r="E22" s="231" t="s">
        <v>87</v>
      </c>
      <c r="F22" s="446">
        <f>SUMIFS('SC1'!S:S,'SC1'!$I:$I,$D22)</f>
        <v>0</v>
      </c>
      <c r="G22" s="446">
        <f>SUMIFS('SC1'!T:T,'SC1'!$I:$I,$D22)</f>
        <v>0</v>
      </c>
      <c r="H22" s="446">
        <f>SUMIFS('SC1'!U:U,'SC1'!$I:$I,$D22)</f>
        <v>6540.4467796911285</v>
      </c>
      <c r="I22" s="446">
        <f>SUMIFS('SC1'!V:V,'SC1'!$I:$I,$D22)</f>
        <v>17515.23139254946</v>
      </c>
      <c r="J22" s="446"/>
      <c r="K22" s="446"/>
      <c r="L22" s="446"/>
      <c r="M22" s="446">
        <f>SUMIFS('SC1'!Z:Z,'SC1'!$I:$I,$D22)</f>
        <v>-0.14499230775982141</v>
      </c>
      <c r="N22" s="446"/>
      <c r="O22" s="446">
        <f>SUMIFS('SC1'!AB:AB,'SC1'!$I:$I,$D22)</f>
        <v>215.00143024691775</v>
      </c>
      <c r="P22" s="446">
        <f>SUMIFS('SC1'!AC:AC,'SC1'!$I:$I,$D22)</f>
        <v>0</v>
      </c>
      <c r="Q22" s="446">
        <f t="shared" si="15"/>
        <v>24270.534610179744</v>
      </c>
      <c r="R22" s="446">
        <f t="shared" si="2"/>
        <v>21864.966792955689</v>
      </c>
      <c r="T22" s="446">
        <f>SUMIFS('SC2'!S:S,'SC2'!$I:$I,$D22)</f>
        <v>0</v>
      </c>
      <c r="U22" s="446">
        <f>SUMIFS('SC2'!T:T,'SC2'!$I:$I,$D22)</f>
        <v>0</v>
      </c>
      <c r="V22" s="446">
        <f>SUMIFS('SC2'!U:U,'SC2'!$I:$I,$D22)</f>
        <v>13080.893559382257</v>
      </c>
      <c r="W22" s="446">
        <f>SUMIFS('SC2'!V:V,'SC2'!$I:$I,$D22)</f>
        <v>16505.433283148683</v>
      </c>
      <c r="X22" s="446"/>
      <c r="Y22" s="446"/>
      <c r="Z22" s="446"/>
      <c r="AA22" s="446">
        <f>SUMIFS('SC2'!Z:Z,'SC2'!$I:$I,$D22)</f>
        <v>-0.2054837194737047</v>
      </c>
      <c r="AB22" s="446"/>
      <c r="AC22" s="446">
        <f>SUMIFS('SC2'!AB:AB,'SC2'!$I:$I,$D22)</f>
        <v>430.96192195312165</v>
      </c>
      <c r="AD22" s="446">
        <f>SUMIFS('SC2'!AC:AC,'SC2'!$I:$I,$D22)</f>
        <v>0</v>
      </c>
      <c r="AE22" s="446">
        <f t="shared" si="16"/>
        <v>30017.083280764589</v>
      </c>
      <c r="AF22" s="446">
        <f t="shared" si="3"/>
        <v>27058.450596511495</v>
      </c>
      <c r="AH22" s="446">
        <f>SUMIFS('SC3'!S:S,'SC3'!$I:$I,$D22)</f>
        <v>0</v>
      </c>
      <c r="AI22" s="446">
        <f>SUMIFS('SC3'!T:T,'SC3'!$I:$I,$D22)</f>
        <v>0</v>
      </c>
      <c r="AJ22" s="446">
        <f>SUMIFS('SC3'!U:U,'SC3'!$I:$I,$D22)</f>
        <v>0</v>
      </c>
      <c r="AK22" s="446">
        <f>SUMIFS('SC3'!V:V,'SC3'!$I:$I,$D22)</f>
        <v>14354.062462073176</v>
      </c>
      <c r="AL22" s="446"/>
      <c r="AM22" s="446"/>
      <c r="AN22" s="446"/>
      <c r="AO22" s="446">
        <f>SUMIFS('SC3'!Z:Z,'SC3'!$I:$I,$D22)</f>
        <v>0</v>
      </c>
      <c r="AP22" s="446"/>
      <c r="AQ22" s="446">
        <f>SUMIFS('SC3'!AB:AB,'SC3'!$I:$I,$D22)</f>
        <v>0</v>
      </c>
      <c r="AR22" s="446">
        <f>SUMIFS('SC3'!AC:AC,'SC3'!$I:$I,$D22)</f>
        <v>16091.363971215649</v>
      </c>
      <c r="AS22" s="446">
        <f t="shared" si="17"/>
        <v>30445.426433288827</v>
      </c>
      <c r="AT22" s="446">
        <f t="shared" si="4"/>
        <v>24987.179194277596</v>
      </c>
      <c r="AV22" s="446" t="e">
        <f>SUMIFS('Op 1 - Convergence'!AN:AN,'Op 1 - Convergence'!$I:$I,$D22)</f>
        <v>#REF!</v>
      </c>
      <c r="AX22" s="446" t="e">
        <f>SUMIFS('Op 1 - Convergence'!AK:AK,'Op 1 - Convergence'!$I:$I,$D22)</f>
        <v>#REF!</v>
      </c>
      <c r="AY22" s="449" t="e">
        <f t="shared" si="18"/>
        <v>#REF!</v>
      </c>
      <c r="BA22" s="446">
        <f t="shared" si="5"/>
        <v>24270.534610179744</v>
      </c>
      <c r="BB22" s="446" t="e">
        <f t="shared" si="6"/>
        <v>#REF!</v>
      </c>
      <c r="BC22" s="446" t="e">
        <f t="shared" si="7"/>
        <v>#REF!</v>
      </c>
      <c r="BE22" s="446">
        <f t="shared" si="8"/>
        <v>30017.083280764589</v>
      </c>
      <c r="BF22" s="446" t="e">
        <f t="shared" si="9"/>
        <v>#REF!</v>
      </c>
      <c r="BG22" s="446" t="e">
        <f t="shared" si="10"/>
        <v>#REF!</v>
      </c>
      <c r="BI22" s="446">
        <f t="shared" si="11"/>
        <v>30445.426433288827</v>
      </c>
      <c r="BJ22" s="446" t="e">
        <f t="shared" si="12"/>
        <v>#REF!</v>
      </c>
      <c r="BK22" s="446" t="e">
        <f t="shared" si="13"/>
        <v>#REF!</v>
      </c>
      <c r="BM22" s="446" t="e">
        <f>SUMIFS('Op 1 - Convergence'!K:K,'Op 1 - Convergence'!$I:$I,$D22)</f>
        <v>#REF!</v>
      </c>
      <c r="BN22" s="446">
        <f>SUMIFS('Op 1 - Convergence'!L:L,'Op 1 - Convergence'!$I:$I,$D22)</f>
        <v>577098.58919338009</v>
      </c>
      <c r="BO22" s="446" t="e">
        <f>SUMIFS('Op 1 - Convergence'!M:M,'Op 1 - Convergence'!$I:$I,$D22)</f>
        <v>#REF!</v>
      </c>
      <c r="BP22" s="446" t="e">
        <f>SUMIFS('Op 1 - Convergence'!N:N,'Op 1 - Convergence'!$I:$I,$D22)</f>
        <v>#REF!</v>
      </c>
      <c r="BQ22" s="446">
        <f>SUMIFS('Op 1 - Convergence'!O:O,'Op 1 - Convergence'!$I:$I,$D22)</f>
        <v>20521.945768809412</v>
      </c>
      <c r="BR22" s="446" t="e">
        <f>SUMIFS('Op 1 - Convergence'!P:P,'Op 1 - Convergence'!$I:$I,$D22)</f>
        <v>#REF!</v>
      </c>
      <c r="BS22" s="449" t="e">
        <f t="shared" si="19"/>
        <v>#REF!</v>
      </c>
      <c r="BU22" s="446">
        <f t="shared" si="20"/>
        <v>24270.534610179744</v>
      </c>
      <c r="BV22" s="449" t="e">
        <f t="shared" si="14"/>
        <v>#REF!</v>
      </c>
      <c r="BX22" s="446">
        <f t="shared" si="21"/>
        <v>30017.083280764589</v>
      </c>
      <c r="BY22" s="449" t="e">
        <f t="shared" si="22"/>
        <v>#REF!</v>
      </c>
      <c r="CA22" s="446">
        <f t="shared" si="23"/>
        <v>30445.426433288827</v>
      </c>
      <c r="CB22" s="449" t="e">
        <f t="shared" si="24"/>
        <v>#REF!</v>
      </c>
    </row>
    <row r="23" spans="2:80" x14ac:dyDescent="0.25">
      <c r="B23" s="267" t="s">
        <v>34</v>
      </c>
      <c r="C23" s="268" t="s">
        <v>35</v>
      </c>
      <c r="D23" s="61" t="s">
        <v>50</v>
      </c>
      <c r="E23" s="231" t="s">
        <v>51</v>
      </c>
      <c r="F23" s="446">
        <f>SUMIFS('SC1'!S:S,'SC1'!$I:$I,$D23)</f>
        <v>3719.9546896970642</v>
      </c>
      <c r="G23" s="446">
        <f>SUMIFS('SC1'!T:T,'SC1'!$I:$I,$D23)</f>
        <v>0</v>
      </c>
      <c r="H23" s="446">
        <f>SUMIFS('SC1'!U:U,'SC1'!$I:$I,$D23)</f>
        <v>3051.83382440176</v>
      </c>
      <c r="I23" s="446">
        <f>SUMIFS('SC1'!V:V,'SC1'!$I:$I,$D23)</f>
        <v>8172.7712810057174</v>
      </c>
      <c r="J23" s="446"/>
      <c r="K23" s="446"/>
      <c r="L23" s="446"/>
      <c r="M23" s="446">
        <f>SUMIFS('SC1'!Z:Z,'SC1'!$I:$I,$D23)</f>
        <v>670</v>
      </c>
      <c r="N23" s="446"/>
      <c r="O23" s="446">
        <f>SUMIFS('SC1'!AB:AB,'SC1'!$I:$I,$D23)</f>
        <v>100.32168431669216</v>
      </c>
      <c r="P23" s="446">
        <f>SUMIFS('SC1'!AC:AC,'SC1'!$I:$I,$D23)</f>
        <v>0</v>
      </c>
      <c r="Q23" s="446">
        <f t="shared" si="15"/>
        <v>15714.881479421234</v>
      </c>
      <c r="R23" s="446">
        <f t="shared" si="2"/>
        <v>14592.420968880486</v>
      </c>
      <c r="T23" s="446">
        <f>SUMIFS('SC2'!S:S,'SC2'!$I:$I,$D23)</f>
        <v>0</v>
      </c>
      <c r="U23" s="446">
        <f>SUMIFS('SC2'!T:T,'SC2'!$I:$I,$D23)</f>
        <v>0</v>
      </c>
      <c r="V23" s="446">
        <f>SUMIFS('SC2'!U:U,'SC2'!$I:$I,$D23)</f>
        <v>6086.8830564337923</v>
      </c>
      <c r="W23" s="446">
        <f>SUMIFS('SC2'!V:V,'SC2'!$I:$I,$D23)</f>
        <v>7680.4112604552538</v>
      </c>
      <c r="X23" s="446"/>
      <c r="Y23" s="446"/>
      <c r="Z23" s="446"/>
      <c r="AA23" s="446">
        <f>SUMIFS('SC2'!Z:Z,'SC2'!$I:$I,$D23)</f>
        <v>1340</v>
      </c>
      <c r="AB23" s="446"/>
      <c r="AC23" s="446">
        <f>SUMIFS('SC2'!AB:AB,'SC2'!$I:$I,$D23)</f>
        <v>200.53789206342867</v>
      </c>
      <c r="AD23" s="446">
        <f>SUMIFS('SC2'!AC:AC,'SC2'!$I:$I,$D23)</f>
        <v>0</v>
      </c>
      <c r="AE23" s="446">
        <f t="shared" si="16"/>
        <v>15307.832208952474</v>
      </c>
      <c r="AF23" s="446">
        <f t="shared" si="3"/>
        <v>13931.102777263572</v>
      </c>
      <c r="AH23" s="446">
        <f>SUMIFS('SC3'!S:S,'SC3'!$I:$I,$D23)</f>
        <v>0</v>
      </c>
      <c r="AI23" s="446">
        <f>SUMIFS('SC3'!T:T,'SC3'!$I:$I,$D23)</f>
        <v>0</v>
      </c>
      <c r="AJ23" s="446">
        <f>SUMIFS('SC3'!U:U,'SC3'!$I:$I,$D23)</f>
        <v>0</v>
      </c>
      <c r="AK23" s="446">
        <f>SUMIFS('SC3'!V:V,'SC3'!$I:$I,$D23)</f>
        <v>6679.3219587601052</v>
      </c>
      <c r="AL23" s="446"/>
      <c r="AM23" s="446"/>
      <c r="AN23" s="446"/>
      <c r="AO23" s="446">
        <f>SUMIFS('SC3'!Z:Z,'SC3'!$I:$I,$D23)</f>
        <v>0</v>
      </c>
      <c r="AP23" s="446"/>
      <c r="AQ23" s="446">
        <f>SUMIFS('SC3'!AB:AB,'SC3'!$I:$I,$D23)</f>
        <v>0</v>
      </c>
      <c r="AR23" s="446">
        <f>SUMIFS('SC3'!AC:AC,'SC3'!$I:$I,$D23)</f>
        <v>7487.7339431486989</v>
      </c>
      <c r="AS23" s="446">
        <f t="shared" si="17"/>
        <v>14167.055901908803</v>
      </c>
      <c r="AT23" s="446">
        <f t="shared" si="4"/>
        <v>11627.190220245619</v>
      </c>
      <c r="AV23" s="446" t="e">
        <f>SUMIFS('Op 1 - Convergence'!AN:AN,'Op 1 - Convergence'!$I:$I,$D23)</f>
        <v>#REF!</v>
      </c>
      <c r="AX23" s="446" t="e">
        <f>SUMIFS('Op 1 - Convergence'!AK:AK,'Op 1 - Convergence'!$I:$I,$D23)</f>
        <v>#REF!</v>
      </c>
      <c r="AY23" s="449" t="e">
        <f t="shared" si="18"/>
        <v>#REF!</v>
      </c>
      <c r="BA23" s="446">
        <f t="shared" si="5"/>
        <v>15714.881479421234</v>
      </c>
      <c r="BB23" s="446" t="e">
        <f t="shared" si="6"/>
        <v>#REF!</v>
      </c>
      <c r="BC23" s="446" t="e">
        <f t="shared" si="7"/>
        <v>#REF!</v>
      </c>
      <c r="BE23" s="446">
        <f t="shared" si="8"/>
        <v>15307.832208952474</v>
      </c>
      <c r="BF23" s="446" t="e">
        <f t="shared" si="9"/>
        <v>#REF!</v>
      </c>
      <c r="BG23" s="446" t="e">
        <f t="shared" si="10"/>
        <v>#REF!</v>
      </c>
      <c r="BI23" s="446">
        <f t="shared" si="11"/>
        <v>14167.055901908803</v>
      </c>
      <c r="BJ23" s="446" t="e">
        <f t="shared" si="12"/>
        <v>#REF!</v>
      </c>
      <c r="BK23" s="446" t="e">
        <f t="shared" si="13"/>
        <v>#REF!</v>
      </c>
      <c r="BM23" s="446" t="e">
        <f>SUMIFS('Op 1 - Convergence'!K:K,'Op 1 - Convergence'!$I:$I,$D23)</f>
        <v>#REF!</v>
      </c>
      <c r="BN23" s="446">
        <f>SUMIFS('Op 1 - Convergence'!L:L,'Op 1 - Convergence'!$I:$I,$D23)</f>
        <v>227386.69840213092</v>
      </c>
      <c r="BO23" s="446" t="e">
        <f>SUMIFS('Op 1 - Convergence'!M:M,'Op 1 - Convergence'!$I:$I,$D23)</f>
        <v>#REF!</v>
      </c>
      <c r="BP23" s="446" t="e">
        <f>SUMIFS('Op 1 - Convergence'!N:N,'Op 1 - Convergence'!$I:$I,$D23)</f>
        <v>#REF!</v>
      </c>
      <c r="BQ23" s="446">
        <f>SUMIFS('Op 1 - Convergence'!O:O,'Op 1 - Convergence'!$I:$I,$D23)</f>
        <v>12118.301597869082</v>
      </c>
      <c r="BR23" s="446" t="e">
        <f>SUMIFS('Op 1 - Convergence'!P:P,'Op 1 - Convergence'!$I:$I,$D23)</f>
        <v>#REF!</v>
      </c>
      <c r="BS23" s="449" t="e">
        <f t="shared" si="19"/>
        <v>#REF!</v>
      </c>
      <c r="BU23" s="446">
        <f t="shared" si="20"/>
        <v>15714.881479421234</v>
      </c>
      <c r="BV23" s="449" t="e">
        <f t="shared" si="14"/>
        <v>#REF!</v>
      </c>
      <c r="BX23" s="446">
        <f t="shared" si="21"/>
        <v>15307.832208952474</v>
      </c>
      <c r="BY23" s="449" t="e">
        <f t="shared" si="22"/>
        <v>#REF!</v>
      </c>
      <c r="CA23" s="446">
        <f t="shared" si="23"/>
        <v>14167.055901908803</v>
      </c>
      <c r="CB23" s="449" t="e">
        <f t="shared" si="24"/>
        <v>#REF!</v>
      </c>
    </row>
    <row r="24" spans="2:80" x14ac:dyDescent="0.25">
      <c r="B24" s="269" t="s">
        <v>17</v>
      </c>
      <c r="C24" s="270" t="s">
        <v>18</v>
      </c>
      <c r="D24" s="271" t="s">
        <v>21</v>
      </c>
      <c r="E24" s="231" t="s">
        <v>22</v>
      </c>
      <c r="F24" s="446">
        <f>SUMIFS('SC1'!S:S,'SC1'!$I:$I,$D24)</f>
        <v>16988.056797629615</v>
      </c>
      <c r="G24" s="446">
        <f>SUMIFS('SC1'!T:T,'SC1'!$I:$I,$D24)</f>
        <v>0</v>
      </c>
      <c r="H24" s="446">
        <f>SUMIFS('SC1'!U:U,'SC1'!$I:$I,$D24)</f>
        <v>14023.030736306619</v>
      </c>
      <c r="I24" s="446">
        <f>SUMIFS('SC1'!V:V,'SC1'!$I:$I,$D24)</f>
        <v>37553.493888813944</v>
      </c>
      <c r="J24" s="446"/>
      <c r="K24" s="446"/>
      <c r="L24" s="446"/>
      <c r="M24" s="446">
        <f>SUMIFS('SC1'!Z:Z,'SC1'!$I:$I,$D24)</f>
        <v>2769</v>
      </c>
      <c r="N24" s="446"/>
      <c r="O24" s="446">
        <f>SUMIFS('SC1'!AB:AB,'SC1'!$I:$I,$D24)</f>
        <v>460.97335033200784</v>
      </c>
      <c r="P24" s="446">
        <f>SUMIFS('SC1'!AC:AC,'SC1'!$I:$I,$D24)</f>
        <v>0</v>
      </c>
      <c r="Q24" s="446">
        <f t="shared" si="15"/>
        <v>71794.554773082171</v>
      </c>
      <c r="R24" s="446">
        <f t="shared" si="2"/>
        <v>66636.90231057012</v>
      </c>
      <c r="T24" s="446">
        <f>SUMIFS('SC2'!S:S,'SC2'!$I:$I,$D24)</f>
        <v>0</v>
      </c>
      <c r="U24" s="446">
        <f>SUMIFS('SC2'!T:T,'SC2'!$I:$I,$D24)</f>
        <v>0</v>
      </c>
      <c r="V24" s="446">
        <f>SUMIFS('SC2'!U:U,'SC2'!$I:$I,$D24)</f>
        <v>27968.937071928278</v>
      </c>
      <c r="W24" s="446">
        <f>SUMIFS('SC2'!V:V,'SC2'!$I:$I,$D24)</f>
        <v>35291.123098405282</v>
      </c>
      <c r="X24" s="446"/>
      <c r="Y24" s="446"/>
      <c r="Z24" s="446"/>
      <c r="AA24" s="446">
        <f>SUMIFS('SC2'!Z:Z,'SC2'!$I:$I,$D24)</f>
        <v>5537</v>
      </c>
      <c r="AB24" s="446"/>
      <c r="AC24" s="446">
        <f>SUMIFS('SC2'!AB:AB,'SC2'!$I:$I,$D24)</f>
        <v>921.46204086025386</v>
      </c>
      <c r="AD24" s="446">
        <f>SUMIFS('SC2'!AC:AC,'SC2'!$I:$I,$D24)</f>
        <v>0</v>
      </c>
      <c r="AE24" s="446">
        <f t="shared" si="16"/>
        <v>69718.522211193806</v>
      </c>
      <c r="AF24" s="446">
        <f t="shared" si="3"/>
        <v>63392.516194160467</v>
      </c>
      <c r="AH24" s="446">
        <f>SUMIFS('SC3'!S:S,'SC3'!$I:$I,$D24)</f>
        <v>0</v>
      </c>
      <c r="AI24" s="446">
        <f>SUMIFS('SC3'!T:T,'SC3'!$I:$I,$D24)</f>
        <v>0</v>
      </c>
      <c r="AJ24" s="446">
        <f>SUMIFS('SC3'!U:U,'SC3'!$I:$I,$D24)</f>
        <v>0</v>
      </c>
      <c r="AK24" s="446">
        <f>SUMIFS('SC3'!V:V,'SC3'!$I:$I,$D24)</f>
        <v>30691.165546584554</v>
      </c>
      <c r="AL24" s="446"/>
      <c r="AM24" s="446"/>
      <c r="AN24" s="446"/>
      <c r="AO24" s="446">
        <f>SUMIFS('SC3'!Z:Z,'SC3'!$I:$I,$D24)</f>
        <v>0</v>
      </c>
      <c r="AP24" s="446"/>
      <c r="AQ24" s="446">
        <f>SUMIFS('SC3'!AB:AB,'SC3'!$I:$I,$D24)</f>
        <v>0</v>
      </c>
      <c r="AR24" s="446">
        <f>SUMIFS('SC3'!AC:AC,'SC3'!$I:$I,$D24)</f>
        <v>34405.780023308922</v>
      </c>
      <c r="AS24" s="446">
        <f t="shared" si="17"/>
        <v>65096.945569893476</v>
      </c>
      <c r="AT24" s="446">
        <f t="shared" si="4"/>
        <v>53426.38400940779</v>
      </c>
      <c r="AV24" s="446" t="e">
        <f>SUMIFS('Op 1 - Convergence'!AN:AN,'Op 1 - Convergence'!$I:$I,$D24)</f>
        <v>#REF!</v>
      </c>
      <c r="AX24" s="446" t="e">
        <f>SUMIFS('Op 1 - Convergence'!AK:AK,'Op 1 - Convergence'!$I:$I,$D24)</f>
        <v>#REF!</v>
      </c>
      <c r="AY24" s="449" t="e">
        <f t="shared" si="18"/>
        <v>#REF!</v>
      </c>
      <c r="BA24" s="446">
        <f t="shared" si="5"/>
        <v>71794.554773082171</v>
      </c>
      <c r="BB24" s="446" t="e">
        <f t="shared" si="6"/>
        <v>#REF!</v>
      </c>
      <c r="BC24" s="446" t="e">
        <f t="shared" si="7"/>
        <v>#REF!</v>
      </c>
      <c r="BE24" s="446">
        <f t="shared" si="8"/>
        <v>69718.522211193806</v>
      </c>
      <c r="BF24" s="446" t="e">
        <f t="shared" si="9"/>
        <v>#REF!</v>
      </c>
      <c r="BG24" s="446" t="e">
        <f t="shared" si="10"/>
        <v>#REF!</v>
      </c>
      <c r="BI24" s="446">
        <f t="shared" si="11"/>
        <v>65096.945569893476</v>
      </c>
      <c r="BJ24" s="446" t="e">
        <f t="shared" si="12"/>
        <v>#REF!</v>
      </c>
      <c r="BK24" s="446" t="e">
        <f t="shared" si="13"/>
        <v>#REF!</v>
      </c>
      <c r="BM24" s="446" t="e">
        <f>SUMIFS('Op 1 - Convergence'!K:K,'Op 1 - Convergence'!$I:$I,$D24)</f>
        <v>#REF!</v>
      </c>
      <c r="BN24" s="446">
        <f>SUMIFS('Op 1 - Convergence'!L:L,'Op 1 - Convergence'!$I:$I,$D24)</f>
        <v>944926.6747170426</v>
      </c>
      <c r="BO24" s="446" t="e">
        <f>SUMIFS('Op 1 - Convergence'!M:M,'Op 1 - Convergence'!$I:$I,$D24)</f>
        <v>#REF!</v>
      </c>
      <c r="BP24" s="446" t="e">
        <f>SUMIFS('Op 1 - Convergence'!N:N,'Op 1 - Convergence'!$I:$I,$D24)</f>
        <v>#REF!</v>
      </c>
      <c r="BQ24" s="446">
        <f>SUMIFS('Op 1 - Convergence'!O:O,'Op 1 - Convergence'!$I:$I,$D24)</f>
        <v>44212.325282957405</v>
      </c>
      <c r="BR24" s="446" t="e">
        <f>SUMIFS('Op 1 - Convergence'!P:P,'Op 1 - Convergence'!$I:$I,$D24)</f>
        <v>#REF!</v>
      </c>
      <c r="BS24" s="449" t="e">
        <f t="shared" si="19"/>
        <v>#REF!</v>
      </c>
      <c r="BU24" s="446">
        <f t="shared" si="20"/>
        <v>71794.554773082171</v>
      </c>
      <c r="BV24" s="449" t="e">
        <f t="shared" si="14"/>
        <v>#REF!</v>
      </c>
      <c r="BX24" s="446">
        <f t="shared" si="21"/>
        <v>69718.522211193806</v>
      </c>
      <c r="BY24" s="449" t="e">
        <f t="shared" si="22"/>
        <v>#REF!</v>
      </c>
      <c r="CA24" s="446">
        <f t="shared" si="23"/>
        <v>65096.945569893476</v>
      </c>
      <c r="CB24" s="449" t="e">
        <f t="shared" si="24"/>
        <v>#REF!</v>
      </c>
    </row>
    <row r="25" spans="2:80" x14ac:dyDescent="0.25">
      <c r="B25" s="267" t="s">
        <v>98</v>
      </c>
      <c r="C25" s="268" t="s">
        <v>99</v>
      </c>
      <c r="D25" s="61" t="s">
        <v>108</v>
      </c>
      <c r="E25" s="231" t="s">
        <v>109</v>
      </c>
      <c r="F25" s="446">
        <f>SUMIFS('SC1'!S:S,'SC1'!$I:$I,$D25)</f>
        <v>4107.4960993641107</v>
      </c>
      <c r="G25" s="446">
        <f>SUMIFS('SC1'!T:T,'SC1'!$I:$I,$D25)</f>
        <v>0</v>
      </c>
      <c r="H25" s="446">
        <f>SUMIFS('SC1'!U:U,'SC1'!$I:$I,$D25)</f>
        <v>3384.5235607152499</v>
      </c>
      <c r="I25" s="446">
        <f>SUMIFS('SC1'!V:V,'SC1'!$I:$I,$D25)</f>
        <v>9063.7100669539486</v>
      </c>
      <c r="J25" s="446"/>
      <c r="K25" s="446"/>
      <c r="L25" s="446"/>
      <c r="M25" s="446">
        <f>SUMIFS('SC1'!Z:Z,'SC1'!$I:$I,$D25)</f>
        <v>704</v>
      </c>
      <c r="N25" s="446"/>
      <c r="O25" s="446">
        <f>SUMIFS('SC1'!AB:AB,'SC1'!$I:$I,$D25)</f>
        <v>111.25805786199423</v>
      </c>
      <c r="P25" s="446">
        <f>SUMIFS('SC1'!AC:AC,'SC1'!$I:$I,$D25)</f>
        <v>0</v>
      </c>
      <c r="Q25" s="446">
        <f t="shared" si="15"/>
        <v>17370.9877848953</v>
      </c>
      <c r="R25" s="446">
        <f t="shared" si="2"/>
        <v>16126.164422128384</v>
      </c>
      <c r="T25" s="446">
        <f>SUMIFS('SC2'!S:S,'SC2'!$I:$I,$D25)</f>
        <v>0</v>
      </c>
      <c r="U25" s="446">
        <f>SUMIFS('SC2'!T:T,'SC2'!$I:$I,$D25)</f>
        <v>0</v>
      </c>
      <c r="V25" s="446">
        <f>SUMIFS('SC2'!U:U,'SC2'!$I:$I,$D25)</f>
        <v>6750.4327893269228</v>
      </c>
      <c r="W25" s="446">
        <f>SUMIFS('SC2'!V:V,'SC2'!$I:$I,$D25)</f>
        <v>8517.6763751509734</v>
      </c>
      <c r="X25" s="446"/>
      <c r="Y25" s="446"/>
      <c r="Z25" s="446"/>
      <c r="AA25" s="446">
        <f>SUMIFS('SC2'!Z:Z,'SC2'!$I:$I,$D25)</f>
        <v>1408</v>
      </c>
      <c r="AB25" s="446"/>
      <c r="AC25" s="446">
        <f>SUMIFS('SC2'!AB:AB,'SC2'!$I:$I,$D25)</f>
        <v>222.39914083064278</v>
      </c>
      <c r="AD25" s="446">
        <f>SUMIFS('SC2'!AC:AC,'SC2'!$I:$I,$D25)</f>
        <v>0</v>
      </c>
      <c r="AE25" s="446">
        <f t="shared" si="16"/>
        <v>16898.50830530854</v>
      </c>
      <c r="AF25" s="446">
        <f t="shared" si="3"/>
        <v>15371.69738886075</v>
      </c>
      <c r="AH25" s="446">
        <f>SUMIFS('SC3'!S:S,'SC3'!$I:$I,$D25)</f>
        <v>0</v>
      </c>
      <c r="AI25" s="446">
        <f>SUMIFS('SC3'!T:T,'SC3'!$I:$I,$D25)</f>
        <v>0</v>
      </c>
      <c r="AJ25" s="446">
        <f>SUMIFS('SC3'!U:U,'SC3'!$I:$I,$D25)</f>
        <v>0</v>
      </c>
      <c r="AK25" s="446">
        <f>SUMIFS('SC3'!V:V,'SC3'!$I:$I,$D25)</f>
        <v>7407.4552678036935</v>
      </c>
      <c r="AL25" s="446"/>
      <c r="AM25" s="446"/>
      <c r="AN25" s="446"/>
      <c r="AO25" s="446">
        <f>SUMIFS('SC3'!Z:Z,'SC3'!$I:$I,$D25)</f>
        <v>0</v>
      </c>
      <c r="AP25" s="446"/>
      <c r="AQ25" s="446">
        <f>SUMIFS('SC3'!AB:AB,'SC3'!$I:$I,$D25)</f>
        <v>0</v>
      </c>
      <c r="AR25" s="446">
        <f>SUMIFS('SC3'!AC:AC,'SC3'!$I:$I,$D25)</f>
        <v>8303.9947143655027</v>
      </c>
      <c r="AS25" s="446">
        <f t="shared" si="17"/>
        <v>15711.449982169197</v>
      </c>
      <c r="AT25" s="446">
        <f t="shared" si="4"/>
        <v>12894.705776797451</v>
      </c>
      <c r="AV25" s="446" t="e">
        <f>SUMIFS('Op 1 - Convergence'!AN:AN,'Op 1 - Convergence'!$I:$I,$D25)</f>
        <v>#REF!</v>
      </c>
      <c r="AX25" s="446" t="e">
        <f>SUMIFS('Op 1 - Convergence'!AK:AK,'Op 1 - Convergence'!$I:$I,$D25)</f>
        <v>#REF!</v>
      </c>
      <c r="AY25" s="449" t="e">
        <f t="shared" si="18"/>
        <v>#REF!</v>
      </c>
      <c r="BA25" s="446">
        <f t="shared" si="5"/>
        <v>17370.9877848953</v>
      </c>
      <c r="BB25" s="446" t="e">
        <f t="shared" si="6"/>
        <v>#REF!</v>
      </c>
      <c r="BC25" s="446" t="e">
        <f t="shared" si="7"/>
        <v>#REF!</v>
      </c>
      <c r="BE25" s="446">
        <f t="shared" si="8"/>
        <v>16898.50830530854</v>
      </c>
      <c r="BF25" s="446" t="e">
        <f t="shared" si="9"/>
        <v>#REF!</v>
      </c>
      <c r="BG25" s="446" t="e">
        <f t="shared" si="10"/>
        <v>#REF!</v>
      </c>
      <c r="BI25" s="446">
        <f t="shared" si="11"/>
        <v>15711.449982169197</v>
      </c>
      <c r="BJ25" s="446" t="e">
        <f t="shared" si="12"/>
        <v>#REF!</v>
      </c>
      <c r="BK25" s="446" t="e">
        <f t="shared" si="13"/>
        <v>#REF!</v>
      </c>
      <c r="BM25" s="446" t="e">
        <f>SUMIFS('Op 1 - Convergence'!K:K,'Op 1 - Convergence'!$I:$I,$D25)</f>
        <v>#REF!</v>
      </c>
      <c r="BN25" s="446">
        <f>SUMIFS('Op 1 - Convergence'!L:L,'Op 1 - Convergence'!$I:$I,$D25)</f>
        <v>239578.45737310644</v>
      </c>
      <c r="BO25" s="446" t="e">
        <f>SUMIFS('Op 1 - Convergence'!M:M,'Op 1 - Convergence'!$I:$I,$D25)</f>
        <v>#REF!</v>
      </c>
      <c r="BP25" s="446" t="e">
        <f>SUMIFS('Op 1 - Convergence'!N:N,'Op 1 - Convergence'!$I:$I,$D25)</f>
        <v>#REF!</v>
      </c>
      <c r="BQ25" s="446">
        <f>SUMIFS('Op 1 - Convergence'!O:O,'Op 1 - Convergence'!$I:$I,$D25)</f>
        <v>11861.542626893555</v>
      </c>
      <c r="BR25" s="446" t="e">
        <f>SUMIFS('Op 1 - Convergence'!P:P,'Op 1 - Convergence'!$I:$I,$D25)</f>
        <v>#REF!</v>
      </c>
      <c r="BS25" s="449" t="e">
        <f t="shared" si="19"/>
        <v>#REF!</v>
      </c>
      <c r="BU25" s="446">
        <f t="shared" si="20"/>
        <v>17370.9877848953</v>
      </c>
      <c r="BV25" s="449" t="e">
        <f t="shared" si="14"/>
        <v>#REF!</v>
      </c>
      <c r="BX25" s="446">
        <f t="shared" si="21"/>
        <v>16898.50830530854</v>
      </c>
      <c r="BY25" s="449" t="e">
        <f t="shared" si="22"/>
        <v>#REF!</v>
      </c>
      <c r="CA25" s="446">
        <f t="shared" si="23"/>
        <v>15711.449982169197</v>
      </c>
      <c r="CB25" s="449" t="e">
        <f t="shared" si="24"/>
        <v>#REF!</v>
      </c>
    </row>
    <row r="26" spans="2:80" x14ac:dyDescent="0.25">
      <c r="B26" s="267" t="s">
        <v>72</v>
      </c>
      <c r="C26" s="268" t="s">
        <v>73</v>
      </c>
      <c r="D26" s="61" t="s">
        <v>76</v>
      </c>
      <c r="E26" s="231" t="s">
        <v>77</v>
      </c>
      <c r="F26" s="446">
        <f>SUMIFS('SC1'!S:S,'SC1'!$I:$I,$D26)</f>
        <v>8379.1076499135015</v>
      </c>
      <c r="G26" s="446">
        <f>SUMIFS('SC1'!T:T,'SC1'!$I:$I,$D26)</f>
        <v>0</v>
      </c>
      <c r="H26" s="446">
        <f>SUMIFS('SC1'!U:U,'SC1'!$I:$I,$D26)</f>
        <v>8571.2755771826542</v>
      </c>
      <c r="I26" s="446">
        <f>SUMIFS('SC1'!V:V,'SC1'!$I:$I,$D26)</f>
        <v>22953.76449355526</v>
      </c>
      <c r="J26" s="446"/>
      <c r="K26" s="446"/>
      <c r="L26" s="446"/>
      <c r="M26" s="446">
        <f>SUMIFS('SC1'!Z:Z,'SC1'!$I:$I,$D26)</f>
        <v>6.6550185088999569E-2</v>
      </c>
      <c r="N26" s="446"/>
      <c r="O26" s="446">
        <f>SUMIFS('SC1'!AB:AB,'SC1'!$I:$I,$D26)</f>
        <v>281.76003417029159</v>
      </c>
      <c r="P26" s="446">
        <f>SUMIFS('SC1'!AC:AC,'SC1'!$I:$I,$D26)</f>
        <v>0</v>
      </c>
      <c r="Q26" s="446">
        <f t="shared" si="15"/>
        <v>40185.974305006799</v>
      </c>
      <c r="R26" s="446">
        <f t="shared" si="2"/>
        <v>37033.470297933003</v>
      </c>
      <c r="T26" s="446">
        <f>SUMIFS('SC2'!S:S,'SC2'!$I:$I,$D26)</f>
        <v>0</v>
      </c>
      <c r="U26" s="446">
        <f>SUMIFS('SC2'!T:T,'SC2'!$I:$I,$D26)</f>
        <v>0</v>
      </c>
      <c r="V26" s="446">
        <f>SUMIFS('SC2'!U:U,'SC2'!$I:$I,$D26)</f>
        <v>17104.624742142467</v>
      </c>
      <c r="W26" s="446">
        <f>SUMIFS('SC2'!V:V,'SC2'!$I:$I,$D26)</f>
        <v>21582.565535993795</v>
      </c>
      <c r="X26" s="446"/>
      <c r="Y26" s="446"/>
      <c r="Z26" s="446"/>
      <c r="AA26" s="446">
        <f>SUMIFS('SC2'!Z:Z,'SC2'!$I:$I,$D26)</f>
        <v>-2.581419690977782E-2</v>
      </c>
      <c r="AB26" s="446"/>
      <c r="AC26" s="446">
        <f>SUMIFS('SC2'!AB:AB,'SC2'!$I:$I,$D26)</f>
        <v>563.52740122049818</v>
      </c>
      <c r="AD26" s="446">
        <f>SUMIFS('SC2'!AC:AC,'SC2'!$I:$I,$D26)</f>
        <v>0</v>
      </c>
      <c r="AE26" s="446">
        <f t="shared" si="16"/>
        <v>39250.691865159846</v>
      </c>
      <c r="AF26" s="446">
        <f t="shared" si="3"/>
        <v>35381.972837346228</v>
      </c>
      <c r="AH26" s="446">
        <f>SUMIFS('SC3'!S:S,'SC3'!$I:$I,$D26)</f>
        <v>0</v>
      </c>
      <c r="AI26" s="446">
        <f>SUMIFS('SC3'!T:T,'SC3'!$I:$I,$D26)</f>
        <v>0</v>
      </c>
      <c r="AJ26" s="446">
        <f>SUMIFS('SC3'!U:U,'SC3'!$I:$I,$D26)</f>
        <v>0</v>
      </c>
      <c r="AK26" s="446">
        <f>SUMIFS('SC3'!V:V,'SC3'!$I:$I,$D26)</f>
        <v>18769.425102686171</v>
      </c>
      <c r="AL26" s="446"/>
      <c r="AM26" s="446"/>
      <c r="AN26" s="446"/>
      <c r="AO26" s="446">
        <f>SUMIFS('SC3'!Z:Z,'SC3'!$I:$I,$D26)</f>
        <v>0</v>
      </c>
      <c r="AP26" s="446"/>
      <c r="AQ26" s="446">
        <f>SUMIFS('SC3'!AB:AB,'SC3'!$I:$I,$D26)</f>
        <v>0</v>
      </c>
      <c r="AR26" s="446">
        <f>SUMIFS('SC3'!AC:AC,'SC3'!$I:$I,$D26)</f>
        <v>21041.126974040835</v>
      </c>
      <c r="AS26" s="446">
        <f t="shared" si="17"/>
        <v>39810.552076727006</v>
      </c>
      <c r="AT26" s="446">
        <f t="shared" si="4"/>
        <v>32673.32782294818</v>
      </c>
      <c r="AV26" s="446" t="e">
        <f>SUMIFS('Op 1 - Convergence'!AN:AN,'Op 1 - Convergence'!$I:$I,$D26)</f>
        <v>#REF!</v>
      </c>
      <c r="AX26" s="446" t="e">
        <f>SUMIFS('Op 1 - Convergence'!AK:AK,'Op 1 - Convergence'!$I:$I,$D26)</f>
        <v>#REF!</v>
      </c>
      <c r="AY26" s="449" t="e">
        <f t="shared" si="18"/>
        <v>#REF!</v>
      </c>
      <c r="BA26" s="446">
        <f t="shared" si="5"/>
        <v>40185.974305006799</v>
      </c>
      <c r="BB26" s="446" t="e">
        <f t="shared" si="6"/>
        <v>#REF!</v>
      </c>
      <c r="BC26" s="446" t="e">
        <f t="shared" si="7"/>
        <v>#REF!</v>
      </c>
      <c r="BE26" s="446">
        <f t="shared" si="8"/>
        <v>39250.691865159846</v>
      </c>
      <c r="BF26" s="446" t="e">
        <f t="shared" si="9"/>
        <v>#REF!</v>
      </c>
      <c r="BG26" s="446" t="e">
        <f t="shared" si="10"/>
        <v>#REF!</v>
      </c>
      <c r="BI26" s="446">
        <f t="shared" si="11"/>
        <v>39810.552076727006</v>
      </c>
      <c r="BJ26" s="446" t="e">
        <f t="shared" si="12"/>
        <v>#REF!</v>
      </c>
      <c r="BK26" s="446" t="e">
        <f t="shared" si="13"/>
        <v>#REF!</v>
      </c>
      <c r="BM26" s="446" t="e">
        <f>SUMIFS('Op 1 - Convergence'!K:K,'Op 1 - Convergence'!$I:$I,$D26)</f>
        <v>#REF!</v>
      </c>
      <c r="BN26" s="446">
        <f>SUMIFS('Op 1 - Convergence'!L:L,'Op 1 - Convergence'!$I:$I,$D26)</f>
        <v>777476.70508266648</v>
      </c>
      <c r="BO26" s="446" t="e">
        <f>SUMIFS('Op 1 - Convergence'!M:M,'Op 1 - Convergence'!$I:$I,$D26)</f>
        <v>#REF!</v>
      </c>
      <c r="BP26" s="446" t="e">
        <f>SUMIFS('Op 1 - Convergence'!N:N,'Op 1 - Convergence'!$I:$I,$D26)</f>
        <v>#REF!</v>
      </c>
      <c r="BQ26" s="446">
        <f>SUMIFS('Op 1 - Convergence'!O:O,'Op 1 - Convergence'!$I:$I,$D26)</f>
        <v>26323.760043796501</v>
      </c>
      <c r="BR26" s="446" t="e">
        <f>SUMIFS('Op 1 - Convergence'!P:P,'Op 1 - Convergence'!$I:$I,$D26)</f>
        <v>#REF!</v>
      </c>
      <c r="BS26" s="449" t="e">
        <f t="shared" si="19"/>
        <v>#REF!</v>
      </c>
      <c r="BU26" s="446">
        <f t="shared" si="20"/>
        <v>40185.974305006799</v>
      </c>
      <c r="BV26" s="449" t="e">
        <f t="shared" si="14"/>
        <v>#REF!</v>
      </c>
      <c r="BX26" s="446">
        <f t="shared" si="21"/>
        <v>39250.691865159846</v>
      </c>
      <c r="BY26" s="449" t="e">
        <f t="shared" si="22"/>
        <v>#REF!</v>
      </c>
      <c r="CA26" s="446">
        <f t="shared" si="23"/>
        <v>39810.552076727006</v>
      </c>
      <c r="CB26" s="449" t="e">
        <f t="shared" si="24"/>
        <v>#REF!</v>
      </c>
    </row>
    <row r="27" spans="2:80" x14ac:dyDescent="0.25">
      <c r="B27" s="266" t="s">
        <v>17</v>
      </c>
      <c r="C27" s="61" t="s">
        <v>18</v>
      </c>
      <c r="D27" s="61" t="s">
        <v>19</v>
      </c>
      <c r="E27" s="231" t="s">
        <v>20</v>
      </c>
      <c r="F27" s="446">
        <f>SUMIFS('SC1'!S:S,'SC1'!$I:$I,$D27)</f>
        <v>7533.3713450871073</v>
      </c>
      <c r="G27" s="446">
        <f>SUMIFS('SC1'!T:T,'SC1'!$I:$I,$D27)</f>
        <v>0</v>
      </c>
      <c r="H27" s="446">
        <f>SUMIFS('SC1'!U:U,'SC1'!$I:$I,$D27)</f>
        <v>7117.8586285073825</v>
      </c>
      <c r="I27" s="446">
        <f>SUMIFS('SC1'!V:V,'SC1'!$I:$I,$D27)</f>
        <v>19061.53281223536</v>
      </c>
      <c r="J27" s="446"/>
      <c r="K27" s="446"/>
      <c r="L27" s="446"/>
      <c r="M27" s="446">
        <f>SUMIFS('SC1'!Z:Z,'SC1'!$I:$I,$D27)</f>
        <v>1520</v>
      </c>
      <c r="N27" s="446"/>
      <c r="O27" s="446">
        <f>SUMIFS('SC1'!AB:AB,'SC1'!$I:$I,$D27)</f>
        <v>233.98245364160306</v>
      </c>
      <c r="P27" s="446">
        <f>SUMIFS('SC1'!AC:AC,'SC1'!$I:$I,$D27)</f>
        <v>0</v>
      </c>
      <c r="Q27" s="446">
        <f t="shared" si="15"/>
        <v>35466.745239471456</v>
      </c>
      <c r="R27" s="446">
        <f t="shared" si="2"/>
        <v>32848.80609539718</v>
      </c>
      <c r="T27" s="446">
        <f>SUMIFS('SC2'!S:S,'SC2'!$I:$I,$D27)</f>
        <v>0</v>
      </c>
      <c r="U27" s="446">
        <f>SUMIFS('SC2'!T:T,'SC2'!$I:$I,$D27)</f>
        <v>0</v>
      </c>
      <c r="V27" s="446">
        <f>SUMIFS('SC2'!U:U,'SC2'!$I:$I,$D27)</f>
        <v>14201.55374579813</v>
      </c>
      <c r="W27" s="446">
        <f>SUMIFS('SC2'!V:V,'SC2'!$I:$I,$D27)</f>
        <v>17919.479032852163</v>
      </c>
      <c r="X27" s="446"/>
      <c r="Y27" s="446"/>
      <c r="Z27" s="446"/>
      <c r="AA27" s="446">
        <f>SUMIFS('SC2'!Z:Z,'SC2'!$I:$I,$D27)</f>
        <v>3041</v>
      </c>
      <c r="AB27" s="446"/>
      <c r="AC27" s="446">
        <f>SUMIFS('SC2'!AB:AB,'SC2'!$I:$I,$D27)</f>
        <v>467.88308988417049</v>
      </c>
      <c r="AD27" s="446">
        <f>SUMIFS('SC2'!AC:AC,'SC2'!$I:$I,$D27)</f>
        <v>0</v>
      </c>
      <c r="AE27" s="446">
        <f t="shared" si="16"/>
        <v>35629.915868534459</v>
      </c>
      <c r="AF27" s="446">
        <f t="shared" si="3"/>
        <v>32417.812590669433</v>
      </c>
      <c r="AH27" s="446">
        <f>SUMIFS('SC3'!S:S,'SC3'!$I:$I,$D27)</f>
        <v>0</v>
      </c>
      <c r="AI27" s="446">
        <f>SUMIFS('SC3'!T:T,'SC3'!$I:$I,$D27)</f>
        <v>0</v>
      </c>
      <c r="AJ27" s="446">
        <f>SUMIFS('SC3'!U:U,'SC3'!$I:$I,$D27)</f>
        <v>0</v>
      </c>
      <c r="AK27" s="446">
        <f>SUMIFS('SC3'!V:V,'SC3'!$I:$I,$D27)</f>
        <v>15583.79697841547</v>
      </c>
      <c r="AL27" s="446"/>
      <c r="AM27" s="446"/>
      <c r="AN27" s="446"/>
      <c r="AO27" s="446">
        <f>SUMIFS('SC3'!Z:Z,'SC3'!$I:$I,$D27)</f>
        <v>0</v>
      </c>
      <c r="AP27" s="446"/>
      <c r="AQ27" s="446">
        <f>SUMIFS('SC3'!AB:AB,'SC3'!$I:$I,$D27)</f>
        <v>0</v>
      </c>
      <c r="AR27" s="446">
        <f>SUMIFS('SC3'!AC:AC,'SC3'!$I:$I,$D27)</f>
        <v>17469.935768761854</v>
      </c>
      <c r="AS27" s="446">
        <f t="shared" si="17"/>
        <v>33053.732747177324</v>
      </c>
      <c r="AT27" s="446">
        <f t="shared" si="4"/>
        <v>27127.869107145314</v>
      </c>
      <c r="AV27" s="446" t="e">
        <f>SUMIFS('Op 1 - Convergence'!AN:AN,'Op 1 - Convergence'!$I:$I,$D27)</f>
        <v>#REF!</v>
      </c>
      <c r="AX27" s="446" t="e">
        <f>SUMIFS('Op 1 - Convergence'!AK:AK,'Op 1 - Convergence'!$I:$I,$D27)</f>
        <v>#REF!</v>
      </c>
      <c r="AY27" s="449" t="e">
        <f t="shared" si="18"/>
        <v>#REF!</v>
      </c>
      <c r="BA27" s="446">
        <f t="shared" si="5"/>
        <v>35466.745239471456</v>
      </c>
      <c r="BB27" s="446" t="e">
        <f t="shared" si="6"/>
        <v>#REF!</v>
      </c>
      <c r="BC27" s="446" t="e">
        <f t="shared" si="7"/>
        <v>#REF!</v>
      </c>
      <c r="BE27" s="446">
        <f t="shared" si="8"/>
        <v>35629.915868534459</v>
      </c>
      <c r="BF27" s="446" t="e">
        <f t="shared" si="9"/>
        <v>#REF!</v>
      </c>
      <c r="BG27" s="446" t="e">
        <f t="shared" si="10"/>
        <v>#REF!</v>
      </c>
      <c r="BI27" s="446">
        <f t="shared" si="11"/>
        <v>33053.732747177324</v>
      </c>
      <c r="BJ27" s="446" t="e">
        <f t="shared" si="12"/>
        <v>#REF!</v>
      </c>
      <c r="BK27" s="446" t="e">
        <f t="shared" si="13"/>
        <v>#REF!</v>
      </c>
      <c r="BM27" s="446" t="e">
        <f>SUMIFS('Op 1 - Convergence'!K:K,'Op 1 - Convergence'!$I:$I,$D27)</f>
        <v>#REF!</v>
      </c>
      <c r="BN27" s="446">
        <f>SUMIFS('Op 1 - Convergence'!L:L,'Op 1 - Convergence'!$I:$I,$D27)</f>
        <v>518473.07957153779</v>
      </c>
      <c r="BO27" s="446" t="e">
        <f>SUMIFS('Op 1 - Convergence'!M:M,'Op 1 - Convergence'!$I:$I,$D27)</f>
        <v>#REF!</v>
      </c>
      <c r="BP27" s="446" t="e">
        <f>SUMIFS('Op 1 - Convergence'!N:N,'Op 1 - Convergence'!$I:$I,$D27)</f>
        <v>#REF!</v>
      </c>
      <c r="BQ27" s="446">
        <f>SUMIFS('Op 1 - Convergence'!O:O,'Op 1 - Convergence'!$I:$I,$D27)</f>
        <v>24835.92042846221</v>
      </c>
      <c r="BR27" s="446" t="e">
        <f>SUMIFS('Op 1 - Convergence'!P:P,'Op 1 - Convergence'!$I:$I,$D27)</f>
        <v>#REF!</v>
      </c>
      <c r="BS27" s="449" t="e">
        <f t="shared" si="19"/>
        <v>#REF!</v>
      </c>
      <c r="BU27" s="446">
        <f t="shared" si="20"/>
        <v>35466.745239471456</v>
      </c>
      <c r="BV27" s="449" t="e">
        <f t="shared" si="14"/>
        <v>#REF!</v>
      </c>
      <c r="BX27" s="446">
        <f t="shared" si="21"/>
        <v>35629.915868534459</v>
      </c>
      <c r="BY27" s="449" t="e">
        <f t="shared" si="22"/>
        <v>#REF!</v>
      </c>
      <c r="CA27" s="446">
        <f t="shared" si="23"/>
        <v>33053.732747177324</v>
      </c>
      <c r="CB27" s="449" t="e">
        <f t="shared" si="24"/>
        <v>#REF!</v>
      </c>
    </row>
    <row r="28" spans="2:80" x14ac:dyDescent="0.25">
      <c r="B28" s="267" t="s">
        <v>34</v>
      </c>
      <c r="C28" s="268" t="s">
        <v>35</v>
      </c>
      <c r="D28" s="61" t="s">
        <v>48</v>
      </c>
      <c r="E28" s="231" t="s">
        <v>49</v>
      </c>
      <c r="F28" s="446">
        <f>SUMIFS('SC1'!S:S,'SC1'!$I:$I,$D28)</f>
        <v>4058.5105424144276</v>
      </c>
      <c r="G28" s="446">
        <f>SUMIFS('SC1'!T:T,'SC1'!$I:$I,$D28)</f>
        <v>0</v>
      </c>
      <c r="H28" s="446">
        <f>SUMIFS('SC1'!U:U,'SC1'!$I:$I,$D28)</f>
        <v>3335.764861812303</v>
      </c>
      <c r="I28" s="446">
        <f>SUMIFS('SC1'!V:V,'SC1'!$I:$I,$D28)</f>
        <v>8933.1349055847604</v>
      </c>
      <c r="J28" s="446"/>
      <c r="K28" s="446"/>
      <c r="L28" s="446"/>
      <c r="M28" s="446">
        <f>SUMIFS('SC1'!Z:Z,'SC1'!$I:$I,$D28)</f>
        <v>719</v>
      </c>
      <c r="N28" s="446"/>
      <c r="O28" s="446">
        <f>SUMIFS('SC1'!AB:AB,'SC1'!$I:$I,$D28)</f>
        <v>109.65523310793247</v>
      </c>
      <c r="P28" s="446">
        <f>SUMIFS('SC1'!AC:AC,'SC1'!$I:$I,$D28)</f>
        <v>0</v>
      </c>
      <c r="Q28" s="446">
        <f t="shared" si="15"/>
        <v>17156.065542919423</v>
      </c>
      <c r="R28" s="446">
        <f t="shared" si="2"/>
        <v>15929.175566179718</v>
      </c>
      <c r="T28" s="446">
        <f>SUMIFS('SC2'!S:S,'SC2'!$I:$I,$D28)</f>
        <v>0</v>
      </c>
      <c r="U28" s="446">
        <f>SUMIFS('SC2'!T:T,'SC2'!$I:$I,$D28)</f>
        <v>0</v>
      </c>
      <c r="V28" s="446">
        <f>SUMIFS('SC2'!U:U,'SC2'!$I:$I,$D28)</f>
        <v>6653.1835564777903</v>
      </c>
      <c r="W28" s="446">
        <f>SUMIFS('SC2'!V:V,'SC2'!$I:$I,$D28)</f>
        <v>8394.9675772128194</v>
      </c>
      <c r="X28" s="446"/>
      <c r="Y28" s="446"/>
      <c r="Z28" s="446"/>
      <c r="AA28" s="446">
        <f>SUMIFS('SC2'!Z:Z,'SC2'!$I:$I,$D28)</f>
        <v>1438</v>
      </c>
      <c r="AB28" s="446"/>
      <c r="AC28" s="446">
        <f>SUMIFS('SC2'!AB:AB,'SC2'!$I:$I,$D28)</f>
        <v>219.1951765061209</v>
      </c>
      <c r="AD28" s="446">
        <f>SUMIFS('SC2'!AC:AC,'SC2'!$I:$I,$D28)</f>
        <v>0</v>
      </c>
      <c r="AE28" s="446">
        <f t="shared" si="16"/>
        <v>16705.346310196732</v>
      </c>
      <c r="AF28" s="446">
        <f t="shared" si="3"/>
        <v>15200.531196827669</v>
      </c>
      <c r="AH28" s="446">
        <f>SUMIFS('SC3'!S:S,'SC3'!$I:$I,$D28)</f>
        <v>0</v>
      </c>
      <c r="AI28" s="446">
        <f>SUMIFS('SC3'!T:T,'SC3'!$I:$I,$D28)</f>
        <v>0</v>
      </c>
      <c r="AJ28" s="446">
        <f>SUMIFS('SC3'!U:U,'SC3'!$I:$I,$D28)</f>
        <v>0</v>
      </c>
      <c r="AK28" s="446">
        <f>SUMIFS('SC3'!V:V,'SC3'!$I:$I,$D28)</f>
        <v>7300.7407259898482</v>
      </c>
      <c r="AL28" s="446"/>
      <c r="AM28" s="446"/>
      <c r="AN28" s="446"/>
      <c r="AO28" s="446">
        <f>SUMIFS('SC3'!Z:Z,'SC3'!$I:$I,$D28)</f>
        <v>0</v>
      </c>
      <c r="AP28" s="446"/>
      <c r="AQ28" s="446">
        <f>SUMIFS('SC3'!AB:AB,'SC3'!$I:$I,$D28)</f>
        <v>0</v>
      </c>
      <c r="AR28" s="446">
        <f>SUMIFS('SC3'!AC:AC,'SC3'!$I:$I,$D28)</f>
        <v>8184.3642935083208</v>
      </c>
      <c r="AS28" s="446">
        <f t="shared" si="17"/>
        <v>15485.105019498169</v>
      </c>
      <c r="AT28" s="446">
        <f t="shared" si="4"/>
        <v>12708.939873522104</v>
      </c>
      <c r="AV28" s="446" t="e">
        <f>SUMIFS('Op 1 - Convergence'!AN:AN,'Op 1 - Convergence'!$I:$I,$D28)</f>
        <v>#REF!</v>
      </c>
      <c r="AX28" s="446" t="e">
        <f>SUMIFS('Op 1 - Convergence'!AK:AK,'Op 1 - Convergence'!$I:$I,$D28)</f>
        <v>#REF!</v>
      </c>
      <c r="AY28" s="449" t="e">
        <f t="shared" si="18"/>
        <v>#REF!</v>
      </c>
      <c r="BA28" s="446">
        <f t="shared" si="5"/>
        <v>17156.065542919423</v>
      </c>
      <c r="BB28" s="446" t="e">
        <f t="shared" si="6"/>
        <v>#REF!</v>
      </c>
      <c r="BC28" s="446" t="e">
        <f t="shared" si="7"/>
        <v>#REF!</v>
      </c>
      <c r="BE28" s="446">
        <f t="shared" si="8"/>
        <v>16705.346310196732</v>
      </c>
      <c r="BF28" s="446" t="e">
        <f t="shared" si="9"/>
        <v>#REF!</v>
      </c>
      <c r="BG28" s="446" t="e">
        <f t="shared" si="10"/>
        <v>#REF!</v>
      </c>
      <c r="BI28" s="446">
        <f t="shared" si="11"/>
        <v>15485.105019498169</v>
      </c>
      <c r="BJ28" s="446" t="e">
        <f t="shared" si="12"/>
        <v>#REF!</v>
      </c>
      <c r="BK28" s="446" t="e">
        <f t="shared" si="13"/>
        <v>#REF!</v>
      </c>
      <c r="BM28" s="446" t="e">
        <f>SUMIFS('Op 1 - Convergence'!K:K,'Op 1 - Convergence'!$I:$I,$D28)</f>
        <v>#REF!</v>
      </c>
      <c r="BN28" s="446">
        <f>SUMIFS('Op 1 - Convergence'!L:L,'Op 1 - Convergence'!$I:$I,$D28)</f>
        <v>244617.26023720729</v>
      </c>
      <c r="BO28" s="446" t="e">
        <f>SUMIFS('Op 1 - Convergence'!M:M,'Op 1 - Convergence'!$I:$I,$D28)</f>
        <v>#REF!</v>
      </c>
      <c r="BP28" s="446" t="e">
        <f>SUMIFS('Op 1 - Convergence'!N:N,'Op 1 - Convergence'!$I:$I,$D28)</f>
        <v>#REF!</v>
      </c>
      <c r="BQ28" s="446">
        <f>SUMIFS('Op 1 - Convergence'!O:O,'Op 1 - Convergence'!$I:$I,$D28)</f>
        <v>12182.739762792713</v>
      </c>
      <c r="BR28" s="446" t="e">
        <f>SUMIFS('Op 1 - Convergence'!P:P,'Op 1 - Convergence'!$I:$I,$D28)</f>
        <v>#REF!</v>
      </c>
      <c r="BS28" s="449" t="e">
        <f t="shared" si="19"/>
        <v>#REF!</v>
      </c>
      <c r="BU28" s="446">
        <f t="shared" si="20"/>
        <v>17156.065542919423</v>
      </c>
      <c r="BV28" s="449" t="e">
        <f t="shared" si="14"/>
        <v>#REF!</v>
      </c>
      <c r="BX28" s="446">
        <f t="shared" si="21"/>
        <v>16705.346310196732</v>
      </c>
      <c r="BY28" s="449" t="e">
        <f t="shared" si="22"/>
        <v>#REF!</v>
      </c>
      <c r="CA28" s="446">
        <f t="shared" si="23"/>
        <v>15485.105019498169</v>
      </c>
      <c r="CB28" s="449" t="e">
        <f t="shared" si="24"/>
        <v>#REF!</v>
      </c>
    </row>
    <row r="29" spans="2:80" x14ac:dyDescent="0.25">
      <c r="B29" s="267" t="s">
        <v>84</v>
      </c>
      <c r="C29" s="268" t="s">
        <v>85</v>
      </c>
      <c r="D29" s="61" t="s">
        <v>88</v>
      </c>
      <c r="E29" s="231" t="s">
        <v>89</v>
      </c>
      <c r="F29" s="446">
        <f>SUMIFS('SC1'!S:S,'SC1'!$I:$I,$D29)</f>
        <v>3468.677938954439</v>
      </c>
      <c r="G29" s="446">
        <f>SUMIFS('SC1'!T:T,'SC1'!$I:$I,$D29)</f>
        <v>0</v>
      </c>
      <c r="H29" s="446">
        <f>SUMIFS('SC1'!U:U,'SC1'!$I:$I,$D29)</f>
        <v>2860.5052265662925</v>
      </c>
      <c r="I29" s="446">
        <f>SUMIFS('SC1'!V:V,'SC1'!$I:$I,$D29)</f>
        <v>7660.3957849607032</v>
      </c>
      <c r="J29" s="446"/>
      <c r="K29" s="446"/>
      <c r="L29" s="446"/>
      <c r="M29" s="446">
        <f>SUMIFS('SC1'!Z:Z,'SC1'!$I:$I,$D29)</f>
        <v>655</v>
      </c>
      <c r="N29" s="446"/>
      <c r="O29" s="446">
        <f>SUMIFS('SC1'!AB:AB,'SC1'!$I:$I,$D29)</f>
        <v>94.032217623148398</v>
      </c>
      <c r="P29" s="446">
        <f>SUMIFS('SC1'!AC:AC,'SC1'!$I:$I,$D29)</f>
        <v>0</v>
      </c>
      <c r="Q29" s="446">
        <f t="shared" si="15"/>
        <v>14738.611168104582</v>
      </c>
      <c r="R29" s="446">
        <f t="shared" si="2"/>
        <v>13686.521066951884</v>
      </c>
      <c r="T29" s="446">
        <f>SUMIFS('SC2'!S:S,'SC2'!$I:$I,$D29)</f>
        <v>0</v>
      </c>
      <c r="U29" s="446">
        <f>SUMIFS('SC2'!T:T,'SC2'!$I:$I,$D29)</f>
        <v>0</v>
      </c>
      <c r="V29" s="446">
        <f>SUMIFS('SC2'!U:U,'SC2'!$I:$I,$D29)</f>
        <v>5705.2781371016481</v>
      </c>
      <c r="W29" s="446">
        <f>SUMIFS('SC2'!V:V,'SC2'!$I:$I,$D29)</f>
        <v>7198.9032879329625</v>
      </c>
      <c r="X29" s="446"/>
      <c r="Y29" s="446"/>
      <c r="Z29" s="446"/>
      <c r="AA29" s="446">
        <f>SUMIFS('SC2'!Z:Z,'SC2'!$I:$I,$D29)</f>
        <v>1309.0000000000291</v>
      </c>
      <c r="AB29" s="446"/>
      <c r="AC29" s="446">
        <f>SUMIFS('SC2'!AB:AB,'SC2'!$I:$I,$D29)</f>
        <v>187.96557131824611</v>
      </c>
      <c r="AD29" s="446">
        <f>SUMIFS('SC2'!AC:AC,'SC2'!$I:$I,$D29)</f>
        <v>0</v>
      </c>
      <c r="AE29" s="446">
        <f t="shared" si="16"/>
        <v>14401.146996352885</v>
      </c>
      <c r="AF29" s="446">
        <f t="shared" si="3"/>
        <v>13110.728853849423</v>
      </c>
      <c r="AH29" s="446">
        <f>SUMIFS('SC3'!S:S,'SC3'!$I:$I,$D29)</f>
        <v>0</v>
      </c>
      <c r="AI29" s="446">
        <f>SUMIFS('SC3'!T:T,'SC3'!$I:$I,$D29)</f>
        <v>0</v>
      </c>
      <c r="AJ29" s="446">
        <f>SUMIFS('SC3'!U:U,'SC3'!$I:$I,$D29)</f>
        <v>0</v>
      </c>
      <c r="AK29" s="446">
        <f>SUMIFS('SC3'!V:V,'SC3'!$I:$I,$D29)</f>
        <v>6260.5752712297863</v>
      </c>
      <c r="AL29" s="446"/>
      <c r="AM29" s="446"/>
      <c r="AN29" s="446"/>
      <c r="AO29" s="446">
        <f>SUMIFS('SC3'!Z:Z,'SC3'!$I:$I,$D29)</f>
        <v>0</v>
      </c>
      <c r="AP29" s="446"/>
      <c r="AQ29" s="446">
        <f>SUMIFS('SC3'!AB:AB,'SC3'!$I:$I,$D29)</f>
        <v>0</v>
      </c>
      <c r="AR29" s="446">
        <f>SUMIFS('SC3'!AC:AC,'SC3'!$I:$I,$D29)</f>
        <v>7018.3054884101748</v>
      </c>
      <c r="AS29" s="446">
        <f t="shared" si="17"/>
        <v>13278.88075963996</v>
      </c>
      <c r="AT29" s="446">
        <f t="shared" si="4"/>
        <v>10898.24686041444</v>
      </c>
      <c r="AV29" s="446" t="e">
        <f>SUMIFS('Op 1 - Convergence'!AN:AN,'Op 1 - Convergence'!$I:$I,$D29)</f>
        <v>#REF!</v>
      </c>
      <c r="AX29" s="446" t="e">
        <f>SUMIFS('Op 1 - Convergence'!AK:AK,'Op 1 - Convergence'!$I:$I,$D29)</f>
        <v>#REF!</v>
      </c>
      <c r="AY29" s="449" t="e">
        <f t="shared" si="18"/>
        <v>#REF!</v>
      </c>
      <c r="BA29" s="446">
        <f t="shared" si="5"/>
        <v>14738.611168104582</v>
      </c>
      <c r="BB29" s="446" t="e">
        <f t="shared" si="6"/>
        <v>#REF!</v>
      </c>
      <c r="BC29" s="446" t="e">
        <f t="shared" si="7"/>
        <v>#REF!</v>
      </c>
      <c r="BE29" s="446">
        <f t="shared" si="8"/>
        <v>14401.146996352885</v>
      </c>
      <c r="BF29" s="446" t="e">
        <f t="shared" si="9"/>
        <v>#REF!</v>
      </c>
      <c r="BG29" s="446" t="e">
        <f t="shared" si="10"/>
        <v>#REF!</v>
      </c>
      <c r="BI29" s="446">
        <f t="shared" si="11"/>
        <v>13278.88075963996</v>
      </c>
      <c r="BJ29" s="446" t="e">
        <f t="shared" si="12"/>
        <v>#REF!</v>
      </c>
      <c r="BK29" s="446" t="e">
        <f t="shared" si="13"/>
        <v>#REF!</v>
      </c>
      <c r="BM29" s="446" t="e">
        <f>SUMIFS('Op 1 - Convergence'!K:K,'Op 1 - Convergence'!$I:$I,$D29)</f>
        <v>#REF!</v>
      </c>
      <c r="BN29" s="446">
        <f>SUMIFS('Op 1 - Convergence'!L:L,'Op 1 - Convergence'!$I:$I,$D29)</f>
        <v>223162.47777478211</v>
      </c>
      <c r="BO29" s="446" t="e">
        <f>SUMIFS('Op 1 - Convergence'!M:M,'Op 1 - Convergence'!$I:$I,$D29)</f>
        <v>#REF!</v>
      </c>
      <c r="BP29" s="446" t="e">
        <f>SUMIFS('Op 1 - Convergence'!N:N,'Op 1 - Convergence'!$I:$I,$D29)</f>
        <v>#REF!</v>
      </c>
      <c r="BQ29" s="446">
        <f>SUMIFS('Op 1 - Convergence'!O:O,'Op 1 - Convergence'!$I:$I,$D29)</f>
        <v>10630.522225217894</v>
      </c>
      <c r="BR29" s="446" t="e">
        <f>SUMIFS('Op 1 - Convergence'!P:P,'Op 1 - Convergence'!$I:$I,$D29)</f>
        <v>#REF!</v>
      </c>
      <c r="BS29" s="449" t="e">
        <f t="shared" si="19"/>
        <v>#REF!</v>
      </c>
      <c r="BU29" s="446">
        <f t="shared" si="20"/>
        <v>14738.611168104582</v>
      </c>
      <c r="BV29" s="449" t="e">
        <f t="shared" si="14"/>
        <v>#REF!</v>
      </c>
      <c r="BX29" s="446">
        <f t="shared" si="21"/>
        <v>14401.146996352885</v>
      </c>
      <c r="BY29" s="449" t="e">
        <f t="shared" si="22"/>
        <v>#REF!</v>
      </c>
      <c r="CA29" s="446">
        <f t="shared" si="23"/>
        <v>13278.88075963996</v>
      </c>
      <c r="CB29" s="449" t="e">
        <f t="shared" si="24"/>
        <v>#REF!</v>
      </c>
    </row>
    <row r="30" spans="2:80" x14ac:dyDescent="0.25">
      <c r="B30" s="269" t="s">
        <v>84</v>
      </c>
      <c r="C30" s="270" t="s">
        <v>85</v>
      </c>
      <c r="D30" s="271" t="s">
        <v>94</v>
      </c>
      <c r="E30" s="231" t="s">
        <v>95</v>
      </c>
      <c r="F30" s="446">
        <f>SUMIFS('SC1'!S:S,'SC1'!$I:$I,$D30)</f>
        <v>5172.5470438496668</v>
      </c>
      <c r="G30" s="446">
        <f>SUMIFS('SC1'!T:T,'SC1'!$I:$I,$D30)</f>
        <v>0</v>
      </c>
      <c r="H30" s="446">
        <f>SUMIFS('SC1'!U:U,'SC1'!$I:$I,$D30)</f>
        <v>4267.9971368774241</v>
      </c>
      <c r="I30" s="446">
        <f>SUMIFS('SC1'!V:V,'SC1'!$I:$I,$D30)</f>
        <v>11429.640810971778</v>
      </c>
      <c r="J30" s="446"/>
      <c r="K30" s="446"/>
      <c r="L30" s="446"/>
      <c r="M30" s="446">
        <f>SUMIFS('SC1'!Z:Z,'SC1'!$I:$I,$D30)</f>
        <v>1032</v>
      </c>
      <c r="N30" s="446"/>
      <c r="O30" s="446">
        <f>SUMIFS('SC1'!AB:AB,'SC1'!$I:$I,$D30)</f>
        <v>140.30012316096406</v>
      </c>
      <c r="P30" s="446">
        <f>SUMIFS('SC1'!AC:AC,'SC1'!$I:$I,$D30)</f>
        <v>0</v>
      </c>
      <c r="Q30" s="446">
        <f t="shared" si="15"/>
        <v>22042.485114859832</v>
      </c>
      <c r="R30" s="446">
        <f t="shared" si="2"/>
        <v>20472.721320074914</v>
      </c>
      <c r="T30" s="446">
        <f>SUMIFS('SC2'!S:S,'SC2'!$I:$I,$D30)</f>
        <v>0</v>
      </c>
      <c r="U30" s="446">
        <f>SUMIFS('SC2'!T:T,'SC2'!$I:$I,$D30)</f>
        <v>0</v>
      </c>
      <c r="V30" s="446">
        <f>SUMIFS('SC2'!U:U,'SC2'!$I:$I,$D30)</f>
        <v>8512.5209798930191</v>
      </c>
      <c r="W30" s="446">
        <f>SUMIFS('SC2'!V:V,'SC2'!$I:$I,$D30)</f>
        <v>10741.074106841283</v>
      </c>
      <c r="X30" s="446"/>
      <c r="Y30" s="446"/>
      <c r="Z30" s="446"/>
      <c r="AA30" s="446">
        <f>SUMIFS('SC2'!Z:Z,'SC2'!$I:$I,$D30)</f>
        <v>2063</v>
      </c>
      <c r="AB30" s="446"/>
      <c r="AC30" s="446">
        <f>SUMIFS('SC2'!AB:AB,'SC2'!$I:$I,$D30)</f>
        <v>280.45273707847628</v>
      </c>
      <c r="AD30" s="446">
        <f>SUMIFS('SC2'!AC:AC,'SC2'!$I:$I,$D30)</f>
        <v>0</v>
      </c>
      <c r="AE30" s="446">
        <f t="shared" si="16"/>
        <v>21597.047823812776</v>
      </c>
      <c r="AF30" s="446">
        <f t="shared" si="3"/>
        <v>19671.688315139349</v>
      </c>
      <c r="AH30" s="446">
        <f>SUMIFS('SC3'!S:S,'SC3'!$I:$I,$D30)</f>
        <v>0</v>
      </c>
      <c r="AI30" s="446">
        <f>SUMIFS('SC3'!T:T,'SC3'!$I:$I,$D30)</f>
        <v>0</v>
      </c>
      <c r="AJ30" s="446">
        <f>SUMIFS('SC3'!U:U,'SC3'!$I:$I,$D30)</f>
        <v>0</v>
      </c>
      <c r="AK30" s="446">
        <f>SUMIFS('SC3'!V:V,'SC3'!$I:$I,$D30)</f>
        <v>9341.0482472317526</v>
      </c>
      <c r="AL30" s="446"/>
      <c r="AM30" s="446"/>
      <c r="AN30" s="446"/>
      <c r="AO30" s="446">
        <f>SUMIFS('SC3'!Z:Z,'SC3'!$I:$I,$D30)</f>
        <v>0</v>
      </c>
      <c r="AP30" s="446"/>
      <c r="AQ30" s="446">
        <f>SUMIFS('SC3'!AB:AB,'SC3'!$I:$I,$D30)</f>
        <v>0</v>
      </c>
      <c r="AR30" s="446">
        <f>SUMIFS('SC3'!AC:AC,'SC3'!$I:$I,$D30)</f>
        <v>10471.614402964122</v>
      </c>
      <c r="AS30" s="446">
        <f t="shared" si="17"/>
        <v>19812.662650195874</v>
      </c>
      <c r="AT30" s="446">
        <f t="shared" si="4"/>
        <v>16260.654224731668</v>
      </c>
      <c r="AV30" s="446" t="e">
        <f>SUMIFS('Op 1 - Convergence'!AN:AN,'Op 1 - Convergence'!$I:$I,$D30)</f>
        <v>#REF!</v>
      </c>
      <c r="AX30" s="446" t="e">
        <f>SUMIFS('Op 1 - Convergence'!AK:AK,'Op 1 - Convergence'!$I:$I,$D30)</f>
        <v>#REF!</v>
      </c>
      <c r="AY30" s="449" t="e">
        <f t="shared" si="18"/>
        <v>#REF!</v>
      </c>
      <c r="BA30" s="446">
        <f t="shared" si="5"/>
        <v>22042.485114859832</v>
      </c>
      <c r="BB30" s="446" t="e">
        <f t="shared" si="6"/>
        <v>#REF!</v>
      </c>
      <c r="BC30" s="446" t="e">
        <f t="shared" si="7"/>
        <v>#REF!</v>
      </c>
      <c r="BE30" s="446">
        <f t="shared" si="8"/>
        <v>21597.047823812776</v>
      </c>
      <c r="BF30" s="446" t="e">
        <f t="shared" si="9"/>
        <v>#REF!</v>
      </c>
      <c r="BG30" s="446" t="e">
        <f t="shared" si="10"/>
        <v>#REF!</v>
      </c>
      <c r="BI30" s="446">
        <f t="shared" si="11"/>
        <v>19812.662650195874</v>
      </c>
      <c r="BJ30" s="446" t="e">
        <f t="shared" si="12"/>
        <v>#REF!</v>
      </c>
      <c r="BK30" s="446" t="e">
        <f t="shared" si="13"/>
        <v>#REF!</v>
      </c>
      <c r="BM30" s="446" t="e">
        <f>SUMIFS('Op 1 - Convergence'!K:K,'Op 1 - Convergence'!$I:$I,$D30)</f>
        <v>#REF!</v>
      </c>
      <c r="BN30" s="446">
        <f>SUMIFS('Op 1 - Convergence'!L:L,'Op 1 - Convergence'!$I:$I,$D30)</f>
        <v>352386.33337149769</v>
      </c>
      <c r="BO30" s="446" t="e">
        <f>SUMIFS('Op 1 - Convergence'!M:M,'Op 1 - Convergence'!$I:$I,$D30)</f>
        <v>#REF!</v>
      </c>
      <c r="BP30" s="446" t="e">
        <f>SUMIFS('Op 1 - Convergence'!N:N,'Op 1 - Convergence'!$I:$I,$D30)</f>
        <v>#REF!</v>
      </c>
      <c r="BQ30" s="446">
        <f>SUMIFS('Op 1 - Convergence'!O:O,'Op 1 - Convergence'!$I:$I,$D30)</f>
        <v>16167.666628502309</v>
      </c>
      <c r="BR30" s="446" t="e">
        <f>SUMIFS('Op 1 - Convergence'!P:P,'Op 1 - Convergence'!$I:$I,$D30)</f>
        <v>#REF!</v>
      </c>
      <c r="BS30" s="449" t="e">
        <f t="shared" si="19"/>
        <v>#REF!</v>
      </c>
      <c r="BU30" s="446">
        <f t="shared" si="20"/>
        <v>22042.485114859832</v>
      </c>
      <c r="BV30" s="449" t="e">
        <f t="shared" si="14"/>
        <v>#REF!</v>
      </c>
      <c r="BX30" s="446">
        <f t="shared" si="21"/>
        <v>21597.047823812776</v>
      </c>
      <c r="BY30" s="449" t="e">
        <f t="shared" si="22"/>
        <v>#REF!</v>
      </c>
      <c r="CA30" s="446">
        <f t="shared" si="23"/>
        <v>19812.662650195874</v>
      </c>
      <c r="CB30" s="449" t="e">
        <f t="shared" si="24"/>
        <v>#REF!</v>
      </c>
    </row>
    <row r="31" spans="2:80" x14ac:dyDescent="0.25">
      <c r="B31" s="267" t="s">
        <v>84</v>
      </c>
      <c r="C31" s="268" t="s">
        <v>85</v>
      </c>
      <c r="D31" s="61" t="s">
        <v>96</v>
      </c>
      <c r="E31" s="231" t="s">
        <v>97</v>
      </c>
      <c r="F31" s="446">
        <f>SUMIFS('SC1'!S:S,'SC1'!$I:$I,$D31)</f>
        <v>9143.3714183014163</v>
      </c>
      <c r="G31" s="446">
        <f>SUMIFS('SC1'!T:T,'SC1'!$I:$I,$D31)</f>
        <v>0</v>
      </c>
      <c r="H31" s="446">
        <f>SUMIFS('SC1'!U:U,'SC1'!$I:$I,$D31)</f>
        <v>7521.4924878026577</v>
      </c>
      <c r="I31" s="446">
        <f>SUMIFS('SC1'!V:V,'SC1'!$I:$I,$D31)</f>
        <v>20142.459036629829</v>
      </c>
      <c r="J31" s="446"/>
      <c r="K31" s="446"/>
      <c r="L31" s="446"/>
      <c r="M31" s="446">
        <f>SUMIFS('SC1'!Z:Z,'SC1'!$I:$I,$D31)</f>
        <v>-9.3185024568811059E-2</v>
      </c>
      <c r="N31" s="446"/>
      <c r="O31" s="446">
        <f>SUMIFS('SC1'!AB:AB,'SC1'!$I:$I,$D31)</f>
        <v>247.25094430710857</v>
      </c>
      <c r="P31" s="446">
        <f>SUMIFS('SC1'!AC:AC,'SC1'!$I:$I,$D31)</f>
        <v>0</v>
      </c>
      <c r="Q31" s="446">
        <f t="shared" si="15"/>
        <v>37054.480702016444</v>
      </c>
      <c r="R31" s="446">
        <f t="shared" si="2"/>
        <v>34288.085549573203</v>
      </c>
      <c r="T31" s="446">
        <f>SUMIFS('SC2'!S:S,'SC2'!$I:$I,$D31)</f>
        <v>0</v>
      </c>
      <c r="U31" s="446">
        <f>SUMIFS('SC2'!T:T,'SC2'!$I:$I,$D31)</f>
        <v>0</v>
      </c>
      <c r="V31" s="446">
        <f>SUMIFS('SC2'!U:U,'SC2'!$I:$I,$D31)</f>
        <v>15001.617983598637</v>
      </c>
      <c r="W31" s="446">
        <f>SUMIFS('SC2'!V:V,'SC2'!$I:$I,$D31)</f>
        <v>18928.9977510729</v>
      </c>
      <c r="X31" s="446"/>
      <c r="Y31" s="446"/>
      <c r="Z31" s="446"/>
      <c r="AA31" s="446">
        <f>SUMIFS('SC2'!Z:Z,'SC2'!$I:$I,$D31)</f>
        <v>-8.5958369891159236E-2</v>
      </c>
      <c r="AB31" s="446"/>
      <c r="AC31" s="446">
        <f>SUMIFS('SC2'!AB:AB,'SC2'!$I:$I,$D31)</f>
        <v>494.24193303530677</v>
      </c>
      <c r="AD31" s="446">
        <f>SUMIFS('SC2'!AC:AC,'SC2'!$I:$I,$D31)</f>
        <v>0</v>
      </c>
      <c r="AE31" s="446">
        <f t="shared" si="16"/>
        <v>34424.77170933695</v>
      </c>
      <c r="AF31" s="446">
        <f t="shared" si="3"/>
        <v>31031.710135869802</v>
      </c>
      <c r="AH31" s="446">
        <f>SUMIFS('SC3'!S:S,'SC3'!$I:$I,$D31)</f>
        <v>0</v>
      </c>
      <c r="AI31" s="446">
        <f>SUMIFS('SC3'!T:T,'SC3'!$I:$I,$D31)</f>
        <v>0</v>
      </c>
      <c r="AJ31" s="446">
        <f>SUMIFS('SC3'!U:U,'SC3'!$I:$I,$D31)</f>
        <v>0</v>
      </c>
      <c r="AK31" s="446">
        <f>SUMIFS('SC3'!V:V,'SC3'!$I:$I,$D31)</f>
        <v>16461.731806867803</v>
      </c>
      <c r="AL31" s="446"/>
      <c r="AM31" s="446"/>
      <c r="AN31" s="446"/>
      <c r="AO31" s="446">
        <f>SUMIFS('SC3'!Z:Z,'SC3'!$I:$I,$D31)</f>
        <v>0</v>
      </c>
      <c r="AP31" s="446"/>
      <c r="AQ31" s="446">
        <f>SUMIFS('SC3'!AB:AB,'SC3'!$I:$I,$D31)</f>
        <v>0</v>
      </c>
      <c r="AR31" s="446">
        <f>SUMIFS('SC3'!AC:AC,'SC3'!$I:$I,$D31)</f>
        <v>18454.128843367776</v>
      </c>
      <c r="AS31" s="446">
        <f t="shared" si="17"/>
        <v>34915.860650235583</v>
      </c>
      <c r="AT31" s="446">
        <f t="shared" si="4"/>
        <v>28656.155258706858</v>
      </c>
      <c r="AV31" s="446" t="e">
        <f>SUMIFS('Op 1 - Convergence'!AN:AN,'Op 1 - Convergence'!$I:$I,$D31)</f>
        <v>#REF!</v>
      </c>
      <c r="AX31" s="446" t="e">
        <f>SUMIFS('Op 1 - Convergence'!AK:AK,'Op 1 - Convergence'!$I:$I,$D31)</f>
        <v>#REF!</v>
      </c>
      <c r="AY31" s="449" t="e">
        <f t="shared" si="18"/>
        <v>#REF!</v>
      </c>
      <c r="BA31" s="446">
        <f t="shared" si="5"/>
        <v>37054.480702016444</v>
      </c>
      <c r="BB31" s="446" t="e">
        <f t="shared" si="6"/>
        <v>#REF!</v>
      </c>
      <c r="BC31" s="446" t="e">
        <f t="shared" si="7"/>
        <v>#REF!</v>
      </c>
      <c r="BE31" s="446">
        <f t="shared" si="8"/>
        <v>34424.77170933695</v>
      </c>
      <c r="BF31" s="446" t="e">
        <f t="shared" si="9"/>
        <v>#REF!</v>
      </c>
      <c r="BG31" s="446" t="e">
        <f t="shared" si="10"/>
        <v>#REF!</v>
      </c>
      <c r="BI31" s="446">
        <f t="shared" si="11"/>
        <v>34915.860650235583</v>
      </c>
      <c r="BJ31" s="446" t="e">
        <f t="shared" si="12"/>
        <v>#REF!</v>
      </c>
      <c r="BK31" s="446" t="e">
        <f t="shared" si="13"/>
        <v>#REF!</v>
      </c>
      <c r="BM31" s="446" t="e">
        <f>SUMIFS('Op 1 - Convergence'!K:K,'Op 1 - Convergence'!$I:$I,$D31)</f>
        <v>#REF!</v>
      </c>
      <c r="BN31" s="446">
        <f>SUMIFS('Op 1 - Convergence'!L:L,'Op 1 - Convergence'!$I:$I,$D31)</f>
        <v>590979.39815476979</v>
      </c>
      <c r="BO31" s="446" t="e">
        <f>SUMIFS('Op 1 - Convergence'!M:M,'Op 1 - Convergence'!$I:$I,$D31)</f>
        <v>#REF!</v>
      </c>
      <c r="BP31" s="446" t="e">
        <f>SUMIFS('Op 1 - Convergence'!N:N,'Op 1 - Convergence'!$I:$I,$D31)</f>
        <v>#REF!</v>
      </c>
      <c r="BQ31" s="446">
        <f>SUMIFS('Op 1 - Convergence'!O:O,'Op 1 - Convergence'!$I:$I,$D31)</f>
        <v>23157.415783729055</v>
      </c>
      <c r="BR31" s="446" t="e">
        <f>SUMIFS('Op 1 - Convergence'!P:P,'Op 1 - Convergence'!$I:$I,$D31)</f>
        <v>#REF!</v>
      </c>
      <c r="BS31" s="449" t="e">
        <f t="shared" si="19"/>
        <v>#REF!</v>
      </c>
      <c r="BU31" s="446">
        <f t="shared" si="20"/>
        <v>37054.480702016444</v>
      </c>
      <c r="BV31" s="449" t="e">
        <f t="shared" si="14"/>
        <v>#REF!</v>
      </c>
      <c r="BX31" s="446">
        <f t="shared" si="21"/>
        <v>34424.77170933695</v>
      </c>
      <c r="BY31" s="449" t="e">
        <f t="shared" si="22"/>
        <v>#REF!</v>
      </c>
      <c r="CA31" s="446">
        <f t="shared" si="23"/>
        <v>34915.860650235583</v>
      </c>
      <c r="CB31" s="449" t="e">
        <f t="shared" si="24"/>
        <v>#REF!</v>
      </c>
    </row>
    <row r="32" spans="2:80" x14ac:dyDescent="0.25">
      <c r="B32" s="266" t="s">
        <v>98</v>
      </c>
      <c r="C32" s="61" t="s">
        <v>99</v>
      </c>
      <c r="D32" s="61" t="s">
        <v>100</v>
      </c>
      <c r="E32" s="231" t="s">
        <v>101</v>
      </c>
      <c r="F32" s="446">
        <f>SUMIFS('SC1'!S:S,'SC1'!$I:$I,$D32)</f>
        <v>0</v>
      </c>
      <c r="G32" s="446">
        <f>SUMIFS('SC1'!T:T,'SC1'!$I:$I,$D32)</f>
        <v>0</v>
      </c>
      <c r="H32" s="446">
        <f>SUMIFS('SC1'!U:U,'SC1'!$I:$I,$D32)</f>
        <v>3611.7811372774186</v>
      </c>
      <c r="I32" s="446">
        <f>SUMIFS('SC1'!V:V,'SC1'!$I:$I,$D32)</f>
        <v>9672.3029006356246</v>
      </c>
      <c r="J32" s="446"/>
      <c r="K32" s="446"/>
      <c r="L32" s="446"/>
      <c r="M32" s="446">
        <f>SUMIFS('SC1'!Z:Z,'SC1'!$I:$I,$D32)</f>
        <v>837</v>
      </c>
      <c r="N32" s="446"/>
      <c r="O32" s="446">
        <f>SUMIFS('SC1'!AB:AB,'SC1'!$I:$I,$D32)</f>
        <v>118.7286031689346</v>
      </c>
      <c r="P32" s="446">
        <f>SUMIFS('SC1'!AC:AC,'SC1'!$I:$I,$D32)</f>
        <v>0</v>
      </c>
      <c r="Q32" s="446">
        <f t="shared" si="15"/>
        <v>14239.812641081977</v>
      </c>
      <c r="R32" s="446">
        <f t="shared" si="2"/>
        <v>12911.404237290673</v>
      </c>
      <c r="T32" s="446">
        <f>SUMIFS('SC2'!S:S,'SC2'!$I:$I,$D32)</f>
        <v>0</v>
      </c>
      <c r="U32" s="446">
        <f>SUMIFS('SC2'!T:T,'SC2'!$I:$I,$D32)</f>
        <v>0</v>
      </c>
      <c r="V32" s="446">
        <f>SUMIFS('SC2'!U:U,'SC2'!$I:$I,$D32)</f>
        <v>7223.5622745548371</v>
      </c>
      <c r="W32" s="446">
        <f>SUMIFS('SC2'!V:V,'SC2'!$I:$I,$D32)</f>
        <v>9114.6697775717639</v>
      </c>
      <c r="X32" s="446"/>
      <c r="Y32" s="446"/>
      <c r="Z32" s="446"/>
      <c r="AA32" s="446">
        <f>SUMIFS('SC2'!Z:Z,'SC2'!$I:$I,$D32)</f>
        <v>1674</v>
      </c>
      <c r="AB32" s="446"/>
      <c r="AC32" s="446">
        <f>SUMIFS('SC2'!AB:AB,'SC2'!$I:$I,$D32)</f>
        <v>237.98682154686307</v>
      </c>
      <c r="AD32" s="446">
        <f>SUMIFS('SC2'!AC:AC,'SC2'!$I:$I,$D32)</f>
        <v>0</v>
      </c>
      <c r="AE32" s="446">
        <f t="shared" si="16"/>
        <v>18250.218873673464</v>
      </c>
      <c r="AF32" s="446">
        <f t="shared" si="3"/>
        <v>16616.395668460806</v>
      </c>
      <c r="AH32" s="446">
        <f>SUMIFS('SC3'!S:S,'SC3'!$I:$I,$D32)</f>
        <v>0</v>
      </c>
      <c r="AI32" s="446">
        <f>SUMIFS('SC3'!T:T,'SC3'!$I:$I,$D32)</f>
        <v>0</v>
      </c>
      <c r="AJ32" s="446">
        <f>SUMIFS('SC3'!U:U,'SC3'!$I:$I,$D32)</f>
        <v>0</v>
      </c>
      <c r="AK32" s="446">
        <f>SUMIFS('SC3'!V:V,'SC3'!$I:$I,$D32)</f>
        <v>7926.6346459386796</v>
      </c>
      <c r="AL32" s="446"/>
      <c r="AM32" s="446"/>
      <c r="AN32" s="446"/>
      <c r="AO32" s="446">
        <f>SUMIFS('SC3'!Z:Z,'SC3'!$I:$I,$D32)</f>
        <v>0</v>
      </c>
      <c r="AP32" s="446"/>
      <c r="AQ32" s="446">
        <f>SUMIFS('SC3'!AB:AB,'SC3'!$I:$I,$D32)</f>
        <v>0</v>
      </c>
      <c r="AR32" s="446">
        <f>SUMIFS('SC3'!AC:AC,'SC3'!$I:$I,$D32)</f>
        <v>8886.0114334646078</v>
      </c>
      <c r="AS32" s="446">
        <f t="shared" si="17"/>
        <v>16812.646079403286</v>
      </c>
      <c r="AT32" s="446">
        <f t="shared" si="4"/>
        <v>13798.479756443268</v>
      </c>
      <c r="AV32" s="446" t="e">
        <f>SUMIFS('Op 1 - Convergence'!AN:AN,'Op 1 - Convergence'!$I:$I,$D32)</f>
        <v>#REF!</v>
      </c>
      <c r="AX32" s="446" t="e">
        <f>SUMIFS('Op 1 - Convergence'!AK:AK,'Op 1 - Convergence'!$I:$I,$D32)</f>
        <v>#REF!</v>
      </c>
      <c r="AY32" s="449" t="e">
        <f t="shared" si="18"/>
        <v>#REF!</v>
      </c>
      <c r="BA32" s="446">
        <f t="shared" si="5"/>
        <v>14239.812641081977</v>
      </c>
      <c r="BB32" s="446" t="e">
        <f t="shared" si="6"/>
        <v>#REF!</v>
      </c>
      <c r="BC32" s="446" t="e">
        <f t="shared" si="7"/>
        <v>#REF!</v>
      </c>
      <c r="BE32" s="446">
        <f t="shared" si="8"/>
        <v>18250.218873673464</v>
      </c>
      <c r="BF32" s="446" t="e">
        <f t="shared" si="9"/>
        <v>#REF!</v>
      </c>
      <c r="BG32" s="446" t="e">
        <f t="shared" si="10"/>
        <v>#REF!</v>
      </c>
      <c r="BI32" s="446">
        <f t="shared" si="11"/>
        <v>16812.646079403286</v>
      </c>
      <c r="BJ32" s="446" t="e">
        <f t="shared" si="12"/>
        <v>#REF!</v>
      </c>
      <c r="BK32" s="446" t="e">
        <f t="shared" si="13"/>
        <v>#REF!</v>
      </c>
      <c r="BM32" s="446" t="e">
        <f>SUMIFS('Op 1 - Convergence'!K:K,'Op 1 - Convergence'!$I:$I,$D32)</f>
        <v>#REF!</v>
      </c>
      <c r="BN32" s="446">
        <f>SUMIFS('Op 1 - Convergence'!L:L,'Op 1 - Convergence'!$I:$I,$D32)</f>
        <v>284657.1505706599</v>
      </c>
      <c r="BO32" s="446" t="e">
        <f>SUMIFS('Op 1 - Convergence'!M:M,'Op 1 - Convergence'!$I:$I,$D32)</f>
        <v>#REF!</v>
      </c>
      <c r="BP32" s="446" t="e">
        <f>SUMIFS('Op 1 - Convergence'!N:N,'Op 1 - Convergence'!$I:$I,$D32)</f>
        <v>#REF!</v>
      </c>
      <c r="BQ32" s="446">
        <f>SUMIFS('Op 1 - Convergence'!O:O,'Op 1 - Convergence'!$I:$I,$D32)</f>
        <v>14461.849429340102</v>
      </c>
      <c r="BR32" s="446" t="e">
        <f>SUMIFS('Op 1 - Convergence'!P:P,'Op 1 - Convergence'!$I:$I,$D32)</f>
        <v>#REF!</v>
      </c>
      <c r="BS32" s="449" t="e">
        <f t="shared" si="19"/>
        <v>#REF!</v>
      </c>
      <c r="BU32" s="446">
        <f t="shared" si="20"/>
        <v>14239.812641081977</v>
      </c>
      <c r="BV32" s="449" t="e">
        <f t="shared" si="14"/>
        <v>#REF!</v>
      </c>
      <c r="BX32" s="446">
        <f t="shared" si="21"/>
        <v>18250.218873673464</v>
      </c>
      <c r="BY32" s="449" t="e">
        <f t="shared" si="22"/>
        <v>#REF!</v>
      </c>
      <c r="CA32" s="446">
        <f t="shared" si="23"/>
        <v>16812.646079403286</v>
      </c>
      <c r="CB32" s="449" t="e">
        <f t="shared" si="24"/>
        <v>#REF!</v>
      </c>
    </row>
    <row r="33" spans="2:80" x14ac:dyDescent="0.25">
      <c r="B33" s="266" t="s">
        <v>27</v>
      </c>
      <c r="C33" s="61" t="s">
        <v>28</v>
      </c>
      <c r="D33" s="61" t="s">
        <v>29</v>
      </c>
      <c r="E33" s="231" t="s">
        <v>30</v>
      </c>
      <c r="F33" s="446">
        <f>SUMIFS('SC1'!S:S,'SC1'!$I:$I,$D33)</f>
        <v>14931.917250969629</v>
      </c>
      <c r="G33" s="446">
        <f>SUMIFS('SC1'!T:T,'SC1'!$I:$I,$D33)</f>
        <v>0</v>
      </c>
      <c r="H33" s="446">
        <f>SUMIFS('SC1'!U:U,'SC1'!$I:$I,$D33)</f>
        <v>12309.767632151888</v>
      </c>
      <c r="I33" s="446">
        <f>SUMIFS('SC1'!V:V,'SC1'!$I:$I,$D33)</f>
        <v>32965.39758341066</v>
      </c>
      <c r="J33" s="446"/>
      <c r="K33" s="446"/>
      <c r="L33" s="446"/>
      <c r="M33" s="446">
        <f>SUMIFS('SC1'!Z:Z,'SC1'!$I:$I,$D33)</f>
        <v>0.17748141498304904</v>
      </c>
      <c r="N33" s="446"/>
      <c r="O33" s="446">
        <f>SUMIFS('SC1'!AB:AB,'SC1'!$I:$I,$D33)</f>
        <v>404.65395347882583</v>
      </c>
      <c r="P33" s="446">
        <f>SUMIFS('SC1'!AC:AC,'SC1'!$I:$I,$D33)</f>
        <v>0</v>
      </c>
      <c r="Q33" s="446">
        <f t="shared" si="15"/>
        <v>60611.913901425985</v>
      </c>
      <c r="R33" s="446">
        <f t="shared" si="2"/>
        <v>56084.397379869733</v>
      </c>
      <c r="T33" s="446">
        <f>SUMIFS('SC2'!S:S,'SC2'!$I:$I,$D33)</f>
        <v>0</v>
      </c>
      <c r="U33" s="446">
        <f>SUMIFS('SC2'!T:T,'SC2'!$I:$I,$D33)</f>
        <v>0</v>
      </c>
      <c r="V33" s="446">
        <f>SUMIFS('SC2'!U:U,'SC2'!$I:$I,$D33)</f>
        <v>24551.83353355432</v>
      </c>
      <c r="W33" s="446">
        <f>SUMIFS('SC2'!V:V,'SC2'!$I:$I,$D33)</f>
        <v>30979.431835250765</v>
      </c>
      <c r="X33" s="446"/>
      <c r="Y33" s="446"/>
      <c r="Z33" s="446"/>
      <c r="AA33" s="446">
        <f>SUMIFS('SC2'!Z:Z,'SC2'!$I:$I,$D33)</f>
        <v>0.18209192273207009</v>
      </c>
      <c r="AB33" s="446"/>
      <c r="AC33" s="446">
        <f>SUMIFS('SC2'!AB:AB,'SC2'!$I:$I,$D33)</f>
        <v>808.88246044204891</v>
      </c>
      <c r="AD33" s="446">
        <f>SUMIFS('SC2'!AC:AC,'SC2'!$I:$I,$D33)</f>
        <v>0</v>
      </c>
      <c r="AE33" s="446">
        <f t="shared" si="16"/>
        <v>56340.329921169869</v>
      </c>
      <c r="AF33" s="446">
        <f t="shared" si="3"/>
        <v>50787.203384289358</v>
      </c>
      <c r="AH33" s="446">
        <f>SUMIFS('SC3'!S:S,'SC3'!$I:$I,$D33)</f>
        <v>0</v>
      </c>
      <c r="AI33" s="446">
        <f>SUMIFS('SC3'!T:T,'SC3'!$I:$I,$D33)</f>
        <v>0</v>
      </c>
      <c r="AJ33" s="446">
        <f>SUMIFS('SC3'!U:U,'SC3'!$I:$I,$D33)</f>
        <v>0</v>
      </c>
      <c r="AK33" s="446">
        <f>SUMIFS('SC3'!V:V,'SC3'!$I:$I,$D33)</f>
        <v>26941.473875558724</v>
      </c>
      <c r="AL33" s="446"/>
      <c r="AM33" s="446"/>
      <c r="AN33" s="446"/>
      <c r="AO33" s="446">
        <f>SUMIFS('SC3'!Z:Z,'SC3'!$I:$I,$D33)</f>
        <v>0</v>
      </c>
      <c r="AP33" s="446"/>
      <c r="AQ33" s="446">
        <f>SUMIFS('SC3'!AB:AB,'SC3'!$I:$I,$D33)</f>
        <v>0</v>
      </c>
      <c r="AR33" s="446">
        <f>SUMIFS('SC3'!AC:AC,'SC3'!$I:$I,$D33)</f>
        <v>30202.255507671711</v>
      </c>
      <c r="AS33" s="446">
        <f t="shared" si="17"/>
        <v>57143.729383230435</v>
      </c>
      <c r="AT33" s="446">
        <f t="shared" si="4"/>
        <v>46899.018118756634</v>
      </c>
      <c r="AV33" s="446" t="e">
        <f>SUMIFS('Op 1 - Convergence'!AN:AN,'Op 1 - Convergence'!$I:$I,$D33)</f>
        <v>#REF!</v>
      </c>
      <c r="AX33" s="446" t="e">
        <f>SUMIFS('Op 1 - Convergence'!AK:AK,'Op 1 - Convergence'!$I:$I,$D33)</f>
        <v>#REF!</v>
      </c>
      <c r="AY33" s="449" t="e">
        <f t="shared" si="18"/>
        <v>#REF!</v>
      </c>
      <c r="BA33" s="446">
        <f t="shared" si="5"/>
        <v>60611.913901425985</v>
      </c>
      <c r="BB33" s="446" t="e">
        <f t="shared" si="6"/>
        <v>#REF!</v>
      </c>
      <c r="BC33" s="446" t="e">
        <f t="shared" si="7"/>
        <v>#REF!</v>
      </c>
      <c r="BE33" s="446">
        <f t="shared" si="8"/>
        <v>56340.329921169869</v>
      </c>
      <c r="BF33" s="446" t="e">
        <f t="shared" si="9"/>
        <v>#REF!</v>
      </c>
      <c r="BG33" s="446" t="e">
        <f t="shared" si="10"/>
        <v>#REF!</v>
      </c>
      <c r="BI33" s="446">
        <f t="shared" si="11"/>
        <v>57143.729383230435</v>
      </c>
      <c r="BJ33" s="446" t="e">
        <f t="shared" si="12"/>
        <v>#REF!</v>
      </c>
      <c r="BK33" s="446" t="e">
        <f t="shared" si="13"/>
        <v>#REF!</v>
      </c>
      <c r="BM33" s="446" t="e">
        <f>SUMIFS('Op 1 - Convergence'!K:K,'Op 1 - Convergence'!$I:$I,$D33)</f>
        <v>#REF!</v>
      </c>
      <c r="BN33" s="446">
        <f>SUMIFS('Op 1 - Convergence'!L:L,'Op 1 - Convergence'!$I:$I,$D33)</f>
        <v>941747.05148924538</v>
      </c>
      <c r="BO33" s="446" t="e">
        <f>SUMIFS('Op 1 - Convergence'!M:M,'Op 1 - Convergence'!$I:$I,$D33)</f>
        <v>#REF!</v>
      </c>
      <c r="BP33" s="446" t="e">
        <f>SUMIFS('Op 1 - Convergence'!N:N,'Op 1 - Convergence'!$I:$I,$D33)</f>
        <v>#REF!</v>
      </c>
      <c r="BQ33" s="446">
        <f>SUMIFS('Op 1 - Convergence'!O:O,'Op 1 - Convergence'!$I:$I,$D33)</f>
        <v>34142.767536125844</v>
      </c>
      <c r="BR33" s="446" t="e">
        <f>SUMIFS('Op 1 - Convergence'!P:P,'Op 1 - Convergence'!$I:$I,$D33)</f>
        <v>#REF!</v>
      </c>
      <c r="BS33" s="449" t="e">
        <f t="shared" si="19"/>
        <v>#REF!</v>
      </c>
      <c r="BU33" s="446">
        <f t="shared" si="20"/>
        <v>60611.913901425985</v>
      </c>
      <c r="BV33" s="449" t="e">
        <f t="shared" si="14"/>
        <v>#REF!</v>
      </c>
      <c r="BX33" s="446">
        <f t="shared" si="21"/>
        <v>56340.329921169869</v>
      </c>
      <c r="BY33" s="449" t="e">
        <f t="shared" si="22"/>
        <v>#REF!</v>
      </c>
      <c r="CA33" s="446">
        <f t="shared" si="23"/>
        <v>57143.729383230435</v>
      </c>
      <c r="CB33" s="449" t="e">
        <f t="shared" si="24"/>
        <v>#REF!</v>
      </c>
    </row>
    <row r="34" spans="2:80" x14ac:dyDescent="0.25">
      <c r="B34" s="267" t="s">
        <v>58</v>
      </c>
      <c r="C34" s="268" t="s">
        <v>59</v>
      </c>
      <c r="D34" s="61" t="s">
        <v>68</v>
      </c>
      <c r="E34" s="231" t="s">
        <v>69</v>
      </c>
      <c r="F34" s="446">
        <f>SUMIFS('SC1'!S:S,'SC1'!$I:$I,$D34)</f>
        <v>5466.8128069713966</v>
      </c>
      <c r="G34" s="446">
        <f>SUMIFS('SC1'!T:T,'SC1'!$I:$I,$D34)</f>
        <v>0</v>
      </c>
      <c r="H34" s="446">
        <f>SUMIFS('SC1'!U:U,'SC1'!$I:$I,$D34)</f>
        <v>4495.4407369936634</v>
      </c>
      <c r="I34" s="446">
        <f>SUMIFS('SC1'!V:V,'SC1'!$I:$I,$D34)</f>
        <v>12038.731813311308</v>
      </c>
      <c r="J34" s="446"/>
      <c r="K34" s="446"/>
      <c r="L34" s="446"/>
      <c r="M34" s="446">
        <f>SUMIFS('SC1'!Z:Z,'SC1'!$I:$I,$D34)</f>
        <v>970</v>
      </c>
      <c r="N34" s="446"/>
      <c r="O34" s="446">
        <f>SUMIFS('SC1'!AB:AB,'SC1'!$I:$I,$D34)</f>
        <v>147.77678354406541</v>
      </c>
      <c r="P34" s="446">
        <f>SUMIFS('SC1'!AC:AC,'SC1'!$I:$I,$D34)</f>
        <v>0</v>
      </c>
      <c r="Q34" s="446">
        <f t="shared" si="15"/>
        <v>23118.762140820432</v>
      </c>
      <c r="R34" s="446">
        <f t="shared" si="2"/>
        <v>21465.344885789938</v>
      </c>
      <c r="T34" s="446">
        <f>SUMIFS('SC2'!S:S,'SC2'!$I:$I,$D34)</f>
        <v>0</v>
      </c>
      <c r="U34" s="446">
        <f>SUMIFS('SC2'!T:T,'SC2'!$I:$I,$D34)</f>
        <v>0</v>
      </c>
      <c r="V34" s="446">
        <f>SUMIFS('SC2'!U:U,'SC2'!$I:$I,$D34)</f>
        <v>8966.1572771161227</v>
      </c>
      <c r="W34" s="446">
        <f>SUMIFS('SC2'!V:V,'SC2'!$I:$I,$D34)</f>
        <v>11313.471061578382</v>
      </c>
      <c r="X34" s="446"/>
      <c r="Y34" s="446"/>
      <c r="Z34" s="446"/>
      <c r="AA34" s="446">
        <f>SUMIFS('SC2'!Z:Z,'SC2'!$I:$I,$D34)</f>
        <v>1941</v>
      </c>
      <c r="AB34" s="446"/>
      <c r="AC34" s="446">
        <f>SUMIFS('SC2'!AB:AB,'SC2'!$I:$I,$D34)</f>
        <v>295.39819700684211</v>
      </c>
      <c r="AD34" s="446">
        <f>SUMIFS('SC2'!AC:AC,'SC2'!$I:$I,$D34)</f>
        <v>0</v>
      </c>
      <c r="AE34" s="446">
        <f t="shared" si="16"/>
        <v>22516.026535701349</v>
      </c>
      <c r="AF34" s="446">
        <f t="shared" si="3"/>
        <v>20488.063701831896</v>
      </c>
      <c r="AH34" s="446">
        <f>SUMIFS('SC3'!S:S,'SC3'!$I:$I,$D34)</f>
        <v>0</v>
      </c>
      <c r="AI34" s="446">
        <f>SUMIFS('SC3'!T:T,'SC3'!$I:$I,$D34)</f>
        <v>0</v>
      </c>
      <c r="AJ34" s="446">
        <f>SUMIFS('SC3'!U:U,'SC3'!$I:$I,$D34)</f>
        <v>0</v>
      </c>
      <c r="AK34" s="446">
        <f>SUMIFS('SC3'!V:V,'SC3'!$I:$I,$D34)</f>
        <v>9838.8371571287862</v>
      </c>
      <c r="AL34" s="446"/>
      <c r="AM34" s="446"/>
      <c r="AN34" s="446"/>
      <c r="AO34" s="446">
        <f>SUMIFS('SC3'!Z:Z,'SC3'!$I:$I,$D34)</f>
        <v>0</v>
      </c>
      <c r="AP34" s="446"/>
      <c r="AQ34" s="446">
        <f>SUMIFS('SC3'!AB:AB,'SC3'!$I:$I,$D34)</f>
        <v>0</v>
      </c>
      <c r="AR34" s="446">
        <f>SUMIFS('SC3'!AC:AC,'SC3'!$I:$I,$D34)</f>
        <v>11029.651721747738</v>
      </c>
      <c r="AS34" s="446">
        <f t="shared" si="17"/>
        <v>20868.488878876524</v>
      </c>
      <c r="AT34" s="446">
        <f t="shared" si="4"/>
        <v>17127.192232726709</v>
      </c>
      <c r="AV34" s="446" t="e">
        <f>SUMIFS('Op 1 - Convergence'!AN:AN,'Op 1 - Convergence'!$I:$I,$D34)</f>
        <v>#REF!</v>
      </c>
      <c r="AX34" s="446" t="e">
        <f>SUMIFS('Op 1 - Convergence'!AK:AK,'Op 1 - Convergence'!$I:$I,$D34)</f>
        <v>#REF!</v>
      </c>
      <c r="AY34" s="449" t="e">
        <f t="shared" si="18"/>
        <v>#REF!</v>
      </c>
      <c r="BA34" s="446">
        <f t="shared" si="5"/>
        <v>23118.762140820432</v>
      </c>
      <c r="BB34" s="446" t="e">
        <f t="shared" si="6"/>
        <v>#REF!</v>
      </c>
      <c r="BC34" s="446" t="e">
        <f t="shared" si="7"/>
        <v>#REF!</v>
      </c>
      <c r="BE34" s="446">
        <f t="shared" si="8"/>
        <v>22516.026535701349</v>
      </c>
      <c r="BF34" s="446" t="e">
        <f t="shared" si="9"/>
        <v>#REF!</v>
      </c>
      <c r="BG34" s="446" t="e">
        <f t="shared" si="10"/>
        <v>#REF!</v>
      </c>
      <c r="BI34" s="446">
        <f t="shared" si="11"/>
        <v>20868.488878876524</v>
      </c>
      <c r="BJ34" s="446" t="e">
        <f t="shared" si="12"/>
        <v>#REF!</v>
      </c>
      <c r="BK34" s="446" t="e">
        <f t="shared" si="13"/>
        <v>#REF!</v>
      </c>
      <c r="BM34" s="446" t="e">
        <f>SUMIFS('Op 1 - Convergence'!K:K,'Op 1 - Convergence'!$I:$I,$D34)</f>
        <v>#REF!</v>
      </c>
      <c r="BN34" s="446">
        <f>SUMIFS('Op 1 - Convergence'!L:L,'Op 1 - Convergence'!$I:$I,$D34)</f>
        <v>329792.60057968274</v>
      </c>
      <c r="BO34" s="446" t="e">
        <f>SUMIFS('Op 1 - Convergence'!M:M,'Op 1 - Convergence'!$I:$I,$D34)</f>
        <v>#REF!</v>
      </c>
      <c r="BP34" s="446" t="e">
        <f>SUMIFS('Op 1 - Convergence'!N:N,'Op 1 - Convergence'!$I:$I,$D34)</f>
        <v>#REF!</v>
      </c>
      <c r="BQ34" s="446">
        <f>SUMIFS('Op 1 - Convergence'!O:O,'Op 1 - Convergence'!$I:$I,$D34)</f>
        <v>16887.399420317262</v>
      </c>
      <c r="BR34" s="446" t="e">
        <f>SUMIFS('Op 1 - Convergence'!P:P,'Op 1 - Convergence'!$I:$I,$D34)</f>
        <v>#REF!</v>
      </c>
      <c r="BS34" s="449" t="e">
        <f t="shared" si="19"/>
        <v>#REF!</v>
      </c>
      <c r="BU34" s="446">
        <f t="shared" si="20"/>
        <v>23118.762140820432</v>
      </c>
      <c r="BV34" s="449" t="e">
        <f t="shared" si="14"/>
        <v>#REF!</v>
      </c>
      <c r="BX34" s="446">
        <f t="shared" si="21"/>
        <v>22516.026535701349</v>
      </c>
      <c r="BY34" s="449" t="e">
        <f t="shared" si="22"/>
        <v>#REF!</v>
      </c>
      <c r="CA34" s="446">
        <f t="shared" si="23"/>
        <v>20868.488878876524</v>
      </c>
      <c r="CB34" s="449" t="e">
        <f t="shared" si="24"/>
        <v>#REF!</v>
      </c>
    </row>
    <row r="35" spans="2:80" x14ac:dyDescent="0.25">
      <c r="B35" s="269" t="s">
        <v>17</v>
      </c>
      <c r="C35" s="270" t="s">
        <v>18</v>
      </c>
      <c r="D35" s="271" t="s">
        <v>25</v>
      </c>
      <c r="E35" s="231" t="s">
        <v>26</v>
      </c>
      <c r="F35" s="446">
        <f>SUMIFS('SC1'!S:S,'SC1'!$I:$I,$D35)</f>
        <v>11053.35299421502</v>
      </c>
      <c r="G35" s="446">
        <f>SUMIFS('SC1'!T:T,'SC1'!$I:$I,$D35)</f>
        <v>0</v>
      </c>
      <c r="H35" s="446">
        <f>SUMIFS('SC1'!U:U,'SC1'!$I:$I,$D35)</f>
        <v>10295.925694196976</v>
      </c>
      <c r="I35" s="446">
        <f>SUMIFS('SC1'!V:V,'SC1'!$I:$I,$D35)</f>
        <v>27572.355071264996</v>
      </c>
      <c r="J35" s="446"/>
      <c r="K35" s="446"/>
      <c r="L35" s="446"/>
      <c r="M35" s="446">
        <f>SUMIFS('SC1'!Z:Z,'SC1'!$I:$I,$D35)</f>
        <v>2045</v>
      </c>
      <c r="N35" s="446"/>
      <c r="O35" s="446">
        <f>SUMIFS('SC1'!AB:AB,'SC1'!$I:$I,$D35)</f>
        <v>338.45375163696053</v>
      </c>
      <c r="P35" s="446">
        <f>SUMIFS('SC1'!AC:AC,'SC1'!$I:$I,$D35)</f>
        <v>0</v>
      </c>
      <c r="Q35" s="446">
        <f t="shared" si="15"/>
        <v>51305.087511313948</v>
      </c>
      <c r="R35" s="446">
        <f t="shared" si="2"/>
        <v>47518.259434767759</v>
      </c>
      <c r="T35" s="446">
        <f>SUMIFS('SC2'!S:S,'SC2'!$I:$I,$D35)</f>
        <v>0</v>
      </c>
      <c r="U35" s="446">
        <f>SUMIFS('SC2'!T:T,'SC2'!$I:$I,$D35)</f>
        <v>0</v>
      </c>
      <c r="V35" s="446">
        <f>SUMIFS('SC2'!U:U,'SC2'!$I:$I,$D35)</f>
        <v>20541.681062091124</v>
      </c>
      <c r="W35" s="446">
        <f>SUMIFS('SC2'!V:V,'SC2'!$I:$I,$D35)</f>
        <v>25919.43316065599</v>
      </c>
      <c r="X35" s="446"/>
      <c r="Y35" s="446"/>
      <c r="Z35" s="446"/>
      <c r="AA35" s="446">
        <f>SUMIFS('SC2'!Z:Z,'SC2'!$I:$I,$D35)</f>
        <v>4089</v>
      </c>
      <c r="AB35" s="446"/>
      <c r="AC35" s="446">
        <f>SUMIFS('SC2'!AB:AB,'SC2'!$I:$I,$D35)</f>
        <v>676.7643441542458</v>
      </c>
      <c r="AD35" s="446">
        <f>SUMIFS('SC2'!AC:AC,'SC2'!$I:$I,$D35)</f>
        <v>0</v>
      </c>
      <c r="AE35" s="446">
        <f t="shared" si="16"/>
        <v>51226.87856690136</v>
      </c>
      <c r="AF35" s="446">
        <f t="shared" si="3"/>
        <v>46580.767144626647</v>
      </c>
      <c r="AH35" s="446">
        <f>SUMIFS('SC3'!S:S,'SC3'!$I:$I,$D35)</f>
        <v>0</v>
      </c>
      <c r="AI35" s="446">
        <f>SUMIFS('SC3'!T:T,'SC3'!$I:$I,$D35)</f>
        <v>0</v>
      </c>
      <c r="AJ35" s="446">
        <f>SUMIFS('SC3'!U:U,'SC3'!$I:$I,$D35)</f>
        <v>0</v>
      </c>
      <c r="AK35" s="446">
        <f>SUMIFS('SC3'!V:V,'SC3'!$I:$I,$D35)</f>
        <v>22541.011567956386</v>
      </c>
      <c r="AL35" s="446"/>
      <c r="AM35" s="446"/>
      <c r="AN35" s="446"/>
      <c r="AO35" s="446">
        <f>SUMIFS('SC3'!Z:Z,'SC3'!$I:$I,$D35)</f>
        <v>0</v>
      </c>
      <c r="AP35" s="446"/>
      <c r="AQ35" s="446">
        <f>SUMIFS('SC3'!AB:AB,'SC3'!$I:$I,$D35)</f>
        <v>0</v>
      </c>
      <c r="AR35" s="446">
        <f>SUMIFS('SC3'!AC:AC,'SC3'!$I:$I,$D35)</f>
        <v>25269.196255607007</v>
      </c>
      <c r="AS35" s="446">
        <f t="shared" si="17"/>
        <v>47810.207823563396</v>
      </c>
      <c r="AT35" s="446">
        <f t="shared" si="4"/>
        <v>39238.807602866</v>
      </c>
      <c r="AV35" s="446" t="e">
        <f>SUMIFS('Op 1 - Convergence'!AN:AN,'Op 1 - Convergence'!$I:$I,$D35)</f>
        <v>#REF!</v>
      </c>
      <c r="AX35" s="446" t="e">
        <f>SUMIFS('Op 1 - Convergence'!AK:AK,'Op 1 - Convergence'!$I:$I,$D35)</f>
        <v>#REF!</v>
      </c>
      <c r="AY35" s="449" t="e">
        <f t="shared" si="18"/>
        <v>#REF!</v>
      </c>
      <c r="BA35" s="446">
        <f t="shared" si="5"/>
        <v>51305.087511313948</v>
      </c>
      <c r="BB35" s="446" t="e">
        <f t="shared" si="6"/>
        <v>#REF!</v>
      </c>
      <c r="BC35" s="446" t="e">
        <f t="shared" si="7"/>
        <v>#REF!</v>
      </c>
      <c r="BE35" s="446">
        <f t="shared" si="8"/>
        <v>51226.87856690136</v>
      </c>
      <c r="BF35" s="446" t="e">
        <f t="shared" si="9"/>
        <v>#REF!</v>
      </c>
      <c r="BG35" s="446" t="e">
        <f t="shared" si="10"/>
        <v>#REF!</v>
      </c>
      <c r="BI35" s="446">
        <f t="shared" si="11"/>
        <v>47810.207823563396</v>
      </c>
      <c r="BJ35" s="446" t="e">
        <f t="shared" si="12"/>
        <v>#REF!</v>
      </c>
      <c r="BK35" s="446" t="e">
        <f t="shared" si="13"/>
        <v>#REF!</v>
      </c>
      <c r="BM35" s="446" t="e">
        <f>SUMIFS('Op 1 - Convergence'!K:K,'Op 1 - Convergence'!$I:$I,$D35)</f>
        <v>#REF!</v>
      </c>
      <c r="BN35" s="446">
        <f>SUMIFS('Op 1 - Convergence'!L:L,'Op 1 - Convergence'!$I:$I,$D35)</f>
        <v>697032.31230978144</v>
      </c>
      <c r="BO35" s="446" t="e">
        <f>SUMIFS('Op 1 - Convergence'!M:M,'Op 1 - Convergence'!$I:$I,$D35)</f>
        <v>#REF!</v>
      </c>
      <c r="BP35" s="446" t="e">
        <f>SUMIFS('Op 1 - Convergence'!N:N,'Op 1 - Convergence'!$I:$I,$D35)</f>
        <v>#REF!</v>
      </c>
      <c r="BQ35" s="446">
        <f>SUMIFS('Op 1 - Convergence'!O:O,'Op 1 - Convergence'!$I:$I,$D35)</f>
        <v>33453.687690218561</v>
      </c>
      <c r="BR35" s="446" t="e">
        <f>SUMIFS('Op 1 - Convergence'!P:P,'Op 1 - Convergence'!$I:$I,$D35)</f>
        <v>#REF!</v>
      </c>
      <c r="BS35" s="449" t="e">
        <f t="shared" si="19"/>
        <v>#REF!</v>
      </c>
      <c r="BU35" s="446">
        <f t="shared" si="20"/>
        <v>51305.087511313948</v>
      </c>
      <c r="BV35" s="449" t="e">
        <f t="shared" si="14"/>
        <v>#REF!</v>
      </c>
      <c r="BX35" s="446">
        <f t="shared" si="21"/>
        <v>51226.87856690136</v>
      </c>
      <c r="BY35" s="449" t="e">
        <f t="shared" si="22"/>
        <v>#REF!</v>
      </c>
      <c r="CA35" s="446">
        <f t="shared" si="23"/>
        <v>47810.207823563396</v>
      </c>
      <c r="CB35" s="449" t="e">
        <f t="shared" si="24"/>
        <v>#REF!</v>
      </c>
    </row>
    <row r="36" spans="2:80" x14ac:dyDescent="0.25">
      <c r="B36" s="266" t="s">
        <v>34</v>
      </c>
      <c r="C36" s="61" t="s">
        <v>35</v>
      </c>
      <c r="D36" s="61" t="s">
        <v>36</v>
      </c>
      <c r="E36" s="231" t="s">
        <v>37</v>
      </c>
      <c r="F36" s="446">
        <f>SUMIFS('SC1'!S:S,'SC1'!$I:$I,$D36)</f>
        <v>0</v>
      </c>
      <c r="G36" s="446">
        <f>SUMIFS('SC1'!T:T,'SC1'!$I:$I,$D36)</f>
        <v>0</v>
      </c>
      <c r="H36" s="446">
        <f>SUMIFS('SC1'!U:U,'SC1'!$I:$I,$D36)</f>
        <v>6082.4123774142317</v>
      </c>
      <c r="I36" s="446">
        <f>SUMIFS('SC1'!V:V,'SC1'!$I:$I,$D36)</f>
        <v>16288.621221736819</v>
      </c>
      <c r="J36" s="446"/>
      <c r="K36" s="446"/>
      <c r="L36" s="446"/>
      <c r="M36" s="446">
        <f>SUMIFS('SC1'!Z:Z,'SC1'!$I:$I,$D36)</f>
        <v>-9.9717373843304813E-2</v>
      </c>
      <c r="N36" s="446"/>
      <c r="O36" s="446">
        <f>SUMIFS('SC1'!AB:AB,'SC1'!$I:$I,$D36)</f>
        <v>199.94465279593214</v>
      </c>
      <c r="P36" s="446">
        <f>SUMIFS('SC1'!AC:AC,'SC1'!$I:$I,$D36)</f>
        <v>0</v>
      </c>
      <c r="Q36" s="446">
        <f t="shared" si="15"/>
        <v>22570.878534573141</v>
      </c>
      <c r="R36" s="446">
        <f t="shared" si="2"/>
        <v>20333.775174658036</v>
      </c>
      <c r="T36" s="446">
        <f>SUMIFS('SC2'!S:S,'SC2'!$I:$I,$D36)</f>
        <v>0</v>
      </c>
      <c r="U36" s="446">
        <f>SUMIFS('SC2'!T:T,'SC2'!$I:$I,$D36)</f>
        <v>0</v>
      </c>
      <c r="V36" s="446">
        <f>SUMIFS('SC2'!U:U,'SC2'!$I:$I,$D36)</f>
        <v>12164.824754828463</v>
      </c>
      <c r="W36" s="446">
        <f>SUMIFS('SC2'!V:V,'SC2'!$I:$I,$D36)</f>
        <v>15349.540341454993</v>
      </c>
      <c r="X36" s="446"/>
      <c r="Y36" s="446"/>
      <c r="Z36" s="446"/>
      <c r="AA36" s="446">
        <f>SUMIFS('SC2'!Z:Z,'SC2'!$I:$I,$D36)</f>
        <v>0.12263175600674003</v>
      </c>
      <c r="AB36" s="446"/>
      <c r="AC36" s="446">
        <f>SUMIFS('SC2'!AB:AB,'SC2'!$I:$I,$D36)</f>
        <v>400.78120296327575</v>
      </c>
      <c r="AD36" s="446">
        <f>SUMIFS('SC2'!AC:AC,'SC2'!$I:$I,$D36)</f>
        <v>0</v>
      </c>
      <c r="AE36" s="446">
        <f t="shared" si="16"/>
        <v>27915.268931002742</v>
      </c>
      <c r="AF36" s="446">
        <f t="shared" si="3"/>
        <v>25163.832421374394</v>
      </c>
      <c r="AH36" s="446">
        <f>SUMIFS('SC3'!S:S,'SC3'!$I:$I,$D36)</f>
        <v>0</v>
      </c>
      <c r="AI36" s="446">
        <f>SUMIFS('SC3'!T:T,'SC3'!$I:$I,$D36)</f>
        <v>0</v>
      </c>
      <c r="AJ36" s="446">
        <f>SUMIFS('SC3'!U:U,'SC3'!$I:$I,$D36)</f>
        <v>0</v>
      </c>
      <c r="AK36" s="446">
        <f>SUMIFS('SC3'!V:V,'SC3'!$I:$I,$D36)</f>
        <v>13348.832293321399</v>
      </c>
      <c r="AL36" s="446"/>
      <c r="AM36" s="446"/>
      <c r="AN36" s="446"/>
      <c r="AO36" s="446">
        <f>SUMIFS('SC3'!Z:Z,'SC3'!$I:$I,$D36)</f>
        <v>0</v>
      </c>
      <c r="AP36" s="446"/>
      <c r="AQ36" s="446">
        <f>SUMIFS('SC3'!AB:AB,'SC3'!$I:$I,$D36)</f>
        <v>0</v>
      </c>
      <c r="AR36" s="446">
        <f>SUMIFS('SC3'!AC:AC,'SC3'!$I:$I,$D36)</f>
        <v>14964.468741173918</v>
      </c>
      <c r="AS36" s="446">
        <f t="shared" si="17"/>
        <v>28313.301034495315</v>
      </c>
      <c r="AT36" s="446">
        <f t="shared" si="4"/>
        <v>23237.300619869697</v>
      </c>
      <c r="AV36" s="446" t="e">
        <f>SUMIFS('Op 1 - Convergence'!AN:AN,'Op 1 - Convergence'!$I:$I,$D36)</f>
        <v>#REF!</v>
      </c>
      <c r="AX36" s="446" t="e">
        <f>SUMIFS('Op 1 - Convergence'!AK:AK,'Op 1 - Convergence'!$I:$I,$D36)</f>
        <v>#REF!</v>
      </c>
      <c r="AY36" s="449" t="e">
        <f t="shared" si="18"/>
        <v>#REF!</v>
      </c>
      <c r="BA36" s="446">
        <f t="shared" si="5"/>
        <v>22570.878534573141</v>
      </c>
      <c r="BB36" s="446" t="e">
        <f t="shared" si="6"/>
        <v>#REF!</v>
      </c>
      <c r="BC36" s="446" t="e">
        <f t="shared" si="7"/>
        <v>#REF!</v>
      </c>
      <c r="BE36" s="446">
        <f t="shared" si="8"/>
        <v>27915.268931002742</v>
      </c>
      <c r="BF36" s="446" t="e">
        <f t="shared" si="9"/>
        <v>#REF!</v>
      </c>
      <c r="BG36" s="446" t="e">
        <f t="shared" si="10"/>
        <v>#REF!</v>
      </c>
      <c r="BI36" s="446">
        <f t="shared" si="11"/>
        <v>28313.301034495315</v>
      </c>
      <c r="BJ36" s="446" t="e">
        <f t="shared" si="12"/>
        <v>#REF!</v>
      </c>
      <c r="BK36" s="446" t="e">
        <f t="shared" si="13"/>
        <v>#REF!</v>
      </c>
      <c r="BM36" s="446" t="e">
        <f>SUMIFS('Op 1 - Convergence'!K:K,'Op 1 - Convergence'!$I:$I,$D36)</f>
        <v>#REF!</v>
      </c>
      <c r="BN36" s="446">
        <f>SUMIFS('Op 1 - Convergence'!L:L,'Op 1 - Convergence'!$I:$I,$D36)</f>
        <v>544962.09035921283</v>
      </c>
      <c r="BO36" s="446" t="e">
        <f>SUMIFS('Op 1 - Convergence'!M:M,'Op 1 - Convergence'!$I:$I,$D36)</f>
        <v>#REF!</v>
      </c>
      <c r="BP36" s="446" t="e">
        <f>SUMIFS('Op 1 - Convergence'!N:N,'Op 1 - Convergence'!$I:$I,$D36)</f>
        <v>#REF!</v>
      </c>
      <c r="BQ36" s="446">
        <f>SUMIFS('Op 1 - Convergence'!O:O,'Op 1 - Convergence'!$I:$I,$D36)</f>
        <v>17523.556946943398</v>
      </c>
      <c r="BR36" s="446" t="e">
        <f>SUMIFS('Op 1 - Convergence'!P:P,'Op 1 - Convergence'!$I:$I,$D36)</f>
        <v>#REF!</v>
      </c>
      <c r="BS36" s="449" t="e">
        <f t="shared" si="19"/>
        <v>#REF!</v>
      </c>
      <c r="BU36" s="446">
        <f t="shared" si="20"/>
        <v>22570.878534573141</v>
      </c>
      <c r="BV36" s="449" t="e">
        <f t="shared" si="14"/>
        <v>#REF!</v>
      </c>
      <c r="BX36" s="446">
        <f t="shared" si="21"/>
        <v>27915.268931002742</v>
      </c>
      <c r="BY36" s="449" t="e">
        <f t="shared" si="22"/>
        <v>#REF!</v>
      </c>
      <c r="CA36" s="446">
        <f t="shared" si="23"/>
        <v>28313.301034495315</v>
      </c>
      <c r="CB36" s="449" t="e">
        <f t="shared" si="24"/>
        <v>#REF!</v>
      </c>
    </row>
    <row r="37" spans="2:80" x14ac:dyDescent="0.25">
      <c r="B37" s="267" t="s">
        <v>34</v>
      </c>
      <c r="C37" s="268" t="s">
        <v>35</v>
      </c>
      <c r="D37" s="61" t="s">
        <v>40</v>
      </c>
      <c r="E37" s="231" t="s">
        <v>41</v>
      </c>
      <c r="F37" s="446">
        <f>SUMIFS('SC1'!S:S,'SC1'!$I:$I,$D37)</f>
        <v>2305.3349890025656</v>
      </c>
      <c r="G37" s="446">
        <f>SUMIFS('SC1'!T:T,'SC1'!$I:$I,$D37)</f>
        <v>0</v>
      </c>
      <c r="H37" s="446">
        <f>SUMIFS('SC1'!U:U,'SC1'!$I:$I,$D37)</f>
        <v>3952.3696221927635</v>
      </c>
      <c r="I37" s="446">
        <f>SUMIFS('SC1'!V:V,'SC1'!$I:$I,$D37)</f>
        <v>10584.394432586263</v>
      </c>
      <c r="J37" s="446"/>
      <c r="K37" s="446"/>
      <c r="L37" s="446"/>
      <c r="M37" s="446">
        <f>SUMIFS('SC1'!Z:Z,'SC1'!$I:$I,$D37)</f>
        <v>916</v>
      </c>
      <c r="N37" s="446"/>
      <c r="O37" s="446">
        <f>SUMIFS('SC1'!AB:AB,'SC1'!$I:$I,$D37)</f>
        <v>129.92462904438526</v>
      </c>
      <c r="P37" s="446">
        <f>SUMIFS('SC1'!AC:AC,'SC1'!$I:$I,$D37)</f>
        <v>0</v>
      </c>
      <c r="Q37" s="446">
        <f t="shared" si="15"/>
        <v>17888.023672825977</v>
      </c>
      <c r="R37" s="446">
        <f t="shared" si="2"/>
        <v>16434.347267348076</v>
      </c>
      <c r="T37" s="446">
        <f>SUMIFS('SC2'!S:S,'SC2'!$I:$I,$D37)</f>
        <v>0</v>
      </c>
      <c r="U37" s="446">
        <f>SUMIFS('SC2'!T:T,'SC2'!$I:$I,$D37)</f>
        <v>0</v>
      </c>
      <c r="V37" s="446">
        <f>SUMIFS('SC2'!U:U,'SC2'!$I:$I,$D37)</f>
        <v>7894.3233389080851</v>
      </c>
      <c r="W37" s="446">
        <f>SUMIFS('SC2'!V:V,'SC2'!$I:$I,$D37)</f>
        <v>9961.0341292391258</v>
      </c>
      <c r="X37" s="446"/>
      <c r="Y37" s="446"/>
      <c r="Z37" s="446"/>
      <c r="AA37" s="446">
        <f>SUMIFS('SC2'!Z:Z,'SC2'!$I:$I,$D37)</f>
        <v>1832</v>
      </c>
      <c r="AB37" s="446"/>
      <c r="AC37" s="446">
        <f>SUMIFS('SC2'!AB:AB,'SC2'!$I:$I,$D37)</f>
        <v>260.08565418033101</v>
      </c>
      <c r="AD37" s="446">
        <f>SUMIFS('SC2'!AC:AC,'SC2'!$I:$I,$D37)</f>
        <v>0</v>
      </c>
      <c r="AE37" s="446">
        <f t="shared" si="16"/>
        <v>19947.443122327539</v>
      </c>
      <c r="AF37" s="446">
        <f t="shared" si="3"/>
        <v>18161.907375512819</v>
      </c>
      <c r="AH37" s="446">
        <f>SUMIFS('SC3'!S:S,'SC3'!$I:$I,$D37)</f>
        <v>0</v>
      </c>
      <c r="AI37" s="446">
        <f>SUMIFS('SC3'!T:T,'SC3'!$I:$I,$D37)</f>
        <v>0</v>
      </c>
      <c r="AJ37" s="446">
        <f>SUMIFS('SC3'!U:U,'SC3'!$I:$I,$D37)</f>
        <v>0</v>
      </c>
      <c r="AK37" s="446">
        <f>SUMIFS('SC3'!V:V,'SC3'!$I:$I,$D37)</f>
        <v>8662.6811683834258</v>
      </c>
      <c r="AL37" s="446"/>
      <c r="AM37" s="446"/>
      <c r="AN37" s="446"/>
      <c r="AO37" s="446">
        <f>SUMIFS('SC3'!Z:Z,'SC3'!$I:$I,$D37)</f>
        <v>0</v>
      </c>
      <c r="AP37" s="446"/>
      <c r="AQ37" s="446">
        <f>SUMIFS('SC3'!AB:AB,'SC3'!$I:$I,$D37)</f>
        <v>0</v>
      </c>
      <c r="AR37" s="446">
        <f>SUMIFS('SC3'!AC:AC,'SC3'!$I:$I,$D37)</f>
        <v>9711.1431704694169</v>
      </c>
      <c r="AS37" s="446">
        <f t="shared" si="17"/>
        <v>18373.824338852843</v>
      </c>
      <c r="AT37" s="446">
        <f t="shared" si="4"/>
        <v>15079.770429397146</v>
      </c>
      <c r="AV37" s="446" t="e">
        <f>SUMIFS('Op 1 - Convergence'!AN:AN,'Op 1 - Convergence'!$I:$I,$D37)</f>
        <v>#REF!</v>
      </c>
      <c r="AX37" s="446" t="e">
        <f>SUMIFS('Op 1 - Convergence'!AK:AK,'Op 1 - Convergence'!$I:$I,$D37)</f>
        <v>#REF!</v>
      </c>
      <c r="AY37" s="449" t="e">
        <f t="shared" si="18"/>
        <v>#REF!</v>
      </c>
      <c r="BA37" s="446">
        <f t="shared" si="5"/>
        <v>17888.023672825977</v>
      </c>
      <c r="BB37" s="446" t="e">
        <f t="shared" si="6"/>
        <v>#REF!</v>
      </c>
      <c r="BC37" s="446" t="e">
        <f t="shared" si="7"/>
        <v>#REF!</v>
      </c>
      <c r="BE37" s="446">
        <f t="shared" si="8"/>
        <v>19947.443122327539</v>
      </c>
      <c r="BF37" s="446" t="e">
        <f t="shared" si="9"/>
        <v>#REF!</v>
      </c>
      <c r="BG37" s="446" t="e">
        <f t="shared" si="10"/>
        <v>#REF!</v>
      </c>
      <c r="BI37" s="446">
        <f t="shared" si="11"/>
        <v>18373.824338852843</v>
      </c>
      <c r="BJ37" s="446" t="e">
        <f t="shared" si="12"/>
        <v>#REF!</v>
      </c>
      <c r="BK37" s="446" t="e">
        <f t="shared" si="13"/>
        <v>#REF!</v>
      </c>
      <c r="BM37" s="446" t="e">
        <f>SUMIFS('Op 1 - Convergence'!K:K,'Op 1 - Convergence'!$I:$I,$D37)</f>
        <v>#REF!</v>
      </c>
      <c r="BN37" s="446">
        <f>SUMIFS('Op 1 - Convergence'!L:L,'Op 1 - Convergence'!$I:$I,$D37)</f>
        <v>313055.19999377243</v>
      </c>
      <c r="BO37" s="446" t="e">
        <f>SUMIFS('Op 1 - Convergence'!M:M,'Op 1 - Convergence'!$I:$I,$D37)</f>
        <v>#REF!</v>
      </c>
      <c r="BP37" s="446" t="e">
        <f>SUMIFS('Op 1 - Convergence'!N:N,'Op 1 - Convergence'!$I:$I,$D37)</f>
        <v>#REF!</v>
      </c>
      <c r="BQ37" s="446">
        <f>SUMIFS('Op 1 - Convergence'!O:O,'Op 1 - Convergence'!$I:$I,$D37)</f>
        <v>14146.800006227568</v>
      </c>
      <c r="BR37" s="446" t="e">
        <f>SUMIFS('Op 1 - Convergence'!P:P,'Op 1 - Convergence'!$I:$I,$D37)</f>
        <v>#REF!</v>
      </c>
      <c r="BS37" s="449" t="e">
        <f t="shared" si="19"/>
        <v>#REF!</v>
      </c>
      <c r="BU37" s="446">
        <f t="shared" si="20"/>
        <v>17888.023672825977</v>
      </c>
      <c r="BV37" s="449" t="e">
        <f t="shared" si="14"/>
        <v>#REF!</v>
      </c>
      <c r="BX37" s="446">
        <f t="shared" si="21"/>
        <v>19947.443122327539</v>
      </c>
      <c r="BY37" s="449" t="e">
        <f t="shared" si="22"/>
        <v>#REF!</v>
      </c>
      <c r="CA37" s="446">
        <f t="shared" si="23"/>
        <v>18373.824338852843</v>
      </c>
      <c r="CB37" s="449" t="e">
        <f t="shared" si="24"/>
        <v>#REF!</v>
      </c>
    </row>
    <row r="38" spans="2:80" x14ac:dyDescent="0.25">
      <c r="B38" s="266" t="s">
        <v>58</v>
      </c>
      <c r="C38" s="61" t="s">
        <v>59</v>
      </c>
      <c r="D38" s="61" t="s">
        <v>60</v>
      </c>
      <c r="E38" s="231" t="s">
        <v>61</v>
      </c>
      <c r="F38" s="446">
        <f>SUMIFS('SC1'!S:S,'SC1'!$I:$I,$D38)</f>
        <v>1543.534196449501</v>
      </c>
      <c r="G38" s="446">
        <f>SUMIFS('SC1'!T:T,'SC1'!$I:$I,$D38)</f>
        <v>0</v>
      </c>
      <c r="H38" s="446">
        <f>SUMIFS('SC1'!U:U,'SC1'!$I:$I,$D38)</f>
        <v>3855.1219448366155</v>
      </c>
      <c r="I38" s="446">
        <f>SUMIFS('SC1'!V:V,'SC1'!$I:$I,$D38)</f>
        <v>10323.966417703561</v>
      </c>
      <c r="J38" s="446"/>
      <c r="K38" s="446"/>
      <c r="L38" s="446"/>
      <c r="M38" s="446">
        <f>SUMIFS('SC1'!Z:Z,'SC1'!$I:$I,$D38)</f>
        <v>919</v>
      </c>
      <c r="N38" s="446"/>
      <c r="O38" s="446">
        <f>SUMIFS('SC1'!AB:AB,'SC1'!$I:$I,$D38)</f>
        <v>126.72784594622053</v>
      </c>
      <c r="P38" s="446">
        <f>SUMIFS('SC1'!AC:AC,'SC1'!$I:$I,$D38)</f>
        <v>0</v>
      </c>
      <c r="Q38" s="446">
        <f t="shared" si="15"/>
        <v>16768.3504049359</v>
      </c>
      <c r="R38" s="446">
        <f t="shared" si="2"/>
        <v>15350.441568681881</v>
      </c>
      <c r="T38" s="446">
        <f>SUMIFS('SC2'!S:S,'SC2'!$I:$I,$D38)</f>
        <v>0</v>
      </c>
      <c r="U38" s="446">
        <f>SUMIFS('SC2'!T:T,'SC2'!$I:$I,$D38)</f>
        <v>0</v>
      </c>
      <c r="V38" s="446">
        <f>SUMIFS('SC2'!U:U,'SC2'!$I:$I,$D38)</f>
        <v>7703.2538751304546</v>
      </c>
      <c r="W38" s="446">
        <f>SUMIFS('SC2'!V:V,'SC2'!$I:$I,$D38)</f>
        <v>9719.943237969952</v>
      </c>
      <c r="X38" s="446"/>
      <c r="Y38" s="446"/>
      <c r="Z38" s="446"/>
      <c r="AA38" s="446">
        <f>SUMIFS('SC2'!Z:Z,'SC2'!$I:$I,$D38)</f>
        <v>1838</v>
      </c>
      <c r="AB38" s="446"/>
      <c r="AC38" s="446">
        <f>SUMIFS('SC2'!AB:AB,'SC2'!$I:$I,$D38)</f>
        <v>253.7906971147184</v>
      </c>
      <c r="AD38" s="446">
        <f>SUMIFS('SC2'!AC:AC,'SC2'!$I:$I,$D38)</f>
        <v>0</v>
      </c>
      <c r="AE38" s="446">
        <f t="shared" si="16"/>
        <v>19514.987810215123</v>
      </c>
      <c r="AF38" s="446">
        <f t="shared" si="3"/>
        <v>17772.668098905084</v>
      </c>
      <c r="AH38" s="446">
        <f>SUMIFS('SC3'!S:S,'SC3'!$I:$I,$D38)</f>
        <v>0</v>
      </c>
      <c r="AI38" s="446">
        <f>SUMIFS('SC3'!T:T,'SC3'!$I:$I,$D38)</f>
        <v>0</v>
      </c>
      <c r="AJ38" s="446">
        <f>SUMIFS('SC3'!U:U,'SC3'!$I:$I,$D38)</f>
        <v>0</v>
      </c>
      <c r="AK38" s="446">
        <f>SUMIFS('SC3'!V:V,'SC3'!$I:$I,$D38)</f>
        <v>8453.0148328836021</v>
      </c>
      <c r="AL38" s="446"/>
      <c r="AM38" s="446"/>
      <c r="AN38" s="446"/>
      <c r="AO38" s="446">
        <f>SUMIFS('SC3'!Z:Z,'SC3'!$I:$I,$D38)</f>
        <v>0</v>
      </c>
      <c r="AP38" s="446"/>
      <c r="AQ38" s="446">
        <f>SUMIFS('SC3'!AB:AB,'SC3'!$I:$I,$D38)</f>
        <v>0</v>
      </c>
      <c r="AR38" s="446">
        <f>SUMIFS('SC3'!AC:AC,'SC3'!$I:$I,$D38)</f>
        <v>9476.1004899771797</v>
      </c>
      <c r="AS38" s="446">
        <f t="shared" si="17"/>
        <v>17929.11532286078</v>
      </c>
      <c r="AT38" s="446">
        <f t="shared" si="4"/>
        <v>14714.788717078127</v>
      </c>
      <c r="AV38" s="446" t="e">
        <f>SUMIFS('Op 1 - Convergence'!AN:AN,'Op 1 - Convergence'!$I:$I,$D38)</f>
        <v>#REF!</v>
      </c>
      <c r="AX38" s="446" t="e">
        <f>SUMIFS('Op 1 - Convergence'!AK:AK,'Op 1 - Convergence'!$I:$I,$D38)</f>
        <v>#REF!</v>
      </c>
      <c r="AY38" s="449" t="e">
        <f t="shared" si="18"/>
        <v>#REF!</v>
      </c>
      <c r="BA38" s="446">
        <f t="shared" si="5"/>
        <v>16768.3504049359</v>
      </c>
      <c r="BB38" s="446" t="e">
        <f t="shared" si="6"/>
        <v>#REF!</v>
      </c>
      <c r="BC38" s="446" t="e">
        <f t="shared" si="7"/>
        <v>#REF!</v>
      </c>
      <c r="BE38" s="446">
        <f t="shared" si="8"/>
        <v>19514.987810215123</v>
      </c>
      <c r="BF38" s="446" t="e">
        <f t="shared" si="9"/>
        <v>#REF!</v>
      </c>
      <c r="BG38" s="446" t="e">
        <f t="shared" si="10"/>
        <v>#REF!</v>
      </c>
      <c r="BI38" s="446">
        <f t="shared" si="11"/>
        <v>17929.11532286078</v>
      </c>
      <c r="BJ38" s="446" t="e">
        <f t="shared" si="12"/>
        <v>#REF!</v>
      </c>
      <c r="BK38" s="446" t="e">
        <f t="shared" si="13"/>
        <v>#REF!</v>
      </c>
      <c r="BM38" s="446" t="e">
        <f>SUMIFS('Op 1 - Convergence'!K:K,'Op 1 - Convergence'!$I:$I,$D38)</f>
        <v>#REF!</v>
      </c>
      <c r="BN38" s="446">
        <f>SUMIFS('Op 1 - Convergence'!L:L,'Op 1 - Convergence'!$I:$I,$D38)</f>
        <v>313058.37890935689</v>
      </c>
      <c r="BO38" s="446" t="e">
        <f>SUMIFS('Op 1 - Convergence'!M:M,'Op 1 - Convergence'!$I:$I,$D38)</f>
        <v>#REF!</v>
      </c>
      <c r="BP38" s="446" t="e">
        <f>SUMIFS('Op 1 - Convergence'!N:N,'Op 1 - Convergence'!$I:$I,$D38)</f>
        <v>#REF!</v>
      </c>
      <c r="BQ38" s="446">
        <f>SUMIFS('Op 1 - Convergence'!O:O,'Op 1 - Convergence'!$I:$I,$D38)</f>
        <v>15444.621090643108</v>
      </c>
      <c r="BR38" s="446" t="e">
        <f>SUMIFS('Op 1 - Convergence'!P:P,'Op 1 - Convergence'!$I:$I,$D38)</f>
        <v>#REF!</v>
      </c>
      <c r="BS38" s="449" t="e">
        <f t="shared" si="19"/>
        <v>#REF!</v>
      </c>
      <c r="BU38" s="446">
        <f t="shared" si="20"/>
        <v>16768.3504049359</v>
      </c>
      <c r="BV38" s="449" t="e">
        <f t="shared" si="14"/>
        <v>#REF!</v>
      </c>
      <c r="BX38" s="446">
        <f t="shared" si="21"/>
        <v>19514.987810215123</v>
      </c>
      <c r="BY38" s="449" t="e">
        <f t="shared" si="22"/>
        <v>#REF!</v>
      </c>
      <c r="CA38" s="446">
        <f t="shared" si="23"/>
        <v>17929.11532286078</v>
      </c>
      <c r="CB38" s="449" t="e">
        <f t="shared" si="24"/>
        <v>#REF!</v>
      </c>
    </row>
    <row r="39" spans="2:80" x14ac:dyDescent="0.25">
      <c r="B39" s="267" t="s">
        <v>58</v>
      </c>
      <c r="C39" s="268" t="s">
        <v>59</v>
      </c>
      <c r="D39" s="61" t="s">
        <v>62</v>
      </c>
      <c r="E39" s="231" t="s">
        <v>63</v>
      </c>
      <c r="F39" s="446">
        <f>SUMIFS('SC1'!S:S,'SC1'!$I:$I,$D39)</f>
        <v>4301.2846756432882</v>
      </c>
      <c r="G39" s="446">
        <f>SUMIFS('SC1'!T:T,'SC1'!$I:$I,$D39)</f>
        <v>0</v>
      </c>
      <c r="H39" s="446">
        <f>SUMIFS('SC1'!U:U,'SC1'!$I:$I,$D39)</f>
        <v>3540.7240205173812</v>
      </c>
      <c r="I39" s="446">
        <f>SUMIFS('SC1'!V:V,'SC1'!$I:$I,$D39)</f>
        <v>9482.0128663211435</v>
      </c>
      <c r="J39" s="446"/>
      <c r="K39" s="446"/>
      <c r="L39" s="446"/>
      <c r="M39" s="446">
        <f>SUMIFS('SC1'!Z:Z,'SC1'!$I:$I,$D39)</f>
        <v>3.1499628792516887E-2</v>
      </c>
      <c r="N39" s="446"/>
      <c r="O39" s="446">
        <f>SUMIFS('SC1'!AB:AB,'SC1'!$I:$I,$D39)</f>
        <v>116.3927716505025</v>
      </c>
      <c r="P39" s="446">
        <f>SUMIFS('SC1'!AC:AC,'SC1'!$I:$I,$D39)</f>
        <v>0</v>
      </c>
      <c r="Q39" s="446">
        <f t="shared" si="15"/>
        <v>17440.445833761107</v>
      </c>
      <c r="R39" s="446">
        <f t="shared" si="2"/>
        <v>16138.172145077255</v>
      </c>
      <c r="T39" s="446">
        <f>SUMIFS('SC2'!S:S,'SC2'!$I:$I,$D39)</f>
        <v>0</v>
      </c>
      <c r="U39" s="446">
        <f>SUMIFS('SC2'!T:T,'SC2'!$I:$I,$D39)</f>
        <v>0</v>
      </c>
      <c r="V39" s="446">
        <f>SUMIFS('SC2'!U:U,'SC2'!$I:$I,$D39)</f>
        <v>7061.9746316692517</v>
      </c>
      <c r="W39" s="446">
        <f>SUMIFS('SC2'!V:V,'SC2'!$I:$I,$D39)</f>
        <v>8910.7789617859944</v>
      </c>
      <c r="X39" s="446"/>
      <c r="Y39" s="446"/>
      <c r="Z39" s="446"/>
      <c r="AA39" s="446">
        <f>SUMIFS('SC2'!Z:Z,'SC2'!$I:$I,$D39)</f>
        <v>0.11087417241651565</v>
      </c>
      <c r="AB39" s="446"/>
      <c r="AC39" s="446">
        <f>SUMIFS('SC2'!AB:AB,'SC2'!$I:$I,$D39)</f>
        <v>232.66316985397862</v>
      </c>
      <c r="AD39" s="446">
        <f>SUMIFS('SC2'!AC:AC,'SC2'!$I:$I,$D39)</f>
        <v>0</v>
      </c>
      <c r="AE39" s="446">
        <f t="shared" si="16"/>
        <v>16205.527637481642</v>
      </c>
      <c r="AF39" s="446">
        <f t="shared" si="3"/>
        <v>14608.252278136117</v>
      </c>
      <c r="AH39" s="446">
        <f>SUMIFS('SC3'!S:S,'SC3'!$I:$I,$D39)</f>
        <v>0</v>
      </c>
      <c r="AI39" s="446">
        <f>SUMIFS('SC3'!T:T,'SC3'!$I:$I,$D39)</f>
        <v>0</v>
      </c>
      <c r="AJ39" s="446">
        <f>SUMIFS('SC3'!U:U,'SC3'!$I:$I,$D39)</f>
        <v>0</v>
      </c>
      <c r="AK39" s="446">
        <f>SUMIFS('SC3'!V:V,'SC3'!$I:$I,$D39)</f>
        <v>7749.31960942764</v>
      </c>
      <c r="AL39" s="446"/>
      <c r="AM39" s="446"/>
      <c r="AN39" s="446"/>
      <c r="AO39" s="446">
        <f>SUMIFS('SC3'!Z:Z,'SC3'!$I:$I,$D39)</f>
        <v>0</v>
      </c>
      <c r="AP39" s="446"/>
      <c r="AQ39" s="446">
        <f>SUMIFS('SC3'!AB:AB,'SC3'!$I:$I,$D39)</f>
        <v>0</v>
      </c>
      <c r="AR39" s="446">
        <f>SUMIFS('SC3'!AC:AC,'SC3'!$I:$I,$D39)</f>
        <v>8687.2355957805048</v>
      </c>
      <c r="AS39" s="446">
        <f t="shared" si="17"/>
        <v>16436.555205208144</v>
      </c>
      <c r="AT39" s="446">
        <f t="shared" si="4"/>
        <v>13489.814345320254</v>
      </c>
      <c r="AV39" s="446" t="e">
        <f>SUMIFS('Op 1 - Convergence'!AN:AN,'Op 1 - Convergence'!$I:$I,$D39)</f>
        <v>#REF!</v>
      </c>
      <c r="AX39" s="446" t="e">
        <f>SUMIFS('Op 1 - Convergence'!AK:AK,'Op 1 - Convergence'!$I:$I,$D39)</f>
        <v>#REF!</v>
      </c>
      <c r="AY39" s="449" t="e">
        <f t="shared" si="18"/>
        <v>#REF!</v>
      </c>
      <c r="BA39" s="446">
        <f t="shared" si="5"/>
        <v>17440.445833761107</v>
      </c>
      <c r="BB39" s="446" t="e">
        <f t="shared" si="6"/>
        <v>#REF!</v>
      </c>
      <c r="BC39" s="446" t="e">
        <f t="shared" si="7"/>
        <v>#REF!</v>
      </c>
      <c r="BE39" s="446">
        <f t="shared" si="8"/>
        <v>16205.527637481642</v>
      </c>
      <c r="BF39" s="446" t="e">
        <f t="shared" si="9"/>
        <v>#REF!</v>
      </c>
      <c r="BG39" s="446" t="e">
        <f t="shared" si="10"/>
        <v>#REF!</v>
      </c>
      <c r="BI39" s="446">
        <f t="shared" si="11"/>
        <v>16436.555205208144</v>
      </c>
      <c r="BJ39" s="446" t="e">
        <f t="shared" si="12"/>
        <v>#REF!</v>
      </c>
      <c r="BK39" s="446" t="e">
        <f t="shared" si="13"/>
        <v>#REF!</v>
      </c>
      <c r="BM39" s="446" t="e">
        <f>SUMIFS('Op 1 - Convergence'!K:K,'Op 1 - Convergence'!$I:$I,$D39)</f>
        <v>#REF!</v>
      </c>
      <c r="BN39" s="446">
        <f>SUMIFS('Op 1 - Convergence'!L:L,'Op 1 - Convergence'!$I:$I,$D39)</f>
        <v>321815.61586934631</v>
      </c>
      <c r="BO39" s="446" t="e">
        <f>SUMIFS('Op 1 - Convergence'!M:M,'Op 1 - Convergence'!$I:$I,$D39)</f>
        <v>#REF!</v>
      </c>
      <c r="BP39" s="446" t="e">
        <f>SUMIFS('Op 1 - Convergence'!N:N,'Op 1 - Convergence'!$I:$I,$D39)</f>
        <v>#REF!</v>
      </c>
      <c r="BQ39" s="446">
        <f>SUMIFS('Op 1 - Convergence'!O:O,'Op 1 - Convergence'!$I:$I,$D39)</f>
        <v>11742.727878378937</v>
      </c>
      <c r="BR39" s="446" t="e">
        <f>SUMIFS('Op 1 - Convergence'!P:P,'Op 1 - Convergence'!$I:$I,$D39)</f>
        <v>#REF!</v>
      </c>
      <c r="BS39" s="449" t="e">
        <f t="shared" si="19"/>
        <v>#REF!</v>
      </c>
      <c r="BU39" s="446">
        <f t="shared" si="20"/>
        <v>17440.445833761107</v>
      </c>
      <c r="BV39" s="449" t="e">
        <f t="shared" si="14"/>
        <v>#REF!</v>
      </c>
      <c r="BX39" s="446">
        <f t="shared" si="21"/>
        <v>16205.527637481642</v>
      </c>
      <c r="BY39" s="449" t="e">
        <f t="shared" si="22"/>
        <v>#REF!</v>
      </c>
      <c r="CA39" s="446">
        <f t="shared" si="23"/>
        <v>16436.555205208144</v>
      </c>
      <c r="CB39" s="449" t="e">
        <f t="shared" si="24"/>
        <v>#REF!</v>
      </c>
    </row>
    <row r="40" spans="2:80" x14ac:dyDescent="0.25">
      <c r="B40" s="267" t="s">
        <v>58</v>
      </c>
      <c r="C40" s="268" t="s">
        <v>59</v>
      </c>
      <c r="D40" s="61" t="s">
        <v>64</v>
      </c>
      <c r="E40" s="231" t="s">
        <v>65</v>
      </c>
      <c r="F40" s="446">
        <f>SUMIFS('SC1'!S:S,'SC1'!$I:$I,$D40)</f>
        <v>7333.3708046417887</v>
      </c>
      <c r="G40" s="446">
        <f>SUMIFS('SC1'!T:T,'SC1'!$I:$I,$D40)</f>
        <v>0</v>
      </c>
      <c r="H40" s="446">
        <f>SUMIFS('SC1'!U:U,'SC1'!$I:$I,$D40)</f>
        <v>6049.4553768549522</v>
      </c>
      <c r="I40" s="446">
        <f>SUMIFS('SC1'!V:V,'SC1'!$I:$I,$D40)</f>
        <v>16200.362802970594</v>
      </c>
      <c r="J40" s="446"/>
      <c r="K40" s="446"/>
      <c r="L40" s="446"/>
      <c r="M40" s="446">
        <f>SUMIFS('SC1'!Z:Z,'SC1'!$I:$I,$D40)</f>
        <v>1493</v>
      </c>
      <c r="N40" s="446"/>
      <c r="O40" s="446">
        <f>SUMIFS('SC1'!AB:AB,'SC1'!$I:$I,$D40)</f>
        <v>198.86127080452204</v>
      </c>
      <c r="P40" s="446">
        <f>SUMIFS('SC1'!AC:AC,'SC1'!$I:$I,$D40)</f>
        <v>0</v>
      </c>
      <c r="Q40" s="446">
        <f t="shared" si="15"/>
        <v>31275.050255271857</v>
      </c>
      <c r="R40" s="446">
        <f t="shared" si="2"/>
        <v>29050.068437289305</v>
      </c>
      <c r="T40" s="446">
        <f>SUMIFS('SC2'!S:S,'SC2'!$I:$I,$D40)</f>
        <v>0</v>
      </c>
      <c r="U40" s="446">
        <f>SUMIFS('SC2'!T:T,'SC2'!$I:$I,$D40)</f>
        <v>0</v>
      </c>
      <c r="V40" s="446">
        <f>SUMIFS('SC2'!U:U,'SC2'!$I:$I,$D40)</f>
        <v>12065.639727696791</v>
      </c>
      <c r="W40" s="446">
        <f>SUMIFS('SC2'!V:V,'SC2'!$I:$I,$D40)</f>
        <v>15224.388963945699</v>
      </c>
      <c r="X40" s="446"/>
      <c r="Y40" s="446"/>
      <c r="Z40" s="446"/>
      <c r="AA40" s="446">
        <f>SUMIFS('SC2'!Z:Z,'SC2'!$I:$I,$D40)</f>
        <v>2985</v>
      </c>
      <c r="AB40" s="446"/>
      <c r="AC40" s="446">
        <f>SUMIFS('SC2'!AB:AB,'SC2'!$I:$I,$D40)</f>
        <v>397.51346213749861</v>
      </c>
      <c r="AD40" s="446">
        <f>SUMIFS('SC2'!AC:AC,'SC2'!$I:$I,$D40)</f>
        <v>0</v>
      </c>
      <c r="AE40" s="446">
        <f t="shared" si="16"/>
        <v>30672.542153779988</v>
      </c>
      <c r="AF40" s="446">
        <f t="shared" si="3"/>
        <v>27943.539284615745</v>
      </c>
      <c r="AH40" s="446">
        <f>SUMIFS('SC3'!S:S,'SC3'!$I:$I,$D40)</f>
        <v>0</v>
      </c>
      <c r="AI40" s="446">
        <f>SUMIFS('SC3'!T:T,'SC3'!$I:$I,$D40)</f>
        <v>0</v>
      </c>
      <c r="AJ40" s="446">
        <f>SUMIFS('SC3'!U:U,'SC3'!$I:$I,$D40)</f>
        <v>0</v>
      </c>
      <c r="AK40" s="446">
        <f>SUMIFS('SC3'!V:V,'SC3'!$I:$I,$D40)</f>
        <v>13239.99354554875</v>
      </c>
      <c r="AL40" s="446"/>
      <c r="AM40" s="446"/>
      <c r="AN40" s="446"/>
      <c r="AO40" s="446">
        <f>SUMIFS('SC3'!Z:Z,'SC3'!$I:$I,$D40)</f>
        <v>0</v>
      </c>
      <c r="AP40" s="446"/>
      <c r="AQ40" s="446">
        <f>SUMIFS('SC3'!AB:AB,'SC3'!$I:$I,$D40)</f>
        <v>0</v>
      </c>
      <c r="AR40" s="446">
        <f>SUMIFS('SC3'!AC:AC,'SC3'!$I:$I,$D40)</f>
        <v>14842.457017370392</v>
      </c>
      <c r="AS40" s="446">
        <f t="shared" si="17"/>
        <v>28082.450562919141</v>
      </c>
      <c r="AT40" s="446">
        <f t="shared" si="4"/>
        <v>23047.83695402167</v>
      </c>
      <c r="AV40" s="446" t="e">
        <f>SUMIFS('Op 1 - Convergence'!AN:AN,'Op 1 - Convergence'!$I:$I,$D40)</f>
        <v>#REF!</v>
      </c>
      <c r="AX40" s="446" t="e">
        <f>SUMIFS('Op 1 - Convergence'!AK:AK,'Op 1 - Convergence'!$I:$I,$D40)</f>
        <v>#REF!</v>
      </c>
      <c r="AY40" s="449" t="e">
        <f t="shared" si="18"/>
        <v>#REF!</v>
      </c>
      <c r="BA40" s="446">
        <f t="shared" si="5"/>
        <v>31275.050255271857</v>
      </c>
      <c r="BB40" s="446" t="e">
        <f t="shared" si="6"/>
        <v>#REF!</v>
      </c>
      <c r="BC40" s="446" t="e">
        <f t="shared" si="7"/>
        <v>#REF!</v>
      </c>
      <c r="BE40" s="446">
        <f t="shared" si="8"/>
        <v>30672.542153779988</v>
      </c>
      <c r="BF40" s="446" t="e">
        <f t="shared" si="9"/>
        <v>#REF!</v>
      </c>
      <c r="BG40" s="446" t="e">
        <f t="shared" si="10"/>
        <v>#REF!</v>
      </c>
      <c r="BI40" s="446">
        <f t="shared" si="11"/>
        <v>28082.450562919141</v>
      </c>
      <c r="BJ40" s="446" t="e">
        <f t="shared" si="12"/>
        <v>#REF!</v>
      </c>
      <c r="BK40" s="446" t="e">
        <f t="shared" si="13"/>
        <v>#REF!</v>
      </c>
      <c r="BM40" s="446" t="e">
        <f>SUMIFS('Op 1 - Convergence'!K:K,'Op 1 - Convergence'!$I:$I,$D40)</f>
        <v>#REF!</v>
      </c>
      <c r="BN40" s="446">
        <f>SUMIFS('Op 1 - Convergence'!L:L,'Op 1 - Convergence'!$I:$I,$D40)</f>
        <v>509326.00412967935</v>
      </c>
      <c r="BO40" s="446" t="e">
        <f>SUMIFS('Op 1 - Convergence'!M:M,'Op 1 - Convergence'!$I:$I,$D40)</f>
        <v>#REF!</v>
      </c>
      <c r="BP40" s="446" t="e">
        <f>SUMIFS('Op 1 - Convergence'!N:N,'Op 1 - Convergence'!$I:$I,$D40)</f>
        <v>#REF!</v>
      </c>
      <c r="BQ40" s="446">
        <f>SUMIFS('Op 1 - Convergence'!O:O,'Op 1 - Convergence'!$I:$I,$D40)</f>
        <v>24088.99587032065</v>
      </c>
      <c r="BR40" s="446" t="e">
        <f>SUMIFS('Op 1 - Convergence'!P:P,'Op 1 - Convergence'!$I:$I,$D40)</f>
        <v>#REF!</v>
      </c>
      <c r="BS40" s="449" t="e">
        <f t="shared" si="19"/>
        <v>#REF!</v>
      </c>
      <c r="BU40" s="446">
        <f t="shared" si="20"/>
        <v>31275.050255271857</v>
      </c>
      <c r="BV40" s="449" t="e">
        <f t="shared" si="14"/>
        <v>#REF!</v>
      </c>
      <c r="BX40" s="446">
        <f t="shared" si="21"/>
        <v>30672.542153779988</v>
      </c>
      <c r="BY40" s="449" t="e">
        <f t="shared" si="22"/>
        <v>#REF!</v>
      </c>
      <c r="CA40" s="446">
        <f t="shared" si="23"/>
        <v>28082.450562919141</v>
      </c>
      <c r="CB40" s="449" t="e">
        <f t="shared" si="24"/>
        <v>#REF!</v>
      </c>
    </row>
    <row r="41" spans="2:80" x14ac:dyDescent="0.25">
      <c r="B41" s="269" t="s">
        <v>58</v>
      </c>
      <c r="C41" s="270" t="s">
        <v>59</v>
      </c>
      <c r="D41" s="271" t="s">
        <v>70</v>
      </c>
      <c r="E41" s="231" t="s">
        <v>71</v>
      </c>
      <c r="F41" s="446">
        <f>SUMIFS('SC1'!S:S,'SC1'!$I:$I,$D41)</f>
        <v>0</v>
      </c>
      <c r="G41" s="446">
        <f>SUMIFS('SC1'!T:T,'SC1'!$I:$I,$D41)</f>
        <v>0</v>
      </c>
      <c r="H41" s="446">
        <f>SUMIFS('SC1'!U:U,'SC1'!$I:$I,$D41)</f>
        <v>4158.2820348153282</v>
      </c>
      <c r="I41" s="446">
        <f>SUMIFS('SC1'!V:V,'SC1'!$I:$I,$D41)</f>
        <v>11135.825194912972</v>
      </c>
      <c r="J41" s="446"/>
      <c r="K41" s="446"/>
      <c r="L41" s="446"/>
      <c r="M41" s="446">
        <f>SUMIFS('SC1'!Z:Z,'SC1'!$I:$I,$D41)</f>
        <v>958</v>
      </c>
      <c r="N41" s="446"/>
      <c r="O41" s="446">
        <f>SUMIFS('SC1'!AB:AB,'SC1'!$I:$I,$D41)</f>
        <v>136.6935035128563</v>
      </c>
      <c r="P41" s="446">
        <f>SUMIFS('SC1'!AC:AC,'SC1'!$I:$I,$D41)</f>
        <v>0</v>
      </c>
      <c r="Q41" s="446">
        <f t="shared" si="15"/>
        <v>16388.800733241154</v>
      </c>
      <c r="R41" s="446">
        <f t="shared" si="2"/>
        <v>14859.390010268326</v>
      </c>
      <c r="T41" s="446">
        <f>SUMIFS('SC2'!S:S,'SC2'!$I:$I,$D41)</f>
        <v>0</v>
      </c>
      <c r="U41" s="446">
        <f>SUMIFS('SC2'!T:T,'SC2'!$I:$I,$D41)</f>
        <v>0</v>
      </c>
      <c r="V41" s="446">
        <f>SUMIFS('SC2'!U:U,'SC2'!$I:$I,$D41)</f>
        <v>8316.5640696306564</v>
      </c>
      <c r="W41" s="446">
        <f>SUMIFS('SC2'!V:V,'SC2'!$I:$I,$D41)</f>
        <v>10493.8162498742</v>
      </c>
      <c r="X41" s="446"/>
      <c r="Y41" s="446"/>
      <c r="Z41" s="446"/>
      <c r="AA41" s="446">
        <f>SUMIFS('SC2'!Z:Z,'SC2'!$I:$I,$D41)</f>
        <v>1915</v>
      </c>
      <c r="AB41" s="446"/>
      <c r="AC41" s="446">
        <f>SUMIFS('SC2'!AB:AB,'SC2'!$I:$I,$D41)</f>
        <v>273.99675864831073</v>
      </c>
      <c r="AD41" s="446">
        <f>SUMIFS('SC2'!AC:AC,'SC2'!$I:$I,$D41)</f>
        <v>0</v>
      </c>
      <c r="AE41" s="446">
        <f t="shared" si="16"/>
        <v>20999.377078153168</v>
      </c>
      <c r="AF41" s="446">
        <f t="shared" si="3"/>
        <v>19118.33904620268</v>
      </c>
      <c r="AH41" s="446">
        <f>SUMIFS('SC3'!S:S,'SC3'!$I:$I,$D41)</f>
        <v>0</v>
      </c>
      <c r="AI41" s="446">
        <f>SUMIFS('SC3'!T:T,'SC3'!$I:$I,$D41)</f>
        <v>0</v>
      </c>
      <c r="AJ41" s="446">
        <f>SUMIFS('SC3'!U:U,'SC3'!$I:$I,$D41)</f>
        <v>0</v>
      </c>
      <c r="AK41" s="446">
        <f>SUMIFS('SC3'!V:V,'SC3'!$I:$I,$D41)</f>
        <v>9126.0187680136951</v>
      </c>
      <c r="AL41" s="446"/>
      <c r="AM41" s="446"/>
      <c r="AN41" s="446"/>
      <c r="AO41" s="446">
        <f>SUMIFS('SC3'!Z:Z,'SC3'!$I:$I,$D41)</f>
        <v>0</v>
      </c>
      <c r="AP41" s="446"/>
      <c r="AQ41" s="446">
        <f>SUMIFS('SC3'!AB:AB,'SC3'!$I:$I,$D41)</f>
        <v>0</v>
      </c>
      <c r="AR41" s="446">
        <f>SUMIFS('SC3'!AC:AC,'SC3'!$I:$I,$D41)</f>
        <v>10230.559466511033</v>
      </c>
      <c r="AS41" s="446">
        <f t="shared" si="17"/>
        <v>19356.578234524728</v>
      </c>
      <c r="AT41" s="446">
        <f t="shared" si="4"/>
        <v>15886.336491095601</v>
      </c>
      <c r="AV41" s="446" t="e">
        <f>SUMIFS('Op 1 - Convergence'!AN:AN,'Op 1 - Convergence'!$I:$I,$D41)</f>
        <v>#REF!</v>
      </c>
      <c r="AX41" s="446" t="e">
        <f>SUMIFS('Op 1 - Convergence'!AK:AK,'Op 1 - Convergence'!$I:$I,$D41)</f>
        <v>#REF!</v>
      </c>
      <c r="AY41" s="449" t="e">
        <f t="shared" si="18"/>
        <v>#REF!</v>
      </c>
      <c r="BA41" s="446">
        <f t="shared" si="5"/>
        <v>16388.800733241154</v>
      </c>
      <c r="BB41" s="446" t="e">
        <f t="shared" si="6"/>
        <v>#REF!</v>
      </c>
      <c r="BC41" s="446" t="e">
        <f t="shared" si="7"/>
        <v>#REF!</v>
      </c>
      <c r="BE41" s="446">
        <f t="shared" si="8"/>
        <v>20999.377078153168</v>
      </c>
      <c r="BF41" s="446" t="e">
        <f t="shared" si="9"/>
        <v>#REF!</v>
      </c>
      <c r="BG41" s="446" t="e">
        <f t="shared" si="10"/>
        <v>#REF!</v>
      </c>
      <c r="BI41" s="446">
        <f t="shared" si="11"/>
        <v>19356.578234524728</v>
      </c>
      <c r="BJ41" s="446" t="e">
        <f t="shared" si="12"/>
        <v>#REF!</v>
      </c>
      <c r="BK41" s="446" t="e">
        <f t="shared" si="13"/>
        <v>#REF!</v>
      </c>
      <c r="BM41" s="446" t="e">
        <f>SUMIFS('Op 1 - Convergence'!K:K,'Op 1 - Convergence'!$I:$I,$D41)</f>
        <v>#REF!</v>
      </c>
      <c r="BN41" s="446">
        <f>SUMIFS('Op 1 - Convergence'!L:L,'Op 1 - Convergence'!$I:$I,$D41)</f>
        <v>325895.05257190391</v>
      </c>
      <c r="BO41" s="446" t="e">
        <f>SUMIFS('Op 1 - Convergence'!M:M,'Op 1 - Convergence'!$I:$I,$D41)</f>
        <v>#REF!</v>
      </c>
      <c r="BP41" s="446" t="e">
        <f>SUMIFS('Op 1 - Convergence'!N:N,'Op 1 - Convergence'!$I:$I,$D41)</f>
        <v>#REF!</v>
      </c>
      <c r="BQ41" s="446">
        <f>SUMIFS('Op 1 - Convergence'!O:O,'Op 1 - Convergence'!$I:$I,$D41)</f>
        <v>16170.947428096086</v>
      </c>
      <c r="BR41" s="446" t="e">
        <f>SUMIFS('Op 1 - Convergence'!P:P,'Op 1 - Convergence'!$I:$I,$D41)</f>
        <v>#REF!</v>
      </c>
      <c r="BS41" s="449" t="e">
        <f t="shared" si="19"/>
        <v>#REF!</v>
      </c>
      <c r="BU41" s="446">
        <f t="shared" si="20"/>
        <v>16388.800733241154</v>
      </c>
      <c r="BV41" s="449" t="e">
        <f t="shared" si="14"/>
        <v>#REF!</v>
      </c>
      <c r="BX41" s="446">
        <f t="shared" si="21"/>
        <v>20999.377078153168</v>
      </c>
      <c r="BY41" s="449" t="e">
        <f t="shared" si="22"/>
        <v>#REF!</v>
      </c>
      <c r="CA41" s="446">
        <f t="shared" si="23"/>
        <v>19356.578234524728</v>
      </c>
      <c r="CB41" s="449" t="e">
        <f t="shared" si="24"/>
        <v>#REF!</v>
      </c>
    </row>
    <row r="42" spans="2:80" x14ac:dyDescent="0.25">
      <c r="B42" s="267" t="s">
        <v>72</v>
      </c>
      <c r="C42" s="268" t="s">
        <v>73</v>
      </c>
      <c r="D42" s="61" t="s">
        <v>78</v>
      </c>
      <c r="E42" s="231" t="s">
        <v>79</v>
      </c>
      <c r="F42" s="446">
        <f>SUMIFS('SC1'!S:S,'SC1'!$I:$I,$D42)</f>
        <v>0</v>
      </c>
      <c r="G42" s="446">
        <f>SUMIFS('SC1'!T:T,'SC1'!$I:$I,$D42)</f>
        <v>0</v>
      </c>
      <c r="H42" s="446">
        <f>SUMIFS('SC1'!U:U,'SC1'!$I:$I,$D42)</f>
        <v>9667.2492967117723</v>
      </c>
      <c r="I42" s="446">
        <f>SUMIFS('SC1'!V:V,'SC1'!$I:$I,$D42)</f>
        <v>25888.767857134677</v>
      </c>
      <c r="J42" s="446"/>
      <c r="K42" s="446"/>
      <c r="L42" s="446"/>
      <c r="M42" s="446">
        <f>SUMIFS('SC1'!Z:Z,'SC1'!$I:$I,$D42)</f>
        <v>2471</v>
      </c>
      <c r="N42" s="446"/>
      <c r="O42" s="446">
        <f>SUMIFS('SC1'!AB:AB,'SC1'!$I:$I,$D42)</f>
        <v>317.78752971439917</v>
      </c>
      <c r="P42" s="446">
        <f>SUMIFS('SC1'!AC:AC,'SC1'!$I:$I,$D42)</f>
        <v>0</v>
      </c>
      <c r="Q42" s="446">
        <f t="shared" si="15"/>
        <v>38344.804683560847</v>
      </c>
      <c r="R42" s="446">
        <f t="shared" si="2"/>
        <v>34789.202968176207</v>
      </c>
      <c r="T42" s="446">
        <f>SUMIFS('SC2'!S:S,'SC2'!$I:$I,$D42)</f>
        <v>0</v>
      </c>
      <c r="U42" s="446">
        <f>SUMIFS('SC2'!T:T,'SC2'!$I:$I,$D42)</f>
        <v>0</v>
      </c>
      <c r="V42" s="446">
        <f>SUMIFS('SC2'!U:U,'SC2'!$I:$I,$D42)</f>
        <v>19334.498593423545</v>
      </c>
      <c r="W42" s="446">
        <f>SUMIFS('SC2'!V:V,'SC2'!$I:$I,$D42)</f>
        <v>24396.213847944109</v>
      </c>
      <c r="X42" s="446"/>
      <c r="Y42" s="446"/>
      <c r="Z42" s="446"/>
      <c r="AA42" s="446">
        <f>SUMIFS('SC2'!Z:Z,'SC2'!$I:$I,$D42)</f>
        <v>4940.9999999998836</v>
      </c>
      <c r="AB42" s="446"/>
      <c r="AC42" s="446">
        <f>SUMIFS('SC2'!AB:AB,'SC2'!$I:$I,$D42)</f>
        <v>636.99262103125284</v>
      </c>
      <c r="AD42" s="446">
        <f>SUMIFS('SC2'!AC:AC,'SC2'!$I:$I,$D42)</f>
        <v>0</v>
      </c>
      <c r="AE42" s="446">
        <f t="shared" si="16"/>
        <v>49308.705062398789</v>
      </c>
      <c r="AF42" s="446">
        <f t="shared" si="3"/>
        <v>44935.633818262031</v>
      </c>
      <c r="AH42" s="446">
        <f>SUMIFS('SC3'!S:S,'SC3'!$I:$I,$D42)</f>
        <v>0</v>
      </c>
      <c r="AI42" s="446">
        <f>SUMIFS('SC3'!T:T,'SC3'!$I:$I,$D42)</f>
        <v>0</v>
      </c>
      <c r="AJ42" s="446">
        <f>SUMIFS('SC3'!U:U,'SC3'!$I:$I,$D42)</f>
        <v>0</v>
      </c>
      <c r="AK42" s="446">
        <f>SUMIFS('SC3'!V:V,'SC3'!$I:$I,$D42)</f>
        <v>21216.333519036274</v>
      </c>
      <c r="AL42" s="446"/>
      <c r="AM42" s="446"/>
      <c r="AN42" s="446"/>
      <c r="AO42" s="446">
        <f>SUMIFS('SC3'!Z:Z,'SC3'!$I:$I,$D42)</f>
        <v>0</v>
      </c>
      <c r="AP42" s="446"/>
      <c r="AQ42" s="446">
        <f>SUMIFS('SC3'!AB:AB,'SC3'!$I:$I,$D42)</f>
        <v>0</v>
      </c>
      <c r="AR42" s="446">
        <f>SUMIFS('SC3'!AC:AC,'SC3'!$I:$I,$D42)</f>
        <v>23784.189715738947</v>
      </c>
      <c r="AS42" s="446">
        <f t="shared" si="17"/>
        <v>45000.523234775217</v>
      </c>
      <c r="AT42" s="446">
        <f t="shared" si="4"/>
        <v>36932.842453936857</v>
      </c>
      <c r="AV42" s="446" t="e">
        <f>SUMIFS('Op 1 - Convergence'!AN:AN,'Op 1 - Convergence'!$I:$I,$D42)</f>
        <v>#REF!</v>
      </c>
      <c r="AX42" s="446" t="e">
        <f>SUMIFS('Op 1 - Convergence'!AK:AK,'Op 1 - Convergence'!$I:$I,$D42)</f>
        <v>#REF!</v>
      </c>
      <c r="AY42" s="449" t="e">
        <f t="shared" si="18"/>
        <v>#REF!</v>
      </c>
      <c r="BA42" s="446">
        <f t="shared" si="5"/>
        <v>38344.804683560847</v>
      </c>
      <c r="BB42" s="446" t="e">
        <f t="shared" si="6"/>
        <v>#REF!</v>
      </c>
      <c r="BC42" s="446" t="e">
        <f t="shared" si="7"/>
        <v>#REF!</v>
      </c>
      <c r="BE42" s="446">
        <f t="shared" si="8"/>
        <v>49308.705062398789</v>
      </c>
      <c r="BF42" s="446" t="e">
        <f t="shared" si="9"/>
        <v>#REF!</v>
      </c>
      <c r="BG42" s="446" t="e">
        <f t="shared" si="10"/>
        <v>#REF!</v>
      </c>
      <c r="BI42" s="446">
        <f t="shared" si="11"/>
        <v>45000.523234775217</v>
      </c>
      <c r="BJ42" s="446" t="e">
        <f t="shared" si="12"/>
        <v>#REF!</v>
      </c>
      <c r="BK42" s="446" t="e">
        <f t="shared" si="13"/>
        <v>#REF!</v>
      </c>
      <c r="BM42" s="446" t="e">
        <f>SUMIFS('Op 1 - Convergence'!K:K,'Op 1 - Convergence'!$I:$I,$D42)</f>
        <v>#REF!</v>
      </c>
      <c r="BN42" s="446">
        <f>SUMIFS('Op 1 - Convergence'!L:L,'Op 1 - Convergence'!$I:$I,$D42)</f>
        <v>841569.45282937237</v>
      </c>
      <c r="BO42" s="446" t="e">
        <f>SUMIFS('Op 1 - Convergence'!M:M,'Op 1 - Convergence'!$I:$I,$D42)</f>
        <v>#REF!</v>
      </c>
      <c r="BP42" s="446" t="e">
        <f>SUMIFS('Op 1 - Convergence'!N:N,'Op 1 - Convergence'!$I:$I,$D42)</f>
        <v>#REF!</v>
      </c>
      <c r="BQ42" s="446">
        <f>SUMIFS('Op 1 - Convergence'!O:O,'Op 1 - Convergence'!$I:$I,$D42)</f>
        <v>41036.547170627629</v>
      </c>
      <c r="BR42" s="446" t="e">
        <f>SUMIFS('Op 1 - Convergence'!P:P,'Op 1 - Convergence'!$I:$I,$D42)</f>
        <v>#REF!</v>
      </c>
      <c r="BS42" s="449" t="e">
        <f t="shared" si="19"/>
        <v>#REF!</v>
      </c>
      <c r="BU42" s="446">
        <f t="shared" si="20"/>
        <v>38344.804683560847</v>
      </c>
      <c r="BV42" s="449" t="e">
        <f t="shared" si="14"/>
        <v>#REF!</v>
      </c>
      <c r="BX42" s="446">
        <f t="shared" si="21"/>
        <v>49308.705062398789</v>
      </c>
      <c r="BY42" s="449" t="e">
        <f t="shared" si="22"/>
        <v>#REF!</v>
      </c>
      <c r="CA42" s="446">
        <f t="shared" si="23"/>
        <v>45000.523234775217</v>
      </c>
      <c r="CB42" s="449" t="e">
        <f t="shared" si="24"/>
        <v>#REF!</v>
      </c>
    </row>
    <row r="43" spans="2:80" x14ac:dyDescent="0.25">
      <c r="B43" s="267" t="s">
        <v>98</v>
      </c>
      <c r="C43" s="268" t="s">
        <v>99</v>
      </c>
      <c r="D43" s="61" t="s">
        <v>102</v>
      </c>
      <c r="E43" s="231" t="s">
        <v>103</v>
      </c>
      <c r="F43" s="446">
        <f>SUMIFS('SC1'!S:S,'SC1'!$I:$I,$D43)</f>
        <v>0</v>
      </c>
      <c r="G43" s="446">
        <f>SUMIFS('SC1'!T:T,'SC1'!$I:$I,$D43)</f>
        <v>0</v>
      </c>
      <c r="H43" s="446">
        <f>SUMIFS('SC1'!U:U,'SC1'!$I:$I,$D43)</f>
        <v>4000.4079363758915</v>
      </c>
      <c r="I43" s="446">
        <f>SUMIFS('SC1'!V:V,'SC1'!$I:$I,$D43)</f>
        <v>10713.040413047127</v>
      </c>
      <c r="J43" s="446"/>
      <c r="K43" s="446"/>
      <c r="L43" s="446"/>
      <c r="M43" s="446">
        <f>SUMIFS('SC1'!Z:Z,'SC1'!$I:$I,$D43)</f>
        <v>-0.19389893650077283</v>
      </c>
      <c r="N43" s="446"/>
      <c r="O43" s="446">
        <f>SUMIFS('SC1'!AB:AB,'SC1'!$I:$I,$D43)</f>
        <v>131.50377288637691</v>
      </c>
      <c r="P43" s="446">
        <f>SUMIFS('SC1'!AC:AC,'SC1'!$I:$I,$D43)</f>
        <v>0</v>
      </c>
      <c r="Q43" s="446">
        <f t="shared" si="15"/>
        <v>14844.758223372895</v>
      </c>
      <c r="R43" s="446">
        <f t="shared" si="2"/>
        <v>13373.413388430594</v>
      </c>
      <c r="T43" s="446">
        <f>SUMIFS('SC2'!S:S,'SC2'!$I:$I,$D43)</f>
        <v>0</v>
      </c>
      <c r="U43" s="446">
        <f>SUMIFS('SC2'!T:T,'SC2'!$I:$I,$D43)</f>
        <v>0</v>
      </c>
      <c r="V43" s="446">
        <f>SUMIFS('SC2'!U:U,'SC2'!$I:$I,$D43)</f>
        <v>8000.815872751783</v>
      </c>
      <c r="W43" s="446">
        <f>SUMIFS('SC2'!V:V,'SC2'!$I:$I,$D43)</f>
        <v>10095.406097371982</v>
      </c>
      <c r="X43" s="446"/>
      <c r="Y43" s="446"/>
      <c r="Z43" s="446"/>
      <c r="AA43" s="446">
        <f>SUMIFS('SC2'!Z:Z,'SC2'!$I:$I,$D43)</f>
        <v>-7.9404944845009595E-2</v>
      </c>
      <c r="AB43" s="446"/>
      <c r="AC43" s="446">
        <f>SUMIFS('SC2'!AB:AB,'SC2'!$I:$I,$D43)</f>
        <v>263.59414745340865</v>
      </c>
      <c r="AD43" s="446">
        <f>SUMIFS('SC2'!AC:AC,'SC2'!$I:$I,$D43)</f>
        <v>0</v>
      </c>
      <c r="AE43" s="446">
        <f t="shared" si="16"/>
        <v>18359.73671263233</v>
      </c>
      <c r="AF43" s="446">
        <f t="shared" si="3"/>
        <v>16550.114515619953</v>
      </c>
      <c r="AH43" s="446">
        <f>SUMIFS('SC3'!S:S,'SC3'!$I:$I,$D43)</f>
        <v>0</v>
      </c>
      <c r="AI43" s="446">
        <f>SUMIFS('SC3'!T:T,'SC3'!$I:$I,$D43)</f>
        <v>0</v>
      </c>
      <c r="AJ43" s="446">
        <f>SUMIFS('SC3'!U:U,'SC3'!$I:$I,$D43)</f>
        <v>0</v>
      </c>
      <c r="AK43" s="446">
        <f>SUMIFS('SC3'!V:V,'SC3'!$I:$I,$D43)</f>
        <v>8779.5386655870843</v>
      </c>
      <c r="AL43" s="446"/>
      <c r="AM43" s="446"/>
      <c r="AN43" s="446"/>
      <c r="AO43" s="446">
        <f>SUMIFS('SC3'!Z:Z,'SC3'!$I:$I,$D43)</f>
        <v>0</v>
      </c>
      <c r="AP43" s="446"/>
      <c r="AQ43" s="446">
        <f>SUMIFS('SC3'!AB:AB,'SC3'!$I:$I,$D43)</f>
        <v>0</v>
      </c>
      <c r="AR43" s="446">
        <f>SUMIFS('SC3'!AC:AC,'SC3'!$I:$I,$D43)</f>
        <v>9842.1441693321322</v>
      </c>
      <c r="AS43" s="446">
        <f t="shared" si="17"/>
        <v>18621.682834919215</v>
      </c>
      <c r="AT43" s="446">
        <f t="shared" si="4"/>
        <v>15283.192926027476</v>
      </c>
      <c r="AV43" s="446" t="e">
        <f>SUMIFS('Op 1 - Convergence'!AN:AN,'Op 1 - Convergence'!$I:$I,$D43)</f>
        <v>#REF!</v>
      </c>
      <c r="AX43" s="446" t="e">
        <f>SUMIFS('Op 1 - Convergence'!AK:AK,'Op 1 - Convergence'!$I:$I,$D43)</f>
        <v>#REF!</v>
      </c>
      <c r="AY43" s="449" t="e">
        <f t="shared" si="18"/>
        <v>#REF!</v>
      </c>
      <c r="BA43" s="446">
        <f t="shared" si="5"/>
        <v>14844.758223372895</v>
      </c>
      <c r="BB43" s="446" t="e">
        <f t="shared" si="6"/>
        <v>#REF!</v>
      </c>
      <c r="BC43" s="446" t="e">
        <f t="shared" si="7"/>
        <v>#REF!</v>
      </c>
      <c r="BE43" s="446">
        <f t="shared" si="8"/>
        <v>18359.73671263233</v>
      </c>
      <c r="BF43" s="446" t="e">
        <f t="shared" si="9"/>
        <v>#REF!</v>
      </c>
      <c r="BG43" s="446" t="e">
        <f t="shared" si="10"/>
        <v>#REF!</v>
      </c>
      <c r="BI43" s="446">
        <f t="shared" si="11"/>
        <v>18621.682834919215</v>
      </c>
      <c r="BJ43" s="446" t="e">
        <f t="shared" si="12"/>
        <v>#REF!</v>
      </c>
      <c r="BK43" s="446" t="e">
        <f t="shared" si="13"/>
        <v>#REF!</v>
      </c>
      <c r="BM43" s="446" t="e">
        <f>SUMIFS('Op 1 - Convergence'!K:K,'Op 1 - Convergence'!$I:$I,$D43)</f>
        <v>#REF!</v>
      </c>
      <c r="BN43" s="446">
        <f>SUMIFS('Op 1 - Convergence'!L:L,'Op 1 - Convergence'!$I:$I,$D43)</f>
        <v>376179.76938088128</v>
      </c>
      <c r="BO43" s="446" t="e">
        <f>SUMIFS('Op 1 - Convergence'!M:M,'Op 1 - Convergence'!$I:$I,$D43)</f>
        <v>#REF!</v>
      </c>
      <c r="BP43" s="446" t="e">
        <f>SUMIFS('Op 1 - Convergence'!N:N,'Op 1 - Convergence'!$I:$I,$D43)</f>
        <v>#REF!</v>
      </c>
      <c r="BQ43" s="446">
        <f>SUMIFS('Op 1 - Convergence'!O:O,'Op 1 - Convergence'!$I:$I,$D43)</f>
        <v>12420.515921132464</v>
      </c>
      <c r="BR43" s="446" t="e">
        <f>SUMIFS('Op 1 - Convergence'!P:P,'Op 1 - Convergence'!$I:$I,$D43)</f>
        <v>#REF!</v>
      </c>
      <c r="BS43" s="449" t="e">
        <f t="shared" si="19"/>
        <v>#REF!</v>
      </c>
      <c r="BU43" s="446">
        <f t="shared" si="20"/>
        <v>14844.758223372895</v>
      </c>
      <c r="BV43" s="449" t="e">
        <f t="shared" si="14"/>
        <v>#REF!</v>
      </c>
      <c r="BX43" s="446">
        <f t="shared" si="21"/>
        <v>18359.73671263233</v>
      </c>
      <c r="BY43" s="449" t="e">
        <f t="shared" si="22"/>
        <v>#REF!</v>
      </c>
      <c r="CA43" s="446">
        <f t="shared" si="23"/>
        <v>18621.682834919215</v>
      </c>
      <c r="CB43" s="449" t="e">
        <f t="shared" si="24"/>
        <v>#REF!</v>
      </c>
    </row>
    <row r="44" spans="2:80" x14ac:dyDescent="0.25">
      <c r="B44" s="267" t="s">
        <v>98</v>
      </c>
      <c r="C44" s="268" t="s">
        <v>99</v>
      </c>
      <c r="D44" s="61" t="s">
        <v>104</v>
      </c>
      <c r="E44" s="231" t="s">
        <v>105</v>
      </c>
      <c r="F44" s="446">
        <f>SUMIFS('SC1'!S:S,'SC1'!$I:$I,$D44)</f>
        <v>3127.3350791969788</v>
      </c>
      <c r="G44" s="446">
        <f>SUMIFS('SC1'!T:T,'SC1'!$I:$I,$D44)</f>
        <v>0</v>
      </c>
      <c r="H44" s="446">
        <f>SUMIFS('SC1'!U:U,'SC1'!$I:$I,$D44)</f>
        <v>2563.0392784871224</v>
      </c>
      <c r="I44" s="446">
        <f>SUMIFS('SC1'!V:V,'SC1'!$I:$I,$D44)</f>
        <v>6863.7858456842287</v>
      </c>
      <c r="J44" s="446"/>
      <c r="K44" s="446"/>
      <c r="L44" s="446"/>
      <c r="M44" s="446">
        <f>SUMIFS('SC1'!Z:Z,'SC1'!$I:$I,$D44)</f>
        <v>601</v>
      </c>
      <c r="N44" s="446"/>
      <c r="O44" s="446">
        <f>SUMIFS('SC1'!AB:AB,'SC1'!$I:$I,$D44)</f>
        <v>84.253741252792963</v>
      </c>
      <c r="P44" s="446">
        <f>SUMIFS('SC1'!AC:AC,'SC1'!$I:$I,$D44)</f>
        <v>0</v>
      </c>
      <c r="Q44" s="446">
        <f t="shared" si="15"/>
        <v>13239.413944621123</v>
      </c>
      <c r="R44" s="446">
        <f t="shared" si="2"/>
        <v>12296.731432203987</v>
      </c>
      <c r="T44" s="446">
        <f>SUMIFS('SC2'!S:S,'SC2'!$I:$I,$D44)</f>
        <v>0</v>
      </c>
      <c r="U44" s="446">
        <f>SUMIFS('SC2'!T:T,'SC2'!$I:$I,$D44)</f>
        <v>0</v>
      </c>
      <c r="V44" s="446">
        <f>SUMIFS('SC2'!U:U,'SC2'!$I:$I,$D44)</f>
        <v>5111.9822555396668</v>
      </c>
      <c r="W44" s="446">
        <f>SUMIFS('SC2'!V:V,'SC2'!$I:$I,$D44)</f>
        <v>6450.2842776311463</v>
      </c>
      <c r="X44" s="446"/>
      <c r="Y44" s="446"/>
      <c r="Z44" s="446"/>
      <c r="AA44" s="446">
        <f>SUMIFS('SC2'!Z:Z,'SC2'!$I:$I,$D44)</f>
        <v>1203</v>
      </c>
      <c r="AB44" s="446"/>
      <c r="AC44" s="446">
        <f>SUMIFS('SC2'!AB:AB,'SC2'!$I:$I,$D44)</f>
        <v>168.41889950686735</v>
      </c>
      <c r="AD44" s="446">
        <f>SUMIFS('SC2'!AC:AC,'SC2'!$I:$I,$D44)</f>
        <v>0</v>
      </c>
      <c r="AE44" s="446">
        <f t="shared" si="16"/>
        <v>12933.685432677679</v>
      </c>
      <c r="AF44" s="446">
        <f t="shared" si="3"/>
        <v>11777.458779360599</v>
      </c>
      <c r="AH44" s="446">
        <f>SUMIFS('SC3'!S:S,'SC3'!$I:$I,$D44)</f>
        <v>0</v>
      </c>
      <c r="AI44" s="446">
        <f>SUMIFS('SC3'!T:T,'SC3'!$I:$I,$D44)</f>
        <v>0</v>
      </c>
      <c r="AJ44" s="446">
        <f>SUMIFS('SC3'!U:U,'SC3'!$I:$I,$D44)</f>
        <v>0</v>
      </c>
      <c r="AK44" s="446">
        <f>SUMIFS('SC3'!V:V,'SC3'!$I:$I,$D44)</f>
        <v>5609.5336505812329</v>
      </c>
      <c r="AL44" s="446"/>
      <c r="AM44" s="446"/>
      <c r="AN44" s="446"/>
      <c r="AO44" s="446">
        <f>SUMIFS('SC3'!Z:Z,'SC3'!$I:$I,$D44)</f>
        <v>0</v>
      </c>
      <c r="AP44" s="446"/>
      <c r="AQ44" s="446">
        <f>SUMIFS('SC3'!AB:AB,'SC3'!$I:$I,$D44)</f>
        <v>0</v>
      </c>
      <c r="AR44" s="446">
        <f>SUMIFS('SC3'!AC:AC,'SC3'!$I:$I,$D44)</f>
        <v>6288.4669701547027</v>
      </c>
      <c r="AS44" s="446">
        <f t="shared" si="17"/>
        <v>11898.000620735937</v>
      </c>
      <c r="AT44" s="446">
        <f t="shared" si="4"/>
        <v>9764.9305131391375</v>
      </c>
      <c r="AV44" s="446" t="e">
        <f>SUMIFS('Op 1 - Convergence'!AN:AN,'Op 1 - Convergence'!$I:$I,$D44)</f>
        <v>#REF!</v>
      </c>
      <c r="AX44" s="446" t="e">
        <f>SUMIFS('Op 1 - Convergence'!AK:AK,'Op 1 - Convergence'!$I:$I,$D44)</f>
        <v>#REF!</v>
      </c>
      <c r="AY44" s="449" t="e">
        <f t="shared" si="18"/>
        <v>#REF!</v>
      </c>
      <c r="BA44" s="446">
        <f t="shared" si="5"/>
        <v>13239.413944621123</v>
      </c>
      <c r="BB44" s="446" t="e">
        <f t="shared" si="6"/>
        <v>#REF!</v>
      </c>
      <c r="BC44" s="446" t="e">
        <f t="shared" si="7"/>
        <v>#REF!</v>
      </c>
      <c r="BE44" s="446">
        <f t="shared" si="8"/>
        <v>12933.685432677679</v>
      </c>
      <c r="BF44" s="446" t="e">
        <f t="shared" si="9"/>
        <v>#REF!</v>
      </c>
      <c r="BG44" s="446" t="e">
        <f t="shared" si="10"/>
        <v>#REF!</v>
      </c>
      <c r="BI44" s="446">
        <f t="shared" si="11"/>
        <v>11898.000620735937</v>
      </c>
      <c r="BJ44" s="446" t="e">
        <f t="shared" si="12"/>
        <v>#REF!</v>
      </c>
      <c r="BK44" s="446" t="e">
        <f t="shared" si="13"/>
        <v>#REF!</v>
      </c>
      <c r="BM44" s="446" t="e">
        <f>SUMIFS('Op 1 - Convergence'!K:K,'Op 1 - Convergence'!$I:$I,$D44)</f>
        <v>#REF!</v>
      </c>
      <c r="BN44" s="446">
        <f>SUMIFS('Op 1 - Convergence'!L:L,'Op 1 - Convergence'!$I:$I,$D44)</f>
        <v>203799.89655329022</v>
      </c>
      <c r="BO44" s="446" t="e">
        <f>SUMIFS('Op 1 - Convergence'!M:M,'Op 1 - Convergence'!$I:$I,$D44)</f>
        <v>#REF!</v>
      </c>
      <c r="BP44" s="446" t="e">
        <f>SUMIFS('Op 1 - Convergence'!N:N,'Op 1 - Convergence'!$I:$I,$D44)</f>
        <v>#REF!</v>
      </c>
      <c r="BQ44" s="446">
        <f>SUMIFS('Op 1 - Convergence'!O:O,'Op 1 - Convergence'!$I:$I,$D44)</f>
        <v>11022.103446709778</v>
      </c>
      <c r="BR44" s="446" t="e">
        <f>SUMIFS('Op 1 - Convergence'!P:P,'Op 1 - Convergence'!$I:$I,$D44)</f>
        <v>#REF!</v>
      </c>
      <c r="BS44" s="449" t="e">
        <f t="shared" si="19"/>
        <v>#REF!</v>
      </c>
      <c r="BU44" s="446">
        <f t="shared" si="20"/>
        <v>13239.413944621123</v>
      </c>
      <c r="BV44" s="449" t="e">
        <f t="shared" si="14"/>
        <v>#REF!</v>
      </c>
      <c r="BX44" s="446">
        <f t="shared" si="21"/>
        <v>12933.685432677679</v>
      </c>
      <c r="BY44" s="449" t="e">
        <f t="shared" si="22"/>
        <v>#REF!</v>
      </c>
      <c r="CA44" s="446">
        <f t="shared" si="23"/>
        <v>11898.000620735937</v>
      </c>
      <c r="CB44" s="449" t="e">
        <f t="shared" si="24"/>
        <v>#REF!</v>
      </c>
    </row>
    <row r="45" spans="2:80" x14ac:dyDescent="0.25">
      <c r="B45" s="267" t="s">
        <v>98</v>
      </c>
      <c r="C45" s="268" t="s">
        <v>99</v>
      </c>
      <c r="D45" s="61" t="s">
        <v>110</v>
      </c>
      <c r="E45" s="231" t="s">
        <v>111</v>
      </c>
      <c r="F45" s="446">
        <f>SUMIFS('SC1'!S:S,'SC1'!$I:$I,$D45)</f>
        <v>1780.0771994407496</v>
      </c>
      <c r="G45" s="446">
        <f>SUMIFS('SC1'!T:T,'SC1'!$I:$I,$D45)</f>
        <v>0</v>
      </c>
      <c r="H45" s="446">
        <f>SUMIFS('SC1'!U:U,'SC1'!$I:$I,$D45)</f>
        <v>2491.3807595632989</v>
      </c>
      <c r="I45" s="446">
        <f>SUMIFS('SC1'!V:V,'SC1'!$I:$I,$D45)</f>
        <v>6671.8852641986568</v>
      </c>
      <c r="J45" s="446"/>
      <c r="K45" s="446"/>
      <c r="L45" s="446"/>
      <c r="M45" s="446">
        <f>SUMIFS('SC1'!Z:Z,'SC1'!$I:$I,$D45)</f>
        <v>0.22298999998020008</v>
      </c>
      <c r="N45" s="446"/>
      <c r="O45" s="446">
        <f>SUMIFS('SC1'!AB:AB,'SC1'!$I:$I,$D45)</f>
        <v>81.898140087160456</v>
      </c>
      <c r="P45" s="446">
        <f>SUMIFS('SC1'!AC:AC,'SC1'!$I:$I,$D45)</f>
        <v>0</v>
      </c>
      <c r="Q45" s="446">
        <f t="shared" si="15"/>
        <v>11025.464353289844</v>
      </c>
      <c r="R45" s="446">
        <f t="shared" si="2"/>
        <v>10109.137750913651</v>
      </c>
      <c r="T45" s="446">
        <f>SUMIFS('SC2'!S:S,'SC2'!$I:$I,$D45)</f>
        <v>0</v>
      </c>
      <c r="U45" s="446">
        <f>SUMIFS('SC2'!T:T,'SC2'!$I:$I,$D45)</f>
        <v>0</v>
      </c>
      <c r="V45" s="446">
        <f>SUMIFS('SC2'!U:U,'SC2'!$I:$I,$D45)</f>
        <v>4974.7296879667665</v>
      </c>
      <c r="W45" s="446">
        <f>SUMIFS('SC2'!V:V,'SC2'!$I:$I,$D45)</f>
        <v>6277.0993887906961</v>
      </c>
      <c r="X45" s="446"/>
      <c r="Y45" s="446"/>
      <c r="Z45" s="446"/>
      <c r="AA45" s="446">
        <f>SUMIFS('SC2'!Z:Z,'SC2'!$I:$I,$D45)</f>
        <v>0.13836921262554824</v>
      </c>
      <c r="AB45" s="446"/>
      <c r="AC45" s="446">
        <f>SUMIFS('SC2'!AB:AB,'SC2'!$I:$I,$D45)</f>
        <v>163.89698897791942</v>
      </c>
      <c r="AD45" s="446">
        <f>SUMIFS('SC2'!AC:AC,'SC2'!$I:$I,$D45)</f>
        <v>0</v>
      </c>
      <c r="AE45" s="446">
        <f t="shared" si="16"/>
        <v>11415.864434948007</v>
      </c>
      <c r="AF45" s="446">
        <f t="shared" si="3"/>
        <v>10290.681527272262</v>
      </c>
      <c r="AH45" s="446">
        <f>SUMIFS('SC3'!S:S,'SC3'!$I:$I,$D45)</f>
        <v>0</v>
      </c>
      <c r="AI45" s="446">
        <f>SUMIFS('SC3'!T:T,'SC3'!$I:$I,$D45)</f>
        <v>0</v>
      </c>
      <c r="AJ45" s="446">
        <f>SUMIFS('SC3'!U:U,'SC3'!$I:$I,$D45)</f>
        <v>0</v>
      </c>
      <c r="AK45" s="446">
        <f>SUMIFS('SC3'!V:V,'SC3'!$I:$I,$D45)</f>
        <v>5458.9222325555684</v>
      </c>
      <c r="AL45" s="446"/>
      <c r="AM45" s="446"/>
      <c r="AN45" s="446"/>
      <c r="AO45" s="446">
        <f>SUMIFS('SC3'!Z:Z,'SC3'!$I:$I,$D45)</f>
        <v>0</v>
      </c>
      <c r="AP45" s="446"/>
      <c r="AQ45" s="446">
        <f>SUMIFS('SC3'!AB:AB,'SC3'!$I:$I,$D45)</f>
        <v>0</v>
      </c>
      <c r="AR45" s="446">
        <f>SUMIFS('SC3'!AC:AC,'SC3'!$I:$I,$D45)</f>
        <v>6119.6267444642099</v>
      </c>
      <c r="AS45" s="446">
        <f t="shared" si="17"/>
        <v>11578.548977019778</v>
      </c>
      <c r="AT45" s="446">
        <f t="shared" si="4"/>
        <v>9502.7500676481686</v>
      </c>
      <c r="AV45" s="446" t="e">
        <f>SUMIFS('Op 1 - Convergence'!AN:AN,'Op 1 - Convergence'!$I:$I,$D45)</f>
        <v>#REF!</v>
      </c>
      <c r="AX45" s="446" t="e">
        <f>SUMIFS('Op 1 - Convergence'!AK:AK,'Op 1 - Convergence'!$I:$I,$D45)</f>
        <v>#REF!</v>
      </c>
      <c r="AY45" s="449" t="e">
        <f t="shared" si="18"/>
        <v>#REF!</v>
      </c>
      <c r="BA45" s="446">
        <f t="shared" si="5"/>
        <v>11025.464353289844</v>
      </c>
      <c r="BB45" s="446" t="e">
        <f t="shared" si="6"/>
        <v>#REF!</v>
      </c>
      <c r="BC45" s="446" t="e">
        <f t="shared" si="7"/>
        <v>#REF!</v>
      </c>
      <c r="BE45" s="446">
        <f t="shared" si="8"/>
        <v>11415.864434948007</v>
      </c>
      <c r="BF45" s="446" t="e">
        <f t="shared" si="9"/>
        <v>#REF!</v>
      </c>
      <c r="BG45" s="446" t="e">
        <f t="shared" si="10"/>
        <v>#REF!</v>
      </c>
      <c r="BI45" s="446">
        <f t="shared" si="11"/>
        <v>11578.548977019778</v>
      </c>
      <c r="BJ45" s="446" t="e">
        <f t="shared" si="12"/>
        <v>#REF!</v>
      </c>
      <c r="BK45" s="446" t="e">
        <f t="shared" si="13"/>
        <v>#REF!</v>
      </c>
      <c r="BM45" s="446" t="e">
        <f>SUMIFS('Op 1 - Convergence'!K:K,'Op 1 - Convergence'!$I:$I,$D45)</f>
        <v>#REF!</v>
      </c>
      <c r="BN45" s="446">
        <f>SUMIFS('Op 1 - Convergence'!L:L,'Op 1 - Convergence'!$I:$I,$D45)</f>
        <v>209135.47852404614</v>
      </c>
      <c r="BO45" s="446" t="e">
        <f>SUMIFS('Op 1 - Convergence'!M:M,'Op 1 - Convergence'!$I:$I,$D45)</f>
        <v>#REF!</v>
      </c>
      <c r="BP45" s="446" t="e">
        <f>SUMIFS('Op 1 - Convergence'!N:N,'Op 1 - Convergence'!$I:$I,$D45)</f>
        <v>#REF!</v>
      </c>
      <c r="BQ45" s="446">
        <f>SUMIFS('Op 1 - Convergence'!O:O,'Op 1 - Convergence'!$I:$I,$D45)</f>
        <v>8181.9798770261114</v>
      </c>
      <c r="BR45" s="446" t="e">
        <f>SUMIFS('Op 1 - Convergence'!P:P,'Op 1 - Convergence'!$I:$I,$D45)</f>
        <v>#REF!</v>
      </c>
      <c r="BS45" s="449" t="e">
        <f t="shared" si="19"/>
        <v>#REF!</v>
      </c>
      <c r="BU45" s="446">
        <f t="shared" si="20"/>
        <v>11025.464353289844</v>
      </c>
      <c r="BV45" s="449" t="e">
        <f t="shared" si="14"/>
        <v>#REF!</v>
      </c>
      <c r="BX45" s="446">
        <f t="shared" si="21"/>
        <v>11415.864434948007</v>
      </c>
      <c r="BY45" s="449" t="e">
        <f t="shared" si="22"/>
        <v>#REF!</v>
      </c>
      <c r="CA45" s="446">
        <f t="shared" si="23"/>
        <v>11578.548977019778</v>
      </c>
      <c r="CB45" s="449" t="e">
        <f t="shared" si="24"/>
        <v>#REF!</v>
      </c>
    </row>
    <row r="46" spans="2:80" x14ac:dyDescent="0.25">
      <c r="B46" s="267" t="s">
        <v>98</v>
      </c>
      <c r="C46" s="268" t="s">
        <v>99</v>
      </c>
      <c r="D46" s="61" t="s">
        <v>112</v>
      </c>
      <c r="E46" s="231" t="s">
        <v>113</v>
      </c>
      <c r="F46" s="446">
        <f>SUMIFS('SC1'!S:S,'SC1'!$I:$I,$D46)</f>
        <v>3006.43538777104</v>
      </c>
      <c r="G46" s="446">
        <f>SUMIFS('SC1'!T:T,'SC1'!$I:$I,$D46)</f>
        <v>0</v>
      </c>
      <c r="H46" s="446">
        <f>SUMIFS('SC1'!U:U,'SC1'!$I:$I,$D46)</f>
        <v>2466.3885464596274</v>
      </c>
      <c r="I46" s="446">
        <f>SUMIFS('SC1'!V:V,'SC1'!$I:$I,$D46)</f>
        <v>6604.9564426261077</v>
      </c>
      <c r="J46" s="446"/>
      <c r="K46" s="446"/>
      <c r="L46" s="446"/>
      <c r="M46" s="446">
        <f>SUMIFS('SC1'!Z:Z,'SC1'!$I:$I,$D46)</f>
        <v>514</v>
      </c>
      <c r="N46" s="446"/>
      <c r="O46" s="446">
        <f>SUMIFS('SC1'!AB:AB,'SC1'!$I:$I,$D46)</f>
        <v>81.076581294111321</v>
      </c>
      <c r="P46" s="446">
        <f>SUMIFS('SC1'!AC:AC,'SC1'!$I:$I,$D46)</f>
        <v>0</v>
      </c>
      <c r="Q46" s="446">
        <f t="shared" si="15"/>
        <v>12672.856958150887</v>
      </c>
      <c r="R46" s="446">
        <f t="shared" si="2"/>
        <v>11765.722459242314</v>
      </c>
      <c r="T46" s="446">
        <f>SUMIFS('SC2'!S:S,'SC2'!$I:$I,$D46)</f>
        <v>0</v>
      </c>
      <c r="U46" s="446">
        <f>SUMIFS('SC2'!T:T,'SC2'!$I:$I,$D46)</f>
        <v>0</v>
      </c>
      <c r="V46" s="446">
        <f>SUMIFS('SC2'!U:U,'SC2'!$I:$I,$D46)</f>
        <v>4919.2123548766112</v>
      </c>
      <c r="W46" s="446">
        <f>SUMIFS('SC2'!V:V,'SC2'!$I:$I,$D46)</f>
        <v>6207.0477800670205</v>
      </c>
      <c r="X46" s="446"/>
      <c r="Y46" s="446"/>
      <c r="Z46" s="446"/>
      <c r="AA46" s="446">
        <f>SUMIFS('SC2'!Z:Z,'SC2'!$I:$I,$D46)</f>
        <v>1027</v>
      </c>
      <c r="AB46" s="446"/>
      <c r="AC46" s="446">
        <f>SUMIFS('SC2'!AB:AB,'SC2'!$I:$I,$D46)</f>
        <v>162.06792000326331</v>
      </c>
      <c r="AD46" s="446">
        <f>SUMIFS('SC2'!AC:AC,'SC2'!$I:$I,$D46)</f>
        <v>0</v>
      </c>
      <c r="AE46" s="446">
        <f t="shared" si="16"/>
        <v>12315.328054946895</v>
      </c>
      <c r="AF46" s="446">
        <f t="shared" si="3"/>
        <v>11202.70204145253</v>
      </c>
      <c r="AH46" s="446">
        <f>SUMIFS('SC3'!S:S,'SC3'!$I:$I,$D46)</f>
        <v>0</v>
      </c>
      <c r="AI46" s="446">
        <f>SUMIFS('SC3'!T:T,'SC3'!$I:$I,$D46)</f>
        <v>0</v>
      </c>
      <c r="AJ46" s="446">
        <f>SUMIFS('SC3'!U:U,'SC3'!$I:$I,$D46)</f>
        <v>0</v>
      </c>
      <c r="AK46" s="446">
        <f>SUMIFS('SC3'!V:V,'SC3'!$I:$I,$D46)</f>
        <v>5398.0013739547267</v>
      </c>
      <c r="AL46" s="446"/>
      <c r="AM46" s="446"/>
      <c r="AN46" s="446"/>
      <c r="AO46" s="446">
        <f>SUMIFS('SC3'!Z:Z,'SC3'!$I:$I,$D46)</f>
        <v>0</v>
      </c>
      <c r="AP46" s="446"/>
      <c r="AQ46" s="446">
        <f>SUMIFS('SC3'!AB:AB,'SC3'!$I:$I,$D46)</f>
        <v>0</v>
      </c>
      <c r="AR46" s="446">
        <f>SUMIFS('SC3'!AC:AC,'SC3'!$I:$I,$D46)</f>
        <v>6051.3325098685809</v>
      </c>
      <c r="AS46" s="446">
        <f t="shared" si="17"/>
        <v>11449.333883823307</v>
      </c>
      <c r="AT46" s="446">
        <f t="shared" si="4"/>
        <v>9396.7006189606909</v>
      </c>
      <c r="AV46" s="446" t="e">
        <f>SUMIFS('Op 1 - Convergence'!AN:AN,'Op 1 - Convergence'!$I:$I,$D46)</f>
        <v>#REF!</v>
      </c>
      <c r="AX46" s="446" t="e">
        <f>SUMIFS('Op 1 - Convergence'!AK:AK,'Op 1 - Convergence'!$I:$I,$D46)</f>
        <v>#REF!</v>
      </c>
      <c r="AY46" s="449" t="e">
        <f t="shared" si="18"/>
        <v>#REF!</v>
      </c>
      <c r="BA46" s="446">
        <f t="shared" si="5"/>
        <v>12672.856958150887</v>
      </c>
      <c r="BB46" s="446" t="e">
        <f t="shared" si="6"/>
        <v>#REF!</v>
      </c>
      <c r="BC46" s="446" t="e">
        <f t="shared" si="7"/>
        <v>#REF!</v>
      </c>
      <c r="BE46" s="446">
        <f t="shared" si="8"/>
        <v>12315.328054946895</v>
      </c>
      <c r="BF46" s="446" t="e">
        <f t="shared" si="9"/>
        <v>#REF!</v>
      </c>
      <c r="BG46" s="446" t="e">
        <f t="shared" si="10"/>
        <v>#REF!</v>
      </c>
      <c r="BI46" s="446">
        <f t="shared" si="11"/>
        <v>11449.333883823307</v>
      </c>
      <c r="BJ46" s="446" t="e">
        <f t="shared" si="12"/>
        <v>#REF!</v>
      </c>
      <c r="BK46" s="446" t="e">
        <f t="shared" si="13"/>
        <v>#REF!</v>
      </c>
      <c r="BM46" s="446" t="e">
        <f>SUMIFS('Op 1 - Convergence'!K:K,'Op 1 - Convergence'!$I:$I,$D46)</f>
        <v>#REF!</v>
      </c>
      <c r="BN46" s="446">
        <f>SUMIFS('Op 1 - Convergence'!L:L,'Op 1 - Convergence'!$I:$I,$D46)</f>
        <v>174234.92301504573</v>
      </c>
      <c r="BO46" s="446" t="e">
        <f>SUMIFS('Op 1 - Convergence'!M:M,'Op 1 - Convergence'!$I:$I,$D46)</f>
        <v>#REF!</v>
      </c>
      <c r="BP46" s="446" t="e">
        <f>SUMIFS('Op 1 - Convergence'!N:N,'Op 1 - Convergence'!$I:$I,$D46)</f>
        <v>#REF!</v>
      </c>
      <c r="BQ46" s="446">
        <f>SUMIFS('Op 1 - Convergence'!O:O,'Op 1 - Convergence'!$I:$I,$D46)</f>
        <v>9338.0769849542703</v>
      </c>
      <c r="BR46" s="446" t="e">
        <f>SUMIFS('Op 1 - Convergence'!P:P,'Op 1 - Convergence'!$I:$I,$D46)</f>
        <v>#REF!</v>
      </c>
      <c r="BS46" s="449" t="e">
        <f t="shared" si="19"/>
        <v>#REF!</v>
      </c>
      <c r="BU46" s="446">
        <f t="shared" si="20"/>
        <v>12672.856958150887</v>
      </c>
      <c r="BV46" s="449" t="e">
        <f t="shared" si="14"/>
        <v>#REF!</v>
      </c>
      <c r="BX46" s="446">
        <f t="shared" si="21"/>
        <v>12315.328054946895</v>
      </c>
      <c r="BY46" s="449" t="e">
        <f t="shared" si="22"/>
        <v>#REF!</v>
      </c>
      <c r="CA46" s="446">
        <f t="shared" si="23"/>
        <v>11449.333883823307</v>
      </c>
      <c r="CB46" s="449" t="e">
        <f t="shared" si="24"/>
        <v>#REF!</v>
      </c>
    </row>
    <row r="47" spans="2:80" x14ac:dyDescent="0.25">
      <c r="B47" s="266" t="s">
        <v>72</v>
      </c>
      <c r="C47" s="61" t="s">
        <v>73</v>
      </c>
      <c r="D47" s="61" t="s">
        <v>74</v>
      </c>
      <c r="E47" s="231" t="s">
        <v>75</v>
      </c>
      <c r="F47" s="446">
        <f>SUMIFS('SC1'!S:S,'SC1'!$I:$I,$D47)</f>
        <v>8028.6737261864509</v>
      </c>
      <c r="G47" s="446">
        <f>SUMIFS('SC1'!T:T,'SC1'!$I:$I,$D47)</f>
        <v>0</v>
      </c>
      <c r="H47" s="446">
        <f>SUMIFS('SC1'!U:U,'SC1'!$I:$I,$D47)</f>
        <v>6606.9639760164309</v>
      </c>
      <c r="I47" s="446">
        <f>SUMIFS('SC1'!V:V,'SC1'!$I:$I,$D47)</f>
        <v>17693.363578998706</v>
      </c>
      <c r="J47" s="446"/>
      <c r="K47" s="446"/>
      <c r="L47" s="446"/>
      <c r="M47" s="446">
        <f>SUMIFS('SC1'!Z:Z,'SC1'!$I:$I,$D47)</f>
        <v>-0.16964128217659891</v>
      </c>
      <c r="N47" s="446"/>
      <c r="O47" s="446">
        <f>SUMIFS('SC1'!AB:AB,'SC1'!$I:$I,$D47)</f>
        <v>217.18802281890569</v>
      </c>
      <c r="P47" s="446">
        <f>SUMIFS('SC1'!AC:AC,'SC1'!$I:$I,$D47)</f>
        <v>0</v>
      </c>
      <c r="Q47" s="446">
        <f t="shared" si="15"/>
        <v>32546.019662738319</v>
      </c>
      <c r="R47" s="446">
        <f t="shared" si="2"/>
        <v>30115.986907236806</v>
      </c>
      <c r="T47" s="446">
        <f>SUMIFS('SC2'!S:S,'SC2'!$I:$I,$D47)</f>
        <v>0</v>
      </c>
      <c r="U47" s="446">
        <f>SUMIFS('SC2'!T:T,'SC2'!$I:$I,$D47)</f>
        <v>0</v>
      </c>
      <c r="V47" s="446">
        <f>SUMIFS('SC2'!U:U,'SC2'!$I:$I,$D47)</f>
        <v>13177.590718906924</v>
      </c>
      <c r="W47" s="446">
        <f>SUMIFS('SC2'!V:V,'SC2'!$I:$I,$D47)</f>
        <v>16627.445476578661</v>
      </c>
      <c r="X47" s="446"/>
      <c r="Y47" s="446"/>
      <c r="Z47" s="446"/>
      <c r="AA47" s="446">
        <f>SUMIFS('SC2'!Z:Z,'SC2'!$I:$I,$D47)</f>
        <v>1.0594993596896529E-2</v>
      </c>
      <c r="AB47" s="446"/>
      <c r="AC47" s="446">
        <f>SUMIFS('SC2'!AB:AB,'SC2'!$I:$I,$D47)</f>
        <v>434.14769772042524</v>
      </c>
      <c r="AD47" s="446">
        <f>SUMIFS('SC2'!AC:AC,'SC2'!$I:$I,$D47)</f>
        <v>0</v>
      </c>
      <c r="AE47" s="446">
        <f t="shared" si="16"/>
        <v>30239.194488199606</v>
      </c>
      <c r="AF47" s="446">
        <f t="shared" si="3"/>
        <v>27258.690868651051</v>
      </c>
      <c r="AH47" s="446">
        <f>SUMIFS('SC3'!S:S,'SC3'!$I:$I,$D47)</f>
        <v>0</v>
      </c>
      <c r="AI47" s="446">
        <f>SUMIFS('SC3'!T:T,'SC3'!$I:$I,$D47)</f>
        <v>0</v>
      </c>
      <c r="AJ47" s="446">
        <f>SUMIFS('SC3'!U:U,'SC3'!$I:$I,$D47)</f>
        <v>0</v>
      </c>
      <c r="AK47" s="446">
        <f>SUMIFS('SC3'!V:V,'SC3'!$I:$I,$D47)</f>
        <v>14460.171197032383</v>
      </c>
      <c r="AL47" s="446"/>
      <c r="AM47" s="446"/>
      <c r="AN47" s="446"/>
      <c r="AO47" s="446">
        <f>SUMIFS('SC3'!Z:Z,'SC3'!$I:$I,$D47)</f>
        <v>0</v>
      </c>
      <c r="AP47" s="446"/>
      <c r="AQ47" s="446">
        <f>SUMIFS('SC3'!AB:AB,'SC3'!$I:$I,$D47)</f>
        <v>0</v>
      </c>
      <c r="AR47" s="446">
        <f>SUMIFS('SC3'!AC:AC,'SC3'!$I:$I,$D47)</f>
        <v>16210.315263176744</v>
      </c>
      <c r="AS47" s="446">
        <f t="shared" si="17"/>
        <v>30670.486460209126</v>
      </c>
      <c r="AT47" s="446">
        <f t="shared" si="4"/>
        <v>25171.890524711704</v>
      </c>
      <c r="AV47" s="446" t="e">
        <f>SUMIFS('Op 1 - Convergence'!AN:AN,'Op 1 - Convergence'!$I:$I,$D47)</f>
        <v>#REF!</v>
      </c>
      <c r="AX47" s="446" t="e">
        <f>SUMIFS('Op 1 - Convergence'!AK:AK,'Op 1 - Convergence'!$I:$I,$D47)</f>
        <v>#REF!</v>
      </c>
      <c r="AY47" s="449" t="e">
        <f t="shared" si="18"/>
        <v>#REF!</v>
      </c>
      <c r="BA47" s="446">
        <f t="shared" si="5"/>
        <v>32546.019662738319</v>
      </c>
      <c r="BB47" s="446" t="e">
        <f t="shared" si="6"/>
        <v>#REF!</v>
      </c>
      <c r="BC47" s="446" t="e">
        <f t="shared" si="7"/>
        <v>#REF!</v>
      </c>
      <c r="BE47" s="446">
        <f t="shared" si="8"/>
        <v>30239.194488199606</v>
      </c>
      <c r="BF47" s="446" t="e">
        <f t="shared" si="9"/>
        <v>#REF!</v>
      </c>
      <c r="BG47" s="446" t="e">
        <f t="shared" si="10"/>
        <v>#REF!</v>
      </c>
      <c r="BI47" s="446">
        <f t="shared" si="11"/>
        <v>30670.486460209126</v>
      </c>
      <c r="BJ47" s="446" t="e">
        <f t="shared" si="12"/>
        <v>#REF!</v>
      </c>
      <c r="BK47" s="446" t="e">
        <f t="shared" si="13"/>
        <v>#REF!</v>
      </c>
      <c r="BM47" s="446" t="e">
        <f>SUMIFS('Op 1 - Convergence'!K:K,'Op 1 - Convergence'!$I:$I,$D47)</f>
        <v>#REF!</v>
      </c>
      <c r="BN47" s="446">
        <f>SUMIFS('Op 1 - Convergence'!L:L,'Op 1 - Convergence'!$I:$I,$D47)</f>
        <v>694548.92659571301</v>
      </c>
      <c r="BO47" s="446" t="e">
        <f>SUMIFS('Op 1 - Convergence'!M:M,'Op 1 - Convergence'!$I:$I,$D47)</f>
        <v>#REF!</v>
      </c>
      <c r="BP47" s="446" t="e">
        <f>SUMIFS('Op 1 - Convergence'!N:N,'Op 1 - Convergence'!$I:$I,$D47)</f>
        <v>#REF!</v>
      </c>
      <c r="BQ47" s="446">
        <f>SUMIFS('Op 1 - Convergence'!O:O,'Op 1 - Convergence'!$I:$I,$D47)</f>
        <v>23417.078822379932</v>
      </c>
      <c r="BR47" s="446" t="e">
        <f>SUMIFS('Op 1 - Convergence'!P:P,'Op 1 - Convergence'!$I:$I,$D47)</f>
        <v>#REF!</v>
      </c>
      <c r="BS47" s="449" t="e">
        <f t="shared" si="19"/>
        <v>#REF!</v>
      </c>
      <c r="BU47" s="446">
        <f t="shared" si="20"/>
        <v>32546.019662738319</v>
      </c>
      <c r="BV47" s="449" t="e">
        <f t="shared" si="14"/>
        <v>#REF!</v>
      </c>
      <c r="BX47" s="446">
        <f t="shared" si="21"/>
        <v>30239.194488199606</v>
      </c>
      <c r="BY47" s="449" t="e">
        <f t="shared" si="22"/>
        <v>#REF!</v>
      </c>
      <c r="CA47" s="446">
        <f t="shared" si="23"/>
        <v>30670.486460209126</v>
      </c>
      <c r="CB47" s="449" t="e">
        <f t="shared" si="24"/>
        <v>#REF!</v>
      </c>
    </row>
    <row r="48" spans="2:80" x14ac:dyDescent="0.25">
      <c r="B48" s="267" t="s">
        <v>72</v>
      </c>
      <c r="C48" s="268" t="s">
        <v>73</v>
      </c>
      <c r="D48" s="61" t="s">
        <v>80</v>
      </c>
      <c r="E48" s="231" t="s">
        <v>81</v>
      </c>
      <c r="F48" s="446">
        <f>SUMIFS('SC1'!S:S,'SC1'!$I:$I,$D48)</f>
        <v>10016.049922447295</v>
      </c>
      <c r="G48" s="446">
        <f>SUMIFS('SC1'!T:T,'SC1'!$I:$I,$D48)</f>
        <v>0</v>
      </c>
      <c r="H48" s="446">
        <f>SUMIFS('SC1'!U:U,'SC1'!$I:$I,$D48)</f>
        <v>8249.0012317549899</v>
      </c>
      <c r="I48" s="446">
        <f>SUMIFS('SC1'!V:V,'SC1'!$I:$I,$D48)</f>
        <v>22090.717988907381</v>
      </c>
      <c r="J48" s="446"/>
      <c r="K48" s="446"/>
      <c r="L48" s="446"/>
      <c r="M48" s="446">
        <f>SUMIFS('SC1'!Z:Z,'SC1'!$I:$I,$D48)</f>
        <v>7.7384938718751073E-2</v>
      </c>
      <c r="N48" s="446"/>
      <c r="O48" s="446">
        <f>SUMIFS('SC1'!AB:AB,'SC1'!$I:$I,$D48)</f>
        <v>271.16604150697862</v>
      </c>
      <c r="P48" s="446">
        <f>SUMIFS('SC1'!AC:AC,'SC1'!$I:$I,$D48)</f>
        <v>0</v>
      </c>
      <c r="Q48" s="446">
        <f t="shared" si="15"/>
        <v>40627.012569555365</v>
      </c>
      <c r="R48" s="446">
        <f t="shared" si="2"/>
        <v>37593.040647489121</v>
      </c>
      <c r="T48" s="446">
        <f>SUMIFS('SC2'!S:S,'SC2'!$I:$I,$D48)</f>
        <v>0</v>
      </c>
      <c r="U48" s="446">
        <f>SUMIFS('SC2'!T:T,'SC2'!$I:$I,$D48)</f>
        <v>0</v>
      </c>
      <c r="V48" s="446">
        <f>SUMIFS('SC2'!U:U,'SC2'!$I:$I,$D48)</f>
        <v>16452.634291093338</v>
      </c>
      <c r="W48" s="446">
        <f>SUMIFS('SC2'!V:V,'SC2'!$I:$I,$D48)</f>
        <v>20759.885889363479</v>
      </c>
      <c r="X48" s="446"/>
      <c r="Y48" s="446"/>
      <c r="Z48" s="446"/>
      <c r="AA48" s="446">
        <f>SUMIFS('SC2'!Z:Z,'SC2'!$I:$I,$D48)</f>
        <v>1.3395145069807768E-2</v>
      </c>
      <c r="AB48" s="446"/>
      <c r="AC48" s="446">
        <f>SUMIFS('SC2'!AB:AB,'SC2'!$I:$I,$D48)</f>
        <v>542.04698349493071</v>
      </c>
      <c r="AD48" s="446">
        <f>SUMIFS('SC2'!AC:AC,'SC2'!$I:$I,$D48)</f>
        <v>0</v>
      </c>
      <c r="AE48" s="446">
        <f t="shared" si="16"/>
        <v>37754.580559096823</v>
      </c>
      <c r="AF48" s="446">
        <f t="shared" si="3"/>
        <v>34033.328541051138</v>
      </c>
      <c r="AH48" s="446">
        <f>SUMIFS('SC3'!S:S,'SC3'!$I:$I,$D48)</f>
        <v>0</v>
      </c>
      <c r="AI48" s="446">
        <f>SUMIFS('SC3'!T:T,'SC3'!$I:$I,$D48)</f>
        <v>0</v>
      </c>
      <c r="AJ48" s="446">
        <f>SUMIFS('SC3'!U:U,'SC3'!$I:$I,$D48)</f>
        <v>0</v>
      </c>
      <c r="AK48" s="446">
        <f>SUMIFS('SC3'!V:V,'SC3'!$I:$I,$D48)</f>
        <v>18053.976145277458</v>
      </c>
      <c r="AL48" s="446"/>
      <c r="AM48" s="446"/>
      <c r="AN48" s="446"/>
      <c r="AO48" s="446">
        <f>SUMIFS('SC3'!Z:Z,'SC3'!$I:$I,$D48)</f>
        <v>0</v>
      </c>
      <c r="AP48" s="446"/>
      <c r="AQ48" s="446">
        <f>SUMIFS('SC3'!AB:AB,'SC3'!$I:$I,$D48)</f>
        <v>0</v>
      </c>
      <c r="AR48" s="446">
        <f>SUMIFS('SC3'!AC:AC,'SC3'!$I:$I,$D48)</f>
        <v>20239.085767454944</v>
      </c>
      <c r="AS48" s="446">
        <f t="shared" si="17"/>
        <v>38293.061912732403</v>
      </c>
      <c r="AT48" s="446">
        <f t="shared" si="4"/>
        <v>31427.892856340921</v>
      </c>
      <c r="AV48" s="446" t="e">
        <f>SUMIFS('Op 1 - Convergence'!AN:AN,'Op 1 - Convergence'!$I:$I,$D48)</f>
        <v>#REF!</v>
      </c>
      <c r="AX48" s="446" t="e">
        <f>SUMIFS('Op 1 - Convergence'!AK:AK,'Op 1 - Convergence'!$I:$I,$D48)</f>
        <v>#REF!</v>
      </c>
      <c r="AY48" s="449" t="e">
        <f t="shared" si="18"/>
        <v>#REF!</v>
      </c>
      <c r="BA48" s="446">
        <f t="shared" si="5"/>
        <v>40627.012569555365</v>
      </c>
      <c r="BB48" s="446" t="e">
        <f t="shared" si="6"/>
        <v>#REF!</v>
      </c>
      <c r="BC48" s="446" t="e">
        <f t="shared" si="7"/>
        <v>#REF!</v>
      </c>
      <c r="BE48" s="446">
        <f t="shared" si="8"/>
        <v>37754.580559096823</v>
      </c>
      <c r="BF48" s="446" t="e">
        <f t="shared" si="9"/>
        <v>#REF!</v>
      </c>
      <c r="BG48" s="446" t="e">
        <f t="shared" si="10"/>
        <v>#REF!</v>
      </c>
      <c r="BI48" s="446">
        <f t="shared" si="11"/>
        <v>38293.061912732403</v>
      </c>
      <c r="BJ48" s="446" t="e">
        <f t="shared" si="12"/>
        <v>#REF!</v>
      </c>
      <c r="BK48" s="446" t="e">
        <f t="shared" si="13"/>
        <v>#REF!</v>
      </c>
      <c r="BM48" s="446" t="e">
        <f>SUMIFS('Op 1 - Convergence'!K:K,'Op 1 - Convergence'!$I:$I,$D48)</f>
        <v>#REF!</v>
      </c>
      <c r="BN48" s="446">
        <f>SUMIFS('Op 1 - Convergence'!L:L,'Op 1 - Convergence'!$I:$I,$D48)</f>
        <v>862816.27392937022</v>
      </c>
      <c r="BO48" s="446" t="e">
        <f>SUMIFS('Op 1 - Convergence'!M:M,'Op 1 - Convergence'!$I:$I,$D48)</f>
        <v>#REF!</v>
      </c>
      <c r="BP48" s="446" t="e">
        <f>SUMIFS('Op 1 - Convergence'!N:N,'Op 1 - Convergence'!$I:$I,$D48)</f>
        <v>#REF!</v>
      </c>
      <c r="BQ48" s="446">
        <f>SUMIFS('Op 1 - Convergence'!O:O,'Op 1 - Convergence'!$I:$I,$D48)</f>
        <v>27881.036935875774</v>
      </c>
      <c r="BR48" s="446" t="e">
        <f>SUMIFS('Op 1 - Convergence'!P:P,'Op 1 - Convergence'!$I:$I,$D48)</f>
        <v>#REF!</v>
      </c>
      <c r="BS48" s="449" t="e">
        <f t="shared" si="19"/>
        <v>#REF!</v>
      </c>
      <c r="BU48" s="446">
        <f t="shared" si="20"/>
        <v>40627.012569555365</v>
      </c>
      <c r="BV48" s="449" t="e">
        <f t="shared" si="14"/>
        <v>#REF!</v>
      </c>
      <c r="BX48" s="446">
        <f t="shared" si="21"/>
        <v>37754.580559096823</v>
      </c>
      <c r="BY48" s="449" t="e">
        <f t="shared" si="22"/>
        <v>#REF!</v>
      </c>
      <c r="CA48" s="446">
        <f t="shared" si="23"/>
        <v>38293.061912732403</v>
      </c>
      <c r="CB48" s="449" t="e">
        <f t="shared" si="24"/>
        <v>#REF!</v>
      </c>
    </row>
    <row r="49" spans="4:80" x14ac:dyDescent="0.25">
      <c r="F49" s="61"/>
      <c r="G49" s="61"/>
      <c r="H49" s="61"/>
      <c r="I49" s="61"/>
      <c r="J49" s="61"/>
      <c r="K49" s="61"/>
      <c r="L49" s="61"/>
      <c r="M49" s="61"/>
      <c r="N49" s="61"/>
      <c r="O49" s="61"/>
      <c r="P49" s="61"/>
      <c r="Q49" s="61"/>
      <c r="R49" s="61"/>
      <c r="T49" s="61"/>
      <c r="U49" s="61"/>
      <c r="V49" s="61"/>
      <c r="W49" s="61"/>
      <c r="X49" s="61"/>
      <c r="Y49" s="61"/>
      <c r="Z49" s="61"/>
      <c r="AA49" s="61"/>
      <c r="AB49" s="61"/>
      <c r="AC49" s="61"/>
      <c r="AD49" s="61"/>
      <c r="AE49" s="61"/>
      <c r="AF49" s="61"/>
      <c r="AT49" s="61"/>
      <c r="BS49" s="241"/>
    </row>
    <row r="50" spans="4:80" x14ac:dyDescent="0.25">
      <c r="E50" s="448" t="s">
        <v>115</v>
      </c>
      <c r="F50" s="447">
        <f>SUM(F7:F48)</f>
        <v>239119.08177328997</v>
      </c>
      <c r="G50" s="447">
        <f t="shared" ref="G50:AV50" si="25">SUM(G7:G48)</f>
        <v>0</v>
      </c>
      <c r="H50" s="447">
        <f t="shared" si="25"/>
        <v>243363.84263787526</v>
      </c>
      <c r="I50" s="447">
        <f t="shared" si="25"/>
        <v>651725.20470897853</v>
      </c>
      <c r="J50" s="447">
        <f t="shared" si="25"/>
        <v>0</v>
      </c>
      <c r="K50" s="447">
        <f t="shared" si="25"/>
        <v>0</v>
      </c>
      <c r="L50" s="447">
        <f t="shared" si="25"/>
        <v>0</v>
      </c>
      <c r="M50" s="447">
        <f t="shared" si="25"/>
        <v>26662.858177471848</v>
      </c>
      <c r="N50" s="447">
        <f t="shared" si="25"/>
        <v>0</v>
      </c>
      <c r="O50" s="447">
        <f t="shared" si="25"/>
        <v>7999.9999999999973</v>
      </c>
      <c r="P50" s="447">
        <f t="shared" si="25"/>
        <v>0</v>
      </c>
      <c r="Q50" s="447">
        <f t="shared" si="25"/>
        <v>1168870.9872976157</v>
      </c>
      <c r="R50" s="447">
        <f t="shared" si="25"/>
        <v>1079362.0825629304</v>
      </c>
      <c r="T50" s="447">
        <f t="shared" si="25"/>
        <v>0</v>
      </c>
      <c r="U50" s="447">
        <f t="shared" si="25"/>
        <v>0</v>
      </c>
      <c r="V50" s="447">
        <f t="shared" si="25"/>
        <v>485644.52284228109</v>
      </c>
      <c r="W50" s="447">
        <f t="shared" si="25"/>
        <v>612784.84032541804</v>
      </c>
      <c r="X50" s="447">
        <f t="shared" si="25"/>
        <v>0</v>
      </c>
      <c r="Y50" s="447">
        <f t="shared" si="25"/>
        <v>0</v>
      </c>
      <c r="Z50" s="447">
        <f t="shared" si="25"/>
        <v>0</v>
      </c>
      <c r="AA50" s="447">
        <f t="shared" si="25"/>
        <v>53320.154649557458</v>
      </c>
      <c r="AB50" s="447">
        <f t="shared" si="25"/>
        <v>0</v>
      </c>
      <c r="AC50" s="447">
        <f t="shared" si="25"/>
        <v>15999.999999999998</v>
      </c>
      <c r="AD50" s="447">
        <f t="shared" si="25"/>
        <v>0</v>
      </c>
      <c r="AE50" s="447">
        <f t="shared" si="25"/>
        <v>1167749.5178172563</v>
      </c>
      <c r="AF50" s="447">
        <f t="shared" si="25"/>
        <v>1057906.5815004865</v>
      </c>
      <c r="AH50" s="447">
        <f t="shared" si="25"/>
        <v>0</v>
      </c>
      <c r="AI50" s="447">
        <f t="shared" si="25"/>
        <v>0</v>
      </c>
      <c r="AJ50" s="447">
        <f t="shared" si="25"/>
        <v>0</v>
      </c>
      <c r="AK50" s="447">
        <f t="shared" si="25"/>
        <v>532912.50965358573</v>
      </c>
      <c r="AL50" s="447">
        <f t="shared" si="25"/>
        <v>0</v>
      </c>
      <c r="AM50" s="447">
        <f t="shared" si="25"/>
        <v>0</v>
      </c>
      <c r="AN50" s="447">
        <f t="shared" si="25"/>
        <v>0</v>
      </c>
      <c r="AO50" s="447">
        <f t="shared" si="25"/>
        <v>0</v>
      </c>
      <c r="AP50" s="447">
        <f t="shared" si="25"/>
        <v>0</v>
      </c>
      <c r="AQ50" s="447">
        <f t="shared" si="25"/>
        <v>0</v>
      </c>
      <c r="AR50" s="447">
        <f t="shared" si="25"/>
        <v>597411.99958602362</v>
      </c>
      <c r="AS50" s="447">
        <f t="shared" si="25"/>
        <v>1130324.5092396098</v>
      </c>
      <c r="AT50" s="447">
        <f t="shared" si="25"/>
        <v>927680.25837774493</v>
      </c>
      <c r="AV50" s="447" t="e">
        <f t="shared" si="25"/>
        <v>#REF!</v>
      </c>
      <c r="AX50" s="447" t="e">
        <f>SUM(AX7:AX48)</f>
        <v>#REF!</v>
      </c>
      <c r="AY50" s="450" t="e">
        <f t="shared" si="18"/>
        <v>#REF!</v>
      </c>
      <c r="BA50" s="447">
        <f t="shared" ref="BA50:BC50" si="26">SUM(BA7:BA48)</f>
        <v>1168870.9872976157</v>
      </c>
      <c r="BB50" s="447" t="e">
        <f t="shared" si="26"/>
        <v>#REF!</v>
      </c>
      <c r="BC50" s="447" t="e">
        <f t="shared" si="26"/>
        <v>#REF!</v>
      </c>
      <c r="BE50" s="447">
        <f t="shared" ref="BE50:BG50" si="27">SUM(BE7:BE48)</f>
        <v>1167749.5178172563</v>
      </c>
      <c r="BF50" s="447" t="e">
        <f t="shared" si="27"/>
        <v>#REF!</v>
      </c>
      <c r="BG50" s="447" t="e">
        <f t="shared" si="27"/>
        <v>#REF!</v>
      </c>
      <c r="BI50" s="447">
        <f t="shared" ref="BI50:BU50" si="28">SUM(BI7:BI48)</f>
        <v>1130324.5092396098</v>
      </c>
      <c r="BJ50" s="447" t="e">
        <f t="shared" si="28"/>
        <v>#REF!</v>
      </c>
      <c r="BK50" s="447" t="e">
        <f t="shared" si="28"/>
        <v>#REF!</v>
      </c>
      <c r="BM50" s="447" t="e">
        <f t="shared" si="28"/>
        <v>#REF!</v>
      </c>
      <c r="BN50" s="447">
        <f t="shared" si="28"/>
        <v>19766480.4021868</v>
      </c>
      <c r="BO50" s="447" t="e">
        <f t="shared" si="28"/>
        <v>#REF!</v>
      </c>
      <c r="BP50" s="447" t="e">
        <f t="shared" si="28"/>
        <v>#REF!</v>
      </c>
      <c r="BQ50" s="447">
        <f t="shared" si="28"/>
        <v>818230.6149078015</v>
      </c>
      <c r="BR50" s="447" t="e">
        <f t="shared" si="28"/>
        <v>#REF!</v>
      </c>
      <c r="BS50" s="450" t="e">
        <f t="shared" si="19"/>
        <v>#REF!</v>
      </c>
      <c r="BU50" s="447">
        <f t="shared" si="28"/>
        <v>1168870.9872976157</v>
      </c>
      <c r="BV50" s="450" t="e">
        <f>BU50/$BO50</f>
        <v>#REF!</v>
      </c>
      <c r="BX50" s="447">
        <f t="shared" ref="BX50" si="29">SUM(BX7:BX48)</f>
        <v>1167749.5178172563</v>
      </c>
      <c r="BY50" s="450" t="e">
        <f t="shared" si="22"/>
        <v>#REF!</v>
      </c>
      <c r="CA50" s="447">
        <f t="shared" ref="CA50" si="30">SUM(CA7:CA48)</f>
        <v>1130324.5092396098</v>
      </c>
      <c r="CB50" s="450" t="e">
        <f t="shared" si="24"/>
        <v>#REF!</v>
      </c>
    </row>
    <row r="51" spans="4:80" x14ac:dyDescent="0.25">
      <c r="E51" s="85"/>
      <c r="I51" s="223">
        <f>I50*10%</f>
        <v>65172.520470897856</v>
      </c>
      <c r="R51" s="69"/>
      <c r="AF51" s="69"/>
      <c r="AT51" s="69"/>
    </row>
    <row r="52" spans="4:80" x14ac:dyDescent="0.25">
      <c r="D52" t="s">
        <v>829</v>
      </c>
      <c r="E52" s="448" t="s">
        <v>384</v>
      </c>
      <c r="AX52" s="447">
        <f>SUMIFS(AX$7:AX$48,AX$7:AX$48,$D52)</f>
        <v>0</v>
      </c>
      <c r="AY52" s="451"/>
      <c r="BB52" s="447">
        <f>BC52-$AX52</f>
        <v>0</v>
      </c>
      <c r="BC52" s="447">
        <f>SUMIFS(BC$7:BC$48,BC$7:BC$48,$D52)</f>
        <v>0</v>
      </c>
      <c r="BE52" s="319"/>
      <c r="BF52" s="447">
        <f>BG52-$AX52</f>
        <v>0</v>
      </c>
      <c r="BG52" s="447">
        <f>SUMIFS(BG$7:BG$48,BG$7:BG$48,$D52)</f>
        <v>0</v>
      </c>
      <c r="BI52" s="319"/>
      <c r="BJ52" s="447">
        <f>BK52-$AX52</f>
        <v>0</v>
      </c>
      <c r="BK52" s="447">
        <f>SUMIFS(BK$7:BK$48,BK$7:BK$48,$D52)</f>
        <v>0</v>
      </c>
    </row>
    <row r="53" spans="4:80" x14ac:dyDescent="0.25">
      <c r="D53" t="s">
        <v>828</v>
      </c>
      <c r="E53" s="448" t="s">
        <v>252</v>
      </c>
      <c r="AX53" s="447">
        <f>SUMIFS(AX$7:AX$48,AX$7:AX$48,$D53)</f>
        <v>0</v>
      </c>
      <c r="AY53" s="451"/>
      <c r="BB53" s="447">
        <f>BC53-$AX53</f>
        <v>0</v>
      </c>
      <c r="BC53" s="447">
        <f>SUMIFS(BC$7:BC$48,BC$7:BC$48,$D53)</f>
        <v>0</v>
      </c>
      <c r="BE53" s="319"/>
      <c r="BF53" s="447">
        <f>BG53-$AX53</f>
        <v>0</v>
      </c>
      <c r="BG53" s="447">
        <f>SUMIFS(BG$7:BG$48,BG$7:BG$48,$D53)</f>
        <v>0</v>
      </c>
      <c r="BI53" s="319"/>
      <c r="BJ53" s="447">
        <f>BK53-$AX53</f>
        <v>0</v>
      </c>
      <c r="BK53" s="447">
        <f>SUMIFS(BK$7:BK$48,BK$7:BK$48,$D53)</f>
        <v>0</v>
      </c>
    </row>
  </sheetData>
  <autoFilter ref="B6:BK6" xr:uid="{B49001F8-8F0F-4137-9617-7DFF144326C4}">
    <sortState xmlns:xlrd2="http://schemas.microsoft.com/office/spreadsheetml/2017/richdata2" ref="B7:BK48">
      <sortCondition ref="AX6"/>
    </sortState>
  </autoFilter>
  <conditionalFormatting sqref="AY7:AY9 AY11:AY48">
    <cfRule type="colorScale" priority="2">
      <colorScale>
        <cfvo type="num" val="-0.05"/>
        <cfvo type="max"/>
        <color rgb="FFF8696B"/>
        <color rgb="FFFCFCFF"/>
      </colorScale>
    </cfRule>
  </conditionalFormatting>
  <conditionalFormatting sqref="BV7:BV48 BY7:BY48 CB7:CB48">
    <cfRule type="colorScale" priority="1">
      <colorScale>
        <cfvo type="min"/>
        <cfvo type="max"/>
        <color rgb="FFFCFCFF"/>
        <color rgb="FF63BE7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7FE71-BA4D-4F77-B289-57939FF6230B}">
  <sheetPr codeName="Sheet12">
    <tabColor rgb="FF002060"/>
  </sheetPr>
  <dimension ref="B1:BB72"/>
  <sheetViews>
    <sheetView showGridLines="0" workbookViewId="0">
      <selection activeCell="E9" sqref="E9"/>
    </sheetView>
  </sheetViews>
  <sheetFormatPr defaultColWidth="8.7109375" defaultRowHeight="14.25" outlineLevelRow="1" outlineLevelCol="1" x14ac:dyDescent="0.2"/>
  <cols>
    <col min="1" max="1" width="8.7109375" style="61"/>
    <col min="2" max="2" width="24.42578125" style="61" bestFit="1" customWidth="1"/>
    <col min="3" max="3" width="8.7109375" style="61"/>
    <col min="4" max="4" width="16.7109375" style="61" customWidth="1"/>
    <col min="5" max="5" width="13" style="61" bestFit="1" customWidth="1"/>
    <col min="6" max="7" width="8.7109375" style="61"/>
    <col min="8" max="8" width="27.7109375" style="61" customWidth="1"/>
    <col min="9" max="9" width="8.7109375" style="61" customWidth="1"/>
    <col min="10" max="10" width="60" style="61" customWidth="1"/>
    <col min="11" max="11" width="13.5703125" style="61" customWidth="1" outlineLevel="1"/>
    <col min="12" max="12" width="12.28515625" style="61" customWidth="1" outlineLevel="1"/>
    <col min="13" max="13" width="13.5703125" style="61" customWidth="1" outlineLevel="1"/>
    <col min="14" max="16" width="12" style="61" customWidth="1"/>
    <col min="17" max="17" width="9.28515625" style="61" customWidth="1"/>
    <col min="18" max="18" width="2.42578125" style="61" customWidth="1"/>
    <col min="19" max="19" width="10.28515625" style="61" customWidth="1"/>
    <col min="20" max="20" width="10.28515625" style="61" customWidth="1" outlineLevel="1"/>
    <col min="21" max="22" width="10.28515625" style="61" customWidth="1"/>
    <col min="23" max="24" width="10.28515625" style="61" customWidth="1" outlineLevel="1"/>
    <col min="25" max="29" width="10.28515625" style="61" customWidth="1"/>
    <col min="30" max="30" width="11.28515625" style="61" customWidth="1"/>
    <col min="31" max="31" width="2.42578125" style="61" customWidth="1"/>
    <col min="32" max="34" width="11.42578125" style="61" customWidth="1"/>
    <col min="35" max="35" width="9.28515625" style="61" customWidth="1"/>
    <col min="36" max="36" width="2.42578125" style="61" customWidth="1"/>
    <col min="37" max="42" width="12.5703125" style="61" customWidth="1"/>
    <col min="43" max="43" width="2.42578125" style="61" customWidth="1"/>
    <col min="44" max="46" width="9.28515625" style="61" bestFit="1" customWidth="1"/>
    <col min="47" max="47" width="2.42578125" style="61" customWidth="1"/>
    <col min="48" max="50" width="9.28515625" style="61" bestFit="1" customWidth="1"/>
    <col min="51" max="51" width="2.42578125" style="61" customWidth="1"/>
    <col min="52" max="54" width="9.28515625" style="61" bestFit="1" customWidth="1"/>
    <col min="55" max="16384" width="8.7109375" style="61"/>
  </cols>
  <sheetData>
    <row r="1" spans="2:54" x14ac:dyDescent="0.2">
      <c r="J1" s="314"/>
      <c r="K1" s="314"/>
      <c r="L1" s="314"/>
      <c r="M1" s="314"/>
      <c r="N1" s="314"/>
      <c r="O1" s="314"/>
      <c r="P1" s="314"/>
      <c r="Q1" s="314"/>
      <c r="R1" s="314"/>
      <c r="S1" s="414">
        <v>1</v>
      </c>
      <c r="T1" s="414">
        <v>0.9</v>
      </c>
      <c r="U1" s="414">
        <v>0.9</v>
      </c>
      <c r="V1" s="414">
        <v>0.9</v>
      </c>
      <c r="W1" s="414">
        <v>1</v>
      </c>
      <c r="X1" s="414">
        <v>1</v>
      </c>
      <c r="Y1" s="414">
        <v>1</v>
      </c>
      <c r="Z1" s="414">
        <v>1</v>
      </c>
      <c r="AA1" s="414">
        <v>1</v>
      </c>
      <c r="AB1" s="414">
        <v>1</v>
      </c>
      <c r="AC1" s="414">
        <v>0.75</v>
      </c>
      <c r="AD1" s="314" t="s">
        <v>332</v>
      </c>
      <c r="AE1" s="316"/>
      <c r="AF1" s="314"/>
      <c r="AG1" s="314"/>
      <c r="AH1" s="314"/>
      <c r="AI1" s="314"/>
      <c r="AJ1" s="316"/>
      <c r="AK1" s="314"/>
      <c r="AL1" s="314"/>
      <c r="AM1" s="314"/>
      <c r="AQ1" s="286"/>
      <c r="AU1" s="286"/>
      <c r="AY1" s="286"/>
    </row>
    <row r="3" spans="2:54" x14ac:dyDescent="0.2">
      <c r="W3" s="61">
        <f>SUMIFS('SC - Op 1'!AK:AK,'SC - Op 1'!$D:$D,$I7)</f>
        <v>4683.3322104546833</v>
      </c>
      <c r="X3" s="61">
        <f>SUMIFS('SC - Op 1'!AD:AD,'SC - Op 1'!$D:$D,$I7)</f>
        <v>-7.5149613432586193E-2</v>
      </c>
      <c r="AA3" s="61" t="e">
        <f>25000*Y7/$Y$61</f>
        <v>#DIV/0!</v>
      </c>
    </row>
    <row r="4" spans="2:54" s="82" customFormat="1" ht="15" x14ac:dyDescent="0.25">
      <c r="B4" s="56" t="s">
        <v>335</v>
      </c>
    </row>
    <row r="5" spans="2:54" ht="13.9" customHeight="1" x14ac:dyDescent="0.2">
      <c r="K5" s="284" t="s">
        <v>336</v>
      </c>
      <c r="L5" s="284"/>
      <c r="M5" s="284"/>
      <c r="N5" s="284" t="s">
        <v>337</v>
      </c>
      <c r="O5" s="284"/>
      <c r="P5" s="284" t="s">
        <v>1082</v>
      </c>
      <c r="Q5" s="284"/>
      <c r="S5" s="284" t="s">
        <v>338</v>
      </c>
      <c r="T5" s="284"/>
      <c r="U5" s="284"/>
      <c r="V5" s="284"/>
      <c r="W5" s="284"/>
      <c r="X5" s="284"/>
      <c r="Y5" s="284"/>
      <c r="Z5" s="284"/>
      <c r="AA5" s="284"/>
      <c r="AB5" s="284"/>
      <c r="AC5" s="284"/>
      <c r="AD5" s="284"/>
      <c r="AE5" s="286"/>
      <c r="AF5" s="284"/>
      <c r="AG5" s="284"/>
      <c r="AH5" s="284" t="s">
        <v>1085</v>
      </c>
      <c r="AI5" s="284"/>
      <c r="AJ5" s="286"/>
      <c r="AK5" s="284" t="s">
        <v>252</v>
      </c>
      <c r="AL5" s="284"/>
      <c r="AM5" s="284"/>
      <c r="AN5" s="284"/>
      <c r="AO5" s="284"/>
      <c r="AP5" s="284"/>
      <c r="AQ5" s="286"/>
      <c r="AR5" s="284" t="s">
        <v>339</v>
      </c>
      <c r="AS5" s="284"/>
      <c r="AT5" s="284"/>
      <c r="AU5" s="286"/>
      <c r="AV5" s="284" t="s">
        <v>340</v>
      </c>
      <c r="AW5" s="284"/>
      <c r="AX5" s="284"/>
      <c r="AY5" s="286"/>
      <c r="AZ5" s="284" t="s">
        <v>341</v>
      </c>
      <c r="BA5" s="284"/>
      <c r="BB5" s="284"/>
    </row>
    <row r="6" spans="2:54" ht="60" x14ac:dyDescent="0.25">
      <c r="C6" s="239" t="s">
        <v>342</v>
      </c>
      <c r="D6" s="239" t="s">
        <v>343</v>
      </c>
      <c r="E6" s="239" t="s">
        <v>344</v>
      </c>
      <c r="G6" s="263" t="s">
        <v>13</v>
      </c>
      <c r="H6" s="264" t="s">
        <v>14</v>
      </c>
      <c r="I6" s="264" t="s">
        <v>15</v>
      </c>
      <c r="J6" s="264" t="s">
        <v>16</v>
      </c>
      <c r="K6" s="265" t="s">
        <v>7</v>
      </c>
      <c r="L6" s="265" t="s">
        <v>333</v>
      </c>
      <c r="M6" s="265" t="s">
        <v>115</v>
      </c>
      <c r="N6" s="265" t="s">
        <v>7</v>
      </c>
      <c r="O6" s="265" t="s">
        <v>333</v>
      </c>
      <c r="P6" s="265" t="s">
        <v>1110</v>
      </c>
      <c r="Q6" s="265" t="s">
        <v>1084</v>
      </c>
      <c r="S6" s="265" t="s">
        <v>345</v>
      </c>
      <c r="T6" s="265" t="s">
        <v>295</v>
      </c>
      <c r="U6" s="265" t="s">
        <v>346</v>
      </c>
      <c r="V6" s="265" t="s">
        <v>280</v>
      </c>
      <c r="W6" s="265" t="s">
        <v>347</v>
      </c>
      <c r="X6" s="265" t="s">
        <v>348</v>
      </c>
      <c r="Y6" s="265" t="s">
        <v>1073</v>
      </c>
      <c r="Z6" s="265" t="s">
        <v>212</v>
      </c>
      <c r="AA6" s="265" t="s">
        <v>1131</v>
      </c>
      <c r="AB6" s="265" t="s">
        <v>1130</v>
      </c>
      <c r="AC6" s="265" t="s">
        <v>1129</v>
      </c>
      <c r="AD6" s="265" t="s">
        <v>115</v>
      </c>
      <c r="AE6" s="286"/>
      <c r="AF6" s="265" t="s">
        <v>7</v>
      </c>
      <c r="AG6" s="265" t="s">
        <v>333</v>
      </c>
      <c r="AH6" s="265" t="s">
        <v>1110</v>
      </c>
      <c r="AI6" s="265" t="s">
        <v>1084</v>
      </c>
      <c r="AJ6" s="286"/>
      <c r="AK6" s="265" t="s">
        <v>1081</v>
      </c>
      <c r="AL6" s="265" t="s">
        <v>1069</v>
      </c>
      <c r="AM6" s="285" t="s">
        <v>288</v>
      </c>
      <c r="AN6" s="265" t="s">
        <v>1070</v>
      </c>
      <c r="AO6" s="265" t="s">
        <v>1071</v>
      </c>
      <c r="AP6" s="265" t="s">
        <v>349</v>
      </c>
      <c r="AQ6" s="286"/>
      <c r="AR6" s="265" t="s">
        <v>7</v>
      </c>
      <c r="AS6" s="265" t="s">
        <v>333</v>
      </c>
      <c r="AT6" s="265" t="s">
        <v>115</v>
      </c>
      <c r="AU6" s="286"/>
      <c r="AV6" s="265" t="s">
        <v>7</v>
      </c>
      <c r="AW6" s="265" t="s">
        <v>333</v>
      </c>
      <c r="AX6" s="265" t="s">
        <v>115</v>
      </c>
      <c r="AY6" s="286"/>
      <c r="AZ6" s="265" t="s">
        <v>7</v>
      </c>
      <c r="BA6" s="265" t="s">
        <v>333</v>
      </c>
      <c r="BB6" s="265" t="s">
        <v>115</v>
      </c>
    </row>
    <row r="7" spans="2:54" x14ac:dyDescent="0.2">
      <c r="B7" s="98" t="s">
        <v>189</v>
      </c>
      <c r="C7" s="242" t="s">
        <v>194</v>
      </c>
      <c r="D7" s="240"/>
      <c r="E7" s="240" t="str">
        <f>IF(C7="On","On","")</f>
        <v>On</v>
      </c>
      <c r="G7" s="266" t="s">
        <v>17</v>
      </c>
      <c r="H7" s="61" t="s">
        <v>18</v>
      </c>
      <c r="I7" s="61" t="s">
        <v>19</v>
      </c>
      <c r="J7" s="61" t="s">
        <v>20</v>
      </c>
      <c r="K7" s="311" t="e">
        <f>SUMIFS(#REF!,#REF!,I7)</f>
        <v>#REF!</v>
      </c>
      <c r="L7" s="311">
        <f>SUMIFS('SC - Op 1'!H:H,'SC - Op 1'!D:D,I7)</f>
        <v>518473.07957153779</v>
      </c>
      <c r="M7" s="311" t="e">
        <f>SUM(K7:L7)</f>
        <v>#REF!</v>
      </c>
      <c r="N7" s="311" t="e">
        <f>SUMIFS(#REF!,#REF!,I7)-K7</f>
        <v>#REF!</v>
      </c>
      <c r="O7" s="311">
        <f>SUMIFS('New Spec Comm'!AY:AY,'New Spec Comm'!D:D,I7)</f>
        <v>24835.92042846221</v>
      </c>
      <c r="P7" s="309" t="e">
        <f>SUM(N7:O7)</f>
        <v>#REF!</v>
      </c>
      <c r="Q7" s="305" t="e">
        <f>AT7</f>
        <v>#REF!</v>
      </c>
      <c r="S7" s="311" t="e">
        <f>SUMIFS(#REF!,#REF!,I7)</f>
        <v>#REF!</v>
      </c>
      <c r="T7" s="311">
        <f>IF($C$10="On",$K7*$E$10*(1+SUMIFS(#REF!,#REF!,$I7)),0)</f>
        <v>0</v>
      </c>
      <c r="U7" s="311" t="e">
        <f>IF($C$11="On",$K7*$E$11*(1+SUMIFS(#REF!,#REF!,$I7)),0)</f>
        <v>#REF!</v>
      </c>
      <c r="V7" s="311" t="e">
        <f>IF($C$14="On",$K7*$E$14*(1+SUMIFS(#REF!,#REF!,$I7)),0)</f>
        <v>#REF!</v>
      </c>
      <c r="W7" s="311"/>
      <c r="X7" s="311"/>
      <c r="Y7" s="311">
        <f t="shared" ref="Y7:Y48" si="0">SUM(W7:X7)</f>
        <v>0</v>
      </c>
      <c r="Z7" s="311">
        <f>SUMIFS('New Spec Comm'!BA:BA,'New Spec Comm'!D:D,I7)</f>
        <v>1520</v>
      </c>
      <c r="AA7" s="311"/>
      <c r="AB7" s="311">
        <f>IF($C$13="On",'Share of £1bn'!$V$9*1000*U7/$U$61,0)</f>
        <v>0</v>
      </c>
      <c r="AC7" s="311">
        <f>IF($C$17="On",$K7*$E$17*(1+SUMIFS(#REF!,#REF!,$I7)),0)</f>
        <v>0</v>
      </c>
      <c r="AD7" s="311" t="e">
        <f>SUM(S7:X7,Z7:AC7)</f>
        <v>#REF!</v>
      </c>
      <c r="AE7" s="286"/>
      <c r="AF7" s="311" t="e">
        <f>N7+SUMIFS($S7:$AC7,$S$62:$AC$62,$AF$6)</f>
        <v>#REF!</v>
      </c>
      <c r="AG7" s="311">
        <f>O7+SUMIFS($S7:$AC7,$S$62:$AC$62,$AG$6)</f>
        <v>26355.92042846221</v>
      </c>
      <c r="AH7" s="311" t="e">
        <f>SUM(AF7:AG7)</f>
        <v>#REF!</v>
      </c>
      <c r="AI7" s="305" t="e">
        <f>BB7</f>
        <v>#REF!</v>
      </c>
      <c r="AJ7" s="286"/>
      <c r="AK7" s="311" t="e">
        <f>SUMIFS(#REF!,#REF!,I7)</f>
        <v>#REF!</v>
      </c>
      <c r="AL7" s="311" t="e">
        <f t="shared" ref="AL7:AL48" si="1">AD7</f>
        <v>#REF!</v>
      </c>
      <c r="AM7" s="311" t="e" cm="1">
        <f t="array" ref="AM7">-SUMPRODUCT(S7:AC7,1-$S$1:$AC$1)</f>
        <v>#REF!</v>
      </c>
      <c r="AN7" s="311" t="e">
        <f t="shared" ref="AN7:AN48" si="2">-500000*M7/$M$61</f>
        <v>#REF!</v>
      </c>
      <c r="AO7" s="311" t="e">
        <f>SUM(AL7:AN7)</f>
        <v>#REF!</v>
      </c>
      <c r="AP7" s="311" t="e">
        <f t="shared" ref="AP7:AP48" si="3">AO7+AK7</f>
        <v>#REF!</v>
      </c>
      <c r="AQ7" s="286"/>
      <c r="AR7" s="303" t="e">
        <f>N7/K7</f>
        <v>#REF!</v>
      </c>
      <c r="AS7" s="305">
        <f>O7/L7</f>
        <v>4.7902044304762026E-2</v>
      </c>
      <c r="AT7" s="305" t="e">
        <f>P7/M7</f>
        <v>#REF!</v>
      </c>
      <c r="AU7" s="286"/>
      <c r="AV7" s="305" t="e">
        <f>AZ7-AR7</f>
        <v>#REF!</v>
      </c>
      <c r="AW7" s="305">
        <f t="shared" ref="AW7:AX7" si="4">BA7-AS7</f>
        <v>2.931685481637962E-3</v>
      </c>
      <c r="AX7" s="305" t="e">
        <f t="shared" si="4"/>
        <v>#REF!</v>
      </c>
      <c r="AY7" s="286"/>
      <c r="AZ7" s="305" t="e">
        <f>AF7/K7</f>
        <v>#REF!</v>
      </c>
      <c r="BA7" s="305">
        <f>AG7/L7</f>
        <v>5.0833729786399988E-2</v>
      </c>
      <c r="BB7" s="305" t="e">
        <f>AH7/M7</f>
        <v>#REF!</v>
      </c>
    </row>
    <row r="8" spans="2:54" x14ac:dyDescent="0.2">
      <c r="B8" s="98" t="s">
        <v>350</v>
      </c>
      <c r="C8" s="242" t="s">
        <v>194</v>
      </c>
      <c r="D8" s="240"/>
      <c r="E8" s="240" t="str">
        <f>IF(C8="On","On","")</f>
        <v>On</v>
      </c>
      <c r="G8" s="267" t="s">
        <v>17</v>
      </c>
      <c r="H8" s="268" t="s">
        <v>18</v>
      </c>
      <c r="I8" s="61" t="s">
        <v>21</v>
      </c>
      <c r="J8" s="61" t="s">
        <v>22</v>
      </c>
      <c r="K8" s="311" t="e">
        <f>SUMIFS(#REF!,#REF!,I8)</f>
        <v>#REF!</v>
      </c>
      <c r="L8" s="311">
        <f>SUMIFS('SC - Op 1'!H:H,'SC - Op 1'!D:D,I8)</f>
        <v>944926.6747170426</v>
      </c>
      <c r="M8" s="311" t="e">
        <f t="shared" ref="M8:M48" si="5">SUM(K8:L8)</f>
        <v>#REF!</v>
      </c>
      <c r="N8" s="311" t="e">
        <f>SUMIFS(#REF!,#REF!,I8)-K8</f>
        <v>#REF!</v>
      </c>
      <c r="O8" s="311">
        <f>SUMIFS('New Spec Comm'!AY:AY,'New Spec Comm'!D:D,I8)</f>
        <v>44212.325282957405</v>
      </c>
      <c r="P8" s="309" t="e">
        <f t="shared" ref="P8:P48" si="6">SUM(N8:O8)</f>
        <v>#REF!</v>
      </c>
      <c r="Q8" s="305" t="e">
        <f t="shared" ref="Q8:Q48" si="7">AT8</f>
        <v>#REF!</v>
      </c>
      <c r="S8" s="311" t="e">
        <f>SUMIFS(#REF!,#REF!,I8)</f>
        <v>#REF!</v>
      </c>
      <c r="T8" s="311">
        <f>IF($C$10="On",$K8*$E$10*(1+SUMIFS(#REF!,#REF!,$I8)),0)</f>
        <v>0</v>
      </c>
      <c r="U8" s="311" t="e">
        <f>IF($C$11="On",$K8*$E$11*(1+SUMIFS(#REF!,#REF!,$I8)),0)</f>
        <v>#REF!</v>
      </c>
      <c r="V8" s="311" t="e">
        <f>IF($C$14="On",$K8*$E$14*(1+SUMIFS(#REF!,#REF!,$I8)),0)</f>
        <v>#REF!</v>
      </c>
      <c r="W8" s="311"/>
      <c r="X8" s="311"/>
      <c r="Y8" s="311">
        <f t="shared" si="0"/>
        <v>0</v>
      </c>
      <c r="Z8" s="311">
        <f>SUMIFS('New Spec Comm'!BA:BA,'New Spec Comm'!D:D,I8)</f>
        <v>2769</v>
      </c>
      <c r="AA8" s="311"/>
      <c r="AB8" s="311">
        <f>IF($C$13="On",'Share of £1bn'!$V$9*1000*U8/$U$61,0)</f>
        <v>0</v>
      </c>
      <c r="AC8" s="311">
        <f>IF($C$17="On",$K8*$E$17*(1+SUMIFS(#REF!,#REF!,$I8)),0)</f>
        <v>0</v>
      </c>
      <c r="AD8" s="311" t="e">
        <f t="shared" ref="AD8:AD48" si="8">SUM(S8:X8,Z8:AC8)</f>
        <v>#REF!</v>
      </c>
      <c r="AE8" s="286"/>
      <c r="AF8" s="311" t="e">
        <f t="shared" ref="AF8:AF48" si="9">N8+SUMIFS($S8:$AC8,$S$62:$AC$62,$AF$6)</f>
        <v>#REF!</v>
      </c>
      <c r="AG8" s="311">
        <f t="shared" ref="AG8:AG48" si="10">O8+SUMIFS($S8:$AC8,$S$62:$AC$62,$AG$6)</f>
        <v>46981.325282957405</v>
      </c>
      <c r="AH8" s="311" t="e">
        <f t="shared" ref="AH8:AH48" si="11">SUM(AF8:AG8)</f>
        <v>#REF!</v>
      </c>
      <c r="AI8" s="305" t="e">
        <f t="shared" ref="AI8:AI48" si="12">BB8</f>
        <v>#REF!</v>
      </c>
      <c r="AJ8" s="286"/>
      <c r="AK8" s="311" t="e">
        <f>SUMIFS(#REF!,#REF!,I8)</f>
        <v>#REF!</v>
      </c>
      <c r="AL8" s="311" t="e">
        <f t="shared" si="1"/>
        <v>#REF!</v>
      </c>
      <c r="AM8" s="311" t="e" cm="1">
        <f t="array" ref="AM8">-SUMPRODUCT(S8:AC8,1-$S$1:$AC$1)</f>
        <v>#REF!</v>
      </c>
      <c r="AN8" s="311" t="e">
        <f t="shared" si="2"/>
        <v>#REF!</v>
      </c>
      <c r="AO8" s="311" t="e">
        <f t="shared" ref="AO8:AO48" si="13">SUM(AL8:AN8)</f>
        <v>#REF!</v>
      </c>
      <c r="AP8" s="311" t="e">
        <f t="shared" si="3"/>
        <v>#REF!</v>
      </c>
      <c r="AQ8" s="286"/>
      <c r="AR8" s="303" t="e">
        <f t="shared" ref="AR8:AR48" si="14">N8/K8</f>
        <v>#REF!</v>
      </c>
      <c r="AS8" s="305">
        <f t="shared" ref="AS8:AS48" si="15">O8/L8</f>
        <v>4.6789159906187157E-2</v>
      </c>
      <c r="AT8" s="305" t="e">
        <f t="shared" ref="AT8:AT48" si="16">P8/M8</f>
        <v>#REF!</v>
      </c>
      <c r="AU8" s="286"/>
      <c r="AV8" s="305" t="e">
        <f t="shared" ref="AV8:AV48" si="17">AZ8-AR8</f>
        <v>#REF!</v>
      </c>
      <c r="AW8" s="305">
        <f t="shared" ref="AW8:AW48" si="18">BA8-AS8</f>
        <v>2.9303861072915299E-3</v>
      </c>
      <c r="AX8" s="305" t="e">
        <f t="shared" ref="AX8:AX48" si="19">BB8-AT8</f>
        <v>#REF!</v>
      </c>
      <c r="AY8" s="286"/>
      <c r="AZ8" s="305" t="e">
        <f t="shared" ref="AZ8:AZ48" si="20">AF8/K8</f>
        <v>#REF!</v>
      </c>
      <c r="BA8" s="305">
        <f t="shared" ref="BA8:BA48" si="21">AG8/L8</f>
        <v>4.9719546013478687E-2</v>
      </c>
      <c r="BB8" s="305" t="e">
        <f t="shared" ref="BB8:BB48" si="22">AH8/M8</f>
        <v>#REF!</v>
      </c>
    </row>
    <row r="9" spans="2:54" x14ac:dyDescent="0.2">
      <c r="B9" s="98" t="s">
        <v>198</v>
      </c>
      <c r="C9" s="242" t="s">
        <v>194</v>
      </c>
      <c r="D9" s="242">
        <v>230</v>
      </c>
      <c r="E9" s="253">
        <f>IF(C9="on",IF(D9=150,87.388%,IF(D9=200,83.27%,80%)),100%)</f>
        <v>0.8</v>
      </c>
      <c r="G9" s="267" t="s">
        <v>17</v>
      </c>
      <c r="H9" s="268" t="s">
        <v>18</v>
      </c>
      <c r="I9" s="61" t="s">
        <v>23</v>
      </c>
      <c r="J9" s="61" t="s">
        <v>24</v>
      </c>
      <c r="K9" s="311" t="e">
        <f>SUMIFS(#REF!,#REF!,I9)</f>
        <v>#REF!</v>
      </c>
      <c r="L9" s="311">
        <f>SUMIFS('SC - Op 1'!H:H,'SC - Op 1'!D:D,I9)</f>
        <v>484846.53629568382</v>
      </c>
      <c r="M9" s="311" t="e">
        <f t="shared" si="5"/>
        <v>#REF!</v>
      </c>
      <c r="N9" s="311" t="e">
        <f>SUMIFS(#REF!,#REF!,I9)-K9</f>
        <v>#REF!</v>
      </c>
      <c r="O9" s="311">
        <f>SUMIFS('New Spec Comm'!AY:AY,'New Spec Comm'!D:D,I9)</f>
        <v>17472.259423059877</v>
      </c>
      <c r="P9" s="309" t="e">
        <f t="shared" si="6"/>
        <v>#REF!</v>
      </c>
      <c r="Q9" s="305" t="e">
        <f t="shared" si="7"/>
        <v>#REF!</v>
      </c>
      <c r="S9" s="311" t="e">
        <f>SUMIFS(#REF!,#REF!,I9)</f>
        <v>#REF!</v>
      </c>
      <c r="T9" s="311">
        <f>IF($C$10="On",$K9*$E$10*(1+SUMIFS(#REF!,#REF!,$I9)),0)</f>
        <v>0</v>
      </c>
      <c r="U9" s="311" t="e">
        <f>IF($C$11="On",$K9*$E$11*(1+SUMIFS(#REF!,#REF!,$I9)),0)</f>
        <v>#REF!</v>
      </c>
      <c r="V9" s="311" t="e">
        <f>IF($C$14="On",$K9*$E$14*(1+SUMIFS(#REF!,#REF!,$I9)),0)</f>
        <v>#REF!</v>
      </c>
      <c r="W9" s="311"/>
      <c r="X9" s="311"/>
      <c r="Y9" s="311">
        <f t="shared" si="0"/>
        <v>0</v>
      </c>
      <c r="Z9" s="311">
        <f>SUMIFS('New Spec Comm'!BA:BA,'New Spec Comm'!D:D,I9)</f>
        <v>0.13001096004154533</v>
      </c>
      <c r="AA9" s="311"/>
      <c r="AB9" s="311">
        <f>IF($C$13="On",'Share of £1bn'!$V$9*1000*U9/$U$61,0)</f>
        <v>0</v>
      </c>
      <c r="AC9" s="311">
        <f>IF($C$17="On",$K9*$E$17*(1+SUMIFS(#REF!,#REF!,$I9)),0)</f>
        <v>0</v>
      </c>
      <c r="AD9" s="311" t="e">
        <f t="shared" si="8"/>
        <v>#REF!</v>
      </c>
      <c r="AE9" s="286"/>
      <c r="AF9" s="311" t="e">
        <f t="shared" si="9"/>
        <v>#REF!</v>
      </c>
      <c r="AG9" s="311">
        <f t="shared" si="10"/>
        <v>17472.389434019919</v>
      </c>
      <c r="AH9" s="311" t="e">
        <f t="shared" si="11"/>
        <v>#REF!</v>
      </c>
      <c r="AI9" s="305" t="e">
        <f t="shared" si="12"/>
        <v>#REF!</v>
      </c>
      <c r="AJ9" s="286"/>
      <c r="AK9" s="311" t="e">
        <f>SUMIFS(#REF!,#REF!,I9)</f>
        <v>#REF!</v>
      </c>
      <c r="AL9" s="311" t="e">
        <f t="shared" si="1"/>
        <v>#REF!</v>
      </c>
      <c r="AM9" s="311" t="e" cm="1">
        <f t="array" ref="AM9">-SUMPRODUCT(S9:AC9,1-$S$1:$AC$1)</f>
        <v>#REF!</v>
      </c>
      <c r="AN9" s="311" t="e">
        <f t="shared" si="2"/>
        <v>#REF!</v>
      </c>
      <c r="AO9" s="311" t="e">
        <f t="shared" si="13"/>
        <v>#REF!</v>
      </c>
      <c r="AP9" s="311" t="e">
        <f t="shared" si="3"/>
        <v>#REF!</v>
      </c>
      <c r="AQ9" s="286"/>
      <c r="AR9" s="303" t="e">
        <f t="shared" si="14"/>
        <v>#REF!</v>
      </c>
      <c r="AS9" s="305">
        <f t="shared" si="15"/>
        <v>3.6036679887518915E-2</v>
      </c>
      <c r="AT9" s="305" t="e">
        <f t="shared" si="16"/>
        <v>#REF!</v>
      </c>
      <c r="AU9" s="286"/>
      <c r="AV9" s="305" t="e">
        <f t="shared" si="17"/>
        <v>#REF!</v>
      </c>
      <c r="AW9" s="305">
        <f t="shared" si="18"/>
        <v>2.6814868274438464E-7</v>
      </c>
      <c r="AX9" s="305" t="e">
        <f t="shared" si="19"/>
        <v>#REF!</v>
      </c>
      <c r="AY9" s="286"/>
      <c r="AZ9" s="305" t="e">
        <f t="shared" si="20"/>
        <v>#REF!</v>
      </c>
      <c r="BA9" s="305">
        <f t="shared" si="21"/>
        <v>3.6036948036201659E-2</v>
      </c>
      <c r="BB9" s="305" t="e">
        <f t="shared" si="22"/>
        <v>#REF!</v>
      </c>
    </row>
    <row r="10" spans="2:54" x14ac:dyDescent="0.2">
      <c r="B10" s="98" t="s">
        <v>203</v>
      </c>
      <c r="C10" s="242" t="s">
        <v>200</v>
      </c>
      <c r="D10" s="240"/>
      <c r="E10" s="525">
        <f>IF(C10="On",0.3%,0%)</f>
        <v>0</v>
      </c>
      <c r="G10" s="269" t="s">
        <v>17</v>
      </c>
      <c r="H10" s="270" t="s">
        <v>18</v>
      </c>
      <c r="I10" s="271" t="s">
        <v>25</v>
      </c>
      <c r="J10" s="271" t="s">
        <v>26</v>
      </c>
      <c r="K10" s="312" t="e">
        <f>SUMIFS(#REF!,#REF!,I10)</f>
        <v>#REF!</v>
      </c>
      <c r="L10" s="312">
        <f>SUMIFS('SC - Op 1'!H:H,'SC - Op 1'!D:D,I10)</f>
        <v>697032.31230978144</v>
      </c>
      <c r="M10" s="312" t="e">
        <f t="shared" si="5"/>
        <v>#REF!</v>
      </c>
      <c r="N10" s="312" t="e">
        <f>SUMIFS(#REF!,#REF!,I10)-K10</f>
        <v>#REF!</v>
      </c>
      <c r="O10" s="312">
        <f>SUMIFS('New Spec Comm'!AY:AY,'New Spec Comm'!D:D,I10)</f>
        <v>33453.687690218561</v>
      </c>
      <c r="P10" s="310" t="e">
        <f t="shared" si="6"/>
        <v>#REF!</v>
      </c>
      <c r="Q10" s="306" t="e">
        <f t="shared" si="7"/>
        <v>#REF!</v>
      </c>
      <c r="S10" s="312" t="e">
        <f>SUMIFS(#REF!,#REF!,I10)</f>
        <v>#REF!</v>
      </c>
      <c r="T10" s="312">
        <f>IF($C$10="On",$K10*$E$10*(1+SUMIFS(#REF!,#REF!,$I10)),0)</f>
        <v>0</v>
      </c>
      <c r="U10" s="312" t="e">
        <f>IF($C$11="On",$K10*$E$11*(1+SUMIFS(#REF!,#REF!,$I10)),0)</f>
        <v>#REF!</v>
      </c>
      <c r="V10" s="312" t="e">
        <f>IF($C$14="On",$K10*$E$14*(1+SUMIFS(#REF!,#REF!,$I10)),0)</f>
        <v>#REF!</v>
      </c>
      <c r="W10" s="312"/>
      <c r="X10" s="312"/>
      <c r="Y10" s="312">
        <f t="shared" si="0"/>
        <v>0</v>
      </c>
      <c r="Z10" s="312">
        <f>SUMIFS('New Spec Comm'!BA:BA,'New Spec Comm'!D:D,I10)</f>
        <v>2045</v>
      </c>
      <c r="AA10" s="312"/>
      <c r="AB10" s="312">
        <f>IF($C$13="On",'Share of £1bn'!$V$9*1000*U10/$U$61,0)</f>
        <v>0</v>
      </c>
      <c r="AC10" s="312">
        <f>IF($C$17="On",$K10*$E$17*(1+SUMIFS(#REF!,#REF!,$I10)),0)</f>
        <v>0</v>
      </c>
      <c r="AD10" s="312" t="e">
        <f t="shared" si="8"/>
        <v>#REF!</v>
      </c>
      <c r="AE10" s="286"/>
      <c r="AF10" s="312" t="e">
        <f t="shared" si="9"/>
        <v>#REF!</v>
      </c>
      <c r="AG10" s="312">
        <f t="shared" si="10"/>
        <v>35498.687690218561</v>
      </c>
      <c r="AH10" s="312" t="e">
        <f t="shared" si="11"/>
        <v>#REF!</v>
      </c>
      <c r="AI10" s="306" t="e">
        <f t="shared" si="12"/>
        <v>#REF!</v>
      </c>
      <c r="AJ10" s="286"/>
      <c r="AK10" s="312" t="e">
        <f>SUMIFS(#REF!,#REF!,I10)</f>
        <v>#REF!</v>
      </c>
      <c r="AL10" s="312" t="e">
        <f t="shared" si="1"/>
        <v>#REF!</v>
      </c>
      <c r="AM10" s="312" t="e" cm="1">
        <f t="array" ref="AM10">-SUMPRODUCT(S10:AC10,1-$S$1:$AC$1)</f>
        <v>#REF!</v>
      </c>
      <c r="AN10" s="312" t="e">
        <f t="shared" si="2"/>
        <v>#REF!</v>
      </c>
      <c r="AO10" s="312" t="e">
        <f t="shared" si="13"/>
        <v>#REF!</v>
      </c>
      <c r="AP10" s="312" t="e">
        <f t="shared" si="3"/>
        <v>#REF!</v>
      </c>
      <c r="AQ10" s="286"/>
      <c r="AR10" s="304" t="e">
        <f t="shared" si="14"/>
        <v>#REF!</v>
      </c>
      <c r="AS10" s="306">
        <f t="shared" si="15"/>
        <v>4.799445750134862E-2</v>
      </c>
      <c r="AT10" s="306" t="e">
        <f t="shared" si="16"/>
        <v>#REF!</v>
      </c>
      <c r="AU10" s="286"/>
      <c r="AV10" s="306" t="e">
        <f t="shared" si="17"/>
        <v>#REF!</v>
      </c>
      <c r="AW10" s="306">
        <f t="shared" si="18"/>
        <v>2.9338668579415028E-3</v>
      </c>
      <c r="AX10" s="306" t="e">
        <f t="shared" si="19"/>
        <v>#REF!</v>
      </c>
      <c r="AY10" s="286"/>
      <c r="AZ10" s="306" t="e">
        <f t="shared" si="20"/>
        <v>#REF!</v>
      </c>
      <c r="BA10" s="306">
        <f t="shared" si="21"/>
        <v>5.0928324359290122E-2</v>
      </c>
      <c r="BB10" s="306" t="e">
        <f t="shared" si="22"/>
        <v>#REF!</v>
      </c>
    </row>
    <row r="11" spans="2:54" x14ac:dyDescent="0.2">
      <c r="B11" s="98" t="s">
        <v>208</v>
      </c>
      <c r="C11" s="242" t="s">
        <v>194</v>
      </c>
      <c r="D11" s="413" t="s">
        <v>1080</v>
      </c>
      <c r="E11" s="525" t="e">
        <f>IF(C11="On",'Share of £1bn'!V1*1000,0)/#REF!</f>
        <v>#REF!</v>
      </c>
      <c r="G11" s="266" t="s">
        <v>27</v>
      </c>
      <c r="H11" s="61" t="s">
        <v>28</v>
      </c>
      <c r="I11" s="61" t="s">
        <v>29</v>
      </c>
      <c r="J11" s="61" t="s">
        <v>30</v>
      </c>
      <c r="K11" s="311" t="e">
        <f>SUMIFS(#REF!,#REF!,I11)</f>
        <v>#REF!</v>
      </c>
      <c r="L11" s="311">
        <f>SUMIFS('SC - Op 1'!H:H,'SC - Op 1'!D:D,I11)</f>
        <v>941747.05148924538</v>
      </c>
      <c r="M11" s="311" t="e">
        <f t="shared" si="5"/>
        <v>#REF!</v>
      </c>
      <c r="N11" s="311" t="e">
        <f>SUMIFS(#REF!,#REF!,I11)-K11</f>
        <v>#REF!</v>
      </c>
      <c r="O11" s="311">
        <f>SUMIFS('New Spec Comm'!AY:AY,'New Spec Comm'!D:D,I11)</f>
        <v>34142.767536125844</v>
      </c>
      <c r="P11" s="309" t="e">
        <f t="shared" si="6"/>
        <v>#REF!</v>
      </c>
      <c r="Q11" s="305" t="e">
        <f t="shared" si="7"/>
        <v>#REF!</v>
      </c>
      <c r="S11" s="311" t="e">
        <f>SUMIFS(#REF!,#REF!,I11)</f>
        <v>#REF!</v>
      </c>
      <c r="T11" s="311">
        <f>IF($C$10="On",$K11*$E$10*(1+SUMIFS(#REF!,#REF!,$I11)),0)</f>
        <v>0</v>
      </c>
      <c r="U11" s="311" t="e">
        <f>IF($C$11="On",$K11*$E$11*(1+SUMIFS(#REF!,#REF!,$I11)),0)</f>
        <v>#REF!</v>
      </c>
      <c r="V11" s="311" t="e">
        <f>IF($C$14="On",$K11*$E$14*(1+SUMIFS(#REF!,#REF!,$I11)),0)</f>
        <v>#REF!</v>
      </c>
      <c r="W11" s="311"/>
      <c r="X11" s="311"/>
      <c r="Y11" s="311">
        <f t="shared" si="0"/>
        <v>0</v>
      </c>
      <c r="Z11" s="311">
        <f>SUMIFS('New Spec Comm'!BA:BA,'New Spec Comm'!D:D,I11)</f>
        <v>0.17748141498304904</v>
      </c>
      <c r="AA11" s="311"/>
      <c r="AB11" s="311">
        <f>IF($C$13="On",'Share of £1bn'!$V$9*1000*U11/$U$61,0)</f>
        <v>0</v>
      </c>
      <c r="AC11" s="311">
        <f>IF($C$17="On",$K11*$E$17*(1+SUMIFS(#REF!,#REF!,$I11)),0)</f>
        <v>0</v>
      </c>
      <c r="AD11" s="311" t="e">
        <f t="shared" si="8"/>
        <v>#REF!</v>
      </c>
      <c r="AE11" s="286"/>
      <c r="AF11" s="311" t="e">
        <f t="shared" si="9"/>
        <v>#REF!</v>
      </c>
      <c r="AG11" s="311">
        <f t="shared" si="10"/>
        <v>34142.945017540827</v>
      </c>
      <c r="AH11" s="311" t="e">
        <f t="shared" si="11"/>
        <v>#REF!</v>
      </c>
      <c r="AI11" s="305" t="e">
        <f t="shared" si="12"/>
        <v>#REF!</v>
      </c>
      <c r="AJ11" s="286"/>
      <c r="AK11" s="311" t="e">
        <f>SUMIFS(#REF!,#REF!,I11)</f>
        <v>#REF!</v>
      </c>
      <c r="AL11" s="311" t="e">
        <f t="shared" si="1"/>
        <v>#REF!</v>
      </c>
      <c r="AM11" s="311" t="e" cm="1">
        <f t="array" ref="AM11">-SUMPRODUCT(S11:AC11,1-$S$1:$AC$1)</f>
        <v>#REF!</v>
      </c>
      <c r="AN11" s="311" t="e">
        <f t="shared" si="2"/>
        <v>#REF!</v>
      </c>
      <c r="AO11" s="311" t="e">
        <f t="shared" si="13"/>
        <v>#REF!</v>
      </c>
      <c r="AP11" s="311" t="e">
        <f t="shared" si="3"/>
        <v>#REF!</v>
      </c>
      <c r="AQ11" s="286"/>
      <c r="AR11" s="303" t="e">
        <f t="shared" si="14"/>
        <v>#REF!</v>
      </c>
      <c r="AS11" s="305">
        <f t="shared" si="15"/>
        <v>3.6254711370886358E-2</v>
      </c>
      <c r="AT11" s="305" t="e">
        <f t="shared" si="16"/>
        <v>#REF!</v>
      </c>
      <c r="AU11" s="286"/>
      <c r="AV11" s="305" t="e">
        <f t="shared" si="17"/>
        <v>#REF!</v>
      </c>
      <c r="AW11" s="305">
        <f t="shared" si="18"/>
        <v>1.8845975116588143E-7</v>
      </c>
      <c r="AX11" s="305" t="e">
        <f t="shared" si="19"/>
        <v>#REF!</v>
      </c>
      <c r="AY11" s="286"/>
      <c r="AZ11" s="305" t="e">
        <f t="shared" si="20"/>
        <v>#REF!</v>
      </c>
      <c r="BA11" s="305">
        <f t="shared" si="21"/>
        <v>3.6254899830637524E-2</v>
      </c>
      <c r="BB11" s="305" t="e">
        <f t="shared" si="22"/>
        <v>#REF!</v>
      </c>
    </row>
    <row r="12" spans="2:54" x14ac:dyDescent="0.2">
      <c r="B12" s="98" t="s">
        <v>212</v>
      </c>
      <c r="C12" s="242" t="s">
        <v>194</v>
      </c>
      <c r="D12" s="240" t="s">
        <v>1106</v>
      </c>
      <c r="E12" s="253">
        <f>IF(C12="On",'Share of £1bn'!AB1*1000/'SC - Op 1'!H56,0)</f>
        <v>2.9595557129901617E-3</v>
      </c>
      <c r="G12" s="267" t="s">
        <v>27</v>
      </c>
      <c r="H12" s="268" t="s">
        <v>28</v>
      </c>
      <c r="I12" s="61" t="s">
        <v>31</v>
      </c>
      <c r="J12" s="61" t="s">
        <v>8</v>
      </c>
      <c r="K12" s="311" t="e">
        <f>SUMIFS(#REF!,#REF!,I12)</f>
        <v>#REF!</v>
      </c>
      <c r="L12" s="311">
        <f>SUMIFS('SC - Op 1'!H:H,'SC - Op 1'!D:D,I12)</f>
        <v>1116891.9456620421</v>
      </c>
      <c r="M12" s="311" t="e">
        <f t="shared" si="5"/>
        <v>#REF!</v>
      </c>
      <c r="N12" s="311" t="e">
        <f>SUMIFS(#REF!,#REF!,I12)-K12</f>
        <v>#REF!</v>
      </c>
      <c r="O12" s="311">
        <f>SUMIFS('New Spec Comm'!AY:AY,'New Spec Comm'!D:D,I12)</f>
        <v>36940.209962800378</v>
      </c>
      <c r="P12" s="309" t="e">
        <f t="shared" si="6"/>
        <v>#REF!</v>
      </c>
      <c r="Q12" s="305" t="e">
        <f t="shared" si="7"/>
        <v>#REF!</v>
      </c>
      <c r="S12" s="311" t="e">
        <f>SUMIFS(#REF!,#REF!,I12)</f>
        <v>#REF!</v>
      </c>
      <c r="T12" s="311">
        <f>IF($C$10="On",$K12*$E$10*(1+SUMIFS(#REF!,#REF!,$I12)),0)</f>
        <v>0</v>
      </c>
      <c r="U12" s="311" t="e">
        <f>IF($C$11="On",$K12*$E$11*(1+SUMIFS(#REF!,#REF!,$I12)),0)</f>
        <v>#REF!</v>
      </c>
      <c r="V12" s="311" t="e">
        <f>IF($C$14="On",$K12*$E$14*(1+SUMIFS(#REF!,#REF!,$I12)),0)</f>
        <v>#REF!</v>
      </c>
      <c r="W12" s="311"/>
      <c r="X12" s="311"/>
      <c r="Y12" s="311">
        <f t="shared" si="0"/>
        <v>0</v>
      </c>
      <c r="Z12" s="311">
        <f>SUMIFS('New Spec Comm'!BA:BA,'New Spec Comm'!D:D,I12)</f>
        <v>-0.16119646956212819</v>
      </c>
      <c r="AA12" s="311"/>
      <c r="AB12" s="311">
        <f>IF($C$13="On",'Share of £1bn'!$V$9*1000*U12/$U$61,0)</f>
        <v>0</v>
      </c>
      <c r="AC12" s="311">
        <f>IF($C$17="On",$K12*$E$17*(1+SUMIFS(#REF!,#REF!,$I12)),0)</f>
        <v>0</v>
      </c>
      <c r="AD12" s="311" t="e">
        <f t="shared" si="8"/>
        <v>#REF!</v>
      </c>
      <c r="AE12" s="286"/>
      <c r="AF12" s="311" t="e">
        <f t="shared" si="9"/>
        <v>#REF!</v>
      </c>
      <c r="AG12" s="311">
        <f t="shared" si="10"/>
        <v>36940.048766330816</v>
      </c>
      <c r="AH12" s="311" t="e">
        <f t="shared" si="11"/>
        <v>#REF!</v>
      </c>
      <c r="AI12" s="305" t="e">
        <f t="shared" si="12"/>
        <v>#REF!</v>
      </c>
      <c r="AJ12" s="286"/>
      <c r="AK12" s="311" t="e">
        <f>SUMIFS(#REF!,#REF!,I12)</f>
        <v>#REF!</v>
      </c>
      <c r="AL12" s="311" t="e">
        <f t="shared" si="1"/>
        <v>#REF!</v>
      </c>
      <c r="AM12" s="311" t="e" cm="1">
        <f t="array" ref="AM12">-SUMPRODUCT(S12:AC12,1-$S$1:$AC$1)</f>
        <v>#REF!</v>
      </c>
      <c r="AN12" s="311" t="e">
        <f t="shared" si="2"/>
        <v>#REF!</v>
      </c>
      <c r="AO12" s="311" t="e">
        <f t="shared" si="13"/>
        <v>#REF!</v>
      </c>
      <c r="AP12" s="311" t="e">
        <f t="shared" si="3"/>
        <v>#REF!</v>
      </c>
      <c r="AQ12" s="286"/>
      <c r="AR12" s="303" t="e">
        <f t="shared" si="14"/>
        <v>#REF!</v>
      </c>
      <c r="AS12" s="305">
        <f t="shared" si="15"/>
        <v>3.307411259099368E-2</v>
      </c>
      <c r="AT12" s="305" t="e">
        <f t="shared" si="16"/>
        <v>#REF!</v>
      </c>
      <c r="AU12" s="286"/>
      <c r="AV12" s="305" t="e">
        <f t="shared" si="17"/>
        <v>#REF!</v>
      </c>
      <c r="AW12" s="305">
        <f t="shared" si="18"/>
        <v>-1.4432593071350697E-7</v>
      </c>
      <c r="AX12" s="305" t="e">
        <f t="shared" si="19"/>
        <v>#REF!</v>
      </c>
      <c r="AY12" s="286"/>
      <c r="AZ12" s="305" t="e">
        <f t="shared" si="20"/>
        <v>#REF!</v>
      </c>
      <c r="BA12" s="305">
        <f t="shared" si="21"/>
        <v>3.3073968265062967E-2</v>
      </c>
      <c r="BB12" s="305" t="e">
        <f t="shared" si="22"/>
        <v>#REF!</v>
      </c>
    </row>
    <row r="13" spans="2:54" x14ac:dyDescent="0.2">
      <c r="B13" s="98" t="s">
        <v>216</v>
      </c>
      <c r="C13" s="242" t="s">
        <v>200</v>
      </c>
      <c r="D13" s="240"/>
      <c r="E13" s="254" t="s">
        <v>352</v>
      </c>
      <c r="G13" s="269" t="s">
        <v>27</v>
      </c>
      <c r="H13" s="270" t="s">
        <v>28</v>
      </c>
      <c r="I13" s="271" t="s">
        <v>32</v>
      </c>
      <c r="J13" s="271" t="s">
        <v>33</v>
      </c>
      <c r="K13" s="312" t="e">
        <f>SUMIFS(#REF!,#REF!,I13)</f>
        <v>#REF!</v>
      </c>
      <c r="L13" s="312">
        <f>SUMIFS('SC - Op 1'!H:H,'SC - Op 1'!D:D,I13)</f>
        <v>601835.21210633765</v>
      </c>
      <c r="M13" s="312" t="e">
        <f t="shared" si="5"/>
        <v>#REF!</v>
      </c>
      <c r="N13" s="312" t="e">
        <f>SUMIFS(#REF!,#REF!,I13)-K13</f>
        <v>#REF!</v>
      </c>
      <c r="O13" s="312">
        <f>SUMIFS('New Spec Comm'!AY:AY,'New Spec Comm'!D:D,I13)</f>
        <v>28459.787893662346</v>
      </c>
      <c r="P13" s="310" t="e">
        <f t="shared" si="6"/>
        <v>#REF!</v>
      </c>
      <c r="Q13" s="306" t="e">
        <f t="shared" si="7"/>
        <v>#REF!</v>
      </c>
      <c r="S13" s="312" t="e">
        <f>SUMIFS(#REF!,#REF!,I13)</f>
        <v>#REF!</v>
      </c>
      <c r="T13" s="312">
        <f>IF($C$10="On",$K13*$E$10*(1+SUMIFS(#REF!,#REF!,$I13)),0)</f>
        <v>0</v>
      </c>
      <c r="U13" s="312" t="e">
        <f>IF($C$11="On",$K13*$E$11*(1+SUMIFS(#REF!,#REF!,$I13)),0)</f>
        <v>#REF!</v>
      </c>
      <c r="V13" s="312" t="e">
        <f>IF($C$14="On",$K13*$E$14*(1+SUMIFS(#REF!,#REF!,$I13)),0)</f>
        <v>#REF!</v>
      </c>
      <c r="W13" s="312"/>
      <c r="X13" s="312"/>
      <c r="Y13" s="312">
        <f t="shared" si="0"/>
        <v>0</v>
      </c>
      <c r="Z13" s="312">
        <f>SUMIFS('New Spec Comm'!BA:BA,'New Spec Comm'!D:D,I13)</f>
        <v>1764</v>
      </c>
      <c r="AA13" s="312"/>
      <c r="AB13" s="312">
        <f>IF($C$13="On",'Share of £1bn'!$V$9*1000*U13/$U$61,0)</f>
        <v>0</v>
      </c>
      <c r="AC13" s="312">
        <f>IF($C$17="On",$K13*$E$17*(1+SUMIFS(#REF!,#REF!,$I13)),0)</f>
        <v>0</v>
      </c>
      <c r="AD13" s="312" t="e">
        <f t="shared" si="8"/>
        <v>#REF!</v>
      </c>
      <c r="AE13" s="286"/>
      <c r="AF13" s="312" t="e">
        <f t="shared" si="9"/>
        <v>#REF!</v>
      </c>
      <c r="AG13" s="312">
        <f t="shared" si="10"/>
        <v>30223.787893662346</v>
      </c>
      <c r="AH13" s="312" t="e">
        <f t="shared" si="11"/>
        <v>#REF!</v>
      </c>
      <c r="AI13" s="306" t="e">
        <f t="shared" si="12"/>
        <v>#REF!</v>
      </c>
      <c r="AJ13" s="286"/>
      <c r="AK13" s="312" t="e">
        <f>SUMIFS(#REF!,#REF!,I13)</f>
        <v>#REF!</v>
      </c>
      <c r="AL13" s="312" t="e">
        <f t="shared" si="1"/>
        <v>#REF!</v>
      </c>
      <c r="AM13" s="312" t="e" cm="1">
        <f t="array" ref="AM13">-SUMPRODUCT(S13:AC13,1-$S$1:$AC$1)</f>
        <v>#REF!</v>
      </c>
      <c r="AN13" s="312" t="e">
        <f t="shared" si="2"/>
        <v>#REF!</v>
      </c>
      <c r="AO13" s="312" t="e">
        <f t="shared" si="13"/>
        <v>#REF!</v>
      </c>
      <c r="AP13" s="312" t="e">
        <f t="shared" si="3"/>
        <v>#REF!</v>
      </c>
      <c r="AQ13" s="286"/>
      <c r="AR13" s="304" t="e">
        <f t="shared" si="14"/>
        <v>#REF!</v>
      </c>
      <c r="AS13" s="306">
        <f t="shared" si="15"/>
        <v>4.7288339600564638E-2</v>
      </c>
      <c r="AT13" s="306" t="e">
        <f t="shared" si="16"/>
        <v>#REF!</v>
      </c>
      <c r="AU13" s="286"/>
      <c r="AV13" s="306" t="e">
        <f t="shared" si="17"/>
        <v>#REF!</v>
      </c>
      <c r="AW13" s="306">
        <f t="shared" si="18"/>
        <v>2.9310348821669149E-3</v>
      </c>
      <c r="AX13" s="306" t="e">
        <f t="shared" si="19"/>
        <v>#REF!</v>
      </c>
      <c r="AY13" s="286"/>
      <c r="AZ13" s="306" t="e">
        <f t="shared" si="20"/>
        <v>#REF!</v>
      </c>
      <c r="BA13" s="306">
        <f t="shared" si="21"/>
        <v>5.0219374482731553E-2</v>
      </c>
      <c r="BB13" s="306" t="e">
        <f t="shared" si="22"/>
        <v>#REF!</v>
      </c>
    </row>
    <row r="14" spans="2:54" x14ac:dyDescent="0.2">
      <c r="B14" s="98" t="s">
        <v>218</v>
      </c>
      <c r="C14" s="242" t="s">
        <v>194</v>
      </c>
      <c r="D14" s="242">
        <v>675</v>
      </c>
      <c r="E14" s="525" t="e">
        <f>IF(C14="On",D14*1000/#REF!,0)*F14</f>
        <v>#REF!</v>
      </c>
      <c r="F14" s="445">
        <v>0.973993787164255</v>
      </c>
      <c r="G14" s="266" t="s">
        <v>34</v>
      </c>
      <c r="H14" s="61" t="s">
        <v>35</v>
      </c>
      <c r="I14" s="61" t="s">
        <v>36</v>
      </c>
      <c r="J14" s="61" t="s">
        <v>37</v>
      </c>
      <c r="K14" s="311" t="e">
        <f>SUMIFS(#REF!,#REF!,I14)</f>
        <v>#REF!</v>
      </c>
      <c r="L14" s="311">
        <f>SUMIFS('SC - Op 1'!H:H,'SC - Op 1'!D:D,I14)</f>
        <v>544962.09035921283</v>
      </c>
      <c r="M14" s="311" t="e">
        <f t="shared" si="5"/>
        <v>#REF!</v>
      </c>
      <c r="N14" s="311" t="e">
        <f>SUMIFS(#REF!,#REF!,I14)-K14</f>
        <v>#REF!</v>
      </c>
      <c r="O14" s="311">
        <f>SUMIFS('New Spec Comm'!AY:AY,'New Spec Comm'!D:D,I14)</f>
        <v>17523.556946943398</v>
      </c>
      <c r="P14" s="309" t="e">
        <f t="shared" si="6"/>
        <v>#REF!</v>
      </c>
      <c r="Q14" s="305" t="e">
        <f t="shared" si="7"/>
        <v>#REF!</v>
      </c>
      <c r="S14" s="311" t="e">
        <f>SUMIFS(#REF!,#REF!,I14)</f>
        <v>#REF!</v>
      </c>
      <c r="T14" s="311">
        <f>IF($C$10="On",$K14*$E$10*(1+SUMIFS(#REF!,#REF!,$I14)),0)</f>
        <v>0</v>
      </c>
      <c r="U14" s="311" t="e">
        <f>IF($C$11="On",$K14*$E$11*(1+SUMIFS(#REF!,#REF!,$I14)),0)</f>
        <v>#REF!</v>
      </c>
      <c r="V14" s="311" t="e">
        <f>IF($C$14="On",$K14*$E$14*(1+SUMIFS(#REF!,#REF!,$I14)),0)</f>
        <v>#REF!</v>
      </c>
      <c r="W14" s="311"/>
      <c r="X14" s="311"/>
      <c r="Y14" s="311">
        <f t="shared" si="0"/>
        <v>0</v>
      </c>
      <c r="Z14" s="311">
        <f>SUMIFS('New Spec Comm'!BA:BA,'New Spec Comm'!D:D,I14)</f>
        <v>-9.9717373843304813E-2</v>
      </c>
      <c r="AA14" s="311"/>
      <c r="AB14" s="311">
        <f>IF($C$13="On",'Share of £1bn'!$V$9*1000*U14/$U$61,0)</f>
        <v>0</v>
      </c>
      <c r="AC14" s="311">
        <f>IF($C$17="On",$K14*$E$17*(1+SUMIFS(#REF!,#REF!,$I14)),0)</f>
        <v>0</v>
      </c>
      <c r="AD14" s="311" t="e">
        <f t="shared" si="8"/>
        <v>#REF!</v>
      </c>
      <c r="AE14" s="286"/>
      <c r="AF14" s="311" t="e">
        <f t="shared" si="9"/>
        <v>#REF!</v>
      </c>
      <c r="AG14" s="311">
        <f t="shared" si="10"/>
        <v>17523.457229569554</v>
      </c>
      <c r="AH14" s="311" t="e">
        <f t="shared" si="11"/>
        <v>#REF!</v>
      </c>
      <c r="AI14" s="305" t="e">
        <f t="shared" si="12"/>
        <v>#REF!</v>
      </c>
      <c r="AJ14" s="286"/>
      <c r="AK14" s="311" t="e">
        <f>SUMIFS(#REF!,#REF!,I14)</f>
        <v>#REF!</v>
      </c>
      <c r="AL14" s="311" t="e">
        <f t="shared" si="1"/>
        <v>#REF!</v>
      </c>
      <c r="AM14" s="311" t="e" cm="1">
        <f t="array" ref="AM14">-SUMPRODUCT(S14:AC14,1-$S$1:$AC$1)</f>
        <v>#REF!</v>
      </c>
      <c r="AN14" s="311" t="e">
        <f t="shared" si="2"/>
        <v>#REF!</v>
      </c>
      <c r="AO14" s="311" t="e">
        <f t="shared" si="13"/>
        <v>#REF!</v>
      </c>
      <c r="AP14" s="311" t="e">
        <f t="shared" si="3"/>
        <v>#REF!</v>
      </c>
      <c r="AQ14" s="286"/>
      <c r="AR14" s="303" t="e">
        <f t="shared" si="14"/>
        <v>#REF!</v>
      </c>
      <c r="AS14" s="305">
        <f t="shared" si="15"/>
        <v>3.215555220619605E-2</v>
      </c>
      <c r="AT14" s="305" t="e">
        <f t="shared" si="16"/>
        <v>#REF!</v>
      </c>
      <c r="AU14" s="286"/>
      <c r="AV14" s="305" t="e">
        <f t="shared" si="17"/>
        <v>#REF!</v>
      </c>
      <c r="AW14" s="305">
        <f t="shared" si="18"/>
        <v>-1.8298038635677916E-7</v>
      </c>
      <c r="AX14" s="305" t="e">
        <f t="shared" si="19"/>
        <v>#REF!</v>
      </c>
      <c r="AY14" s="286"/>
      <c r="AZ14" s="305" t="e">
        <f t="shared" si="20"/>
        <v>#REF!</v>
      </c>
      <c r="BA14" s="305">
        <f t="shared" si="21"/>
        <v>3.2155369225809693E-2</v>
      </c>
      <c r="BB14" s="305" t="e">
        <f t="shared" si="22"/>
        <v>#REF!</v>
      </c>
    </row>
    <row r="15" spans="2:54" x14ac:dyDescent="0.2">
      <c r="B15" s="98" t="s">
        <v>1105</v>
      </c>
      <c r="C15" s="242" t="s">
        <v>194</v>
      </c>
      <c r="D15" s="240"/>
      <c r="E15" s="526">
        <f>IF(C15="On",0.093%,0)</f>
        <v>9.2999999999999995E-4</v>
      </c>
      <c r="G15" s="267" t="s">
        <v>34</v>
      </c>
      <c r="H15" s="268" t="s">
        <v>35</v>
      </c>
      <c r="I15" s="61" t="s">
        <v>38</v>
      </c>
      <c r="J15" s="61" t="s">
        <v>39</v>
      </c>
      <c r="K15" s="311" t="e">
        <f>SUMIFS(#REF!,#REF!,I15)</f>
        <v>#REF!</v>
      </c>
      <c r="L15" s="311">
        <f>SUMIFS('SC - Op 1'!H:H,'SC - Op 1'!D:D,I15)</f>
        <v>412828.24853130744</v>
      </c>
      <c r="M15" s="311" t="e">
        <f t="shared" si="5"/>
        <v>#REF!</v>
      </c>
      <c r="N15" s="311" t="e">
        <f>SUMIFS(#REF!,#REF!,I15)-K15</f>
        <v>#REF!</v>
      </c>
      <c r="O15" s="311">
        <f>SUMIFS('New Spec Comm'!AY:AY,'New Spec Comm'!D:D,I15)</f>
        <v>14952.869283407053</v>
      </c>
      <c r="P15" s="309" t="e">
        <f t="shared" si="6"/>
        <v>#REF!</v>
      </c>
      <c r="Q15" s="305" t="e">
        <f t="shared" si="7"/>
        <v>#REF!</v>
      </c>
      <c r="S15" s="311" t="e">
        <f>SUMIFS(#REF!,#REF!,I15)</f>
        <v>#REF!</v>
      </c>
      <c r="T15" s="311">
        <f>IF($C$10="On",$K15*$E$10*(1+SUMIFS(#REF!,#REF!,$I15)),0)</f>
        <v>0</v>
      </c>
      <c r="U15" s="311" t="e">
        <f>IF($C$11="On",$K15*$E$11*(1+SUMIFS(#REF!,#REF!,$I15)),0)</f>
        <v>#REF!</v>
      </c>
      <c r="V15" s="311" t="e">
        <f>IF($C$14="On",$K15*$E$14*(1+SUMIFS(#REF!,#REF!,$I15)),0)</f>
        <v>#REF!</v>
      </c>
      <c r="W15" s="311"/>
      <c r="X15" s="311"/>
      <c r="Y15" s="311">
        <f t="shared" si="0"/>
        <v>0</v>
      </c>
      <c r="Z15" s="311">
        <f>SUMIFS('New Spec Comm'!BA:BA,'New Spec Comm'!D:D,I15)</f>
        <v>5.6465754983946681E-2</v>
      </c>
      <c r="AA15" s="311"/>
      <c r="AB15" s="311">
        <f>IF($C$13="On",'Share of £1bn'!$V$9*1000*U15/$U$61,0)</f>
        <v>0</v>
      </c>
      <c r="AC15" s="311">
        <f>IF($C$17="On",$K15*$E$17*(1+SUMIFS(#REF!,#REF!,$I15)),0)</f>
        <v>0</v>
      </c>
      <c r="AD15" s="311" t="e">
        <f t="shared" si="8"/>
        <v>#REF!</v>
      </c>
      <c r="AE15" s="286"/>
      <c r="AF15" s="311" t="e">
        <f t="shared" si="9"/>
        <v>#REF!</v>
      </c>
      <c r="AG15" s="311">
        <f t="shared" si="10"/>
        <v>14952.925749162037</v>
      </c>
      <c r="AH15" s="311" t="e">
        <f t="shared" si="11"/>
        <v>#REF!</v>
      </c>
      <c r="AI15" s="305" t="e">
        <f t="shared" si="12"/>
        <v>#REF!</v>
      </c>
      <c r="AJ15" s="286"/>
      <c r="AK15" s="311" t="e">
        <f>SUMIFS(#REF!,#REF!,I15)</f>
        <v>#REF!</v>
      </c>
      <c r="AL15" s="311" t="e">
        <f t="shared" si="1"/>
        <v>#REF!</v>
      </c>
      <c r="AM15" s="311" t="e" cm="1">
        <f t="array" ref="AM15">-SUMPRODUCT(S15:AC15,1-$S$1:$AC$1)</f>
        <v>#REF!</v>
      </c>
      <c r="AN15" s="311" t="e">
        <f t="shared" si="2"/>
        <v>#REF!</v>
      </c>
      <c r="AO15" s="311" t="e">
        <f t="shared" si="13"/>
        <v>#REF!</v>
      </c>
      <c r="AP15" s="311" t="e">
        <f t="shared" si="3"/>
        <v>#REF!</v>
      </c>
      <c r="AQ15" s="286"/>
      <c r="AR15" s="303" t="e">
        <f t="shared" si="14"/>
        <v>#REF!</v>
      </c>
      <c r="AS15" s="305">
        <f t="shared" si="15"/>
        <v>3.622055742697821E-2</v>
      </c>
      <c r="AT15" s="305" t="e">
        <f t="shared" si="16"/>
        <v>#REF!</v>
      </c>
      <c r="AU15" s="286"/>
      <c r="AV15" s="305" t="e">
        <f t="shared" si="17"/>
        <v>#REF!</v>
      </c>
      <c r="AW15" s="305">
        <f t="shared" si="18"/>
        <v>1.3677783723686776E-7</v>
      </c>
      <c r="AX15" s="305" t="e">
        <f t="shared" si="19"/>
        <v>#REF!</v>
      </c>
      <c r="AY15" s="286"/>
      <c r="AZ15" s="305" t="e">
        <f t="shared" si="20"/>
        <v>#REF!</v>
      </c>
      <c r="BA15" s="305">
        <f t="shared" si="21"/>
        <v>3.6220694204815447E-2</v>
      </c>
      <c r="BB15" s="305" t="e">
        <f t="shared" si="22"/>
        <v>#REF!</v>
      </c>
    </row>
    <row r="16" spans="2:54" x14ac:dyDescent="0.2">
      <c r="B16" s="98" t="s">
        <v>1198</v>
      </c>
      <c r="C16" s="242" t="s">
        <v>194</v>
      </c>
      <c r="D16" s="240"/>
      <c r="E16" s="526">
        <f>IF(C16="On",0.276%,0)</f>
        <v>2.7600000000000003E-3</v>
      </c>
      <c r="G16" s="267" t="s">
        <v>34</v>
      </c>
      <c r="H16" s="268" t="s">
        <v>35</v>
      </c>
      <c r="I16" s="61" t="s">
        <v>40</v>
      </c>
      <c r="J16" s="61" t="s">
        <v>41</v>
      </c>
      <c r="K16" s="311" t="e">
        <f>SUMIFS(#REF!,#REF!,I16)</f>
        <v>#REF!</v>
      </c>
      <c r="L16" s="311">
        <f>SUMIFS('SC - Op 1'!H:H,'SC - Op 1'!D:D,I16)</f>
        <v>313055.19999377243</v>
      </c>
      <c r="M16" s="311" t="e">
        <f t="shared" si="5"/>
        <v>#REF!</v>
      </c>
      <c r="N16" s="311" t="e">
        <f>SUMIFS(#REF!,#REF!,I16)-K16</f>
        <v>#REF!</v>
      </c>
      <c r="O16" s="311">
        <f>SUMIFS('New Spec Comm'!AY:AY,'New Spec Comm'!D:D,I16)</f>
        <v>14146.800006227568</v>
      </c>
      <c r="P16" s="309" t="e">
        <f t="shared" si="6"/>
        <v>#REF!</v>
      </c>
      <c r="Q16" s="305" t="e">
        <f t="shared" si="7"/>
        <v>#REF!</v>
      </c>
      <c r="S16" s="311" t="e">
        <f>SUMIFS(#REF!,#REF!,I16)</f>
        <v>#REF!</v>
      </c>
      <c r="T16" s="311">
        <f>IF($C$10="On",$K16*$E$10*(1+SUMIFS(#REF!,#REF!,$I16)),0)</f>
        <v>0</v>
      </c>
      <c r="U16" s="311" t="e">
        <f>IF($C$11="On",$K16*$E$11*(1+SUMIFS(#REF!,#REF!,$I16)),0)</f>
        <v>#REF!</v>
      </c>
      <c r="V16" s="311" t="e">
        <f>IF($C$14="On",$K16*$E$14*(1+SUMIFS(#REF!,#REF!,$I16)),0)</f>
        <v>#REF!</v>
      </c>
      <c r="W16" s="311"/>
      <c r="X16" s="311"/>
      <c r="Y16" s="311">
        <f t="shared" si="0"/>
        <v>0</v>
      </c>
      <c r="Z16" s="311">
        <f>SUMIFS('New Spec Comm'!BA:BA,'New Spec Comm'!D:D,I16)</f>
        <v>916</v>
      </c>
      <c r="AA16" s="311"/>
      <c r="AB16" s="311">
        <f>IF($C$13="On",'Share of £1bn'!$V$9*1000*U16/$U$61,0)</f>
        <v>0</v>
      </c>
      <c r="AC16" s="311">
        <f>IF($C$17="On",$K16*$E$17*(1+SUMIFS(#REF!,#REF!,$I16)),0)</f>
        <v>0</v>
      </c>
      <c r="AD16" s="311" t="e">
        <f t="shared" si="8"/>
        <v>#REF!</v>
      </c>
      <c r="AE16" s="286"/>
      <c r="AF16" s="311" t="e">
        <f t="shared" si="9"/>
        <v>#REF!</v>
      </c>
      <c r="AG16" s="311">
        <f t="shared" si="10"/>
        <v>15062.800006227568</v>
      </c>
      <c r="AH16" s="311" t="e">
        <f t="shared" si="11"/>
        <v>#REF!</v>
      </c>
      <c r="AI16" s="305" t="e">
        <f t="shared" si="12"/>
        <v>#REF!</v>
      </c>
      <c r="AJ16" s="286"/>
      <c r="AK16" s="311" t="e">
        <f>SUMIFS(#REF!,#REF!,I16)</f>
        <v>#REF!</v>
      </c>
      <c r="AL16" s="311" t="e">
        <f t="shared" si="1"/>
        <v>#REF!</v>
      </c>
      <c r="AM16" s="311" t="e" cm="1">
        <f t="array" ref="AM16">-SUMPRODUCT(S16:AC16,1-$S$1:$AC$1)</f>
        <v>#REF!</v>
      </c>
      <c r="AN16" s="311" t="e">
        <f t="shared" si="2"/>
        <v>#REF!</v>
      </c>
      <c r="AO16" s="311" t="e">
        <f t="shared" si="13"/>
        <v>#REF!</v>
      </c>
      <c r="AP16" s="311" t="e">
        <f t="shared" si="3"/>
        <v>#REF!</v>
      </c>
      <c r="AQ16" s="286"/>
      <c r="AR16" s="303" t="e">
        <f t="shared" si="14"/>
        <v>#REF!</v>
      </c>
      <c r="AS16" s="305">
        <f t="shared" si="15"/>
        <v>4.5189474592688406E-2</v>
      </c>
      <c r="AT16" s="305" t="e">
        <f t="shared" si="16"/>
        <v>#REF!</v>
      </c>
      <c r="AU16" s="286"/>
      <c r="AV16" s="305" t="e">
        <f t="shared" si="17"/>
        <v>#REF!</v>
      </c>
      <c r="AW16" s="305">
        <f t="shared" si="18"/>
        <v>2.9260015486668872E-3</v>
      </c>
      <c r="AX16" s="305" t="e">
        <f t="shared" si="19"/>
        <v>#REF!</v>
      </c>
      <c r="AY16" s="286"/>
      <c r="AZ16" s="305" t="e">
        <f t="shared" si="20"/>
        <v>#REF!</v>
      </c>
      <c r="BA16" s="305">
        <f t="shared" si="21"/>
        <v>4.8115476141355293E-2</v>
      </c>
      <c r="BB16" s="305" t="e">
        <f t="shared" si="22"/>
        <v>#REF!</v>
      </c>
    </row>
    <row r="17" spans="2:54" x14ac:dyDescent="0.2">
      <c r="B17" s="98" t="s">
        <v>1128</v>
      </c>
      <c r="C17" s="242" t="s">
        <v>200</v>
      </c>
      <c r="D17" s="240"/>
      <c r="E17" s="254" t="e">
        <f>IF(C17="On",604000,0)/#REF!</f>
        <v>#REF!</v>
      </c>
      <c r="G17" s="267" t="s">
        <v>34</v>
      </c>
      <c r="H17" s="268" t="s">
        <v>35</v>
      </c>
      <c r="I17" s="61" t="s">
        <v>42</v>
      </c>
      <c r="J17" s="61" t="s">
        <v>43</v>
      </c>
      <c r="K17" s="311" t="e">
        <f>SUMIFS(#REF!,#REF!,I17)</f>
        <v>#REF!</v>
      </c>
      <c r="L17" s="311">
        <f>SUMIFS('SC - Op 1'!H:H,'SC - Op 1'!D:D,I17)</f>
        <v>322102.10294092807</v>
      </c>
      <c r="M17" s="311" t="e">
        <f t="shared" si="5"/>
        <v>#REF!</v>
      </c>
      <c r="N17" s="311" t="e">
        <f>SUMIFS(#REF!,#REF!,I17)-K17</f>
        <v>#REF!</v>
      </c>
      <c r="O17" s="311">
        <f>SUMIFS('New Spec Comm'!AY:AY,'New Spec Comm'!D:D,I17)</f>
        <v>15912.897059071925</v>
      </c>
      <c r="P17" s="309" t="e">
        <f t="shared" si="6"/>
        <v>#REF!</v>
      </c>
      <c r="Q17" s="305" t="e">
        <f t="shared" si="7"/>
        <v>#REF!</v>
      </c>
      <c r="S17" s="311" t="e">
        <f>SUMIFS(#REF!,#REF!,I17)</f>
        <v>#REF!</v>
      </c>
      <c r="T17" s="311">
        <f>IF($C$10="On",$K17*$E$10*(1+SUMIFS(#REF!,#REF!,$I17)),0)</f>
        <v>0</v>
      </c>
      <c r="U17" s="311" t="e">
        <f>IF($C$11="On",$K17*$E$11*(1+SUMIFS(#REF!,#REF!,$I17)),0)</f>
        <v>#REF!</v>
      </c>
      <c r="V17" s="311" t="e">
        <f>IF($C$14="On",$K17*$E$14*(1+SUMIFS(#REF!,#REF!,$I17)),0)</f>
        <v>#REF!</v>
      </c>
      <c r="W17" s="311"/>
      <c r="X17" s="311"/>
      <c r="Y17" s="311">
        <f t="shared" si="0"/>
        <v>0</v>
      </c>
      <c r="Z17" s="311">
        <f>SUMIFS('New Spec Comm'!BA:BA,'New Spec Comm'!D:D,I17)</f>
        <v>946</v>
      </c>
      <c r="AA17" s="311"/>
      <c r="AB17" s="311">
        <f>IF($C$13="On",'Share of £1bn'!$V$9*1000*U17/$U$61,0)</f>
        <v>0</v>
      </c>
      <c r="AC17" s="311">
        <f>IF($C$17="On",$K17*$E$17*(1+SUMIFS(#REF!,#REF!,$I17)),0)</f>
        <v>0</v>
      </c>
      <c r="AD17" s="311" t="e">
        <f t="shared" si="8"/>
        <v>#REF!</v>
      </c>
      <c r="AE17" s="286"/>
      <c r="AF17" s="311" t="e">
        <f t="shared" si="9"/>
        <v>#REF!</v>
      </c>
      <c r="AG17" s="311">
        <f t="shared" si="10"/>
        <v>16858.897059071925</v>
      </c>
      <c r="AH17" s="311" t="e">
        <f t="shared" si="11"/>
        <v>#REF!</v>
      </c>
      <c r="AI17" s="305" t="e">
        <f t="shared" si="12"/>
        <v>#REF!</v>
      </c>
      <c r="AJ17" s="286"/>
      <c r="AK17" s="311" t="e">
        <f>SUMIFS(#REF!,#REF!,I17)</f>
        <v>#REF!</v>
      </c>
      <c r="AL17" s="311" t="e">
        <f t="shared" si="1"/>
        <v>#REF!</v>
      </c>
      <c r="AM17" s="311" t="e" cm="1">
        <f t="array" ref="AM17">-SUMPRODUCT(S17:AC17,1-$S$1:$AC$1)</f>
        <v>#REF!</v>
      </c>
      <c r="AN17" s="311" t="e">
        <f t="shared" si="2"/>
        <v>#REF!</v>
      </c>
      <c r="AO17" s="311" t="e">
        <f t="shared" si="13"/>
        <v>#REF!</v>
      </c>
      <c r="AP17" s="311" t="e">
        <f t="shared" si="3"/>
        <v>#REF!</v>
      </c>
      <c r="AQ17" s="286"/>
      <c r="AR17" s="303" t="e">
        <f t="shared" si="14"/>
        <v>#REF!</v>
      </c>
      <c r="AS17" s="305">
        <f t="shared" si="15"/>
        <v>4.9403269689270772E-2</v>
      </c>
      <c r="AT17" s="305" t="e">
        <f t="shared" si="16"/>
        <v>#REF!</v>
      </c>
      <c r="AU17" s="286"/>
      <c r="AV17" s="305" t="e">
        <f t="shared" si="17"/>
        <v>#REF!</v>
      </c>
      <c r="AW17" s="305">
        <f t="shared" si="18"/>
        <v>2.9369569194445527E-3</v>
      </c>
      <c r="AX17" s="305" t="e">
        <f t="shared" si="19"/>
        <v>#REF!</v>
      </c>
      <c r="AY17" s="286"/>
      <c r="AZ17" s="305" t="e">
        <f t="shared" si="20"/>
        <v>#REF!</v>
      </c>
      <c r="BA17" s="305">
        <f t="shared" si="21"/>
        <v>5.2340226608715325E-2</v>
      </c>
      <c r="BB17" s="305" t="e">
        <f t="shared" si="22"/>
        <v>#REF!</v>
      </c>
    </row>
    <row r="18" spans="2:54" x14ac:dyDescent="0.2">
      <c r="G18" s="267" t="s">
        <v>34</v>
      </c>
      <c r="H18" s="268" t="s">
        <v>35</v>
      </c>
      <c r="I18" s="61" t="s">
        <v>44</v>
      </c>
      <c r="J18" s="61" t="s">
        <v>45</v>
      </c>
      <c r="K18" s="311" t="e">
        <f>SUMIFS(#REF!,#REF!,I18)</f>
        <v>#REF!</v>
      </c>
      <c r="L18" s="311">
        <f>SUMIFS('SC - Op 1'!H:H,'SC - Op 1'!D:D,I18)</f>
        <v>254797.12308630819</v>
      </c>
      <c r="M18" s="311" t="e">
        <f t="shared" si="5"/>
        <v>#REF!</v>
      </c>
      <c r="N18" s="311" t="e">
        <f>SUMIFS(#REF!,#REF!,I18)-K18</f>
        <v>#REF!</v>
      </c>
      <c r="O18" s="311">
        <f>SUMIFS('New Spec Comm'!AY:AY,'New Spec Comm'!D:D,I18)</f>
        <v>12680.876913691813</v>
      </c>
      <c r="P18" s="309" t="e">
        <f t="shared" si="6"/>
        <v>#REF!</v>
      </c>
      <c r="Q18" s="305" t="e">
        <f t="shared" si="7"/>
        <v>#REF!</v>
      </c>
      <c r="S18" s="311" t="e">
        <f>SUMIFS(#REF!,#REF!,I18)</f>
        <v>#REF!</v>
      </c>
      <c r="T18" s="311">
        <f>IF($C$10="On",$K18*$E$10*(1+SUMIFS(#REF!,#REF!,$I18)),0)</f>
        <v>0</v>
      </c>
      <c r="U18" s="311" t="e">
        <f>IF($C$11="On",$K18*$E$11*(1+SUMIFS(#REF!,#REF!,$I18)),0)</f>
        <v>#REF!</v>
      </c>
      <c r="V18" s="311" t="e">
        <f>IF($C$14="On",$K18*$E$14*(1+SUMIFS(#REF!,#REF!,$I18)),0)</f>
        <v>#REF!</v>
      </c>
      <c r="W18" s="311"/>
      <c r="X18" s="311"/>
      <c r="Y18" s="311">
        <f t="shared" si="0"/>
        <v>0</v>
      </c>
      <c r="Z18" s="311">
        <f>SUMIFS('New Spec Comm'!BA:BA,'New Spec Comm'!D:D,I18)</f>
        <v>749</v>
      </c>
      <c r="AA18" s="311"/>
      <c r="AB18" s="311">
        <f>IF($C$13="On",'Share of £1bn'!$V$9*1000*U18/$U$61,0)</f>
        <v>0</v>
      </c>
      <c r="AC18" s="311">
        <f>IF($C$17="On",$K18*$E$17*(1+SUMIFS(#REF!,#REF!,$I18)),0)</f>
        <v>0</v>
      </c>
      <c r="AD18" s="311" t="e">
        <f t="shared" si="8"/>
        <v>#REF!</v>
      </c>
      <c r="AE18" s="286"/>
      <c r="AF18" s="311" t="e">
        <f t="shared" si="9"/>
        <v>#REF!</v>
      </c>
      <c r="AG18" s="311">
        <f t="shared" si="10"/>
        <v>13429.876913691813</v>
      </c>
      <c r="AH18" s="311" t="e">
        <f t="shared" si="11"/>
        <v>#REF!</v>
      </c>
      <c r="AI18" s="305" t="e">
        <f t="shared" si="12"/>
        <v>#REF!</v>
      </c>
      <c r="AJ18" s="286"/>
      <c r="AK18" s="311" t="e">
        <f>SUMIFS(#REF!,#REF!,I18)</f>
        <v>#REF!</v>
      </c>
      <c r="AL18" s="311" t="e">
        <f t="shared" si="1"/>
        <v>#REF!</v>
      </c>
      <c r="AM18" s="311" t="e" cm="1">
        <f t="array" ref="AM18">-SUMPRODUCT(S18:AC18,1-$S$1:$AC$1)</f>
        <v>#REF!</v>
      </c>
      <c r="AN18" s="311" t="e">
        <f t="shared" si="2"/>
        <v>#REF!</v>
      </c>
      <c r="AO18" s="311" t="e">
        <f t="shared" si="13"/>
        <v>#REF!</v>
      </c>
      <c r="AP18" s="311" t="e">
        <f t="shared" si="3"/>
        <v>#REF!</v>
      </c>
      <c r="AQ18" s="286"/>
      <c r="AR18" s="303" t="e">
        <f t="shared" si="14"/>
        <v>#REF!</v>
      </c>
      <c r="AS18" s="305">
        <f t="shared" si="15"/>
        <v>4.9768524699536666E-2</v>
      </c>
      <c r="AT18" s="305" t="e">
        <f t="shared" si="16"/>
        <v>#REF!</v>
      </c>
      <c r="AU18" s="286"/>
      <c r="AV18" s="305" t="e">
        <f t="shared" si="17"/>
        <v>#REF!</v>
      </c>
      <c r="AW18" s="305">
        <f t="shared" si="18"/>
        <v>2.9395936301301537E-3</v>
      </c>
      <c r="AX18" s="305" t="e">
        <f t="shared" si="19"/>
        <v>#REF!</v>
      </c>
      <c r="AY18" s="286"/>
      <c r="AZ18" s="305" t="e">
        <f t="shared" si="20"/>
        <v>#REF!</v>
      </c>
      <c r="BA18" s="305">
        <f t="shared" si="21"/>
        <v>5.270811832966682E-2</v>
      </c>
      <c r="BB18" s="305" t="e">
        <f t="shared" si="22"/>
        <v>#REF!</v>
      </c>
    </row>
    <row r="19" spans="2:54" x14ac:dyDescent="0.2">
      <c r="E19" s="524"/>
      <c r="G19" s="267" t="s">
        <v>34</v>
      </c>
      <c r="H19" s="268" t="s">
        <v>35</v>
      </c>
      <c r="I19" s="61" t="s">
        <v>46</v>
      </c>
      <c r="J19" s="61" t="s">
        <v>47</v>
      </c>
      <c r="K19" s="311" t="e">
        <f>SUMIFS(#REF!,#REF!,I19)</f>
        <v>#REF!</v>
      </c>
      <c r="L19" s="311">
        <f>SUMIFS('SC - Op 1'!H:H,'SC - Op 1'!D:D,I19)</f>
        <v>359790.82190727431</v>
      </c>
      <c r="M19" s="311" t="e">
        <f t="shared" si="5"/>
        <v>#REF!</v>
      </c>
      <c r="N19" s="311" t="e">
        <f>SUMIFS(#REF!,#REF!,I19)-K19</f>
        <v>#REF!</v>
      </c>
      <c r="O19" s="311">
        <f>SUMIFS('New Spec Comm'!AY:AY,'New Spec Comm'!D:D,I19)</f>
        <v>12537.156591430306</v>
      </c>
      <c r="P19" s="309" t="e">
        <f t="shared" si="6"/>
        <v>#REF!</v>
      </c>
      <c r="Q19" s="305" t="e">
        <f t="shared" si="7"/>
        <v>#REF!</v>
      </c>
      <c r="S19" s="311" t="e">
        <f>SUMIFS(#REF!,#REF!,I19)</f>
        <v>#REF!</v>
      </c>
      <c r="T19" s="311">
        <f>IF($C$10="On",$K19*$E$10*(1+SUMIFS(#REF!,#REF!,$I19)),0)</f>
        <v>0</v>
      </c>
      <c r="U19" s="311" t="e">
        <f>IF($C$11="On",$K19*$E$11*(1+SUMIFS(#REF!,#REF!,$I19)),0)</f>
        <v>#REF!</v>
      </c>
      <c r="V19" s="311" t="e">
        <f>IF($C$14="On",$K19*$E$14*(1+SUMIFS(#REF!,#REF!,$I19)),0)</f>
        <v>#REF!</v>
      </c>
      <c r="W19" s="311"/>
      <c r="X19" s="311"/>
      <c r="Y19" s="311">
        <f t="shared" si="0"/>
        <v>0</v>
      </c>
      <c r="Z19" s="311">
        <f>SUMIFS('New Spec Comm'!BA:BA,'New Spec Comm'!D:D,I19)</f>
        <v>-8.01487299031578E-2</v>
      </c>
      <c r="AA19" s="311"/>
      <c r="AB19" s="311">
        <f>IF($C$13="On",'Share of £1bn'!$V$9*1000*U19/$U$61,0)</f>
        <v>0</v>
      </c>
      <c r="AC19" s="311">
        <f>IF($C$17="On",$K19*$E$17*(1+SUMIFS(#REF!,#REF!,$I19)),0)</f>
        <v>0</v>
      </c>
      <c r="AD19" s="311" t="e">
        <f t="shared" si="8"/>
        <v>#REF!</v>
      </c>
      <c r="AE19" s="286"/>
      <c r="AF19" s="311" t="e">
        <f t="shared" si="9"/>
        <v>#REF!</v>
      </c>
      <c r="AG19" s="311">
        <f t="shared" si="10"/>
        <v>12537.076442700403</v>
      </c>
      <c r="AH19" s="311" t="e">
        <f t="shared" si="11"/>
        <v>#REF!</v>
      </c>
      <c r="AI19" s="305" t="e">
        <f t="shared" si="12"/>
        <v>#REF!</v>
      </c>
      <c r="AJ19" s="286"/>
      <c r="AK19" s="311" t="e">
        <f>SUMIFS(#REF!,#REF!,I19)</f>
        <v>#REF!</v>
      </c>
      <c r="AL19" s="311" t="e">
        <f t="shared" si="1"/>
        <v>#REF!</v>
      </c>
      <c r="AM19" s="311" t="e" cm="1">
        <f t="array" ref="AM19">-SUMPRODUCT(S19:AC19,1-$S$1:$AC$1)</f>
        <v>#REF!</v>
      </c>
      <c r="AN19" s="311" t="e">
        <f t="shared" si="2"/>
        <v>#REF!</v>
      </c>
      <c r="AO19" s="311" t="e">
        <f t="shared" si="13"/>
        <v>#REF!</v>
      </c>
      <c r="AP19" s="311" t="e">
        <f t="shared" si="3"/>
        <v>#REF!</v>
      </c>
      <c r="AQ19" s="286"/>
      <c r="AR19" s="303" t="e">
        <f t="shared" si="14"/>
        <v>#REF!</v>
      </c>
      <c r="AS19" s="305">
        <f t="shared" si="15"/>
        <v>3.4845682068736582E-2</v>
      </c>
      <c r="AT19" s="305" t="e">
        <f t="shared" si="16"/>
        <v>#REF!</v>
      </c>
      <c r="AU19" s="286"/>
      <c r="AV19" s="305" t="e">
        <f t="shared" si="17"/>
        <v>#REF!</v>
      </c>
      <c r="AW19" s="305">
        <f t="shared" si="18"/>
        <v>-2.2276479838545526E-7</v>
      </c>
      <c r="AX19" s="305" t="e">
        <f t="shared" si="19"/>
        <v>#REF!</v>
      </c>
      <c r="AY19" s="286"/>
      <c r="AZ19" s="305" t="e">
        <f t="shared" si="20"/>
        <v>#REF!</v>
      </c>
      <c r="BA19" s="305">
        <f t="shared" si="21"/>
        <v>3.4845459303938196E-2</v>
      </c>
      <c r="BB19" s="305" t="e">
        <f t="shared" si="22"/>
        <v>#REF!</v>
      </c>
    </row>
    <row r="20" spans="2:54" x14ac:dyDescent="0.2">
      <c r="G20" s="267" t="s">
        <v>34</v>
      </c>
      <c r="H20" s="268" t="s">
        <v>35</v>
      </c>
      <c r="I20" s="61" t="s">
        <v>48</v>
      </c>
      <c r="J20" s="61" t="s">
        <v>49</v>
      </c>
      <c r="K20" s="311" t="e">
        <f>SUMIFS(#REF!,#REF!,I20)</f>
        <v>#REF!</v>
      </c>
      <c r="L20" s="311">
        <f>SUMIFS('SC - Op 1'!H:H,'SC - Op 1'!D:D,I20)</f>
        <v>244617.26023720729</v>
      </c>
      <c r="M20" s="311" t="e">
        <f t="shared" si="5"/>
        <v>#REF!</v>
      </c>
      <c r="N20" s="311" t="e">
        <f>SUMIFS(#REF!,#REF!,I20)-K20</f>
        <v>#REF!</v>
      </c>
      <c r="O20" s="311">
        <f>SUMIFS('New Spec Comm'!AY:AY,'New Spec Comm'!D:D,I20)</f>
        <v>12182.739762792713</v>
      </c>
      <c r="P20" s="309" t="e">
        <f t="shared" si="6"/>
        <v>#REF!</v>
      </c>
      <c r="Q20" s="305" t="e">
        <f t="shared" si="7"/>
        <v>#REF!</v>
      </c>
      <c r="S20" s="311" t="e">
        <f>SUMIFS(#REF!,#REF!,I20)</f>
        <v>#REF!</v>
      </c>
      <c r="T20" s="311">
        <f>IF($C$10="On",$K20*$E$10*(1+SUMIFS(#REF!,#REF!,$I20)),0)</f>
        <v>0</v>
      </c>
      <c r="U20" s="311" t="e">
        <f>IF($C$11="On",$K20*$E$11*(1+SUMIFS(#REF!,#REF!,$I20)),0)</f>
        <v>#REF!</v>
      </c>
      <c r="V20" s="311" t="e">
        <f>IF($C$14="On",$K20*$E$14*(1+SUMIFS(#REF!,#REF!,$I20)),0)</f>
        <v>#REF!</v>
      </c>
      <c r="W20" s="311"/>
      <c r="X20" s="311"/>
      <c r="Y20" s="311">
        <f t="shared" si="0"/>
        <v>0</v>
      </c>
      <c r="Z20" s="311">
        <f>SUMIFS('New Spec Comm'!BA:BA,'New Spec Comm'!D:D,I20)</f>
        <v>719</v>
      </c>
      <c r="AA20" s="311"/>
      <c r="AB20" s="311">
        <f>IF($C$13="On",'Share of £1bn'!$V$9*1000*U20/$U$61,0)</f>
        <v>0</v>
      </c>
      <c r="AC20" s="311">
        <f>IF($C$17="On",$K20*$E$17*(1+SUMIFS(#REF!,#REF!,$I20)),0)</f>
        <v>0</v>
      </c>
      <c r="AD20" s="311" t="e">
        <f t="shared" si="8"/>
        <v>#REF!</v>
      </c>
      <c r="AE20" s="286"/>
      <c r="AF20" s="311" t="e">
        <f t="shared" si="9"/>
        <v>#REF!</v>
      </c>
      <c r="AG20" s="311">
        <f t="shared" si="10"/>
        <v>12901.739762792713</v>
      </c>
      <c r="AH20" s="311" t="e">
        <f t="shared" si="11"/>
        <v>#REF!</v>
      </c>
      <c r="AI20" s="305" t="e">
        <f t="shared" si="12"/>
        <v>#REF!</v>
      </c>
      <c r="AJ20" s="286"/>
      <c r="AK20" s="311" t="e">
        <f>SUMIFS(#REF!,#REF!,I20)</f>
        <v>#REF!</v>
      </c>
      <c r="AL20" s="311" t="e">
        <f t="shared" si="1"/>
        <v>#REF!</v>
      </c>
      <c r="AM20" s="311" t="e" cm="1">
        <f t="array" ref="AM20">-SUMPRODUCT(S20:AC20,1-$S$1:$AC$1)</f>
        <v>#REF!</v>
      </c>
      <c r="AN20" s="311" t="e">
        <f t="shared" si="2"/>
        <v>#REF!</v>
      </c>
      <c r="AO20" s="311" t="e">
        <f t="shared" si="13"/>
        <v>#REF!</v>
      </c>
      <c r="AP20" s="311" t="e">
        <f t="shared" si="3"/>
        <v>#REF!</v>
      </c>
      <c r="AQ20" s="286"/>
      <c r="AR20" s="303" t="e">
        <f t="shared" si="14"/>
        <v>#REF!</v>
      </c>
      <c r="AS20" s="305">
        <f t="shared" si="15"/>
        <v>4.9803271244960451E-2</v>
      </c>
      <c r="AT20" s="305" t="e">
        <f t="shared" si="16"/>
        <v>#REF!</v>
      </c>
      <c r="AU20" s="286"/>
      <c r="AV20" s="305" t="e">
        <f t="shared" si="17"/>
        <v>#REF!</v>
      </c>
      <c r="AW20" s="305">
        <f t="shared" si="18"/>
        <v>2.9392856387271266E-3</v>
      </c>
      <c r="AX20" s="305" t="e">
        <f t="shared" si="19"/>
        <v>#REF!</v>
      </c>
      <c r="AY20" s="286"/>
      <c r="AZ20" s="305" t="e">
        <f t="shared" si="20"/>
        <v>#REF!</v>
      </c>
      <c r="BA20" s="305">
        <f t="shared" si="21"/>
        <v>5.2742556883687577E-2</v>
      </c>
      <c r="BB20" s="305" t="e">
        <f t="shared" si="22"/>
        <v>#REF!</v>
      </c>
    </row>
    <row r="21" spans="2:54" x14ac:dyDescent="0.2">
      <c r="G21" s="267" t="s">
        <v>34</v>
      </c>
      <c r="H21" s="268" t="s">
        <v>35</v>
      </c>
      <c r="I21" s="61" t="s">
        <v>50</v>
      </c>
      <c r="J21" s="61" t="s">
        <v>51</v>
      </c>
      <c r="K21" s="311" t="e">
        <f>SUMIFS(#REF!,#REF!,I21)</f>
        <v>#REF!</v>
      </c>
      <c r="L21" s="311">
        <f>SUMIFS('SC - Op 1'!H:H,'SC - Op 1'!D:D,I21)</f>
        <v>227386.69840213092</v>
      </c>
      <c r="M21" s="311" t="e">
        <f t="shared" si="5"/>
        <v>#REF!</v>
      </c>
      <c r="N21" s="311" t="e">
        <f>SUMIFS(#REF!,#REF!,I21)-K21</f>
        <v>#REF!</v>
      </c>
      <c r="O21" s="311">
        <f>SUMIFS('New Spec Comm'!AY:AY,'New Spec Comm'!D:D,I21)</f>
        <v>12118.301597869082</v>
      </c>
      <c r="P21" s="309" t="e">
        <f t="shared" si="6"/>
        <v>#REF!</v>
      </c>
      <c r="Q21" s="305" t="e">
        <f t="shared" si="7"/>
        <v>#REF!</v>
      </c>
      <c r="S21" s="311" t="e">
        <f>SUMIFS(#REF!,#REF!,I21)</f>
        <v>#REF!</v>
      </c>
      <c r="T21" s="311">
        <f>IF($C$10="On",$K21*$E$10*(1+SUMIFS(#REF!,#REF!,$I21)),0)</f>
        <v>0</v>
      </c>
      <c r="U21" s="311" t="e">
        <f>IF($C$11="On",$K21*$E$11*(1+SUMIFS(#REF!,#REF!,$I21)),0)</f>
        <v>#REF!</v>
      </c>
      <c r="V21" s="311" t="e">
        <f>IF($C$14="On",$K21*$E$14*(1+SUMIFS(#REF!,#REF!,$I21)),0)</f>
        <v>#REF!</v>
      </c>
      <c r="W21" s="311"/>
      <c r="X21" s="311"/>
      <c r="Y21" s="311">
        <f t="shared" si="0"/>
        <v>0</v>
      </c>
      <c r="Z21" s="311">
        <f>SUMIFS('New Spec Comm'!BA:BA,'New Spec Comm'!D:D,I21)</f>
        <v>670</v>
      </c>
      <c r="AA21" s="311"/>
      <c r="AB21" s="311">
        <f>IF($C$13="On",'Share of £1bn'!$V$9*1000*U21/$U$61,0)</f>
        <v>0</v>
      </c>
      <c r="AC21" s="311">
        <f>IF($C$17="On",$K21*$E$17*(1+SUMIFS(#REF!,#REF!,$I21)),0)</f>
        <v>0</v>
      </c>
      <c r="AD21" s="311" t="e">
        <f t="shared" si="8"/>
        <v>#REF!</v>
      </c>
      <c r="AE21" s="286"/>
      <c r="AF21" s="311" t="e">
        <f t="shared" si="9"/>
        <v>#REF!</v>
      </c>
      <c r="AG21" s="311">
        <f t="shared" si="10"/>
        <v>12788.301597869082</v>
      </c>
      <c r="AH21" s="311" t="e">
        <f t="shared" si="11"/>
        <v>#REF!</v>
      </c>
      <c r="AI21" s="305" t="e">
        <f t="shared" si="12"/>
        <v>#REF!</v>
      </c>
      <c r="AJ21" s="286"/>
      <c r="AK21" s="311" t="e">
        <f>SUMIFS(#REF!,#REF!,I21)</f>
        <v>#REF!</v>
      </c>
      <c r="AL21" s="311" t="e">
        <f t="shared" si="1"/>
        <v>#REF!</v>
      </c>
      <c r="AM21" s="311" t="e" cm="1">
        <f t="array" ref="AM21">-SUMPRODUCT(S21:AC21,1-$S$1:$AC$1)</f>
        <v>#REF!</v>
      </c>
      <c r="AN21" s="311" t="e">
        <f t="shared" si="2"/>
        <v>#REF!</v>
      </c>
      <c r="AO21" s="311" t="e">
        <f t="shared" si="13"/>
        <v>#REF!</v>
      </c>
      <c r="AP21" s="311" t="e">
        <f t="shared" si="3"/>
        <v>#REF!</v>
      </c>
      <c r="AQ21" s="286"/>
      <c r="AR21" s="303" t="e">
        <f t="shared" si="14"/>
        <v>#REF!</v>
      </c>
      <c r="AS21" s="305">
        <f t="shared" si="15"/>
        <v>5.3293801629671393E-2</v>
      </c>
      <c r="AT21" s="305" t="e">
        <f t="shared" si="16"/>
        <v>#REF!</v>
      </c>
      <c r="AU21" s="286"/>
      <c r="AV21" s="305" t="e">
        <f t="shared" si="17"/>
        <v>#REF!</v>
      </c>
      <c r="AW21" s="305">
        <f t="shared" si="18"/>
        <v>2.9465223986634079E-3</v>
      </c>
      <c r="AX21" s="305" t="e">
        <f t="shared" si="19"/>
        <v>#REF!</v>
      </c>
      <c r="AY21" s="286"/>
      <c r="AZ21" s="305" t="e">
        <f t="shared" si="20"/>
        <v>#REF!</v>
      </c>
      <c r="BA21" s="305">
        <f t="shared" si="21"/>
        <v>5.6240324028334801E-2</v>
      </c>
      <c r="BB21" s="305" t="e">
        <f t="shared" si="22"/>
        <v>#REF!</v>
      </c>
    </row>
    <row r="22" spans="2:54" x14ac:dyDescent="0.2">
      <c r="G22" s="267" t="s">
        <v>34</v>
      </c>
      <c r="H22" s="268" t="s">
        <v>35</v>
      </c>
      <c r="I22" s="61" t="s">
        <v>52</v>
      </c>
      <c r="J22" s="61" t="s">
        <v>53</v>
      </c>
      <c r="K22" s="311" t="e">
        <f>SUMIFS(#REF!,#REF!,I22)</f>
        <v>#REF!</v>
      </c>
      <c r="L22" s="311">
        <f>SUMIFS('SC - Op 1'!H:H,'SC - Op 1'!D:D,I22)</f>
        <v>405681.49977994605</v>
      </c>
      <c r="M22" s="311" t="e">
        <f t="shared" si="5"/>
        <v>#REF!</v>
      </c>
      <c r="N22" s="311" t="e">
        <f>SUMIFS(#REF!,#REF!,I22)-K22</f>
        <v>#REF!</v>
      </c>
      <c r="O22" s="311">
        <f>SUMIFS('New Spec Comm'!AY:AY,'New Spec Comm'!D:D,I22)</f>
        <v>14810.223440669535</v>
      </c>
      <c r="P22" s="309" t="e">
        <f t="shared" si="6"/>
        <v>#REF!</v>
      </c>
      <c r="Q22" s="305" t="e">
        <f t="shared" si="7"/>
        <v>#REF!</v>
      </c>
      <c r="S22" s="311" t="e">
        <f>SUMIFS(#REF!,#REF!,I22)</f>
        <v>#REF!</v>
      </c>
      <c r="T22" s="311">
        <f>IF($C$10="On",$K22*$E$10*(1+SUMIFS(#REF!,#REF!,$I22)),0)</f>
        <v>0</v>
      </c>
      <c r="U22" s="311" t="e">
        <f>IF($C$11="On",$K22*$E$11*(1+SUMIFS(#REF!,#REF!,$I22)),0)</f>
        <v>#REF!</v>
      </c>
      <c r="V22" s="311" t="e">
        <f>IF($C$14="On",$K22*$E$14*(1+SUMIFS(#REF!,#REF!,$I22)),0)</f>
        <v>#REF!</v>
      </c>
      <c r="W22" s="311"/>
      <c r="X22" s="311"/>
      <c r="Y22" s="311">
        <f t="shared" si="0"/>
        <v>0</v>
      </c>
      <c r="Z22" s="311">
        <f>SUMIFS('New Spec Comm'!BA:BA,'New Spec Comm'!D:D,I22)</f>
        <v>0.13111249351641163</v>
      </c>
      <c r="AA22" s="311"/>
      <c r="AB22" s="311">
        <f>IF($C$13="On",'Share of £1bn'!$V$9*1000*U22/$U$61,0)</f>
        <v>0</v>
      </c>
      <c r="AC22" s="311">
        <f>IF($C$17="On",$K22*$E$17*(1+SUMIFS(#REF!,#REF!,$I22)),0)</f>
        <v>0</v>
      </c>
      <c r="AD22" s="311" t="e">
        <f t="shared" si="8"/>
        <v>#REF!</v>
      </c>
      <c r="AE22" s="286"/>
      <c r="AF22" s="311" t="e">
        <f t="shared" si="9"/>
        <v>#REF!</v>
      </c>
      <c r="AG22" s="311">
        <f t="shared" si="10"/>
        <v>14810.354553163052</v>
      </c>
      <c r="AH22" s="311" t="e">
        <f t="shared" si="11"/>
        <v>#REF!</v>
      </c>
      <c r="AI22" s="305" t="e">
        <f t="shared" si="12"/>
        <v>#REF!</v>
      </c>
      <c r="AJ22" s="286"/>
      <c r="AK22" s="311" t="e">
        <f>SUMIFS(#REF!,#REF!,I22)</f>
        <v>#REF!</v>
      </c>
      <c r="AL22" s="311" t="e">
        <f t="shared" si="1"/>
        <v>#REF!</v>
      </c>
      <c r="AM22" s="311" t="e" cm="1">
        <f t="array" ref="AM22">-SUMPRODUCT(S22:AC22,1-$S$1:$AC$1)</f>
        <v>#REF!</v>
      </c>
      <c r="AN22" s="311" t="e">
        <f t="shared" si="2"/>
        <v>#REF!</v>
      </c>
      <c r="AO22" s="311" t="e">
        <f t="shared" si="13"/>
        <v>#REF!</v>
      </c>
      <c r="AP22" s="311" t="e">
        <f t="shared" si="3"/>
        <v>#REF!</v>
      </c>
      <c r="AQ22" s="286"/>
      <c r="AR22" s="303" t="e">
        <f t="shared" si="14"/>
        <v>#REF!</v>
      </c>
      <c r="AS22" s="305">
        <f t="shared" si="15"/>
        <v>3.6507022007912733E-2</v>
      </c>
      <c r="AT22" s="305" t="e">
        <f t="shared" si="16"/>
        <v>#REF!</v>
      </c>
      <c r="AU22" s="286"/>
      <c r="AV22" s="305" t="e">
        <f t="shared" si="17"/>
        <v>#REF!</v>
      </c>
      <c r="AW22" s="305">
        <f t="shared" si="18"/>
        <v>3.2319071386482934E-7</v>
      </c>
      <c r="AX22" s="305" t="e">
        <f t="shared" si="19"/>
        <v>#REF!</v>
      </c>
      <c r="AY22" s="286"/>
      <c r="AZ22" s="305" t="e">
        <f t="shared" si="20"/>
        <v>#REF!</v>
      </c>
      <c r="BA22" s="305">
        <f t="shared" si="21"/>
        <v>3.6507345198626598E-2</v>
      </c>
      <c r="BB22" s="305" t="e">
        <f t="shared" si="22"/>
        <v>#REF!</v>
      </c>
    </row>
    <row r="23" spans="2:54" x14ac:dyDescent="0.2">
      <c r="G23" s="267" t="s">
        <v>34</v>
      </c>
      <c r="H23" s="268" t="s">
        <v>35</v>
      </c>
      <c r="I23" s="61" t="s">
        <v>54</v>
      </c>
      <c r="J23" s="61" t="s">
        <v>55</v>
      </c>
      <c r="K23" s="311" t="e">
        <f>SUMIFS(#REF!,#REF!,I23)</f>
        <v>#REF!</v>
      </c>
      <c r="L23" s="311">
        <f>SUMIFS('SC - Op 1'!H:H,'SC - Op 1'!D:D,I23)</f>
        <v>154471.73507291987</v>
      </c>
      <c r="M23" s="311" t="e">
        <f t="shared" si="5"/>
        <v>#REF!</v>
      </c>
      <c r="N23" s="311" t="e">
        <f>SUMIFS(#REF!,#REF!,I23)-K23</f>
        <v>#REF!</v>
      </c>
      <c r="O23" s="311">
        <f>SUMIFS('New Spec Comm'!AY:AY,'New Spec Comm'!D:D,I23)</f>
        <v>8481.2649270801339</v>
      </c>
      <c r="P23" s="309" t="e">
        <f t="shared" si="6"/>
        <v>#REF!</v>
      </c>
      <c r="Q23" s="305" t="e">
        <f t="shared" si="7"/>
        <v>#REF!</v>
      </c>
      <c r="S23" s="311" t="e">
        <f>SUMIFS(#REF!,#REF!,I23)</f>
        <v>#REF!</v>
      </c>
      <c r="T23" s="311">
        <f>IF($C$10="On",$K23*$E$10*(1+SUMIFS(#REF!,#REF!,$I23)),0)</f>
        <v>0</v>
      </c>
      <c r="U23" s="311" t="e">
        <f>IF($C$11="On",$K23*$E$11*(1+SUMIFS(#REF!,#REF!,$I23)),0)</f>
        <v>#REF!</v>
      </c>
      <c r="V23" s="311" t="e">
        <f>IF($C$14="On",$K23*$E$14*(1+SUMIFS(#REF!,#REF!,$I23)),0)</f>
        <v>#REF!</v>
      </c>
      <c r="W23" s="311"/>
      <c r="X23" s="311"/>
      <c r="Y23" s="311">
        <f t="shared" si="0"/>
        <v>0</v>
      </c>
      <c r="Z23" s="311">
        <f>SUMIFS('New Spec Comm'!BA:BA,'New Spec Comm'!D:D,I23)</f>
        <v>456</v>
      </c>
      <c r="AA23" s="311"/>
      <c r="AB23" s="311">
        <f>IF($C$13="On",'Share of £1bn'!$V$9*1000*U23/$U$61,0)</f>
        <v>0</v>
      </c>
      <c r="AC23" s="311">
        <f>IF($C$17="On",$K23*$E$17*(1+SUMIFS(#REF!,#REF!,$I23)),0)</f>
        <v>0</v>
      </c>
      <c r="AD23" s="311" t="e">
        <f t="shared" si="8"/>
        <v>#REF!</v>
      </c>
      <c r="AE23" s="286"/>
      <c r="AF23" s="311" t="e">
        <f t="shared" si="9"/>
        <v>#REF!</v>
      </c>
      <c r="AG23" s="311">
        <f t="shared" si="10"/>
        <v>8937.2649270801339</v>
      </c>
      <c r="AH23" s="311" t="e">
        <f t="shared" si="11"/>
        <v>#REF!</v>
      </c>
      <c r="AI23" s="305" t="e">
        <f t="shared" si="12"/>
        <v>#REF!</v>
      </c>
      <c r="AJ23" s="286"/>
      <c r="AK23" s="311" t="e">
        <f>SUMIFS(#REF!,#REF!,I23)</f>
        <v>#REF!</v>
      </c>
      <c r="AL23" s="311" t="e">
        <f t="shared" si="1"/>
        <v>#REF!</v>
      </c>
      <c r="AM23" s="311" t="e" cm="1">
        <f t="array" ref="AM23">-SUMPRODUCT(S23:AC23,1-$S$1:$AC$1)</f>
        <v>#REF!</v>
      </c>
      <c r="AN23" s="311" t="e">
        <f t="shared" si="2"/>
        <v>#REF!</v>
      </c>
      <c r="AO23" s="311" t="e">
        <f t="shared" si="13"/>
        <v>#REF!</v>
      </c>
      <c r="AP23" s="311" t="e">
        <f t="shared" si="3"/>
        <v>#REF!</v>
      </c>
      <c r="AQ23" s="286"/>
      <c r="AR23" s="303" t="e">
        <f t="shared" si="14"/>
        <v>#REF!</v>
      </c>
      <c r="AS23" s="305">
        <f t="shared" si="15"/>
        <v>5.49049631835654E-2</v>
      </c>
      <c r="AT23" s="305" t="e">
        <f t="shared" si="16"/>
        <v>#REF!</v>
      </c>
      <c r="AU23" s="286"/>
      <c r="AV23" s="305" t="e">
        <f t="shared" si="17"/>
        <v>#REF!</v>
      </c>
      <c r="AW23" s="305">
        <f t="shared" si="18"/>
        <v>2.9519963622130704E-3</v>
      </c>
      <c r="AX23" s="305" t="e">
        <f t="shared" si="19"/>
        <v>#REF!</v>
      </c>
      <c r="AY23" s="286"/>
      <c r="AZ23" s="305" t="e">
        <f t="shared" si="20"/>
        <v>#REF!</v>
      </c>
      <c r="BA23" s="305">
        <f t="shared" si="21"/>
        <v>5.785695954577847E-2</v>
      </c>
      <c r="BB23" s="305" t="e">
        <f t="shared" si="22"/>
        <v>#REF!</v>
      </c>
    </row>
    <row r="24" spans="2:54" x14ac:dyDescent="0.2">
      <c r="G24" s="269" t="s">
        <v>34</v>
      </c>
      <c r="H24" s="270" t="s">
        <v>35</v>
      </c>
      <c r="I24" s="271" t="s">
        <v>56</v>
      </c>
      <c r="J24" s="271" t="s">
        <v>57</v>
      </c>
      <c r="K24" s="312" t="e">
        <f>SUMIFS(#REF!,#REF!,I24)</f>
        <v>#REF!</v>
      </c>
      <c r="L24" s="312">
        <f>SUMIFS('SC - Op 1'!H:H,'SC - Op 1'!D:D,I24)</f>
        <v>389957.46990226448</v>
      </c>
      <c r="M24" s="312" t="e">
        <f t="shared" si="5"/>
        <v>#REF!</v>
      </c>
      <c r="N24" s="312" t="e">
        <f>SUMIFS(#REF!,#REF!,I24)-K24</f>
        <v>#REF!</v>
      </c>
      <c r="O24" s="312">
        <f>SUMIFS('New Spec Comm'!AY:AY,'New Spec Comm'!D:D,I24)</f>
        <v>14311.21266796469</v>
      </c>
      <c r="P24" s="310" t="e">
        <f t="shared" si="6"/>
        <v>#REF!</v>
      </c>
      <c r="Q24" s="306" t="e">
        <f t="shared" si="7"/>
        <v>#REF!</v>
      </c>
      <c r="S24" s="312" t="e">
        <f>SUMIFS(#REF!,#REF!,I24)</f>
        <v>#REF!</v>
      </c>
      <c r="T24" s="312">
        <f>IF($C$10="On",$K24*$E$10*(1+SUMIFS(#REF!,#REF!,$I24)),0)</f>
        <v>0</v>
      </c>
      <c r="U24" s="312" t="e">
        <f>IF($C$11="On",$K24*$E$11*(1+SUMIFS(#REF!,#REF!,$I24)),0)</f>
        <v>#REF!</v>
      </c>
      <c r="V24" s="312" t="e">
        <f>IF($C$14="On",$K24*$E$14*(1+SUMIFS(#REF!,#REF!,$I24)),0)</f>
        <v>#REF!</v>
      </c>
      <c r="W24" s="312"/>
      <c r="X24" s="312"/>
      <c r="Y24" s="312">
        <f t="shared" si="0"/>
        <v>0</v>
      </c>
      <c r="Z24" s="312">
        <f>SUMIFS('New Spec Comm'!BA:BA,'New Spec Comm'!D:D,I24)</f>
        <v>0.2253889738349244</v>
      </c>
      <c r="AA24" s="312"/>
      <c r="AB24" s="312">
        <f>IF($C$13="On",'Share of £1bn'!$V$9*1000*U24/$U$61,0)</f>
        <v>0</v>
      </c>
      <c r="AC24" s="312">
        <f>IF($C$17="On",$K24*$E$17*(1+SUMIFS(#REF!,#REF!,$I24)),0)</f>
        <v>0</v>
      </c>
      <c r="AD24" s="312" t="e">
        <f t="shared" si="8"/>
        <v>#REF!</v>
      </c>
      <c r="AE24" s="286"/>
      <c r="AF24" s="312" t="e">
        <f t="shared" si="9"/>
        <v>#REF!</v>
      </c>
      <c r="AG24" s="312">
        <f t="shared" si="10"/>
        <v>14311.438056938525</v>
      </c>
      <c r="AH24" s="312" t="e">
        <f t="shared" si="11"/>
        <v>#REF!</v>
      </c>
      <c r="AI24" s="306" t="e">
        <f t="shared" si="12"/>
        <v>#REF!</v>
      </c>
      <c r="AJ24" s="286"/>
      <c r="AK24" s="312" t="e">
        <f>SUMIFS(#REF!,#REF!,I24)</f>
        <v>#REF!</v>
      </c>
      <c r="AL24" s="312" t="e">
        <f t="shared" si="1"/>
        <v>#REF!</v>
      </c>
      <c r="AM24" s="312" t="e" cm="1">
        <f t="array" ref="AM24">-SUMPRODUCT(S24:AC24,1-$S$1:$AC$1)</f>
        <v>#REF!</v>
      </c>
      <c r="AN24" s="312" t="e">
        <f t="shared" si="2"/>
        <v>#REF!</v>
      </c>
      <c r="AO24" s="312" t="e">
        <f t="shared" si="13"/>
        <v>#REF!</v>
      </c>
      <c r="AP24" s="312" t="e">
        <f t="shared" si="3"/>
        <v>#REF!</v>
      </c>
      <c r="AQ24" s="286"/>
      <c r="AR24" s="304" t="e">
        <f t="shared" si="14"/>
        <v>#REF!</v>
      </c>
      <c r="AS24" s="306">
        <f t="shared" si="15"/>
        <v>3.6699419225259426E-2</v>
      </c>
      <c r="AT24" s="306" t="e">
        <f t="shared" si="16"/>
        <v>#REF!</v>
      </c>
      <c r="AU24" s="286"/>
      <c r="AV24" s="306" t="e">
        <f t="shared" si="17"/>
        <v>#REF!</v>
      </c>
      <c r="AW24" s="306">
        <f t="shared" si="18"/>
        <v>5.7798347571913489E-7</v>
      </c>
      <c r="AX24" s="306" t="e">
        <f t="shared" si="19"/>
        <v>#REF!</v>
      </c>
      <c r="AY24" s="286"/>
      <c r="AZ24" s="306" t="e">
        <f t="shared" si="20"/>
        <v>#REF!</v>
      </c>
      <c r="BA24" s="306">
        <f t="shared" si="21"/>
        <v>3.6699997208735145E-2</v>
      </c>
      <c r="BB24" s="306" t="e">
        <f t="shared" si="22"/>
        <v>#REF!</v>
      </c>
    </row>
    <row r="25" spans="2:54" x14ac:dyDescent="0.2">
      <c r="G25" s="266" t="s">
        <v>58</v>
      </c>
      <c r="H25" s="61" t="s">
        <v>59</v>
      </c>
      <c r="I25" s="61" t="s">
        <v>60</v>
      </c>
      <c r="J25" s="61" t="s">
        <v>61</v>
      </c>
      <c r="K25" s="311" t="e">
        <f>SUMIFS(#REF!,#REF!,I25)</f>
        <v>#REF!</v>
      </c>
      <c r="L25" s="311">
        <f>SUMIFS('SC - Op 1'!H:H,'SC - Op 1'!D:D,I25)</f>
        <v>313058.37890935689</v>
      </c>
      <c r="M25" s="311" t="e">
        <f t="shared" si="5"/>
        <v>#REF!</v>
      </c>
      <c r="N25" s="311" t="e">
        <f>SUMIFS(#REF!,#REF!,I25)-K25</f>
        <v>#REF!</v>
      </c>
      <c r="O25" s="311">
        <f>SUMIFS('New Spec Comm'!AY:AY,'New Spec Comm'!D:D,I25)</f>
        <v>15444.621090643108</v>
      </c>
      <c r="P25" s="309" t="e">
        <f t="shared" si="6"/>
        <v>#REF!</v>
      </c>
      <c r="Q25" s="305" t="e">
        <f t="shared" si="7"/>
        <v>#REF!</v>
      </c>
      <c r="S25" s="311" t="e">
        <f>SUMIFS(#REF!,#REF!,I25)</f>
        <v>#REF!</v>
      </c>
      <c r="T25" s="311">
        <f>IF($C$10="On",$K25*$E$10*(1+SUMIFS(#REF!,#REF!,$I25)),0)</f>
        <v>0</v>
      </c>
      <c r="U25" s="311" t="e">
        <f>IF($C$11="On",$K25*$E$11*(1+SUMIFS(#REF!,#REF!,$I25)),0)</f>
        <v>#REF!</v>
      </c>
      <c r="V25" s="311" t="e">
        <f>IF($C$14="On",$K25*$E$14*(1+SUMIFS(#REF!,#REF!,$I25)),0)</f>
        <v>#REF!</v>
      </c>
      <c r="W25" s="311"/>
      <c r="X25" s="311"/>
      <c r="Y25" s="311">
        <f t="shared" si="0"/>
        <v>0</v>
      </c>
      <c r="Z25" s="311">
        <f>SUMIFS('New Spec Comm'!BA:BA,'New Spec Comm'!D:D,I25)</f>
        <v>919</v>
      </c>
      <c r="AA25" s="311"/>
      <c r="AB25" s="311">
        <f>IF($C$13="On",'Share of £1bn'!$V$9*1000*U25/$U$61,0)</f>
        <v>0</v>
      </c>
      <c r="AC25" s="311">
        <f>IF($C$17="On",$K25*$E$17*(1+SUMIFS(#REF!,#REF!,$I25)),0)</f>
        <v>0</v>
      </c>
      <c r="AD25" s="311" t="e">
        <f t="shared" si="8"/>
        <v>#REF!</v>
      </c>
      <c r="AE25" s="286"/>
      <c r="AF25" s="311" t="e">
        <f t="shared" si="9"/>
        <v>#REF!</v>
      </c>
      <c r="AG25" s="311">
        <f t="shared" si="10"/>
        <v>16363.621090643108</v>
      </c>
      <c r="AH25" s="311" t="e">
        <f t="shared" si="11"/>
        <v>#REF!</v>
      </c>
      <c r="AI25" s="305" t="e">
        <f t="shared" si="12"/>
        <v>#REF!</v>
      </c>
      <c r="AJ25" s="286"/>
      <c r="AK25" s="311" t="e">
        <f>SUMIFS(#REF!,#REF!,I25)</f>
        <v>#REF!</v>
      </c>
      <c r="AL25" s="311" t="e">
        <f t="shared" si="1"/>
        <v>#REF!</v>
      </c>
      <c r="AM25" s="311" t="e" cm="1">
        <f t="array" ref="AM25">-SUMPRODUCT(S25:AC25,1-$S$1:$AC$1)</f>
        <v>#REF!</v>
      </c>
      <c r="AN25" s="311" t="e">
        <f t="shared" si="2"/>
        <v>#REF!</v>
      </c>
      <c r="AO25" s="311" t="e">
        <f t="shared" si="13"/>
        <v>#REF!</v>
      </c>
      <c r="AP25" s="311" t="e">
        <f t="shared" si="3"/>
        <v>#REF!</v>
      </c>
      <c r="AQ25" s="286"/>
      <c r="AR25" s="303" t="e">
        <f t="shared" si="14"/>
        <v>#REF!</v>
      </c>
      <c r="AS25" s="305">
        <f t="shared" si="15"/>
        <v>4.9334635745734032E-2</v>
      </c>
      <c r="AT25" s="305" t="e">
        <f t="shared" si="16"/>
        <v>#REF!</v>
      </c>
      <c r="AU25" s="286"/>
      <c r="AV25" s="305" t="e">
        <f t="shared" si="17"/>
        <v>#REF!</v>
      </c>
      <c r="AW25" s="305">
        <f t="shared" si="18"/>
        <v>2.935554714113206E-3</v>
      </c>
      <c r="AX25" s="305" t="e">
        <f t="shared" si="19"/>
        <v>#REF!</v>
      </c>
      <c r="AY25" s="286"/>
      <c r="AZ25" s="305" t="e">
        <f t="shared" si="20"/>
        <v>#REF!</v>
      </c>
      <c r="BA25" s="305">
        <f t="shared" si="21"/>
        <v>5.2270190459847238E-2</v>
      </c>
      <c r="BB25" s="305" t="e">
        <f t="shared" si="22"/>
        <v>#REF!</v>
      </c>
    </row>
    <row r="26" spans="2:54" x14ac:dyDescent="0.2">
      <c r="G26" s="267" t="s">
        <v>58</v>
      </c>
      <c r="H26" s="268" t="s">
        <v>59</v>
      </c>
      <c r="I26" s="61" t="s">
        <v>62</v>
      </c>
      <c r="J26" s="61" t="s">
        <v>63</v>
      </c>
      <c r="K26" s="311" t="e">
        <f>SUMIFS(#REF!,#REF!,I26)</f>
        <v>#REF!</v>
      </c>
      <c r="L26" s="311">
        <f>SUMIFS('SC - Op 1'!H:H,'SC - Op 1'!D:D,I26)</f>
        <v>321815.61586934631</v>
      </c>
      <c r="M26" s="311" t="e">
        <f t="shared" si="5"/>
        <v>#REF!</v>
      </c>
      <c r="N26" s="311" t="e">
        <f>SUMIFS(#REF!,#REF!,I26)-K26</f>
        <v>#REF!</v>
      </c>
      <c r="O26" s="311">
        <f>SUMIFS('New Spec Comm'!AY:AY,'New Spec Comm'!D:D,I26)</f>
        <v>11742.727878378937</v>
      </c>
      <c r="P26" s="309" t="e">
        <f t="shared" si="6"/>
        <v>#REF!</v>
      </c>
      <c r="Q26" s="305" t="e">
        <f t="shared" si="7"/>
        <v>#REF!</v>
      </c>
      <c r="S26" s="311" t="e">
        <f>SUMIFS(#REF!,#REF!,I26)</f>
        <v>#REF!</v>
      </c>
      <c r="T26" s="311">
        <f>IF($C$10="On",$K26*$E$10*(1+SUMIFS(#REF!,#REF!,$I26)),0)</f>
        <v>0</v>
      </c>
      <c r="U26" s="311" t="e">
        <f>IF($C$11="On",$K26*$E$11*(1+SUMIFS(#REF!,#REF!,$I26)),0)</f>
        <v>#REF!</v>
      </c>
      <c r="V26" s="311" t="e">
        <f>IF($C$14="On",$K26*$E$14*(1+SUMIFS(#REF!,#REF!,$I26)),0)</f>
        <v>#REF!</v>
      </c>
      <c r="W26" s="311"/>
      <c r="X26" s="311"/>
      <c r="Y26" s="311">
        <f t="shared" si="0"/>
        <v>0</v>
      </c>
      <c r="Z26" s="311">
        <f>SUMIFS('New Spec Comm'!BA:BA,'New Spec Comm'!D:D,I26)</f>
        <v>3.1499628792516887E-2</v>
      </c>
      <c r="AA26" s="311"/>
      <c r="AB26" s="311">
        <f>IF($C$13="On",'Share of £1bn'!$V$9*1000*U26/$U$61,0)</f>
        <v>0</v>
      </c>
      <c r="AC26" s="311">
        <f>IF($C$17="On",$K26*$E$17*(1+SUMIFS(#REF!,#REF!,$I26)),0)</f>
        <v>0</v>
      </c>
      <c r="AD26" s="311" t="e">
        <f t="shared" si="8"/>
        <v>#REF!</v>
      </c>
      <c r="AE26" s="286"/>
      <c r="AF26" s="311" t="e">
        <f t="shared" si="9"/>
        <v>#REF!</v>
      </c>
      <c r="AG26" s="311">
        <f t="shared" si="10"/>
        <v>11742.75937800773</v>
      </c>
      <c r="AH26" s="311" t="e">
        <f t="shared" si="11"/>
        <v>#REF!</v>
      </c>
      <c r="AI26" s="305" t="e">
        <f t="shared" si="12"/>
        <v>#REF!</v>
      </c>
      <c r="AJ26" s="286"/>
      <c r="AK26" s="311" t="e">
        <f>SUMIFS(#REF!,#REF!,I26)</f>
        <v>#REF!</v>
      </c>
      <c r="AL26" s="311" t="e">
        <f t="shared" si="1"/>
        <v>#REF!</v>
      </c>
      <c r="AM26" s="311" t="e" cm="1">
        <f t="array" ref="AM26">-SUMPRODUCT(S26:AC26,1-$S$1:$AC$1)</f>
        <v>#REF!</v>
      </c>
      <c r="AN26" s="311" t="e">
        <f t="shared" si="2"/>
        <v>#REF!</v>
      </c>
      <c r="AO26" s="311" t="e">
        <f t="shared" si="13"/>
        <v>#REF!</v>
      </c>
      <c r="AP26" s="311" t="e">
        <f t="shared" si="3"/>
        <v>#REF!</v>
      </c>
      <c r="AQ26" s="286"/>
      <c r="AR26" s="303" t="e">
        <f t="shared" si="14"/>
        <v>#REF!</v>
      </c>
      <c r="AS26" s="305">
        <f t="shared" si="15"/>
        <v>3.648899338416927E-2</v>
      </c>
      <c r="AT26" s="305" t="e">
        <f t="shared" si="16"/>
        <v>#REF!</v>
      </c>
      <c r="AU26" s="286"/>
      <c r="AV26" s="305" t="e">
        <f t="shared" si="17"/>
        <v>#REF!</v>
      </c>
      <c r="AW26" s="305">
        <f t="shared" si="18"/>
        <v>9.7880982895259816E-8</v>
      </c>
      <c r="AX26" s="305" t="e">
        <f t="shared" si="19"/>
        <v>#REF!</v>
      </c>
      <c r="AY26" s="286"/>
      <c r="AZ26" s="305" t="e">
        <f t="shared" si="20"/>
        <v>#REF!</v>
      </c>
      <c r="BA26" s="305">
        <f t="shared" si="21"/>
        <v>3.6489091265152165E-2</v>
      </c>
      <c r="BB26" s="305" t="e">
        <f t="shared" si="22"/>
        <v>#REF!</v>
      </c>
    </row>
    <row r="27" spans="2:54" x14ac:dyDescent="0.2">
      <c r="G27" s="267" t="s">
        <v>58</v>
      </c>
      <c r="H27" s="268" t="s">
        <v>59</v>
      </c>
      <c r="I27" s="61" t="s">
        <v>64</v>
      </c>
      <c r="J27" s="61" t="s">
        <v>65</v>
      </c>
      <c r="K27" s="311" t="e">
        <f>SUMIFS(#REF!,#REF!,I27)</f>
        <v>#REF!</v>
      </c>
      <c r="L27" s="311">
        <f>SUMIFS('SC - Op 1'!H:H,'SC - Op 1'!D:D,I27)</f>
        <v>509326.00412967935</v>
      </c>
      <c r="M27" s="311" t="e">
        <f t="shared" si="5"/>
        <v>#REF!</v>
      </c>
      <c r="N27" s="311" t="e">
        <f>SUMIFS(#REF!,#REF!,I27)-K27</f>
        <v>#REF!</v>
      </c>
      <c r="O27" s="311">
        <f>SUMIFS('New Spec Comm'!AY:AY,'New Spec Comm'!D:D,I27)</f>
        <v>24088.99587032065</v>
      </c>
      <c r="P27" s="309" t="e">
        <f t="shared" si="6"/>
        <v>#REF!</v>
      </c>
      <c r="Q27" s="305" t="e">
        <f t="shared" si="7"/>
        <v>#REF!</v>
      </c>
      <c r="S27" s="311" t="e">
        <f>SUMIFS(#REF!,#REF!,I27)</f>
        <v>#REF!</v>
      </c>
      <c r="T27" s="311">
        <f>IF($C$10="On",$K27*$E$10*(1+SUMIFS(#REF!,#REF!,$I27)),0)</f>
        <v>0</v>
      </c>
      <c r="U27" s="311" t="e">
        <f>IF($C$11="On",$K27*$E$11*(1+SUMIFS(#REF!,#REF!,$I27)),0)</f>
        <v>#REF!</v>
      </c>
      <c r="V27" s="311" t="e">
        <f>IF($C$14="On",$K27*$E$14*(1+SUMIFS(#REF!,#REF!,$I27)),0)</f>
        <v>#REF!</v>
      </c>
      <c r="W27" s="311"/>
      <c r="X27" s="311"/>
      <c r="Y27" s="311">
        <f t="shared" si="0"/>
        <v>0</v>
      </c>
      <c r="Z27" s="311">
        <f>SUMIFS('New Spec Comm'!BA:BA,'New Spec Comm'!D:D,I27)</f>
        <v>1493</v>
      </c>
      <c r="AA27" s="311"/>
      <c r="AB27" s="311">
        <f>IF($C$13="On",'Share of £1bn'!$V$9*1000*U27/$U$61,0)</f>
        <v>0</v>
      </c>
      <c r="AC27" s="311">
        <f>IF($C$17="On",$K27*$E$17*(1+SUMIFS(#REF!,#REF!,$I27)),0)</f>
        <v>0</v>
      </c>
      <c r="AD27" s="311" t="e">
        <f t="shared" si="8"/>
        <v>#REF!</v>
      </c>
      <c r="AE27" s="286"/>
      <c r="AF27" s="311" t="e">
        <f t="shared" si="9"/>
        <v>#REF!</v>
      </c>
      <c r="AG27" s="311">
        <f t="shared" si="10"/>
        <v>25581.99587032065</v>
      </c>
      <c r="AH27" s="311" t="e">
        <f t="shared" si="11"/>
        <v>#REF!</v>
      </c>
      <c r="AI27" s="305" t="e">
        <f t="shared" si="12"/>
        <v>#REF!</v>
      </c>
      <c r="AJ27" s="286"/>
      <c r="AK27" s="311" t="e">
        <f>SUMIFS(#REF!,#REF!,I27)</f>
        <v>#REF!</v>
      </c>
      <c r="AL27" s="311" t="e">
        <f t="shared" si="1"/>
        <v>#REF!</v>
      </c>
      <c r="AM27" s="311" t="e" cm="1">
        <f t="array" ref="AM27">-SUMPRODUCT(S27:AC27,1-$S$1:$AC$1)</f>
        <v>#REF!</v>
      </c>
      <c r="AN27" s="311" t="e">
        <f t="shared" si="2"/>
        <v>#REF!</v>
      </c>
      <c r="AO27" s="311" t="e">
        <f t="shared" si="13"/>
        <v>#REF!</v>
      </c>
      <c r="AP27" s="311" t="e">
        <f t="shared" si="3"/>
        <v>#REF!</v>
      </c>
      <c r="AQ27" s="286"/>
      <c r="AR27" s="303" t="e">
        <f t="shared" si="14"/>
        <v>#REF!</v>
      </c>
      <c r="AS27" s="305">
        <f t="shared" si="15"/>
        <v>4.7295829537475097E-2</v>
      </c>
      <c r="AT27" s="305" t="e">
        <f t="shared" si="16"/>
        <v>#REF!</v>
      </c>
      <c r="AU27" s="286"/>
      <c r="AV27" s="305" t="e">
        <f t="shared" si="17"/>
        <v>#REF!</v>
      </c>
      <c r="AW27" s="305">
        <f t="shared" si="18"/>
        <v>2.9313249036855907E-3</v>
      </c>
      <c r="AX27" s="305" t="e">
        <f t="shared" si="19"/>
        <v>#REF!</v>
      </c>
      <c r="AY27" s="286"/>
      <c r="AZ27" s="305" t="e">
        <f t="shared" si="20"/>
        <v>#REF!</v>
      </c>
      <c r="BA27" s="305">
        <f t="shared" si="21"/>
        <v>5.0227154441160687E-2</v>
      </c>
      <c r="BB27" s="305" t="e">
        <f t="shared" si="22"/>
        <v>#REF!</v>
      </c>
    </row>
    <row r="28" spans="2:54" x14ac:dyDescent="0.2">
      <c r="G28" s="267" t="s">
        <v>58</v>
      </c>
      <c r="H28" s="268" t="s">
        <v>59</v>
      </c>
      <c r="I28" s="61" t="s">
        <v>66</v>
      </c>
      <c r="J28" s="61" t="s">
        <v>67</v>
      </c>
      <c r="K28" s="311" t="e">
        <f>SUMIFS(#REF!,#REF!,I28)</f>
        <v>#REF!</v>
      </c>
      <c r="L28" s="311">
        <f>SUMIFS('SC - Op 1'!H:H,'SC - Op 1'!D:D,I28)</f>
        <v>391887.59398342425</v>
      </c>
      <c r="M28" s="311" t="e">
        <f t="shared" si="5"/>
        <v>#REF!</v>
      </c>
      <c r="N28" s="311" t="e">
        <f>SUMIFS(#REF!,#REF!,I28)-K28</f>
        <v>#REF!</v>
      </c>
      <c r="O28" s="311">
        <f>SUMIFS('New Spec Comm'!AY:AY,'New Spec Comm'!D:D,I28)</f>
        <v>19090.406016575755</v>
      </c>
      <c r="P28" s="309" t="e">
        <f t="shared" si="6"/>
        <v>#REF!</v>
      </c>
      <c r="Q28" s="305" t="e">
        <f t="shared" si="7"/>
        <v>#REF!</v>
      </c>
      <c r="S28" s="311" t="e">
        <f>SUMIFS(#REF!,#REF!,I28)</f>
        <v>#REF!</v>
      </c>
      <c r="T28" s="311">
        <f>IF($C$10="On",$K28*$E$10*(1+SUMIFS(#REF!,#REF!,$I28)),0)</f>
        <v>0</v>
      </c>
      <c r="U28" s="311" t="e">
        <f>IF($C$11="On",$K28*$E$11*(1+SUMIFS(#REF!,#REF!,$I28)),0)</f>
        <v>#REF!</v>
      </c>
      <c r="V28" s="311" t="e">
        <f>IF($C$14="On",$K28*$E$14*(1+SUMIFS(#REF!,#REF!,$I28)),0)</f>
        <v>#REF!</v>
      </c>
      <c r="W28" s="311"/>
      <c r="X28" s="311"/>
      <c r="Y28" s="311">
        <f t="shared" si="0"/>
        <v>0</v>
      </c>
      <c r="Z28" s="311">
        <f>SUMIFS('New Spec Comm'!BA:BA,'New Spec Comm'!D:D,I28)</f>
        <v>1150</v>
      </c>
      <c r="AA28" s="311"/>
      <c r="AB28" s="311">
        <f>IF($C$13="On",'Share of £1bn'!$V$9*1000*U28/$U$61,0)</f>
        <v>0</v>
      </c>
      <c r="AC28" s="311">
        <f>IF($C$17="On",$K28*$E$17*(1+SUMIFS(#REF!,#REF!,$I28)),0)</f>
        <v>0</v>
      </c>
      <c r="AD28" s="311" t="e">
        <f t="shared" si="8"/>
        <v>#REF!</v>
      </c>
      <c r="AE28" s="286"/>
      <c r="AF28" s="311" t="e">
        <f t="shared" si="9"/>
        <v>#REF!</v>
      </c>
      <c r="AG28" s="311">
        <f t="shared" si="10"/>
        <v>20240.406016575755</v>
      </c>
      <c r="AH28" s="311" t="e">
        <f t="shared" si="11"/>
        <v>#REF!</v>
      </c>
      <c r="AI28" s="305" t="e">
        <f t="shared" si="12"/>
        <v>#REF!</v>
      </c>
      <c r="AJ28" s="286"/>
      <c r="AK28" s="311" t="e">
        <f>SUMIFS(#REF!,#REF!,I28)</f>
        <v>#REF!</v>
      </c>
      <c r="AL28" s="311" t="e">
        <f t="shared" si="1"/>
        <v>#REF!</v>
      </c>
      <c r="AM28" s="311" t="e" cm="1">
        <f t="array" ref="AM28">-SUMPRODUCT(S28:AC28,1-$S$1:$AC$1)</f>
        <v>#REF!</v>
      </c>
      <c r="AN28" s="311" t="e">
        <f t="shared" si="2"/>
        <v>#REF!</v>
      </c>
      <c r="AO28" s="311" t="e">
        <f t="shared" si="13"/>
        <v>#REF!</v>
      </c>
      <c r="AP28" s="311" t="e">
        <f t="shared" si="3"/>
        <v>#REF!</v>
      </c>
      <c r="AQ28" s="286"/>
      <c r="AR28" s="303" t="e">
        <f t="shared" si="14"/>
        <v>#REF!</v>
      </c>
      <c r="AS28" s="305">
        <f t="shared" si="15"/>
        <v>4.8713984085403901E-2</v>
      </c>
      <c r="AT28" s="305" t="e">
        <f t="shared" si="16"/>
        <v>#REF!</v>
      </c>
      <c r="AU28" s="286"/>
      <c r="AV28" s="305" t="e">
        <f t="shared" si="17"/>
        <v>#REF!</v>
      </c>
      <c r="AW28" s="305">
        <f t="shared" si="18"/>
        <v>2.9345149416713651E-3</v>
      </c>
      <c r="AX28" s="305" t="e">
        <f t="shared" si="19"/>
        <v>#REF!</v>
      </c>
      <c r="AY28" s="286"/>
      <c r="AZ28" s="305" t="e">
        <f t="shared" si="20"/>
        <v>#REF!</v>
      </c>
      <c r="BA28" s="305">
        <f t="shared" si="21"/>
        <v>5.1648499027075266E-2</v>
      </c>
      <c r="BB28" s="305" t="e">
        <f t="shared" si="22"/>
        <v>#REF!</v>
      </c>
    </row>
    <row r="29" spans="2:54" x14ac:dyDescent="0.2">
      <c r="G29" s="267" t="s">
        <v>58</v>
      </c>
      <c r="H29" s="268" t="s">
        <v>59</v>
      </c>
      <c r="I29" s="61" t="s">
        <v>68</v>
      </c>
      <c r="J29" s="61" t="s">
        <v>69</v>
      </c>
      <c r="K29" s="311" t="e">
        <f>SUMIFS(#REF!,#REF!,I29)</f>
        <v>#REF!</v>
      </c>
      <c r="L29" s="311">
        <f>SUMIFS('SC - Op 1'!H:H,'SC - Op 1'!D:D,I29)</f>
        <v>329792.60057968274</v>
      </c>
      <c r="M29" s="311" t="e">
        <f t="shared" si="5"/>
        <v>#REF!</v>
      </c>
      <c r="N29" s="311" t="e">
        <f>SUMIFS(#REF!,#REF!,I29)-K29</f>
        <v>#REF!</v>
      </c>
      <c r="O29" s="311">
        <f>SUMIFS('New Spec Comm'!AY:AY,'New Spec Comm'!D:D,I29)</f>
        <v>16887.399420317262</v>
      </c>
      <c r="P29" s="309" t="e">
        <f t="shared" si="6"/>
        <v>#REF!</v>
      </c>
      <c r="Q29" s="305" t="e">
        <f t="shared" si="7"/>
        <v>#REF!</v>
      </c>
      <c r="S29" s="311" t="e">
        <f>SUMIFS(#REF!,#REF!,I29)</f>
        <v>#REF!</v>
      </c>
      <c r="T29" s="311">
        <f>IF($C$10="On",$K29*$E$10*(1+SUMIFS(#REF!,#REF!,$I29)),0)</f>
        <v>0</v>
      </c>
      <c r="U29" s="311" t="e">
        <f>IF($C$11="On",$K29*$E$11*(1+SUMIFS(#REF!,#REF!,$I29)),0)</f>
        <v>#REF!</v>
      </c>
      <c r="V29" s="311" t="e">
        <f>IF($C$14="On",$K29*$E$14*(1+SUMIFS(#REF!,#REF!,$I29)),0)</f>
        <v>#REF!</v>
      </c>
      <c r="W29" s="311"/>
      <c r="X29" s="311"/>
      <c r="Y29" s="311">
        <f t="shared" si="0"/>
        <v>0</v>
      </c>
      <c r="Z29" s="311">
        <f>SUMIFS('New Spec Comm'!BA:BA,'New Spec Comm'!D:D,I29)</f>
        <v>970</v>
      </c>
      <c r="AA29" s="311"/>
      <c r="AB29" s="311">
        <f>IF($C$13="On",'Share of £1bn'!$V$9*1000*U29/$U$61,0)</f>
        <v>0</v>
      </c>
      <c r="AC29" s="311">
        <f>IF($C$17="On",$K29*$E$17*(1+SUMIFS(#REF!,#REF!,$I29)),0)</f>
        <v>0</v>
      </c>
      <c r="AD29" s="311" t="e">
        <f t="shared" si="8"/>
        <v>#REF!</v>
      </c>
      <c r="AE29" s="286"/>
      <c r="AF29" s="311" t="e">
        <f t="shared" si="9"/>
        <v>#REF!</v>
      </c>
      <c r="AG29" s="311">
        <f t="shared" si="10"/>
        <v>17857.399420317262</v>
      </c>
      <c r="AH29" s="311" t="e">
        <f t="shared" si="11"/>
        <v>#REF!</v>
      </c>
      <c r="AI29" s="305" t="e">
        <f t="shared" si="12"/>
        <v>#REF!</v>
      </c>
      <c r="AJ29" s="286"/>
      <c r="AK29" s="311" t="e">
        <f>SUMIFS(#REF!,#REF!,I29)</f>
        <v>#REF!</v>
      </c>
      <c r="AL29" s="311" t="e">
        <f t="shared" si="1"/>
        <v>#REF!</v>
      </c>
      <c r="AM29" s="311" t="e" cm="1">
        <f t="array" ref="AM29">-SUMPRODUCT(S29:AC29,1-$S$1:$AC$1)</f>
        <v>#REF!</v>
      </c>
      <c r="AN29" s="311" t="e">
        <f t="shared" si="2"/>
        <v>#REF!</v>
      </c>
      <c r="AO29" s="311" t="e">
        <f t="shared" si="13"/>
        <v>#REF!</v>
      </c>
      <c r="AP29" s="311" t="e">
        <f t="shared" si="3"/>
        <v>#REF!</v>
      </c>
      <c r="AQ29" s="286"/>
      <c r="AR29" s="303" t="e">
        <f t="shared" si="14"/>
        <v>#REF!</v>
      </c>
      <c r="AS29" s="305">
        <f t="shared" si="15"/>
        <v>5.1206119817830839E-2</v>
      </c>
      <c r="AT29" s="305" t="e">
        <f t="shared" si="16"/>
        <v>#REF!</v>
      </c>
      <c r="AU29" s="286"/>
      <c r="AV29" s="305" t="e">
        <f t="shared" si="17"/>
        <v>#REF!</v>
      </c>
      <c r="AW29" s="305">
        <f t="shared" si="18"/>
        <v>2.9412424605494841E-3</v>
      </c>
      <c r="AX29" s="305" t="e">
        <f t="shared" si="19"/>
        <v>#REF!</v>
      </c>
      <c r="AY29" s="286"/>
      <c r="AZ29" s="305" t="e">
        <f t="shared" si="20"/>
        <v>#REF!</v>
      </c>
      <c r="BA29" s="305">
        <f t="shared" si="21"/>
        <v>5.4147362278380323E-2</v>
      </c>
      <c r="BB29" s="305" t="e">
        <f t="shared" si="22"/>
        <v>#REF!</v>
      </c>
    </row>
    <row r="30" spans="2:54" x14ac:dyDescent="0.2">
      <c r="G30" s="269" t="s">
        <v>58</v>
      </c>
      <c r="H30" s="270" t="s">
        <v>59</v>
      </c>
      <c r="I30" s="271" t="s">
        <v>70</v>
      </c>
      <c r="J30" s="271" t="s">
        <v>71</v>
      </c>
      <c r="K30" s="312" t="e">
        <f>SUMIFS(#REF!,#REF!,I30)</f>
        <v>#REF!</v>
      </c>
      <c r="L30" s="312">
        <f>SUMIFS('SC - Op 1'!H:H,'SC - Op 1'!D:D,I30)</f>
        <v>325895.05257190391</v>
      </c>
      <c r="M30" s="312" t="e">
        <f t="shared" si="5"/>
        <v>#REF!</v>
      </c>
      <c r="N30" s="312" t="e">
        <f>SUMIFS(#REF!,#REF!,I30)-K30</f>
        <v>#REF!</v>
      </c>
      <c r="O30" s="312">
        <f>SUMIFS('New Spec Comm'!AY:AY,'New Spec Comm'!D:D,I30)</f>
        <v>16170.947428096086</v>
      </c>
      <c r="P30" s="310" t="e">
        <f t="shared" si="6"/>
        <v>#REF!</v>
      </c>
      <c r="Q30" s="306" t="e">
        <f t="shared" si="7"/>
        <v>#REF!</v>
      </c>
      <c r="S30" s="312" t="e">
        <f>SUMIFS(#REF!,#REF!,I30)</f>
        <v>#REF!</v>
      </c>
      <c r="T30" s="312">
        <f>IF($C$10="On",$K30*$E$10*(1+SUMIFS(#REF!,#REF!,$I30)),0)</f>
        <v>0</v>
      </c>
      <c r="U30" s="312" t="e">
        <f>IF($C$11="On",$K30*$E$11*(1+SUMIFS(#REF!,#REF!,$I30)),0)</f>
        <v>#REF!</v>
      </c>
      <c r="V30" s="312" t="e">
        <f>IF($C$14="On",$K30*$E$14*(1+SUMIFS(#REF!,#REF!,$I30)),0)</f>
        <v>#REF!</v>
      </c>
      <c r="W30" s="312"/>
      <c r="X30" s="312"/>
      <c r="Y30" s="312">
        <f t="shared" si="0"/>
        <v>0</v>
      </c>
      <c r="Z30" s="312">
        <f>SUMIFS('New Spec Comm'!BA:BA,'New Spec Comm'!D:D,I30)</f>
        <v>958</v>
      </c>
      <c r="AA30" s="312"/>
      <c r="AB30" s="312">
        <f>IF($C$13="On",'Share of £1bn'!$V$9*1000*U30/$U$61,0)</f>
        <v>0</v>
      </c>
      <c r="AC30" s="312">
        <f>IF($C$17="On",$K30*$E$17*(1+SUMIFS(#REF!,#REF!,$I30)),0)</f>
        <v>0</v>
      </c>
      <c r="AD30" s="312" t="e">
        <f t="shared" si="8"/>
        <v>#REF!</v>
      </c>
      <c r="AE30" s="286"/>
      <c r="AF30" s="312" t="e">
        <f t="shared" si="9"/>
        <v>#REF!</v>
      </c>
      <c r="AG30" s="312">
        <f t="shared" si="10"/>
        <v>17128.947428096086</v>
      </c>
      <c r="AH30" s="312" t="e">
        <f t="shared" si="11"/>
        <v>#REF!</v>
      </c>
      <c r="AI30" s="306" t="e">
        <f t="shared" si="12"/>
        <v>#REF!</v>
      </c>
      <c r="AJ30" s="286"/>
      <c r="AK30" s="312" t="e">
        <f>SUMIFS(#REF!,#REF!,I30)</f>
        <v>#REF!</v>
      </c>
      <c r="AL30" s="312" t="e">
        <f t="shared" si="1"/>
        <v>#REF!</v>
      </c>
      <c r="AM30" s="312" t="e" cm="1">
        <f t="array" ref="AM30">-SUMPRODUCT(S30:AC30,1-$S$1:$AC$1)</f>
        <v>#REF!</v>
      </c>
      <c r="AN30" s="312" t="e">
        <f t="shared" si="2"/>
        <v>#REF!</v>
      </c>
      <c r="AO30" s="312" t="e">
        <f t="shared" si="13"/>
        <v>#REF!</v>
      </c>
      <c r="AP30" s="312" t="e">
        <f t="shared" si="3"/>
        <v>#REF!</v>
      </c>
      <c r="AQ30" s="286"/>
      <c r="AR30" s="304" t="e">
        <f t="shared" si="14"/>
        <v>#REF!</v>
      </c>
      <c r="AS30" s="306">
        <f t="shared" si="15"/>
        <v>4.9620107149457894E-2</v>
      </c>
      <c r="AT30" s="306" t="e">
        <f t="shared" si="16"/>
        <v>#REF!</v>
      </c>
      <c r="AU30" s="286"/>
      <c r="AV30" s="306" t="e">
        <f t="shared" si="17"/>
        <v>#REF!</v>
      </c>
      <c r="AW30" s="306">
        <f t="shared" si="18"/>
        <v>2.9395966352960545E-3</v>
      </c>
      <c r="AX30" s="306" t="e">
        <f t="shared" si="19"/>
        <v>#REF!</v>
      </c>
      <c r="AY30" s="286"/>
      <c r="AZ30" s="306" t="e">
        <f t="shared" si="20"/>
        <v>#REF!</v>
      </c>
      <c r="BA30" s="306">
        <f t="shared" si="21"/>
        <v>5.2559703784753949E-2</v>
      </c>
      <c r="BB30" s="306" t="e">
        <f t="shared" si="22"/>
        <v>#REF!</v>
      </c>
    </row>
    <row r="31" spans="2:54" x14ac:dyDescent="0.2">
      <c r="G31" s="266" t="s">
        <v>72</v>
      </c>
      <c r="H31" s="61" t="s">
        <v>73</v>
      </c>
      <c r="I31" s="61" t="s">
        <v>74</v>
      </c>
      <c r="J31" s="61" t="s">
        <v>75</v>
      </c>
      <c r="K31" s="311" t="e">
        <f>SUMIFS(#REF!,#REF!,I31)</f>
        <v>#REF!</v>
      </c>
      <c r="L31" s="311">
        <f>SUMIFS('SC - Op 1'!H:H,'SC - Op 1'!D:D,I31)</f>
        <v>694548.92659571301</v>
      </c>
      <c r="M31" s="311" t="e">
        <f t="shared" si="5"/>
        <v>#REF!</v>
      </c>
      <c r="N31" s="311" t="e">
        <f>SUMIFS(#REF!,#REF!,I31)-K31</f>
        <v>#REF!</v>
      </c>
      <c r="O31" s="311">
        <f>SUMIFS('New Spec Comm'!AY:AY,'New Spec Comm'!D:D,I31)</f>
        <v>23417.078822379932</v>
      </c>
      <c r="P31" s="309" t="e">
        <f t="shared" si="6"/>
        <v>#REF!</v>
      </c>
      <c r="Q31" s="305" t="e">
        <f t="shared" si="7"/>
        <v>#REF!</v>
      </c>
      <c r="S31" s="311" t="e">
        <f>SUMIFS(#REF!,#REF!,I31)</f>
        <v>#REF!</v>
      </c>
      <c r="T31" s="311">
        <f>IF($C$10="On",$K31*$E$10*(1+SUMIFS(#REF!,#REF!,$I31)),0)</f>
        <v>0</v>
      </c>
      <c r="U31" s="311" t="e">
        <f>IF($C$11="On",$K31*$E$11*(1+SUMIFS(#REF!,#REF!,$I31)),0)</f>
        <v>#REF!</v>
      </c>
      <c r="V31" s="311" t="e">
        <f>IF($C$14="On",$K31*$E$14*(1+SUMIFS(#REF!,#REF!,$I31)),0)</f>
        <v>#REF!</v>
      </c>
      <c r="W31" s="311"/>
      <c r="X31" s="311"/>
      <c r="Y31" s="311">
        <f t="shared" si="0"/>
        <v>0</v>
      </c>
      <c r="Z31" s="311">
        <f>SUMIFS('New Spec Comm'!BA:BA,'New Spec Comm'!D:D,I31)</f>
        <v>-0.16964128217659891</v>
      </c>
      <c r="AA31" s="311"/>
      <c r="AB31" s="311">
        <f>IF($C$13="On",'Share of £1bn'!$V$9*1000*U31/$U$61,0)</f>
        <v>0</v>
      </c>
      <c r="AC31" s="311">
        <f>IF($C$17="On",$K31*$E$17*(1+SUMIFS(#REF!,#REF!,$I31)),0)</f>
        <v>0</v>
      </c>
      <c r="AD31" s="311" t="e">
        <f t="shared" si="8"/>
        <v>#REF!</v>
      </c>
      <c r="AE31" s="286"/>
      <c r="AF31" s="311" t="e">
        <f t="shared" si="9"/>
        <v>#REF!</v>
      </c>
      <c r="AG31" s="311">
        <f t="shared" si="10"/>
        <v>23416.909181097755</v>
      </c>
      <c r="AH31" s="311" t="e">
        <f t="shared" si="11"/>
        <v>#REF!</v>
      </c>
      <c r="AI31" s="305" t="e">
        <f t="shared" si="12"/>
        <v>#REF!</v>
      </c>
      <c r="AJ31" s="286"/>
      <c r="AK31" s="311" t="e">
        <f>SUMIFS(#REF!,#REF!,I31)</f>
        <v>#REF!</v>
      </c>
      <c r="AL31" s="311" t="e">
        <f t="shared" si="1"/>
        <v>#REF!</v>
      </c>
      <c r="AM31" s="311" t="e" cm="1">
        <f t="array" ref="AM31">-SUMPRODUCT(S31:AC31,1-$S$1:$AC$1)</f>
        <v>#REF!</v>
      </c>
      <c r="AN31" s="311" t="e">
        <f t="shared" si="2"/>
        <v>#REF!</v>
      </c>
      <c r="AO31" s="311" t="e">
        <f t="shared" si="13"/>
        <v>#REF!</v>
      </c>
      <c r="AP31" s="311" t="e">
        <f t="shared" si="3"/>
        <v>#REF!</v>
      </c>
      <c r="AQ31" s="286"/>
      <c r="AR31" s="303" t="e">
        <f t="shared" si="14"/>
        <v>#REF!</v>
      </c>
      <c r="AS31" s="305">
        <f t="shared" si="15"/>
        <v>3.3715520859210368E-2</v>
      </c>
      <c r="AT31" s="305" t="e">
        <f t="shared" si="16"/>
        <v>#REF!</v>
      </c>
      <c r="AU31" s="286"/>
      <c r="AV31" s="305" t="e">
        <f t="shared" si="17"/>
        <v>#REF!</v>
      </c>
      <c r="AW31" s="305">
        <f t="shared" si="18"/>
        <v>-2.4424669837347368E-7</v>
      </c>
      <c r="AX31" s="305" t="e">
        <f t="shared" si="19"/>
        <v>#REF!</v>
      </c>
      <c r="AY31" s="286"/>
      <c r="AZ31" s="305" t="e">
        <f t="shared" si="20"/>
        <v>#REF!</v>
      </c>
      <c r="BA31" s="305">
        <f t="shared" si="21"/>
        <v>3.3715276612511995E-2</v>
      </c>
      <c r="BB31" s="305" t="e">
        <f t="shared" si="22"/>
        <v>#REF!</v>
      </c>
    </row>
    <row r="32" spans="2:54" x14ac:dyDescent="0.2">
      <c r="G32" s="267" t="s">
        <v>72</v>
      </c>
      <c r="H32" s="268" t="s">
        <v>73</v>
      </c>
      <c r="I32" s="61" t="s">
        <v>76</v>
      </c>
      <c r="J32" s="61" t="s">
        <v>77</v>
      </c>
      <c r="K32" s="311" t="e">
        <f>SUMIFS(#REF!,#REF!,I32)</f>
        <v>#REF!</v>
      </c>
      <c r="L32" s="311">
        <f>SUMIFS('SC - Op 1'!H:H,'SC - Op 1'!D:D,I32)</f>
        <v>777476.70508266648</v>
      </c>
      <c r="M32" s="311" t="e">
        <f t="shared" si="5"/>
        <v>#REF!</v>
      </c>
      <c r="N32" s="311" t="e">
        <f>SUMIFS(#REF!,#REF!,I32)-K32</f>
        <v>#REF!</v>
      </c>
      <c r="O32" s="311">
        <f>SUMIFS('New Spec Comm'!AY:AY,'New Spec Comm'!D:D,I32)</f>
        <v>26323.760043796501</v>
      </c>
      <c r="P32" s="309" t="e">
        <f t="shared" si="6"/>
        <v>#REF!</v>
      </c>
      <c r="Q32" s="305" t="e">
        <f t="shared" si="7"/>
        <v>#REF!</v>
      </c>
      <c r="S32" s="311" t="e">
        <f>SUMIFS(#REF!,#REF!,I32)</f>
        <v>#REF!</v>
      </c>
      <c r="T32" s="311">
        <f>IF($C$10="On",$K32*$E$10*(1+SUMIFS(#REF!,#REF!,$I32)),0)</f>
        <v>0</v>
      </c>
      <c r="U32" s="311" t="e">
        <f>IF($C$11="On",$K32*$E$11*(1+SUMIFS(#REF!,#REF!,$I32)),0)</f>
        <v>#REF!</v>
      </c>
      <c r="V32" s="311" t="e">
        <f>IF($C$14="On",$K32*$E$14*(1+SUMIFS(#REF!,#REF!,$I32)),0)</f>
        <v>#REF!</v>
      </c>
      <c r="W32" s="311"/>
      <c r="X32" s="311"/>
      <c r="Y32" s="311">
        <f t="shared" si="0"/>
        <v>0</v>
      </c>
      <c r="Z32" s="311">
        <f>SUMIFS('New Spec Comm'!BA:BA,'New Spec Comm'!D:D,I32)</f>
        <v>6.6550185088999569E-2</v>
      </c>
      <c r="AA32" s="311"/>
      <c r="AB32" s="311">
        <f>IF($C$13="On",'Share of £1bn'!$V$9*1000*U32/$U$61,0)</f>
        <v>0</v>
      </c>
      <c r="AC32" s="311">
        <f>IF($C$17="On",$K32*$E$17*(1+SUMIFS(#REF!,#REF!,$I32)),0)</f>
        <v>0</v>
      </c>
      <c r="AD32" s="311" t="e">
        <f t="shared" si="8"/>
        <v>#REF!</v>
      </c>
      <c r="AE32" s="286"/>
      <c r="AF32" s="311" t="e">
        <f t="shared" si="9"/>
        <v>#REF!</v>
      </c>
      <c r="AG32" s="311">
        <f t="shared" si="10"/>
        <v>26323.82659398159</v>
      </c>
      <c r="AH32" s="311" t="e">
        <f t="shared" si="11"/>
        <v>#REF!</v>
      </c>
      <c r="AI32" s="305" t="e">
        <f t="shared" si="12"/>
        <v>#REF!</v>
      </c>
      <c r="AJ32" s="286"/>
      <c r="AK32" s="311" t="e">
        <f>SUMIFS(#REF!,#REF!,I32)</f>
        <v>#REF!</v>
      </c>
      <c r="AL32" s="311" t="e">
        <f t="shared" si="1"/>
        <v>#REF!</v>
      </c>
      <c r="AM32" s="311" t="e" cm="1">
        <f t="array" ref="AM32">-SUMPRODUCT(S32:AC32,1-$S$1:$AC$1)</f>
        <v>#REF!</v>
      </c>
      <c r="AN32" s="311" t="e">
        <f t="shared" si="2"/>
        <v>#REF!</v>
      </c>
      <c r="AO32" s="311" t="e">
        <f t="shared" si="13"/>
        <v>#REF!</v>
      </c>
      <c r="AP32" s="311" t="e">
        <f t="shared" si="3"/>
        <v>#REF!</v>
      </c>
      <c r="AQ32" s="286"/>
      <c r="AR32" s="303" t="e">
        <f t="shared" si="14"/>
        <v>#REF!</v>
      </c>
      <c r="AS32" s="305">
        <f t="shared" si="15"/>
        <v>3.3857940529546264E-2</v>
      </c>
      <c r="AT32" s="305" t="e">
        <f t="shared" si="16"/>
        <v>#REF!</v>
      </c>
      <c r="AU32" s="286"/>
      <c r="AV32" s="305" t="e">
        <f t="shared" si="17"/>
        <v>#REF!</v>
      </c>
      <c r="AW32" s="305">
        <f t="shared" si="18"/>
        <v>8.5597657982494635E-8</v>
      </c>
      <c r="AX32" s="305" t="e">
        <f t="shared" si="19"/>
        <v>#REF!</v>
      </c>
      <c r="AY32" s="286"/>
      <c r="AZ32" s="305" t="e">
        <f t="shared" si="20"/>
        <v>#REF!</v>
      </c>
      <c r="BA32" s="305">
        <f t="shared" si="21"/>
        <v>3.3858026127204247E-2</v>
      </c>
      <c r="BB32" s="305" t="e">
        <f t="shared" si="22"/>
        <v>#REF!</v>
      </c>
    </row>
    <row r="33" spans="7:54" x14ac:dyDescent="0.2">
      <c r="G33" s="267" t="s">
        <v>72</v>
      </c>
      <c r="H33" s="268" t="s">
        <v>73</v>
      </c>
      <c r="I33" s="61" t="s">
        <v>78</v>
      </c>
      <c r="J33" s="61" t="s">
        <v>79</v>
      </c>
      <c r="K33" s="311" t="e">
        <f>SUMIFS(#REF!,#REF!,I33)</f>
        <v>#REF!</v>
      </c>
      <c r="L33" s="311">
        <f>SUMIFS('SC - Op 1'!H:H,'SC - Op 1'!D:D,I33)</f>
        <v>841569.45282937237</v>
      </c>
      <c r="M33" s="311" t="e">
        <f t="shared" si="5"/>
        <v>#REF!</v>
      </c>
      <c r="N33" s="311" t="e">
        <f>SUMIFS(#REF!,#REF!,I33)-K33</f>
        <v>#REF!</v>
      </c>
      <c r="O33" s="311">
        <f>SUMIFS('New Spec Comm'!AY:AY,'New Spec Comm'!D:D,I33)</f>
        <v>41036.547170627629</v>
      </c>
      <c r="P33" s="309" t="e">
        <f t="shared" si="6"/>
        <v>#REF!</v>
      </c>
      <c r="Q33" s="305" t="e">
        <f t="shared" si="7"/>
        <v>#REF!</v>
      </c>
      <c r="S33" s="311" t="e">
        <f>SUMIFS(#REF!,#REF!,I33)</f>
        <v>#REF!</v>
      </c>
      <c r="T33" s="311">
        <f>IF($C$10="On",$K33*$E$10*(1+SUMIFS(#REF!,#REF!,$I33)),0)</f>
        <v>0</v>
      </c>
      <c r="U33" s="311" t="e">
        <f>IF($C$11="On",$K33*$E$11*(1+SUMIFS(#REF!,#REF!,$I33)),0)</f>
        <v>#REF!</v>
      </c>
      <c r="V33" s="311" t="e">
        <f>IF($C$14="On",$K33*$E$14*(1+SUMIFS(#REF!,#REF!,$I33)),0)</f>
        <v>#REF!</v>
      </c>
      <c r="W33" s="311"/>
      <c r="X33" s="311"/>
      <c r="Y33" s="311">
        <f t="shared" si="0"/>
        <v>0</v>
      </c>
      <c r="Z33" s="311">
        <f>SUMIFS('New Spec Comm'!BA:BA,'New Spec Comm'!D:D,I33)</f>
        <v>2471</v>
      </c>
      <c r="AA33" s="311"/>
      <c r="AB33" s="311">
        <f>IF($C$13="On",'Share of £1bn'!$V$9*1000*U33/$U$61,0)</f>
        <v>0</v>
      </c>
      <c r="AC33" s="311">
        <f>IF($C$17="On",$K33*$E$17*(1+SUMIFS(#REF!,#REF!,$I33)),0)</f>
        <v>0</v>
      </c>
      <c r="AD33" s="311" t="e">
        <f t="shared" si="8"/>
        <v>#REF!</v>
      </c>
      <c r="AE33" s="286"/>
      <c r="AF33" s="311" t="e">
        <f t="shared" si="9"/>
        <v>#REF!</v>
      </c>
      <c r="AG33" s="311">
        <f t="shared" si="10"/>
        <v>43507.547170627629</v>
      </c>
      <c r="AH33" s="311" t="e">
        <f t="shared" si="11"/>
        <v>#REF!</v>
      </c>
      <c r="AI33" s="305" t="e">
        <f t="shared" si="12"/>
        <v>#REF!</v>
      </c>
      <c r="AJ33" s="286"/>
      <c r="AK33" s="311" t="e">
        <f>SUMIFS(#REF!,#REF!,I33)</f>
        <v>#REF!</v>
      </c>
      <c r="AL33" s="311" t="e">
        <f t="shared" si="1"/>
        <v>#REF!</v>
      </c>
      <c r="AM33" s="311" t="e" cm="1">
        <f t="array" ref="AM33">-SUMPRODUCT(S33:AC33,1-$S$1:$AC$1)</f>
        <v>#REF!</v>
      </c>
      <c r="AN33" s="311" t="e">
        <f t="shared" si="2"/>
        <v>#REF!</v>
      </c>
      <c r="AO33" s="311" t="e">
        <f t="shared" si="13"/>
        <v>#REF!</v>
      </c>
      <c r="AP33" s="311" t="e">
        <f t="shared" si="3"/>
        <v>#REF!</v>
      </c>
      <c r="AQ33" s="286"/>
      <c r="AR33" s="303" t="e">
        <f t="shared" si="14"/>
        <v>#REF!</v>
      </c>
      <c r="AS33" s="305">
        <f t="shared" si="15"/>
        <v>4.8761925747972418E-2</v>
      </c>
      <c r="AT33" s="305" t="e">
        <f t="shared" si="16"/>
        <v>#REF!</v>
      </c>
      <c r="AU33" s="286"/>
      <c r="AV33" s="305" t="e">
        <f t="shared" si="17"/>
        <v>#REF!</v>
      </c>
      <c r="AW33" s="305">
        <f t="shared" si="18"/>
        <v>2.936180717696503E-3</v>
      </c>
      <c r="AX33" s="305" t="e">
        <f t="shared" si="19"/>
        <v>#REF!</v>
      </c>
      <c r="AY33" s="286"/>
      <c r="AZ33" s="305" t="e">
        <f t="shared" si="20"/>
        <v>#REF!</v>
      </c>
      <c r="BA33" s="305">
        <f t="shared" si="21"/>
        <v>5.1698106465668921E-2</v>
      </c>
      <c r="BB33" s="305" t="e">
        <f t="shared" si="22"/>
        <v>#REF!</v>
      </c>
    </row>
    <row r="34" spans="7:54" x14ac:dyDescent="0.2">
      <c r="G34" s="267" t="s">
        <v>72</v>
      </c>
      <c r="H34" s="268" t="s">
        <v>73</v>
      </c>
      <c r="I34" s="61" t="s">
        <v>80</v>
      </c>
      <c r="J34" s="61" t="s">
        <v>81</v>
      </c>
      <c r="K34" s="311" t="e">
        <f>SUMIFS(#REF!,#REF!,I34)</f>
        <v>#REF!</v>
      </c>
      <c r="L34" s="311">
        <f>SUMIFS('SC - Op 1'!H:H,'SC - Op 1'!D:D,I34)</f>
        <v>862816.27392937022</v>
      </c>
      <c r="M34" s="311" t="e">
        <f t="shared" si="5"/>
        <v>#REF!</v>
      </c>
      <c r="N34" s="311" t="e">
        <f>SUMIFS(#REF!,#REF!,I34)-K34</f>
        <v>#REF!</v>
      </c>
      <c r="O34" s="311">
        <f>SUMIFS('New Spec Comm'!AY:AY,'New Spec Comm'!D:D,I34)</f>
        <v>27881.036935875774</v>
      </c>
      <c r="P34" s="309" t="e">
        <f t="shared" si="6"/>
        <v>#REF!</v>
      </c>
      <c r="Q34" s="305" t="e">
        <f t="shared" si="7"/>
        <v>#REF!</v>
      </c>
      <c r="S34" s="311" t="e">
        <f>SUMIFS(#REF!,#REF!,I34)</f>
        <v>#REF!</v>
      </c>
      <c r="T34" s="311">
        <f>IF($C$10="On",$K34*$E$10*(1+SUMIFS(#REF!,#REF!,$I34)),0)</f>
        <v>0</v>
      </c>
      <c r="U34" s="311" t="e">
        <f>IF($C$11="On",$K34*$E$11*(1+SUMIFS(#REF!,#REF!,$I34)),0)</f>
        <v>#REF!</v>
      </c>
      <c r="V34" s="311" t="e">
        <f>IF($C$14="On",$K34*$E$14*(1+SUMIFS(#REF!,#REF!,$I34)),0)</f>
        <v>#REF!</v>
      </c>
      <c r="W34" s="311"/>
      <c r="X34" s="311"/>
      <c r="Y34" s="311">
        <f t="shared" si="0"/>
        <v>0</v>
      </c>
      <c r="Z34" s="311">
        <f>SUMIFS('New Spec Comm'!BA:BA,'New Spec Comm'!D:D,I34)</f>
        <v>7.7384938718751073E-2</v>
      </c>
      <c r="AA34" s="311"/>
      <c r="AB34" s="311">
        <f>IF($C$13="On",'Share of £1bn'!$V$9*1000*U34/$U$61,0)</f>
        <v>0</v>
      </c>
      <c r="AC34" s="311">
        <f>IF($C$17="On",$K34*$E$17*(1+SUMIFS(#REF!,#REF!,$I34)),0)</f>
        <v>0</v>
      </c>
      <c r="AD34" s="311" t="e">
        <f t="shared" si="8"/>
        <v>#REF!</v>
      </c>
      <c r="AE34" s="286"/>
      <c r="AF34" s="311" t="e">
        <f t="shared" si="9"/>
        <v>#REF!</v>
      </c>
      <c r="AG34" s="311">
        <f t="shared" si="10"/>
        <v>27881.114320814493</v>
      </c>
      <c r="AH34" s="311" t="e">
        <f t="shared" si="11"/>
        <v>#REF!</v>
      </c>
      <c r="AI34" s="305" t="e">
        <f t="shared" si="12"/>
        <v>#REF!</v>
      </c>
      <c r="AJ34" s="286"/>
      <c r="AK34" s="311" t="e">
        <f>SUMIFS(#REF!,#REF!,I34)</f>
        <v>#REF!</v>
      </c>
      <c r="AL34" s="311" t="e">
        <f t="shared" si="1"/>
        <v>#REF!</v>
      </c>
      <c r="AM34" s="311" t="e" cm="1">
        <f t="array" ref="AM34">-SUMPRODUCT(S34:AC34,1-$S$1:$AC$1)</f>
        <v>#REF!</v>
      </c>
      <c r="AN34" s="311" t="e">
        <f t="shared" si="2"/>
        <v>#REF!</v>
      </c>
      <c r="AO34" s="311" t="e">
        <f t="shared" si="13"/>
        <v>#REF!</v>
      </c>
      <c r="AP34" s="311" t="e">
        <f t="shared" si="3"/>
        <v>#REF!</v>
      </c>
      <c r="AQ34" s="286"/>
      <c r="AR34" s="303" t="e">
        <f t="shared" si="14"/>
        <v>#REF!</v>
      </c>
      <c r="AS34" s="305">
        <f t="shared" si="15"/>
        <v>3.231399056591984E-2</v>
      </c>
      <c r="AT34" s="305" t="e">
        <f t="shared" si="16"/>
        <v>#REF!</v>
      </c>
      <c r="AU34" s="286"/>
      <c r="AV34" s="305" t="e">
        <f t="shared" si="17"/>
        <v>#REF!</v>
      </c>
      <c r="AW34" s="305">
        <f t="shared" si="18"/>
        <v>8.9688779701668775E-8</v>
      </c>
      <c r="AX34" s="305" t="e">
        <f t="shared" si="19"/>
        <v>#REF!</v>
      </c>
      <c r="AY34" s="286"/>
      <c r="AZ34" s="305" t="e">
        <f t="shared" si="20"/>
        <v>#REF!</v>
      </c>
      <c r="BA34" s="305">
        <f t="shared" si="21"/>
        <v>3.2314080254699541E-2</v>
      </c>
      <c r="BB34" s="305" t="e">
        <f t="shared" si="22"/>
        <v>#REF!</v>
      </c>
    </row>
    <row r="35" spans="7:54" x14ac:dyDescent="0.2">
      <c r="G35" s="269" t="s">
        <v>72</v>
      </c>
      <c r="H35" s="270" t="s">
        <v>73</v>
      </c>
      <c r="I35" s="271" t="s">
        <v>82</v>
      </c>
      <c r="J35" s="271" t="s">
        <v>83</v>
      </c>
      <c r="K35" s="312" t="e">
        <f>SUMIFS(#REF!,#REF!,I35)</f>
        <v>#REF!</v>
      </c>
      <c r="L35" s="312">
        <f>SUMIFS('SC - Op 1'!H:H,'SC - Op 1'!D:D,I35)</f>
        <v>565251.22518915194</v>
      </c>
      <c r="M35" s="312" t="e">
        <f t="shared" si="5"/>
        <v>#REF!</v>
      </c>
      <c r="N35" s="312" t="e">
        <f>SUMIFS(#REF!,#REF!,I35)-K35</f>
        <v>#REF!</v>
      </c>
      <c r="O35" s="312">
        <f>SUMIFS('New Spec Comm'!AY:AY,'New Spec Comm'!D:D,I35)</f>
        <v>18541.027165667736</v>
      </c>
      <c r="P35" s="310" t="e">
        <f t="shared" si="6"/>
        <v>#REF!</v>
      </c>
      <c r="Q35" s="306" t="e">
        <f t="shared" si="7"/>
        <v>#REF!</v>
      </c>
      <c r="S35" s="312" t="e">
        <f>SUMIFS(#REF!,#REF!,I35)</f>
        <v>#REF!</v>
      </c>
      <c r="T35" s="312">
        <f>IF($C$10="On",$K35*$E$10*(1+SUMIFS(#REF!,#REF!,$I35)),0)</f>
        <v>0</v>
      </c>
      <c r="U35" s="312" t="e">
        <f>IF($C$11="On",$K35*$E$11*(1+SUMIFS(#REF!,#REF!,$I35)),0)</f>
        <v>#REF!</v>
      </c>
      <c r="V35" s="312" t="e">
        <f>IF($C$14="On",$K35*$E$14*(1+SUMIFS(#REF!,#REF!,$I35)),0)</f>
        <v>#REF!</v>
      </c>
      <c r="W35" s="312"/>
      <c r="X35" s="312"/>
      <c r="Y35" s="312">
        <f t="shared" si="0"/>
        <v>0</v>
      </c>
      <c r="Z35" s="312">
        <f>SUMIFS('New Spec Comm'!BA:BA,'New Spec Comm'!D:D,I35)</f>
        <v>-0.21196883183438331</v>
      </c>
      <c r="AA35" s="312"/>
      <c r="AB35" s="312">
        <f>IF($C$13="On",'Share of £1bn'!$V$9*1000*U35/$U$61,0)</f>
        <v>0</v>
      </c>
      <c r="AC35" s="312">
        <f>IF($C$17="On",$K35*$E$17*(1+SUMIFS(#REF!,#REF!,$I35)),0)</f>
        <v>0</v>
      </c>
      <c r="AD35" s="312" t="e">
        <f t="shared" si="8"/>
        <v>#REF!</v>
      </c>
      <c r="AE35" s="286"/>
      <c r="AF35" s="312" t="e">
        <f t="shared" si="9"/>
        <v>#REF!</v>
      </c>
      <c r="AG35" s="312">
        <f t="shared" si="10"/>
        <v>18540.815196835902</v>
      </c>
      <c r="AH35" s="312" t="e">
        <f t="shared" si="11"/>
        <v>#REF!</v>
      </c>
      <c r="AI35" s="306" t="e">
        <f t="shared" si="12"/>
        <v>#REF!</v>
      </c>
      <c r="AJ35" s="286"/>
      <c r="AK35" s="312" t="e">
        <f>SUMIFS(#REF!,#REF!,I35)</f>
        <v>#REF!</v>
      </c>
      <c r="AL35" s="312" t="e">
        <f t="shared" si="1"/>
        <v>#REF!</v>
      </c>
      <c r="AM35" s="312" t="e" cm="1">
        <f t="array" ref="AM35">-SUMPRODUCT(S35:AC35,1-$S$1:$AC$1)</f>
        <v>#REF!</v>
      </c>
      <c r="AN35" s="312" t="e">
        <f t="shared" si="2"/>
        <v>#REF!</v>
      </c>
      <c r="AO35" s="312" t="e">
        <f t="shared" si="13"/>
        <v>#REF!</v>
      </c>
      <c r="AP35" s="312" t="e">
        <f t="shared" si="3"/>
        <v>#REF!</v>
      </c>
      <c r="AQ35" s="286"/>
      <c r="AR35" s="304" t="e">
        <f t="shared" si="14"/>
        <v>#REF!</v>
      </c>
      <c r="AS35" s="306">
        <f t="shared" si="15"/>
        <v>3.2801392264940762E-2</v>
      </c>
      <c r="AT35" s="306" t="e">
        <f t="shared" si="16"/>
        <v>#REF!</v>
      </c>
      <c r="AU35" s="286"/>
      <c r="AV35" s="306" t="e">
        <f t="shared" si="17"/>
        <v>#REF!</v>
      </c>
      <c r="AW35" s="306">
        <f t="shared" si="18"/>
        <v>-3.7499933196183388E-7</v>
      </c>
      <c r="AX35" s="306" t="e">
        <f t="shared" si="19"/>
        <v>#REF!</v>
      </c>
      <c r="AY35" s="286"/>
      <c r="AZ35" s="306" t="e">
        <f t="shared" si="20"/>
        <v>#REF!</v>
      </c>
      <c r="BA35" s="306">
        <f t="shared" si="21"/>
        <v>3.2801017265608801E-2</v>
      </c>
      <c r="BB35" s="306" t="e">
        <f t="shared" si="22"/>
        <v>#REF!</v>
      </c>
    </row>
    <row r="36" spans="7:54" x14ac:dyDescent="0.2">
      <c r="G36" s="266" t="s">
        <v>84</v>
      </c>
      <c r="H36" s="61" t="s">
        <v>85</v>
      </c>
      <c r="I36" s="61" t="s">
        <v>86</v>
      </c>
      <c r="J36" s="61" t="s">
        <v>87</v>
      </c>
      <c r="K36" s="311" t="e">
        <f>SUMIFS(#REF!,#REF!,I36)</f>
        <v>#REF!</v>
      </c>
      <c r="L36" s="311">
        <f>SUMIFS('SC - Op 1'!H:H,'SC - Op 1'!D:D,I36)</f>
        <v>577098.58919338009</v>
      </c>
      <c r="M36" s="311" t="e">
        <f t="shared" si="5"/>
        <v>#REF!</v>
      </c>
      <c r="N36" s="311" t="e">
        <f>SUMIFS(#REF!,#REF!,I36)-K36</f>
        <v>#REF!</v>
      </c>
      <c r="O36" s="311">
        <f>SUMIFS('New Spec Comm'!AY:AY,'New Spec Comm'!D:D,I36)</f>
        <v>20521.945768809412</v>
      </c>
      <c r="P36" s="309" t="e">
        <f t="shared" si="6"/>
        <v>#REF!</v>
      </c>
      <c r="Q36" s="305" t="e">
        <f t="shared" si="7"/>
        <v>#REF!</v>
      </c>
      <c r="S36" s="311" t="e">
        <f>SUMIFS(#REF!,#REF!,I36)</f>
        <v>#REF!</v>
      </c>
      <c r="T36" s="311">
        <f>IF($C$10="On",$K36*$E$10*(1+SUMIFS(#REF!,#REF!,$I36)),0)</f>
        <v>0</v>
      </c>
      <c r="U36" s="311" t="e">
        <f>IF($C$11="On",$K36*$E$11*(1+SUMIFS(#REF!,#REF!,$I36)),0)</f>
        <v>#REF!</v>
      </c>
      <c r="V36" s="311" t="e">
        <f>IF($C$14="On",$K36*$E$14*(1+SUMIFS(#REF!,#REF!,$I36)),0)</f>
        <v>#REF!</v>
      </c>
      <c r="W36" s="311"/>
      <c r="X36" s="311"/>
      <c r="Y36" s="311">
        <f t="shared" si="0"/>
        <v>0</v>
      </c>
      <c r="Z36" s="311">
        <f>SUMIFS('New Spec Comm'!BA:BA,'New Spec Comm'!D:D,I36)</f>
        <v>-0.14499230775982141</v>
      </c>
      <c r="AA36" s="311"/>
      <c r="AB36" s="311">
        <f>IF($C$13="On",'Share of £1bn'!$V$9*1000*U36/$U$61,0)</f>
        <v>0</v>
      </c>
      <c r="AC36" s="311">
        <f>IF($C$17="On",$K36*$E$17*(1+SUMIFS(#REF!,#REF!,$I36)),0)</f>
        <v>0</v>
      </c>
      <c r="AD36" s="311" t="e">
        <f t="shared" si="8"/>
        <v>#REF!</v>
      </c>
      <c r="AE36" s="286"/>
      <c r="AF36" s="311" t="e">
        <f t="shared" si="9"/>
        <v>#REF!</v>
      </c>
      <c r="AG36" s="311">
        <f t="shared" si="10"/>
        <v>20521.800776501652</v>
      </c>
      <c r="AH36" s="311" t="e">
        <f t="shared" si="11"/>
        <v>#REF!</v>
      </c>
      <c r="AI36" s="305" t="e">
        <f t="shared" si="12"/>
        <v>#REF!</v>
      </c>
      <c r="AJ36" s="286"/>
      <c r="AK36" s="311" t="e">
        <f>SUMIFS(#REF!,#REF!,I36)</f>
        <v>#REF!</v>
      </c>
      <c r="AL36" s="311" t="e">
        <f t="shared" si="1"/>
        <v>#REF!</v>
      </c>
      <c r="AM36" s="311" t="e" cm="1">
        <f t="array" ref="AM36">-SUMPRODUCT(S36:AC36,1-$S$1:$AC$1)</f>
        <v>#REF!</v>
      </c>
      <c r="AN36" s="311" t="e">
        <f t="shared" si="2"/>
        <v>#REF!</v>
      </c>
      <c r="AO36" s="311" t="e">
        <f t="shared" si="13"/>
        <v>#REF!</v>
      </c>
      <c r="AP36" s="311" t="e">
        <f t="shared" si="3"/>
        <v>#REF!</v>
      </c>
      <c r="AQ36" s="286"/>
      <c r="AR36" s="303" t="e">
        <f t="shared" si="14"/>
        <v>#REF!</v>
      </c>
      <c r="AS36" s="305">
        <f t="shared" si="15"/>
        <v>3.5560554388970635E-2</v>
      </c>
      <c r="AT36" s="305" t="e">
        <f t="shared" si="16"/>
        <v>#REF!</v>
      </c>
      <c r="AU36" s="286"/>
      <c r="AV36" s="305" t="e">
        <f t="shared" si="17"/>
        <v>#REF!</v>
      </c>
      <c r="AW36" s="305">
        <f t="shared" si="18"/>
        <v>-2.5124356648614787E-7</v>
      </c>
      <c r="AX36" s="305" t="e">
        <f t="shared" si="19"/>
        <v>#REF!</v>
      </c>
      <c r="AY36" s="286"/>
      <c r="AZ36" s="305" t="e">
        <f t="shared" si="20"/>
        <v>#REF!</v>
      </c>
      <c r="BA36" s="305">
        <f t="shared" si="21"/>
        <v>3.5560303145404148E-2</v>
      </c>
      <c r="BB36" s="305" t="e">
        <f t="shared" si="22"/>
        <v>#REF!</v>
      </c>
    </row>
    <row r="37" spans="7:54" x14ac:dyDescent="0.2">
      <c r="G37" s="267" t="s">
        <v>84</v>
      </c>
      <c r="H37" s="268" t="s">
        <v>85</v>
      </c>
      <c r="I37" s="61" t="s">
        <v>88</v>
      </c>
      <c r="J37" s="61" t="s">
        <v>89</v>
      </c>
      <c r="K37" s="311" t="e">
        <f>SUMIFS(#REF!,#REF!,I37)</f>
        <v>#REF!</v>
      </c>
      <c r="L37" s="311">
        <f>SUMIFS('SC - Op 1'!H:H,'SC - Op 1'!D:D,I37)</f>
        <v>223162.47777478211</v>
      </c>
      <c r="M37" s="311" t="e">
        <f t="shared" si="5"/>
        <v>#REF!</v>
      </c>
      <c r="N37" s="311" t="e">
        <f>SUMIFS(#REF!,#REF!,I37)-K37</f>
        <v>#REF!</v>
      </c>
      <c r="O37" s="311">
        <f>SUMIFS('New Spec Comm'!AY:AY,'New Spec Comm'!D:D,I37)</f>
        <v>10630.522225217894</v>
      </c>
      <c r="P37" s="309" t="e">
        <f t="shared" si="6"/>
        <v>#REF!</v>
      </c>
      <c r="Q37" s="305" t="e">
        <f t="shared" si="7"/>
        <v>#REF!</v>
      </c>
      <c r="S37" s="311" t="e">
        <f>SUMIFS(#REF!,#REF!,I37)</f>
        <v>#REF!</v>
      </c>
      <c r="T37" s="311">
        <f>IF($C$10="On",$K37*$E$10*(1+SUMIFS(#REF!,#REF!,$I37)),0)</f>
        <v>0</v>
      </c>
      <c r="U37" s="311" t="e">
        <f>IF($C$11="On",$K37*$E$11*(1+SUMIFS(#REF!,#REF!,$I37)),0)</f>
        <v>#REF!</v>
      </c>
      <c r="V37" s="311" t="e">
        <f>IF($C$14="On",$K37*$E$14*(1+SUMIFS(#REF!,#REF!,$I37)),0)</f>
        <v>#REF!</v>
      </c>
      <c r="W37" s="311"/>
      <c r="X37" s="311"/>
      <c r="Y37" s="311">
        <f t="shared" si="0"/>
        <v>0</v>
      </c>
      <c r="Z37" s="311">
        <f>SUMIFS('New Spec Comm'!BA:BA,'New Spec Comm'!D:D,I37)</f>
        <v>655</v>
      </c>
      <c r="AA37" s="311"/>
      <c r="AB37" s="311">
        <f>IF($C$13="On",'Share of £1bn'!$V$9*1000*U37/$U$61,0)</f>
        <v>0</v>
      </c>
      <c r="AC37" s="311">
        <f>IF($C$17="On",$K37*$E$17*(1+SUMIFS(#REF!,#REF!,$I37)),0)</f>
        <v>0</v>
      </c>
      <c r="AD37" s="311" t="e">
        <f t="shared" si="8"/>
        <v>#REF!</v>
      </c>
      <c r="AE37" s="286"/>
      <c r="AF37" s="311" t="e">
        <f t="shared" si="9"/>
        <v>#REF!</v>
      </c>
      <c r="AG37" s="311">
        <f t="shared" si="10"/>
        <v>11285.522225217894</v>
      </c>
      <c r="AH37" s="311" t="e">
        <f t="shared" si="11"/>
        <v>#REF!</v>
      </c>
      <c r="AI37" s="305" t="e">
        <f t="shared" si="12"/>
        <v>#REF!</v>
      </c>
      <c r="AJ37" s="286"/>
      <c r="AK37" s="311" t="e">
        <f>SUMIFS(#REF!,#REF!,I37)</f>
        <v>#REF!</v>
      </c>
      <c r="AL37" s="311" t="e">
        <f t="shared" si="1"/>
        <v>#REF!</v>
      </c>
      <c r="AM37" s="311" t="e" cm="1">
        <f t="array" ref="AM37">-SUMPRODUCT(S37:AC37,1-$S$1:$AC$1)</f>
        <v>#REF!</v>
      </c>
      <c r="AN37" s="311" t="e">
        <f t="shared" si="2"/>
        <v>#REF!</v>
      </c>
      <c r="AO37" s="311" t="e">
        <f t="shared" si="13"/>
        <v>#REF!</v>
      </c>
      <c r="AP37" s="311" t="e">
        <f t="shared" si="3"/>
        <v>#REF!</v>
      </c>
      <c r="AQ37" s="286"/>
      <c r="AR37" s="303" t="e">
        <f t="shared" si="14"/>
        <v>#REF!</v>
      </c>
      <c r="AS37" s="305">
        <f t="shared" si="15"/>
        <v>4.7635795816653045E-2</v>
      </c>
      <c r="AT37" s="305" t="e">
        <f t="shared" si="16"/>
        <v>#REF!</v>
      </c>
      <c r="AU37" s="286"/>
      <c r="AV37" s="305" t="e">
        <f t="shared" si="17"/>
        <v>#REF!</v>
      </c>
      <c r="AW37" s="305">
        <f t="shared" si="18"/>
        <v>2.9350812310886473E-3</v>
      </c>
      <c r="AX37" s="305" t="e">
        <f t="shared" si="19"/>
        <v>#REF!</v>
      </c>
      <c r="AY37" s="286"/>
      <c r="AZ37" s="305" t="e">
        <f t="shared" si="20"/>
        <v>#REF!</v>
      </c>
      <c r="BA37" s="305">
        <f t="shared" si="21"/>
        <v>5.0570877047741693E-2</v>
      </c>
      <c r="BB37" s="305" t="e">
        <f t="shared" si="22"/>
        <v>#REF!</v>
      </c>
    </row>
    <row r="38" spans="7:54" x14ac:dyDescent="0.2">
      <c r="G38" s="267" t="s">
        <v>84</v>
      </c>
      <c r="H38" s="268" t="s">
        <v>85</v>
      </c>
      <c r="I38" s="61" t="s">
        <v>90</v>
      </c>
      <c r="J38" s="61" t="s">
        <v>91</v>
      </c>
      <c r="K38" s="311" t="e">
        <f>SUMIFS(#REF!,#REF!,I38)</f>
        <v>#REF!</v>
      </c>
      <c r="L38" s="311">
        <f>SUMIFS('SC - Op 1'!H:H,'SC - Op 1'!D:D,I38)</f>
        <v>619994.00625621236</v>
      </c>
      <c r="M38" s="311" t="e">
        <f t="shared" si="5"/>
        <v>#REF!</v>
      </c>
      <c r="N38" s="311" t="e">
        <f>SUMIFS(#REF!,#REF!,I38)-K38</f>
        <v>#REF!</v>
      </c>
      <c r="O38" s="311">
        <f>SUMIFS('New Spec Comm'!AY:AY,'New Spec Comm'!D:D,I38)</f>
        <v>22992.902881181333</v>
      </c>
      <c r="P38" s="309" t="e">
        <f t="shared" si="6"/>
        <v>#REF!</v>
      </c>
      <c r="Q38" s="305" t="e">
        <f t="shared" si="7"/>
        <v>#REF!</v>
      </c>
      <c r="S38" s="311" t="e">
        <f>SUMIFS(#REF!,#REF!,I38)</f>
        <v>#REF!</v>
      </c>
      <c r="T38" s="311">
        <f>IF($C$10="On",$K38*$E$10*(1+SUMIFS(#REF!,#REF!,$I38)),0)</f>
        <v>0</v>
      </c>
      <c r="U38" s="311" t="e">
        <f>IF($C$11="On",$K38*$E$11*(1+SUMIFS(#REF!,#REF!,$I38)),0)</f>
        <v>#REF!</v>
      </c>
      <c r="V38" s="311" t="e">
        <f>IF($C$14="On",$K38*$E$14*(1+SUMIFS(#REF!,#REF!,$I38)),0)</f>
        <v>#REF!</v>
      </c>
      <c r="W38" s="311"/>
      <c r="X38" s="311"/>
      <c r="Y38" s="311">
        <f t="shared" si="0"/>
        <v>0</v>
      </c>
      <c r="Z38" s="311">
        <f>SUMIFS('New Spec Comm'!BA:BA,'New Spec Comm'!D:D,I38)</f>
        <v>1.3522907625883818E-2</v>
      </c>
      <c r="AA38" s="311"/>
      <c r="AB38" s="311">
        <f>IF($C$13="On",'Share of £1bn'!$V$9*1000*U38/$U$61,0)</f>
        <v>0</v>
      </c>
      <c r="AC38" s="311">
        <f>IF($C$17="On",$K38*$E$17*(1+SUMIFS(#REF!,#REF!,$I38)),0)</f>
        <v>0</v>
      </c>
      <c r="AD38" s="311" t="e">
        <f t="shared" si="8"/>
        <v>#REF!</v>
      </c>
      <c r="AE38" s="286"/>
      <c r="AF38" s="311" t="e">
        <f t="shared" si="9"/>
        <v>#REF!</v>
      </c>
      <c r="AG38" s="311">
        <f t="shared" si="10"/>
        <v>22992.916404088959</v>
      </c>
      <c r="AH38" s="311" t="e">
        <f t="shared" si="11"/>
        <v>#REF!</v>
      </c>
      <c r="AI38" s="305" t="e">
        <f t="shared" si="12"/>
        <v>#REF!</v>
      </c>
      <c r="AJ38" s="286"/>
      <c r="AK38" s="311" t="e">
        <f>SUMIFS(#REF!,#REF!,I38)</f>
        <v>#REF!</v>
      </c>
      <c r="AL38" s="311" t="e">
        <f t="shared" si="1"/>
        <v>#REF!</v>
      </c>
      <c r="AM38" s="311" t="e" cm="1">
        <f t="array" ref="AM38">-SUMPRODUCT(S38:AC38,1-$S$1:$AC$1)</f>
        <v>#REF!</v>
      </c>
      <c r="AN38" s="311" t="e">
        <f t="shared" si="2"/>
        <v>#REF!</v>
      </c>
      <c r="AO38" s="311" t="e">
        <f t="shared" si="13"/>
        <v>#REF!</v>
      </c>
      <c r="AP38" s="311" t="e">
        <f t="shared" si="3"/>
        <v>#REF!</v>
      </c>
      <c r="AQ38" s="286"/>
      <c r="AR38" s="303" t="e">
        <f t="shared" si="14"/>
        <v>#REF!</v>
      </c>
      <c r="AS38" s="305">
        <f t="shared" si="15"/>
        <v>3.7085685747225629E-2</v>
      </c>
      <c r="AT38" s="305" t="e">
        <f t="shared" si="16"/>
        <v>#REF!</v>
      </c>
      <c r="AU38" s="286"/>
      <c r="AV38" s="305" t="e">
        <f t="shared" si="17"/>
        <v>#REF!</v>
      </c>
      <c r="AW38" s="305">
        <f t="shared" si="18"/>
        <v>2.1811352189649025E-8</v>
      </c>
      <c r="AX38" s="305" t="e">
        <f t="shared" si="19"/>
        <v>#REF!</v>
      </c>
      <c r="AY38" s="286"/>
      <c r="AZ38" s="305" t="e">
        <f t="shared" si="20"/>
        <v>#REF!</v>
      </c>
      <c r="BA38" s="305">
        <f t="shared" si="21"/>
        <v>3.7085707558577818E-2</v>
      </c>
      <c r="BB38" s="305" t="e">
        <f t="shared" si="22"/>
        <v>#REF!</v>
      </c>
    </row>
    <row r="39" spans="7:54" x14ac:dyDescent="0.2">
      <c r="G39" s="267" t="s">
        <v>84</v>
      </c>
      <c r="H39" s="268" t="s">
        <v>85</v>
      </c>
      <c r="I39" s="61" t="s">
        <v>92</v>
      </c>
      <c r="J39" s="61" t="s">
        <v>93</v>
      </c>
      <c r="K39" s="311" t="e">
        <f>SUMIFS(#REF!,#REF!,I39)</f>
        <v>#REF!</v>
      </c>
      <c r="L39" s="311">
        <f>SUMIFS('SC - Op 1'!H:H,'SC - Op 1'!D:D,I39)</f>
        <v>613945.57198142598</v>
      </c>
      <c r="M39" s="311" t="e">
        <f t="shared" si="5"/>
        <v>#REF!</v>
      </c>
      <c r="N39" s="311" t="e">
        <f>SUMIFS(#REF!,#REF!,I39)-K39</f>
        <v>#REF!</v>
      </c>
      <c r="O39" s="311">
        <f>SUMIFS('New Spec Comm'!AY:AY,'New Spec Comm'!D:D,I39)</f>
        <v>30804.428018574021</v>
      </c>
      <c r="P39" s="309" t="e">
        <f t="shared" si="6"/>
        <v>#REF!</v>
      </c>
      <c r="Q39" s="305" t="e">
        <f t="shared" si="7"/>
        <v>#REF!</v>
      </c>
      <c r="S39" s="311" t="e">
        <f>SUMIFS(#REF!,#REF!,I39)</f>
        <v>#REF!</v>
      </c>
      <c r="T39" s="311">
        <f>IF($C$10="On",$K39*$E$10*(1+SUMIFS(#REF!,#REF!,$I39)),0)</f>
        <v>0</v>
      </c>
      <c r="U39" s="311" t="e">
        <f>IF($C$11="On",$K39*$E$11*(1+SUMIFS(#REF!,#REF!,$I39)),0)</f>
        <v>#REF!</v>
      </c>
      <c r="V39" s="311" t="e">
        <f>IF($C$14="On",$K39*$E$14*(1+SUMIFS(#REF!,#REF!,$I39)),0)</f>
        <v>#REF!</v>
      </c>
      <c r="W39" s="311"/>
      <c r="X39" s="311"/>
      <c r="Y39" s="311">
        <f t="shared" si="0"/>
        <v>0</v>
      </c>
      <c r="Z39" s="311">
        <f>SUMIFS('New Spec Comm'!BA:BA,'New Spec Comm'!D:D,I39)</f>
        <v>1805</v>
      </c>
      <c r="AA39" s="311"/>
      <c r="AB39" s="311">
        <f>IF($C$13="On",'Share of £1bn'!$V$9*1000*U39/$U$61,0)</f>
        <v>0</v>
      </c>
      <c r="AC39" s="311">
        <f>IF($C$17="On",$K39*$E$17*(1+SUMIFS(#REF!,#REF!,$I39)),0)</f>
        <v>0</v>
      </c>
      <c r="AD39" s="311" t="e">
        <f t="shared" si="8"/>
        <v>#REF!</v>
      </c>
      <c r="AE39" s="286"/>
      <c r="AF39" s="311" t="e">
        <f t="shared" si="9"/>
        <v>#REF!</v>
      </c>
      <c r="AG39" s="311">
        <f t="shared" si="10"/>
        <v>32609.428018574021</v>
      </c>
      <c r="AH39" s="311" t="e">
        <f t="shared" si="11"/>
        <v>#REF!</v>
      </c>
      <c r="AI39" s="305" t="e">
        <f t="shared" si="12"/>
        <v>#REF!</v>
      </c>
      <c r="AJ39" s="286"/>
      <c r="AK39" s="311" t="e">
        <f>SUMIFS(#REF!,#REF!,I39)</f>
        <v>#REF!</v>
      </c>
      <c r="AL39" s="311" t="e">
        <f t="shared" si="1"/>
        <v>#REF!</v>
      </c>
      <c r="AM39" s="311" t="e" cm="1">
        <f t="array" ref="AM39">-SUMPRODUCT(S39:AC39,1-$S$1:$AC$1)</f>
        <v>#REF!</v>
      </c>
      <c r="AN39" s="311" t="e">
        <f t="shared" si="2"/>
        <v>#REF!</v>
      </c>
      <c r="AO39" s="311" t="e">
        <f t="shared" si="13"/>
        <v>#REF!</v>
      </c>
      <c r="AP39" s="311" t="e">
        <f t="shared" si="3"/>
        <v>#REF!</v>
      </c>
      <c r="AQ39" s="286"/>
      <c r="AR39" s="303" t="e">
        <f t="shared" si="14"/>
        <v>#REF!</v>
      </c>
      <c r="AS39" s="305">
        <f t="shared" si="15"/>
        <v>5.0174525926063626E-2</v>
      </c>
      <c r="AT39" s="305" t="e">
        <f t="shared" si="16"/>
        <v>#REF!</v>
      </c>
      <c r="AU39" s="286"/>
      <c r="AV39" s="305" t="e">
        <f t="shared" si="17"/>
        <v>#REF!</v>
      </c>
      <c r="AW39" s="305">
        <f t="shared" si="18"/>
        <v>2.9400000299287243E-3</v>
      </c>
      <c r="AX39" s="305" t="e">
        <f t="shared" si="19"/>
        <v>#REF!</v>
      </c>
      <c r="AY39" s="286"/>
      <c r="AZ39" s="305" t="e">
        <f t="shared" si="20"/>
        <v>#REF!</v>
      </c>
      <c r="BA39" s="305">
        <f t="shared" si="21"/>
        <v>5.311452595599235E-2</v>
      </c>
      <c r="BB39" s="305" t="e">
        <f t="shared" si="22"/>
        <v>#REF!</v>
      </c>
    </row>
    <row r="40" spans="7:54" x14ac:dyDescent="0.2">
      <c r="G40" s="267" t="s">
        <v>84</v>
      </c>
      <c r="H40" s="268" t="s">
        <v>85</v>
      </c>
      <c r="I40" s="61" t="s">
        <v>94</v>
      </c>
      <c r="J40" s="61" t="s">
        <v>95</v>
      </c>
      <c r="K40" s="311" t="e">
        <f>SUMIFS(#REF!,#REF!,I40)</f>
        <v>#REF!</v>
      </c>
      <c r="L40" s="311">
        <f>SUMIFS('SC - Op 1'!H:H,'SC - Op 1'!D:D,I40)</f>
        <v>352386.33337149769</v>
      </c>
      <c r="M40" s="311" t="e">
        <f t="shared" si="5"/>
        <v>#REF!</v>
      </c>
      <c r="N40" s="311" t="e">
        <f>SUMIFS(#REF!,#REF!,I40)-K40</f>
        <v>#REF!</v>
      </c>
      <c r="O40" s="311">
        <f>SUMIFS('New Spec Comm'!AY:AY,'New Spec Comm'!D:D,I40)</f>
        <v>16167.666628502309</v>
      </c>
      <c r="P40" s="309" t="e">
        <f t="shared" si="6"/>
        <v>#REF!</v>
      </c>
      <c r="Q40" s="305" t="e">
        <f t="shared" si="7"/>
        <v>#REF!</v>
      </c>
      <c r="S40" s="311" t="e">
        <f>SUMIFS(#REF!,#REF!,I40)</f>
        <v>#REF!</v>
      </c>
      <c r="T40" s="311">
        <f>IF($C$10="On",$K40*$E$10*(1+SUMIFS(#REF!,#REF!,$I40)),0)</f>
        <v>0</v>
      </c>
      <c r="U40" s="311" t="e">
        <f>IF($C$11="On",$K40*$E$11*(1+SUMIFS(#REF!,#REF!,$I40)),0)</f>
        <v>#REF!</v>
      </c>
      <c r="V40" s="311" t="e">
        <f>IF($C$14="On",$K40*$E$14*(1+SUMIFS(#REF!,#REF!,$I40)),0)</f>
        <v>#REF!</v>
      </c>
      <c r="W40" s="311"/>
      <c r="X40" s="311"/>
      <c r="Y40" s="311">
        <f t="shared" si="0"/>
        <v>0</v>
      </c>
      <c r="Z40" s="311">
        <f>SUMIFS('New Spec Comm'!BA:BA,'New Spec Comm'!D:D,I40)</f>
        <v>1032</v>
      </c>
      <c r="AA40" s="311"/>
      <c r="AB40" s="311">
        <f>IF($C$13="On",'Share of £1bn'!$V$9*1000*U40/$U$61,0)</f>
        <v>0</v>
      </c>
      <c r="AC40" s="311">
        <f>IF($C$17="On",$K40*$E$17*(1+SUMIFS(#REF!,#REF!,$I40)),0)</f>
        <v>0</v>
      </c>
      <c r="AD40" s="311" t="e">
        <f t="shared" si="8"/>
        <v>#REF!</v>
      </c>
      <c r="AE40" s="286"/>
      <c r="AF40" s="311" t="e">
        <f t="shared" si="9"/>
        <v>#REF!</v>
      </c>
      <c r="AG40" s="311">
        <f t="shared" si="10"/>
        <v>17199.666628502309</v>
      </c>
      <c r="AH40" s="311" t="e">
        <f t="shared" si="11"/>
        <v>#REF!</v>
      </c>
      <c r="AI40" s="305" t="e">
        <f t="shared" si="12"/>
        <v>#REF!</v>
      </c>
      <c r="AJ40" s="286"/>
      <c r="AK40" s="311" t="e">
        <f>SUMIFS(#REF!,#REF!,I40)</f>
        <v>#REF!</v>
      </c>
      <c r="AL40" s="311" t="e">
        <f t="shared" si="1"/>
        <v>#REF!</v>
      </c>
      <c r="AM40" s="311" t="e" cm="1">
        <f t="array" ref="AM40">-SUMPRODUCT(S40:AC40,1-$S$1:$AC$1)</f>
        <v>#REF!</v>
      </c>
      <c r="AN40" s="311" t="e">
        <f t="shared" si="2"/>
        <v>#REF!</v>
      </c>
      <c r="AO40" s="311" t="e">
        <f t="shared" si="13"/>
        <v>#REF!</v>
      </c>
      <c r="AP40" s="311" t="e">
        <f t="shared" si="3"/>
        <v>#REF!</v>
      </c>
      <c r="AQ40" s="286"/>
      <c r="AR40" s="303" t="e">
        <f t="shared" si="14"/>
        <v>#REF!</v>
      </c>
      <c r="AS40" s="305">
        <f t="shared" si="15"/>
        <v>4.5880515495071154E-2</v>
      </c>
      <c r="AT40" s="305" t="e">
        <f t="shared" si="16"/>
        <v>#REF!</v>
      </c>
      <c r="AU40" s="286"/>
      <c r="AV40" s="305" t="e">
        <f t="shared" si="17"/>
        <v>#REF!</v>
      </c>
      <c r="AW40" s="305">
        <f t="shared" si="18"/>
        <v>2.9286039277579765E-3</v>
      </c>
      <c r="AX40" s="305" t="e">
        <f t="shared" si="19"/>
        <v>#REF!</v>
      </c>
      <c r="AY40" s="286"/>
      <c r="AZ40" s="305" t="e">
        <f t="shared" si="20"/>
        <v>#REF!</v>
      </c>
      <c r="BA40" s="305">
        <f t="shared" si="21"/>
        <v>4.8809119422829131E-2</v>
      </c>
      <c r="BB40" s="305" t="e">
        <f t="shared" si="22"/>
        <v>#REF!</v>
      </c>
    </row>
    <row r="41" spans="7:54" x14ac:dyDescent="0.2">
      <c r="G41" s="269" t="s">
        <v>84</v>
      </c>
      <c r="H41" s="270" t="s">
        <v>85</v>
      </c>
      <c r="I41" s="271" t="s">
        <v>96</v>
      </c>
      <c r="J41" s="271" t="s">
        <v>97</v>
      </c>
      <c r="K41" s="312" t="e">
        <f>SUMIFS(#REF!,#REF!,I41)</f>
        <v>#REF!</v>
      </c>
      <c r="L41" s="312">
        <f>SUMIFS('SC - Op 1'!H:H,'SC - Op 1'!D:D,I41)</f>
        <v>590979.39815476979</v>
      </c>
      <c r="M41" s="312" t="e">
        <f t="shared" si="5"/>
        <v>#REF!</v>
      </c>
      <c r="N41" s="312" t="e">
        <f>SUMIFS(#REF!,#REF!,I41)-K41</f>
        <v>#REF!</v>
      </c>
      <c r="O41" s="312">
        <f>SUMIFS('New Spec Comm'!AY:AY,'New Spec Comm'!D:D,I41)</f>
        <v>23157.415783729055</v>
      </c>
      <c r="P41" s="310" t="e">
        <f t="shared" si="6"/>
        <v>#REF!</v>
      </c>
      <c r="Q41" s="306" t="e">
        <f t="shared" si="7"/>
        <v>#REF!</v>
      </c>
      <c r="S41" s="312" t="e">
        <f>SUMIFS(#REF!,#REF!,I41)</f>
        <v>#REF!</v>
      </c>
      <c r="T41" s="312">
        <f>IF($C$10="On",$K41*$E$10*(1+SUMIFS(#REF!,#REF!,$I41)),0)</f>
        <v>0</v>
      </c>
      <c r="U41" s="312" t="e">
        <f>IF($C$11="On",$K41*$E$11*(1+SUMIFS(#REF!,#REF!,$I41)),0)</f>
        <v>#REF!</v>
      </c>
      <c r="V41" s="312" t="e">
        <f>IF($C$14="On",$K41*$E$14*(1+SUMIFS(#REF!,#REF!,$I41)),0)</f>
        <v>#REF!</v>
      </c>
      <c r="W41" s="312"/>
      <c r="X41" s="312"/>
      <c r="Y41" s="312">
        <f t="shared" si="0"/>
        <v>0</v>
      </c>
      <c r="Z41" s="312">
        <f>SUMIFS('New Spec Comm'!BA:BA,'New Spec Comm'!D:D,I41)</f>
        <v>-9.3185024568811059E-2</v>
      </c>
      <c r="AA41" s="312"/>
      <c r="AB41" s="312">
        <f>IF($C$13="On",'Share of £1bn'!$V$9*1000*U41/$U$61,0)</f>
        <v>0</v>
      </c>
      <c r="AC41" s="312">
        <f>IF($C$17="On",$K41*$E$17*(1+SUMIFS(#REF!,#REF!,$I41)),0)</f>
        <v>0</v>
      </c>
      <c r="AD41" s="312" t="e">
        <f t="shared" si="8"/>
        <v>#REF!</v>
      </c>
      <c r="AE41" s="286"/>
      <c r="AF41" s="312" t="e">
        <f t="shared" si="9"/>
        <v>#REF!</v>
      </c>
      <c r="AG41" s="312">
        <f t="shared" si="10"/>
        <v>23157.322598704486</v>
      </c>
      <c r="AH41" s="312" t="e">
        <f t="shared" si="11"/>
        <v>#REF!</v>
      </c>
      <c r="AI41" s="306" t="e">
        <f t="shared" si="12"/>
        <v>#REF!</v>
      </c>
      <c r="AJ41" s="286"/>
      <c r="AK41" s="312" t="e">
        <f>SUMIFS(#REF!,#REF!,I41)</f>
        <v>#REF!</v>
      </c>
      <c r="AL41" s="312" t="e">
        <f t="shared" si="1"/>
        <v>#REF!</v>
      </c>
      <c r="AM41" s="312" t="e" cm="1">
        <f t="array" ref="AM41">-SUMPRODUCT(S41:AC41,1-$S$1:$AC$1)</f>
        <v>#REF!</v>
      </c>
      <c r="AN41" s="312" t="e">
        <f t="shared" si="2"/>
        <v>#REF!</v>
      </c>
      <c r="AO41" s="312" t="e">
        <f t="shared" si="13"/>
        <v>#REF!</v>
      </c>
      <c r="AP41" s="312" t="e">
        <f t="shared" si="3"/>
        <v>#REF!</v>
      </c>
      <c r="AQ41" s="286"/>
      <c r="AR41" s="304" t="e">
        <f t="shared" si="14"/>
        <v>#REF!</v>
      </c>
      <c r="AS41" s="306">
        <f t="shared" si="15"/>
        <v>3.9184810597516682E-2</v>
      </c>
      <c r="AT41" s="306" t="e">
        <f t="shared" si="16"/>
        <v>#REF!</v>
      </c>
      <c r="AU41" s="286"/>
      <c r="AV41" s="306" t="e">
        <f t="shared" si="17"/>
        <v>#REF!</v>
      </c>
      <c r="AW41" s="306">
        <f t="shared" si="18"/>
        <v>-1.5767897300345002E-7</v>
      </c>
      <c r="AX41" s="306" t="e">
        <f t="shared" si="19"/>
        <v>#REF!</v>
      </c>
      <c r="AY41" s="286"/>
      <c r="AZ41" s="306" t="e">
        <f t="shared" si="20"/>
        <v>#REF!</v>
      </c>
      <c r="BA41" s="306">
        <f t="shared" si="21"/>
        <v>3.9184652918543679E-2</v>
      </c>
      <c r="BB41" s="306" t="e">
        <f t="shared" si="22"/>
        <v>#REF!</v>
      </c>
    </row>
    <row r="42" spans="7:54" x14ac:dyDescent="0.2">
      <c r="G42" s="266" t="s">
        <v>98</v>
      </c>
      <c r="H42" s="61" t="s">
        <v>99</v>
      </c>
      <c r="I42" s="61" t="s">
        <v>100</v>
      </c>
      <c r="J42" s="61" t="s">
        <v>101</v>
      </c>
      <c r="K42" s="311" t="e">
        <f>SUMIFS(#REF!,#REF!,I42)</f>
        <v>#REF!</v>
      </c>
      <c r="L42" s="311">
        <f>SUMIFS('SC - Op 1'!H:H,'SC - Op 1'!D:D,I42)</f>
        <v>284657.1505706599</v>
      </c>
      <c r="M42" s="311" t="e">
        <f t="shared" si="5"/>
        <v>#REF!</v>
      </c>
      <c r="N42" s="311" t="e">
        <f>SUMIFS(#REF!,#REF!,I42)-K42</f>
        <v>#REF!</v>
      </c>
      <c r="O42" s="311">
        <f>SUMIFS('New Spec Comm'!AY:AY,'New Spec Comm'!D:D,I42)</f>
        <v>14461.849429340102</v>
      </c>
      <c r="P42" s="309" t="e">
        <f t="shared" si="6"/>
        <v>#REF!</v>
      </c>
      <c r="Q42" s="305" t="e">
        <f t="shared" si="7"/>
        <v>#REF!</v>
      </c>
      <c r="S42" s="311" t="e">
        <f>SUMIFS(#REF!,#REF!,I42)</f>
        <v>#REF!</v>
      </c>
      <c r="T42" s="311">
        <f>IF($C$10="On",$K42*$E$10*(1+SUMIFS(#REF!,#REF!,$I42)),0)</f>
        <v>0</v>
      </c>
      <c r="U42" s="311" t="e">
        <f>IF($C$11="On",$K42*$E$11*(1+SUMIFS(#REF!,#REF!,$I42)),0)</f>
        <v>#REF!</v>
      </c>
      <c r="V42" s="311" t="e">
        <f>IF($C$14="On",$K42*$E$14*(1+SUMIFS(#REF!,#REF!,$I42)),0)</f>
        <v>#REF!</v>
      </c>
      <c r="W42" s="311"/>
      <c r="X42" s="311"/>
      <c r="Y42" s="311">
        <f t="shared" si="0"/>
        <v>0</v>
      </c>
      <c r="Z42" s="311">
        <f>SUMIFS('New Spec Comm'!BA:BA,'New Spec Comm'!D:D,I42)</f>
        <v>837</v>
      </c>
      <c r="AA42" s="311"/>
      <c r="AB42" s="311">
        <f>IF($C$13="On",'Share of £1bn'!$V$9*1000*U42/$U$61,0)</f>
        <v>0</v>
      </c>
      <c r="AC42" s="311">
        <f>IF($C$17="On",$K42*$E$17*(1+SUMIFS(#REF!,#REF!,$I42)),0)</f>
        <v>0</v>
      </c>
      <c r="AD42" s="311" t="e">
        <f t="shared" si="8"/>
        <v>#REF!</v>
      </c>
      <c r="AE42" s="286"/>
      <c r="AF42" s="311" t="e">
        <f t="shared" si="9"/>
        <v>#REF!</v>
      </c>
      <c r="AG42" s="311">
        <f t="shared" si="10"/>
        <v>15298.849429340102</v>
      </c>
      <c r="AH42" s="311" t="e">
        <f t="shared" si="11"/>
        <v>#REF!</v>
      </c>
      <c r="AI42" s="305" t="e">
        <f t="shared" si="12"/>
        <v>#REF!</v>
      </c>
      <c r="AJ42" s="286"/>
      <c r="AK42" s="311" t="e">
        <f>SUMIFS(#REF!,#REF!,I42)</f>
        <v>#REF!</v>
      </c>
      <c r="AL42" s="311" t="e">
        <f t="shared" si="1"/>
        <v>#REF!</v>
      </c>
      <c r="AM42" s="311" t="e" cm="1">
        <f t="array" ref="AM42">-SUMPRODUCT(S42:AC42,1-$S$1:$AC$1)</f>
        <v>#REF!</v>
      </c>
      <c r="AN42" s="311" t="e">
        <f t="shared" si="2"/>
        <v>#REF!</v>
      </c>
      <c r="AO42" s="311" t="e">
        <f t="shared" si="13"/>
        <v>#REF!</v>
      </c>
      <c r="AP42" s="311" t="e">
        <f t="shared" si="3"/>
        <v>#REF!</v>
      </c>
      <c r="AQ42" s="286"/>
      <c r="AR42" s="303" t="e">
        <f t="shared" si="14"/>
        <v>#REF!</v>
      </c>
      <c r="AS42" s="305">
        <f t="shared" si="15"/>
        <v>5.0804448089036378E-2</v>
      </c>
      <c r="AT42" s="305" t="e">
        <f t="shared" si="16"/>
        <v>#REF!</v>
      </c>
      <c r="AU42" s="286"/>
      <c r="AV42" s="305" t="e">
        <f t="shared" si="17"/>
        <v>#REF!</v>
      </c>
      <c r="AW42" s="305">
        <f t="shared" si="18"/>
        <v>2.9403793241168999E-3</v>
      </c>
      <c r="AX42" s="305" t="e">
        <f t="shared" si="19"/>
        <v>#REF!</v>
      </c>
      <c r="AY42" s="286"/>
      <c r="AZ42" s="305" t="e">
        <f t="shared" si="20"/>
        <v>#REF!</v>
      </c>
      <c r="BA42" s="305">
        <f t="shared" si="21"/>
        <v>5.3744827413153277E-2</v>
      </c>
      <c r="BB42" s="305" t="e">
        <f t="shared" si="22"/>
        <v>#REF!</v>
      </c>
    </row>
    <row r="43" spans="7:54" x14ac:dyDescent="0.2">
      <c r="G43" s="267" t="s">
        <v>98</v>
      </c>
      <c r="H43" s="268" t="s">
        <v>99</v>
      </c>
      <c r="I43" s="61" t="s">
        <v>102</v>
      </c>
      <c r="J43" s="61" t="s">
        <v>103</v>
      </c>
      <c r="K43" s="311" t="e">
        <f>SUMIFS(#REF!,#REF!,I43)</f>
        <v>#REF!</v>
      </c>
      <c r="L43" s="311">
        <f>SUMIFS('SC - Op 1'!H:H,'SC - Op 1'!D:D,I43)</f>
        <v>376179.76938088128</v>
      </c>
      <c r="M43" s="311" t="e">
        <f t="shared" si="5"/>
        <v>#REF!</v>
      </c>
      <c r="N43" s="311" t="e">
        <f>SUMIFS(#REF!,#REF!,I43)-K43</f>
        <v>#REF!</v>
      </c>
      <c r="O43" s="311">
        <f>SUMIFS('New Spec Comm'!AY:AY,'New Spec Comm'!D:D,I43)</f>
        <v>12420.515921132464</v>
      </c>
      <c r="P43" s="309" t="e">
        <f t="shared" si="6"/>
        <v>#REF!</v>
      </c>
      <c r="Q43" s="305" t="e">
        <f t="shared" si="7"/>
        <v>#REF!</v>
      </c>
      <c r="S43" s="311" t="e">
        <f>SUMIFS(#REF!,#REF!,I43)</f>
        <v>#REF!</v>
      </c>
      <c r="T43" s="311">
        <f>IF($C$10="On",$K43*$E$10*(1+SUMIFS(#REF!,#REF!,$I43)),0)</f>
        <v>0</v>
      </c>
      <c r="U43" s="311" t="e">
        <f>IF($C$11="On",$K43*$E$11*(1+SUMIFS(#REF!,#REF!,$I43)),0)</f>
        <v>#REF!</v>
      </c>
      <c r="V43" s="311" t="e">
        <f>IF($C$14="On",$K43*$E$14*(1+SUMIFS(#REF!,#REF!,$I43)),0)</f>
        <v>#REF!</v>
      </c>
      <c r="W43" s="311"/>
      <c r="X43" s="311"/>
      <c r="Y43" s="311">
        <f t="shared" si="0"/>
        <v>0</v>
      </c>
      <c r="Z43" s="311">
        <f>SUMIFS('New Spec Comm'!BA:BA,'New Spec Comm'!D:D,I43)</f>
        <v>-0.19389893650077283</v>
      </c>
      <c r="AA43" s="311"/>
      <c r="AB43" s="311">
        <f>IF($C$13="On",'Share of £1bn'!$V$9*1000*U43/$U$61,0)</f>
        <v>0</v>
      </c>
      <c r="AC43" s="311">
        <f>IF($C$17="On",$K43*$E$17*(1+SUMIFS(#REF!,#REF!,$I43)),0)</f>
        <v>0</v>
      </c>
      <c r="AD43" s="311" t="e">
        <f t="shared" si="8"/>
        <v>#REF!</v>
      </c>
      <c r="AE43" s="286"/>
      <c r="AF43" s="311" t="e">
        <f t="shared" si="9"/>
        <v>#REF!</v>
      </c>
      <c r="AG43" s="311">
        <f t="shared" si="10"/>
        <v>12420.322022195964</v>
      </c>
      <c r="AH43" s="311" t="e">
        <f t="shared" si="11"/>
        <v>#REF!</v>
      </c>
      <c r="AI43" s="305" t="e">
        <f t="shared" si="12"/>
        <v>#REF!</v>
      </c>
      <c r="AJ43" s="286"/>
      <c r="AK43" s="311" t="e">
        <f>SUMIFS(#REF!,#REF!,I43)</f>
        <v>#REF!</v>
      </c>
      <c r="AL43" s="311" t="e">
        <f t="shared" si="1"/>
        <v>#REF!</v>
      </c>
      <c r="AM43" s="311" t="e" cm="1">
        <f t="array" ref="AM43">-SUMPRODUCT(S43:AC43,1-$S$1:$AC$1)</f>
        <v>#REF!</v>
      </c>
      <c r="AN43" s="311" t="e">
        <f t="shared" si="2"/>
        <v>#REF!</v>
      </c>
      <c r="AO43" s="311" t="e">
        <f t="shared" si="13"/>
        <v>#REF!</v>
      </c>
      <c r="AP43" s="311" t="e">
        <f t="shared" si="3"/>
        <v>#REF!</v>
      </c>
      <c r="AQ43" s="286"/>
      <c r="AR43" s="303" t="e">
        <f t="shared" si="14"/>
        <v>#REF!</v>
      </c>
      <c r="AS43" s="305">
        <f t="shared" si="15"/>
        <v>3.3017501025039753E-2</v>
      </c>
      <c r="AT43" s="305" t="e">
        <f t="shared" si="16"/>
        <v>#REF!</v>
      </c>
      <c r="AU43" s="286"/>
      <c r="AV43" s="305" t="e">
        <f t="shared" si="17"/>
        <v>#REF!</v>
      </c>
      <c r="AW43" s="305">
        <f t="shared" si="18"/>
        <v>-5.1544222279958918E-7</v>
      </c>
      <c r="AX43" s="305" t="e">
        <f t="shared" si="19"/>
        <v>#REF!</v>
      </c>
      <c r="AY43" s="286"/>
      <c r="AZ43" s="305" t="e">
        <f t="shared" si="20"/>
        <v>#REF!</v>
      </c>
      <c r="BA43" s="305">
        <f t="shared" si="21"/>
        <v>3.3016985582816953E-2</v>
      </c>
      <c r="BB43" s="305" t="e">
        <f t="shared" si="22"/>
        <v>#REF!</v>
      </c>
    </row>
    <row r="44" spans="7:54" x14ac:dyDescent="0.2">
      <c r="G44" s="267" t="s">
        <v>98</v>
      </c>
      <c r="H44" s="268" t="s">
        <v>99</v>
      </c>
      <c r="I44" s="61" t="s">
        <v>104</v>
      </c>
      <c r="J44" s="61" t="s">
        <v>105</v>
      </c>
      <c r="K44" s="311" t="e">
        <f>SUMIFS(#REF!,#REF!,I44)</f>
        <v>#REF!</v>
      </c>
      <c r="L44" s="311">
        <f>SUMIFS('SC - Op 1'!H:H,'SC - Op 1'!D:D,I44)</f>
        <v>203799.89655329022</v>
      </c>
      <c r="M44" s="311" t="e">
        <f t="shared" si="5"/>
        <v>#REF!</v>
      </c>
      <c r="N44" s="311" t="e">
        <f>SUMIFS(#REF!,#REF!,I44)-K44</f>
        <v>#REF!</v>
      </c>
      <c r="O44" s="311">
        <f>SUMIFS('New Spec Comm'!AY:AY,'New Spec Comm'!D:D,I44)</f>
        <v>11022.103446709778</v>
      </c>
      <c r="P44" s="309" t="e">
        <f t="shared" si="6"/>
        <v>#REF!</v>
      </c>
      <c r="Q44" s="305" t="e">
        <f t="shared" si="7"/>
        <v>#REF!</v>
      </c>
      <c r="S44" s="311" t="e">
        <f>SUMIFS(#REF!,#REF!,I44)</f>
        <v>#REF!</v>
      </c>
      <c r="T44" s="311">
        <f>IF($C$10="On",$K44*$E$10*(1+SUMIFS(#REF!,#REF!,$I44)),0)</f>
        <v>0</v>
      </c>
      <c r="U44" s="311" t="e">
        <f>IF($C$11="On",$K44*$E$11*(1+SUMIFS(#REF!,#REF!,$I44)),0)</f>
        <v>#REF!</v>
      </c>
      <c r="V44" s="311" t="e">
        <f>IF($C$14="On",$K44*$E$14*(1+SUMIFS(#REF!,#REF!,$I44)),0)</f>
        <v>#REF!</v>
      </c>
      <c r="W44" s="311"/>
      <c r="X44" s="311"/>
      <c r="Y44" s="311">
        <f t="shared" si="0"/>
        <v>0</v>
      </c>
      <c r="Z44" s="311">
        <f>SUMIFS('New Spec Comm'!BA:BA,'New Spec Comm'!D:D,I44)</f>
        <v>601</v>
      </c>
      <c r="AA44" s="311"/>
      <c r="AB44" s="311">
        <f>IF($C$13="On",'Share of £1bn'!$V$9*1000*U44/$U$61,0)</f>
        <v>0</v>
      </c>
      <c r="AC44" s="311">
        <f>IF($C$17="On",$K44*$E$17*(1+SUMIFS(#REF!,#REF!,$I44)),0)</f>
        <v>0</v>
      </c>
      <c r="AD44" s="311" t="e">
        <f t="shared" si="8"/>
        <v>#REF!</v>
      </c>
      <c r="AE44" s="286"/>
      <c r="AF44" s="311" t="e">
        <f t="shared" si="9"/>
        <v>#REF!</v>
      </c>
      <c r="AG44" s="311">
        <f t="shared" si="10"/>
        <v>11623.103446709778</v>
      </c>
      <c r="AH44" s="311" t="e">
        <f t="shared" si="11"/>
        <v>#REF!</v>
      </c>
      <c r="AI44" s="305" t="e">
        <f t="shared" si="12"/>
        <v>#REF!</v>
      </c>
      <c r="AJ44" s="286"/>
      <c r="AK44" s="311" t="e">
        <f>SUMIFS(#REF!,#REF!,I44)</f>
        <v>#REF!</v>
      </c>
      <c r="AL44" s="311" t="e">
        <f t="shared" si="1"/>
        <v>#REF!</v>
      </c>
      <c r="AM44" s="311" t="e" cm="1">
        <f t="array" ref="AM44">-SUMPRODUCT(S44:AC44,1-$S$1:$AC$1)</f>
        <v>#REF!</v>
      </c>
      <c r="AN44" s="311" t="e">
        <f t="shared" si="2"/>
        <v>#REF!</v>
      </c>
      <c r="AO44" s="311" t="e">
        <f t="shared" si="13"/>
        <v>#REF!</v>
      </c>
      <c r="AP44" s="311" t="e">
        <f t="shared" si="3"/>
        <v>#REF!</v>
      </c>
      <c r="AQ44" s="286"/>
      <c r="AR44" s="303" t="e">
        <f t="shared" si="14"/>
        <v>#REF!</v>
      </c>
      <c r="AS44" s="305">
        <f t="shared" si="15"/>
        <v>5.4082968799877111E-2</v>
      </c>
      <c r="AT44" s="305" t="e">
        <f t="shared" si="16"/>
        <v>#REF!</v>
      </c>
      <c r="AU44" s="286"/>
      <c r="AV44" s="305" t="e">
        <f t="shared" si="17"/>
        <v>#REF!</v>
      </c>
      <c r="AW44" s="305">
        <f t="shared" si="18"/>
        <v>2.9489710748839826E-3</v>
      </c>
      <c r="AX44" s="305" t="e">
        <f t="shared" si="19"/>
        <v>#REF!</v>
      </c>
      <c r="AY44" s="286"/>
      <c r="AZ44" s="305" t="e">
        <f t="shared" si="20"/>
        <v>#REF!</v>
      </c>
      <c r="BA44" s="305">
        <f t="shared" si="21"/>
        <v>5.7031939874761094E-2</v>
      </c>
      <c r="BB44" s="305" t="e">
        <f t="shared" si="22"/>
        <v>#REF!</v>
      </c>
    </row>
    <row r="45" spans="7:54" x14ac:dyDescent="0.2">
      <c r="G45" s="267" t="s">
        <v>98</v>
      </c>
      <c r="H45" s="268" t="s">
        <v>99</v>
      </c>
      <c r="I45" s="61" t="s">
        <v>106</v>
      </c>
      <c r="J45" s="61" t="s">
        <v>107</v>
      </c>
      <c r="K45" s="311" t="e">
        <f>SUMIFS(#REF!,#REF!,I45)</f>
        <v>#REF!</v>
      </c>
      <c r="L45" s="311">
        <f>SUMIFS('SC - Op 1'!H:H,'SC - Op 1'!D:D,I45)</f>
        <v>432487.4580030879</v>
      </c>
      <c r="M45" s="311" t="e">
        <f t="shared" si="5"/>
        <v>#REF!</v>
      </c>
      <c r="N45" s="311" t="e">
        <f>SUMIFS(#REF!,#REF!,I45)-K45</f>
        <v>#REF!</v>
      </c>
      <c r="O45" s="311">
        <f>SUMIFS('New Spec Comm'!AY:AY,'New Spec Comm'!D:D,I45)</f>
        <v>16870.260058616986</v>
      </c>
      <c r="P45" s="309" t="e">
        <f t="shared" si="6"/>
        <v>#REF!</v>
      </c>
      <c r="Q45" s="305" t="e">
        <f t="shared" si="7"/>
        <v>#REF!</v>
      </c>
      <c r="S45" s="311" t="e">
        <f>SUMIFS(#REF!,#REF!,I45)</f>
        <v>#REF!</v>
      </c>
      <c r="T45" s="311">
        <f>IF($C$10="On",$K45*$E$10*(1+SUMIFS(#REF!,#REF!,$I45)),0)</f>
        <v>0</v>
      </c>
      <c r="U45" s="311" t="e">
        <f>IF($C$11="On",$K45*$E$11*(1+SUMIFS(#REF!,#REF!,$I45)),0)</f>
        <v>#REF!</v>
      </c>
      <c r="V45" s="311" t="e">
        <f>IF($C$14="On",$K45*$E$14*(1+SUMIFS(#REF!,#REF!,$I45)),0)</f>
        <v>#REF!</v>
      </c>
      <c r="W45" s="311"/>
      <c r="X45" s="311"/>
      <c r="Y45" s="311">
        <f t="shared" si="0"/>
        <v>0</v>
      </c>
      <c r="Z45" s="311">
        <f>SUMIFS('New Spec Comm'!BA:BA,'New Spec Comm'!D:D,I45)</f>
        <v>-0.11948082956951112</v>
      </c>
      <c r="AA45" s="311"/>
      <c r="AB45" s="311">
        <f>IF($C$13="On",'Share of £1bn'!$V$9*1000*U45/$U$61,0)</f>
        <v>0</v>
      </c>
      <c r="AC45" s="311">
        <f>IF($C$17="On",$K45*$E$17*(1+SUMIFS(#REF!,#REF!,$I45)),0)</f>
        <v>0</v>
      </c>
      <c r="AD45" s="311" t="e">
        <f t="shared" si="8"/>
        <v>#REF!</v>
      </c>
      <c r="AE45" s="286"/>
      <c r="AF45" s="311" t="e">
        <f t="shared" si="9"/>
        <v>#REF!</v>
      </c>
      <c r="AG45" s="311">
        <f t="shared" si="10"/>
        <v>16870.140577787417</v>
      </c>
      <c r="AH45" s="311" t="e">
        <f t="shared" si="11"/>
        <v>#REF!</v>
      </c>
      <c r="AI45" s="305" t="e">
        <f t="shared" si="12"/>
        <v>#REF!</v>
      </c>
      <c r="AJ45" s="286"/>
      <c r="AK45" s="311" t="e">
        <f>SUMIFS(#REF!,#REF!,I45)</f>
        <v>#REF!</v>
      </c>
      <c r="AL45" s="311" t="e">
        <f t="shared" si="1"/>
        <v>#REF!</v>
      </c>
      <c r="AM45" s="311" t="e" cm="1">
        <f t="array" ref="AM45">-SUMPRODUCT(S45:AC45,1-$S$1:$AC$1)</f>
        <v>#REF!</v>
      </c>
      <c r="AN45" s="311" t="e">
        <f t="shared" si="2"/>
        <v>#REF!</v>
      </c>
      <c r="AO45" s="311" t="e">
        <f t="shared" si="13"/>
        <v>#REF!</v>
      </c>
      <c r="AP45" s="311" t="e">
        <f t="shared" si="3"/>
        <v>#REF!</v>
      </c>
      <c r="AQ45" s="286"/>
      <c r="AR45" s="303" t="e">
        <f t="shared" si="14"/>
        <v>#REF!</v>
      </c>
      <c r="AS45" s="305">
        <f t="shared" si="15"/>
        <v>3.9007512810918403E-2</v>
      </c>
      <c r="AT45" s="305" t="e">
        <f t="shared" si="16"/>
        <v>#REF!</v>
      </c>
      <c r="AU45" s="286"/>
      <c r="AV45" s="305" t="e">
        <f t="shared" si="17"/>
        <v>#REF!</v>
      </c>
      <c r="AW45" s="305">
        <f t="shared" si="18"/>
        <v>-2.7626426468002618E-7</v>
      </c>
      <c r="AX45" s="305" t="e">
        <f t="shared" si="19"/>
        <v>#REF!</v>
      </c>
      <c r="AY45" s="286"/>
      <c r="AZ45" s="305" t="e">
        <f t="shared" si="20"/>
        <v>#REF!</v>
      </c>
      <c r="BA45" s="305">
        <f t="shared" si="21"/>
        <v>3.9007236546653723E-2</v>
      </c>
      <c r="BB45" s="305" t="e">
        <f t="shared" si="22"/>
        <v>#REF!</v>
      </c>
    </row>
    <row r="46" spans="7:54" x14ac:dyDescent="0.2">
      <c r="G46" s="267" t="s">
        <v>98</v>
      </c>
      <c r="H46" s="268" t="s">
        <v>99</v>
      </c>
      <c r="I46" s="61" t="s">
        <v>108</v>
      </c>
      <c r="J46" s="61" t="s">
        <v>109</v>
      </c>
      <c r="K46" s="311" t="e">
        <f>SUMIFS(#REF!,#REF!,I46)</f>
        <v>#REF!</v>
      </c>
      <c r="L46" s="311">
        <f>SUMIFS('SC - Op 1'!H:H,'SC - Op 1'!D:D,I46)</f>
        <v>239578.45737310644</v>
      </c>
      <c r="M46" s="311" t="e">
        <f t="shared" si="5"/>
        <v>#REF!</v>
      </c>
      <c r="N46" s="311" t="e">
        <f>SUMIFS(#REF!,#REF!,I46)-K46</f>
        <v>#REF!</v>
      </c>
      <c r="O46" s="311">
        <f>SUMIFS('New Spec Comm'!AY:AY,'New Spec Comm'!D:D,I46)</f>
        <v>11861.542626893555</v>
      </c>
      <c r="P46" s="309" t="e">
        <f t="shared" si="6"/>
        <v>#REF!</v>
      </c>
      <c r="Q46" s="305" t="e">
        <f t="shared" si="7"/>
        <v>#REF!</v>
      </c>
      <c r="S46" s="311" t="e">
        <f>SUMIFS(#REF!,#REF!,I46)</f>
        <v>#REF!</v>
      </c>
      <c r="T46" s="311">
        <f>IF($C$10="On",$K46*$E$10*(1+SUMIFS(#REF!,#REF!,$I46)),0)</f>
        <v>0</v>
      </c>
      <c r="U46" s="311" t="e">
        <f>IF($C$11="On",$K46*$E$11*(1+SUMIFS(#REF!,#REF!,$I46)),0)</f>
        <v>#REF!</v>
      </c>
      <c r="V46" s="311" t="e">
        <f>IF($C$14="On",$K46*$E$14*(1+SUMIFS(#REF!,#REF!,$I46)),0)</f>
        <v>#REF!</v>
      </c>
      <c r="W46" s="311"/>
      <c r="X46" s="311"/>
      <c r="Y46" s="311">
        <f t="shared" si="0"/>
        <v>0</v>
      </c>
      <c r="Z46" s="311">
        <f>SUMIFS('New Spec Comm'!BA:BA,'New Spec Comm'!D:D,I46)</f>
        <v>704</v>
      </c>
      <c r="AA46" s="311"/>
      <c r="AB46" s="311">
        <f>IF($C$13="On",'Share of £1bn'!$V$9*1000*U46/$U$61,0)</f>
        <v>0</v>
      </c>
      <c r="AC46" s="311">
        <f>IF($C$17="On",$K46*$E$17*(1+SUMIFS(#REF!,#REF!,$I46)),0)</f>
        <v>0</v>
      </c>
      <c r="AD46" s="311" t="e">
        <f t="shared" si="8"/>
        <v>#REF!</v>
      </c>
      <c r="AE46" s="286"/>
      <c r="AF46" s="311" t="e">
        <f t="shared" si="9"/>
        <v>#REF!</v>
      </c>
      <c r="AG46" s="311">
        <f t="shared" si="10"/>
        <v>12565.542626893555</v>
      </c>
      <c r="AH46" s="311" t="e">
        <f t="shared" si="11"/>
        <v>#REF!</v>
      </c>
      <c r="AI46" s="305" t="e">
        <f t="shared" si="12"/>
        <v>#REF!</v>
      </c>
      <c r="AJ46" s="286"/>
      <c r="AK46" s="311" t="e">
        <f>SUMIFS(#REF!,#REF!,I46)</f>
        <v>#REF!</v>
      </c>
      <c r="AL46" s="311" t="e">
        <f t="shared" si="1"/>
        <v>#REF!</v>
      </c>
      <c r="AM46" s="311" t="e" cm="1">
        <f t="array" ref="AM46">-SUMPRODUCT(S46:AC46,1-$S$1:$AC$1)</f>
        <v>#REF!</v>
      </c>
      <c r="AN46" s="311" t="e">
        <f t="shared" si="2"/>
        <v>#REF!</v>
      </c>
      <c r="AO46" s="311" t="e">
        <f t="shared" si="13"/>
        <v>#REF!</v>
      </c>
      <c r="AP46" s="311" t="e">
        <f t="shared" si="3"/>
        <v>#REF!</v>
      </c>
      <c r="AQ46" s="286"/>
      <c r="AR46" s="303" t="e">
        <f t="shared" si="14"/>
        <v>#REF!</v>
      </c>
      <c r="AS46" s="305">
        <f t="shared" si="15"/>
        <v>4.9510055106586792E-2</v>
      </c>
      <c r="AT46" s="305" t="e">
        <f t="shared" si="16"/>
        <v>#REF!</v>
      </c>
      <c r="AU46" s="286"/>
      <c r="AV46" s="305" t="e">
        <f t="shared" si="17"/>
        <v>#REF!</v>
      </c>
      <c r="AW46" s="305">
        <f t="shared" si="18"/>
        <v>2.9384945863627013E-3</v>
      </c>
      <c r="AX46" s="305" t="e">
        <f t="shared" si="19"/>
        <v>#REF!</v>
      </c>
      <c r="AY46" s="286"/>
      <c r="AZ46" s="305" t="e">
        <f t="shared" si="20"/>
        <v>#REF!</v>
      </c>
      <c r="BA46" s="305">
        <f t="shared" si="21"/>
        <v>5.2448549692949493E-2</v>
      </c>
      <c r="BB46" s="305" t="e">
        <f t="shared" si="22"/>
        <v>#REF!</v>
      </c>
    </row>
    <row r="47" spans="7:54" x14ac:dyDescent="0.2">
      <c r="G47" s="267" t="s">
        <v>98</v>
      </c>
      <c r="H47" s="268" t="s">
        <v>99</v>
      </c>
      <c r="I47" s="61" t="s">
        <v>110</v>
      </c>
      <c r="J47" s="61" t="s">
        <v>111</v>
      </c>
      <c r="K47" s="311" t="e">
        <f>SUMIFS(#REF!,#REF!,I47)</f>
        <v>#REF!</v>
      </c>
      <c r="L47" s="311">
        <f>SUMIFS('SC - Op 1'!H:H,'SC - Op 1'!D:D,I47)</f>
        <v>209135.47852404614</v>
      </c>
      <c r="M47" s="311" t="e">
        <f t="shared" si="5"/>
        <v>#REF!</v>
      </c>
      <c r="N47" s="311" t="e">
        <f>SUMIFS(#REF!,#REF!,I47)-K47</f>
        <v>#REF!</v>
      </c>
      <c r="O47" s="311">
        <f>SUMIFS('New Spec Comm'!AY:AY,'New Spec Comm'!D:D,I47)</f>
        <v>8181.9798770261114</v>
      </c>
      <c r="P47" s="309" t="e">
        <f t="shared" si="6"/>
        <v>#REF!</v>
      </c>
      <c r="Q47" s="305" t="e">
        <f t="shared" si="7"/>
        <v>#REF!</v>
      </c>
      <c r="S47" s="311" t="e">
        <f>SUMIFS(#REF!,#REF!,I47)</f>
        <v>#REF!</v>
      </c>
      <c r="T47" s="311">
        <f>IF($C$10="On",$K47*$E$10*(1+SUMIFS(#REF!,#REF!,$I47)),0)</f>
        <v>0</v>
      </c>
      <c r="U47" s="311" t="e">
        <f>IF($C$11="On",$K47*$E$11*(1+SUMIFS(#REF!,#REF!,$I47)),0)</f>
        <v>#REF!</v>
      </c>
      <c r="V47" s="311" t="e">
        <f>IF($C$14="On",$K47*$E$14*(1+SUMIFS(#REF!,#REF!,$I47)),0)</f>
        <v>#REF!</v>
      </c>
      <c r="W47" s="311"/>
      <c r="X47" s="311"/>
      <c r="Y47" s="311">
        <f t="shared" si="0"/>
        <v>0</v>
      </c>
      <c r="Z47" s="311">
        <f>SUMIFS('New Spec Comm'!BA:BA,'New Spec Comm'!D:D,I47)</f>
        <v>0.22298999998020008</v>
      </c>
      <c r="AA47" s="311"/>
      <c r="AB47" s="311">
        <f>IF($C$13="On",'Share of £1bn'!$V$9*1000*U47/$U$61,0)</f>
        <v>0</v>
      </c>
      <c r="AC47" s="311">
        <f>IF($C$17="On",$K47*$E$17*(1+SUMIFS(#REF!,#REF!,$I47)),0)</f>
        <v>0</v>
      </c>
      <c r="AD47" s="311" t="e">
        <f t="shared" si="8"/>
        <v>#REF!</v>
      </c>
      <c r="AE47" s="286"/>
      <c r="AF47" s="311" t="e">
        <f t="shared" si="9"/>
        <v>#REF!</v>
      </c>
      <c r="AG47" s="311">
        <f t="shared" si="10"/>
        <v>8182.2028670260916</v>
      </c>
      <c r="AH47" s="311" t="e">
        <f t="shared" si="11"/>
        <v>#REF!</v>
      </c>
      <c r="AI47" s="305" t="e">
        <f t="shared" si="12"/>
        <v>#REF!</v>
      </c>
      <c r="AJ47" s="286"/>
      <c r="AK47" s="311" t="e">
        <f>SUMIFS(#REF!,#REF!,I47)</f>
        <v>#REF!</v>
      </c>
      <c r="AL47" s="311" t="e">
        <f t="shared" si="1"/>
        <v>#REF!</v>
      </c>
      <c r="AM47" s="311" t="e" cm="1">
        <f t="array" ref="AM47">-SUMPRODUCT(S47:AC47,1-$S$1:$AC$1)</f>
        <v>#REF!</v>
      </c>
      <c r="AN47" s="311" t="e">
        <f t="shared" si="2"/>
        <v>#REF!</v>
      </c>
      <c r="AO47" s="311" t="e">
        <f t="shared" si="13"/>
        <v>#REF!</v>
      </c>
      <c r="AP47" s="311" t="e">
        <f t="shared" si="3"/>
        <v>#REF!</v>
      </c>
      <c r="AQ47" s="286"/>
      <c r="AR47" s="303" t="e">
        <f t="shared" si="14"/>
        <v>#REF!</v>
      </c>
      <c r="AS47" s="305">
        <f t="shared" si="15"/>
        <v>3.9122868748859167E-2</v>
      </c>
      <c r="AT47" s="305" t="e">
        <f t="shared" si="16"/>
        <v>#REF!</v>
      </c>
      <c r="AU47" s="286"/>
      <c r="AV47" s="305" t="e">
        <f t="shared" si="17"/>
        <v>#REF!</v>
      </c>
      <c r="AW47" s="305">
        <f t="shared" si="18"/>
        <v>1.0662466337768572E-6</v>
      </c>
      <c r="AX47" s="305" t="e">
        <f t="shared" si="19"/>
        <v>#REF!</v>
      </c>
      <c r="AY47" s="286"/>
      <c r="AZ47" s="305" t="e">
        <f t="shared" si="20"/>
        <v>#REF!</v>
      </c>
      <c r="BA47" s="305">
        <f t="shared" si="21"/>
        <v>3.9123934995492944E-2</v>
      </c>
      <c r="BB47" s="305" t="e">
        <f t="shared" si="22"/>
        <v>#REF!</v>
      </c>
    </row>
    <row r="48" spans="7:54" x14ac:dyDescent="0.2">
      <c r="G48" s="267" t="s">
        <v>98</v>
      </c>
      <c r="H48" s="268" t="s">
        <v>99</v>
      </c>
      <c r="I48" s="61" t="s">
        <v>112</v>
      </c>
      <c r="J48" s="61" t="s">
        <v>113</v>
      </c>
      <c r="K48" s="311" t="e">
        <f>SUMIFS(#REF!,#REF!,I48)</f>
        <v>#REF!</v>
      </c>
      <c r="L48" s="311">
        <f>SUMIFS('SC - Op 1'!H:H,'SC - Op 1'!D:D,I48)</f>
        <v>174234.92301504573</v>
      </c>
      <c r="M48" s="311" t="e">
        <f t="shared" si="5"/>
        <v>#REF!</v>
      </c>
      <c r="N48" s="311" t="e">
        <f>SUMIFS(#REF!,#REF!,I48)-K48</f>
        <v>#REF!</v>
      </c>
      <c r="O48" s="311">
        <f>SUMIFS('New Spec Comm'!AY:AY,'New Spec Comm'!D:D,I48)</f>
        <v>9338.0769849542703</v>
      </c>
      <c r="P48" s="309" t="e">
        <f t="shared" si="6"/>
        <v>#REF!</v>
      </c>
      <c r="Q48" s="305" t="e">
        <f t="shared" si="7"/>
        <v>#REF!</v>
      </c>
      <c r="S48" s="311" t="e">
        <f>SUMIFS(#REF!,#REF!,I48)</f>
        <v>#REF!</v>
      </c>
      <c r="T48" s="311">
        <f>IF($C$10="On",$K48*$E$10*(1+SUMIFS(#REF!,#REF!,$I48)),0)</f>
        <v>0</v>
      </c>
      <c r="U48" s="311" t="e">
        <f>IF($C$11="On",$K48*$E$11*(1+SUMIFS(#REF!,#REF!,$I48)),0)</f>
        <v>#REF!</v>
      </c>
      <c r="V48" s="311" t="e">
        <f>IF($C$14="On",$K48*$E$14*(1+SUMIFS(#REF!,#REF!,$I48)),0)</f>
        <v>#REF!</v>
      </c>
      <c r="W48" s="311"/>
      <c r="X48" s="311"/>
      <c r="Y48" s="311">
        <f t="shared" si="0"/>
        <v>0</v>
      </c>
      <c r="Z48" s="311">
        <f>SUMIFS('New Spec Comm'!BA:BA,'New Spec Comm'!D:D,I48)</f>
        <v>514</v>
      </c>
      <c r="AA48" s="311"/>
      <c r="AB48" s="311">
        <f>IF($C$13="On",'Share of £1bn'!$V$9*1000*U48/$U$61,0)</f>
        <v>0</v>
      </c>
      <c r="AC48" s="311">
        <f>IF($C$17="On",$K48*$E$17*(1+SUMIFS(#REF!,#REF!,$I48)),0)</f>
        <v>0</v>
      </c>
      <c r="AD48" s="311" t="e">
        <f t="shared" si="8"/>
        <v>#REF!</v>
      </c>
      <c r="AE48" s="286"/>
      <c r="AF48" s="311" t="e">
        <f t="shared" si="9"/>
        <v>#REF!</v>
      </c>
      <c r="AG48" s="311">
        <f t="shared" si="10"/>
        <v>9852.0769849542703</v>
      </c>
      <c r="AH48" s="311" t="e">
        <f t="shared" si="11"/>
        <v>#REF!</v>
      </c>
      <c r="AI48" s="305" t="e">
        <f t="shared" si="12"/>
        <v>#REF!</v>
      </c>
      <c r="AJ48" s="286"/>
      <c r="AK48" s="311" t="e">
        <f>SUMIFS(#REF!,#REF!,I48)</f>
        <v>#REF!</v>
      </c>
      <c r="AL48" s="311" t="e">
        <f t="shared" si="1"/>
        <v>#REF!</v>
      </c>
      <c r="AM48" s="311" t="e" cm="1">
        <f t="array" ref="AM48">-SUMPRODUCT(S48:AC48,1-$S$1:$AC$1)</f>
        <v>#REF!</v>
      </c>
      <c r="AN48" s="311" t="e">
        <f t="shared" si="2"/>
        <v>#REF!</v>
      </c>
      <c r="AO48" s="311" t="e">
        <f t="shared" si="13"/>
        <v>#REF!</v>
      </c>
      <c r="AP48" s="311" t="e">
        <f t="shared" si="3"/>
        <v>#REF!</v>
      </c>
      <c r="AQ48" s="286"/>
      <c r="AR48" s="303" t="e">
        <f t="shared" si="14"/>
        <v>#REF!</v>
      </c>
      <c r="AS48" s="305">
        <f t="shared" si="15"/>
        <v>5.3594749108638214E-2</v>
      </c>
      <c r="AT48" s="305" t="e">
        <f t="shared" si="16"/>
        <v>#REF!</v>
      </c>
      <c r="AU48" s="286"/>
      <c r="AV48" s="305" t="e">
        <f t="shared" si="17"/>
        <v>#REF!</v>
      </c>
      <c r="AW48" s="305">
        <f t="shared" si="18"/>
        <v>2.9500400442431102E-3</v>
      </c>
      <c r="AX48" s="305" t="e">
        <f t="shared" si="19"/>
        <v>#REF!</v>
      </c>
      <c r="AY48" s="286"/>
      <c r="AZ48" s="305" t="e">
        <f t="shared" si="20"/>
        <v>#REF!</v>
      </c>
      <c r="BA48" s="305">
        <f t="shared" si="21"/>
        <v>5.6544789152881324E-2</v>
      </c>
      <c r="BB48" s="305" t="e">
        <f t="shared" si="22"/>
        <v>#REF!</v>
      </c>
    </row>
    <row r="49" spans="7:54" x14ac:dyDescent="0.2">
      <c r="AE49" s="286"/>
      <c r="AJ49" s="286"/>
      <c r="AQ49" s="286"/>
      <c r="AU49" s="286"/>
      <c r="AY49" s="286"/>
    </row>
    <row r="50" spans="7:54" hidden="1" outlineLevel="1" x14ac:dyDescent="0.2">
      <c r="AE50" s="286"/>
      <c r="AJ50" s="286"/>
      <c r="AQ50" s="286"/>
      <c r="AU50" s="286"/>
      <c r="AY50" s="286"/>
    </row>
    <row r="51" spans="7:54" hidden="1" outlineLevel="1" x14ac:dyDescent="0.2">
      <c r="H51" s="272" t="s">
        <v>114</v>
      </c>
      <c r="I51" s="272" t="s">
        <v>13</v>
      </c>
      <c r="J51" s="272" t="s">
        <v>14</v>
      </c>
      <c r="AE51" s="286"/>
      <c r="AJ51" s="286"/>
      <c r="AQ51" s="286"/>
      <c r="AU51" s="286"/>
      <c r="AY51" s="286"/>
    </row>
    <row r="52" spans="7:54" hidden="1" outlineLevel="1" x14ac:dyDescent="0.2">
      <c r="H52" s="273">
        <v>1</v>
      </c>
      <c r="I52" s="274" t="s">
        <v>17</v>
      </c>
      <c r="J52" s="274" t="s">
        <v>18</v>
      </c>
      <c r="K52" s="276" t="e">
        <f t="shared" ref="K52:P58" si="23">SUMIFS(K$7:K$48,$G$7:$G$48,$I52)</f>
        <v>#REF!</v>
      </c>
      <c r="L52" s="276">
        <f t="shared" si="23"/>
        <v>2645278.6028940454</v>
      </c>
      <c r="M52" s="276" t="e">
        <f t="shared" si="23"/>
        <v>#REF!</v>
      </c>
      <c r="N52" s="276" t="e">
        <f t="shared" si="23"/>
        <v>#REF!</v>
      </c>
      <c r="O52" s="276">
        <f t="shared" si="23"/>
        <v>119974.19282469805</v>
      </c>
      <c r="P52" s="276" t="e">
        <f t="shared" si="23"/>
        <v>#REF!</v>
      </c>
      <c r="Q52" s="281"/>
      <c r="S52" s="276" t="e">
        <f t="shared" ref="S52:X58" si="24">SUMIFS(S$7:S$48,$G$7:$G$48,$I52)</f>
        <v>#REF!</v>
      </c>
      <c r="T52" s="276">
        <f t="shared" si="24"/>
        <v>0</v>
      </c>
      <c r="U52" s="276" t="e">
        <f t="shared" si="24"/>
        <v>#REF!</v>
      </c>
      <c r="V52" s="276" t="e">
        <f t="shared" si="24"/>
        <v>#REF!</v>
      </c>
      <c r="W52" s="276">
        <f t="shared" si="24"/>
        <v>0</v>
      </c>
      <c r="X52" s="276">
        <f t="shared" si="24"/>
        <v>0</v>
      </c>
      <c r="Y52" s="276"/>
      <c r="Z52" s="276">
        <f t="shared" ref="Z52:AD58" si="25">SUMIFS(Z$7:Z$48,$G$7:$G$48,$I52)</f>
        <v>6334.1300109600415</v>
      </c>
      <c r="AA52" s="276"/>
      <c r="AB52" s="276"/>
      <c r="AC52" s="276"/>
      <c r="AD52" s="276" t="e">
        <f t="shared" si="25"/>
        <v>#REF!</v>
      </c>
      <c r="AE52" s="286"/>
      <c r="AF52" s="276" t="e">
        <f t="shared" ref="AF52:AH58" si="26">SUMIFS(AF$7:AF$48,$G$7:$G$48,$I52)</f>
        <v>#REF!</v>
      </c>
      <c r="AG52" s="276">
        <f t="shared" si="26"/>
        <v>126308.32283565809</v>
      </c>
      <c r="AH52" s="276" t="e">
        <f t="shared" si="26"/>
        <v>#REF!</v>
      </c>
      <c r="AI52" s="281"/>
      <c r="AJ52" s="286"/>
      <c r="AK52" s="276" t="e">
        <f t="shared" ref="AK52:AL58" si="27">SUMIFS(AK$7:AK$48,$G$7:$G$48,$I52)</f>
        <v>#REF!</v>
      </c>
      <c r="AL52" s="276" t="e">
        <f t="shared" si="27"/>
        <v>#REF!</v>
      </c>
      <c r="AM52" s="276"/>
      <c r="AN52" s="276"/>
      <c r="AO52" s="276"/>
      <c r="AP52" s="276" t="e">
        <f t="shared" ref="AP52:AP58" si="28">SUMIFS(AP$7:AP$48,$G$7:$G$48,$I52)</f>
        <v>#REF!</v>
      </c>
      <c r="AQ52" s="286"/>
      <c r="AR52" s="281" t="e">
        <f t="shared" ref="AR52:AT59" si="29">N52/K52</f>
        <v>#REF!</v>
      </c>
      <c r="AS52" s="281">
        <f t="shared" si="29"/>
        <v>4.5354085839367266E-2</v>
      </c>
      <c r="AT52" s="281" t="e">
        <f t="shared" si="29"/>
        <v>#REF!</v>
      </c>
      <c r="AU52" s="286"/>
      <c r="AV52" s="281" t="e">
        <f t="shared" ref="AV52:AX59" si="30">AZ52-AR52</f>
        <v>#REF!</v>
      </c>
      <c r="AW52" s="281">
        <f t="shared" si="30"/>
        <v>2.394503930145675E-3</v>
      </c>
      <c r="AX52" s="281" t="e">
        <f t="shared" si="30"/>
        <v>#REF!</v>
      </c>
      <c r="AY52" s="286"/>
      <c r="AZ52" s="281" t="e">
        <f t="shared" ref="AZ52:BB59" si="31">AF52/K52</f>
        <v>#REF!</v>
      </c>
      <c r="BA52" s="281">
        <f t="shared" si="31"/>
        <v>4.774858976951294E-2</v>
      </c>
      <c r="BB52" s="281" t="e">
        <f t="shared" si="31"/>
        <v>#REF!</v>
      </c>
    </row>
    <row r="53" spans="7:54" hidden="1" outlineLevel="1" x14ac:dyDescent="0.2">
      <c r="H53" s="273">
        <v>2</v>
      </c>
      <c r="I53" s="274" t="s">
        <v>27</v>
      </c>
      <c r="J53" s="274" t="s">
        <v>28</v>
      </c>
      <c r="K53" s="276" t="e">
        <f t="shared" si="23"/>
        <v>#REF!</v>
      </c>
      <c r="L53" s="276">
        <f t="shared" si="23"/>
        <v>2660474.209257625</v>
      </c>
      <c r="M53" s="276" t="e">
        <f t="shared" si="23"/>
        <v>#REF!</v>
      </c>
      <c r="N53" s="276" t="e">
        <f t="shared" si="23"/>
        <v>#REF!</v>
      </c>
      <c r="O53" s="276">
        <f t="shared" si="23"/>
        <v>99542.765392588568</v>
      </c>
      <c r="P53" s="276" t="e">
        <f t="shared" si="23"/>
        <v>#REF!</v>
      </c>
      <c r="Q53" s="281"/>
      <c r="S53" s="276" t="e">
        <f t="shared" si="24"/>
        <v>#REF!</v>
      </c>
      <c r="T53" s="276">
        <f t="shared" si="24"/>
        <v>0</v>
      </c>
      <c r="U53" s="276" t="e">
        <f t="shared" si="24"/>
        <v>#REF!</v>
      </c>
      <c r="V53" s="276" t="e">
        <f t="shared" si="24"/>
        <v>#REF!</v>
      </c>
      <c r="W53" s="276">
        <f t="shared" si="24"/>
        <v>0</v>
      </c>
      <c r="X53" s="276">
        <f t="shared" si="24"/>
        <v>0</v>
      </c>
      <c r="Y53" s="276"/>
      <c r="Z53" s="276">
        <f t="shared" si="25"/>
        <v>1764.0162849454209</v>
      </c>
      <c r="AA53" s="276"/>
      <c r="AB53" s="276"/>
      <c r="AC53" s="276"/>
      <c r="AD53" s="276" t="e">
        <f t="shared" si="25"/>
        <v>#REF!</v>
      </c>
      <c r="AE53" s="286"/>
      <c r="AF53" s="276" t="e">
        <f t="shared" si="26"/>
        <v>#REF!</v>
      </c>
      <c r="AG53" s="276">
        <f t="shared" si="26"/>
        <v>101306.78167753399</v>
      </c>
      <c r="AH53" s="276" t="e">
        <f t="shared" si="26"/>
        <v>#REF!</v>
      </c>
      <c r="AI53" s="281"/>
      <c r="AJ53" s="286"/>
      <c r="AK53" s="276" t="e">
        <f t="shared" si="27"/>
        <v>#REF!</v>
      </c>
      <c r="AL53" s="276" t="e">
        <f t="shared" si="27"/>
        <v>#REF!</v>
      </c>
      <c r="AM53" s="276"/>
      <c r="AN53" s="276"/>
      <c r="AO53" s="276"/>
      <c r="AP53" s="276" t="e">
        <f t="shared" si="28"/>
        <v>#REF!</v>
      </c>
      <c r="AQ53" s="286"/>
      <c r="AR53" s="281" t="e">
        <f t="shared" si="29"/>
        <v>#REF!</v>
      </c>
      <c r="AS53" s="281">
        <f t="shared" si="29"/>
        <v>3.7415422050028006E-2</v>
      </c>
      <c r="AT53" s="281" t="e">
        <f t="shared" si="29"/>
        <v>#REF!</v>
      </c>
      <c r="AU53" s="286"/>
      <c r="AV53" s="281" t="e">
        <f t="shared" si="30"/>
        <v>#REF!</v>
      </c>
      <c r="AW53" s="281">
        <f t="shared" si="30"/>
        <v>6.6304581296341286E-4</v>
      </c>
      <c r="AX53" s="281" t="e">
        <f t="shared" si="30"/>
        <v>#REF!</v>
      </c>
      <c r="AY53" s="286"/>
      <c r="AZ53" s="281" t="e">
        <f t="shared" si="31"/>
        <v>#REF!</v>
      </c>
      <c r="BA53" s="281">
        <f t="shared" si="31"/>
        <v>3.8078467862991419E-2</v>
      </c>
      <c r="BB53" s="281" t="e">
        <f t="shared" si="31"/>
        <v>#REF!</v>
      </c>
    </row>
    <row r="54" spans="7:54" hidden="1" outlineLevel="1" x14ac:dyDescent="0.2">
      <c r="H54" s="273">
        <v>3</v>
      </c>
      <c r="I54" s="274" t="s">
        <v>34</v>
      </c>
      <c r="J54" s="274" t="s">
        <v>35</v>
      </c>
      <c r="K54" s="276" t="e">
        <f t="shared" si="23"/>
        <v>#REF!</v>
      </c>
      <c r="L54" s="276">
        <f t="shared" si="23"/>
        <v>3629650.2502132724</v>
      </c>
      <c r="M54" s="276" t="e">
        <f t="shared" si="23"/>
        <v>#REF!</v>
      </c>
      <c r="N54" s="276" t="e">
        <f t="shared" si="23"/>
        <v>#REF!</v>
      </c>
      <c r="O54" s="276">
        <f t="shared" si="23"/>
        <v>149657.89919714822</v>
      </c>
      <c r="P54" s="276" t="e">
        <f t="shared" si="23"/>
        <v>#REF!</v>
      </c>
      <c r="Q54" s="281"/>
      <c r="S54" s="276" t="e">
        <f t="shared" si="24"/>
        <v>#REF!</v>
      </c>
      <c r="T54" s="276">
        <f t="shared" si="24"/>
        <v>0</v>
      </c>
      <c r="U54" s="276" t="e">
        <f t="shared" si="24"/>
        <v>#REF!</v>
      </c>
      <c r="V54" s="276" t="e">
        <f t="shared" si="24"/>
        <v>#REF!</v>
      </c>
      <c r="W54" s="276">
        <f t="shared" si="24"/>
        <v>0</v>
      </c>
      <c r="X54" s="276">
        <f t="shared" si="24"/>
        <v>0</v>
      </c>
      <c r="Y54" s="276"/>
      <c r="Z54" s="276">
        <f t="shared" si="25"/>
        <v>4456.2331011185888</v>
      </c>
      <c r="AA54" s="276"/>
      <c r="AB54" s="276"/>
      <c r="AC54" s="276"/>
      <c r="AD54" s="276" t="e">
        <f t="shared" si="25"/>
        <v>#REF!</v>
      </c>
      <c r="AE54" s="286"/>
      <c r="AF54" s="276" t="e">
        <f t="shared" si="26"/>
        <v>#REF!</v>
      </c>
      <c r="AG54" s="276">
        <f t="shared" si="26"/>
        <v>154114.13229826681</v>
      </c>
      <c r="AH54" s="276" t="e">
        <f t="shared" si="26"/>
        <v>#REF!</v>
      </c>
      <c r="AI54" s="281"/>
      <c r="AJ54" s="286"/>
      <c r="AK54" s="276" t="e">
        <f t="shared" si="27"/>
        <v>#REF!</v>
      </c>
      <c r="AL54" s="276" t="e">
        <f t="shared" si="27"/>
        <v>#REF!</v>
      </c>
      <c r="AM54" s="276"/>
      <c r="AN54" s="276"/>
      <c r="AO54" s="276"/>
      <c r="AP54" s="276" t="e">
        <f t="shared" si="28"/>
        <v>#REF!</v>
      </c>
      <c r="AQ54" s="286"/>
      <c r="AR54" s="281" t="e">
        <f t="shared" si="29"/>
        <v>#REF!</v>
      </c>
      <c r="AS54" s="281">
        <f t="shared" si="29"/>
        <v>4.1232044103520597E-2</v>
      </c>
      <c r="AT54" s="281" t="e">
        <f t="shared" si="29"/>
        <v>#REF!</v>
      </c>
      <c r="AU54" s="286"/>
      <c r="AV54" s="281" t="e">
        <f t="shared" si="30"/>
        <v>#REF!</v>
      </c>
      <c r="AW54" s="281">
        <f t="shared" si="30"/>
        <v>1.2277307161638329E-3</v>
      </c>
      <c r="AX54" s="281" t="e">
        <f t="shared" si="30"/>
        <v>#REF!</v>
      </c>
      <c r="AY54" s="286"/>
      <c r="AZ54" s="281" t="e">
        <f t="shared" si="31"/>
        <v>#REF!</v>
      </c>
      <c r="BA54" s="281">
        <f t="shared" si="31"/>
        <v>4.245977481968443E-2</v>
      </c>
      <c r="BB54" s="281" t="e">
        <f t="shared" si="31"/>
        <v>#REF!</v>
      </c>
    </row>
    <row r="55" spans="7:54" hidden="1" outlineLevel="1" x14ac:dyDescent="0.2">
      <c r="H55" s="273">
        <v>4</v>
      </c>
      <c r="I55" s="274" t="s">
        <v>58</v>
      </c>
      <c r="J55" s="274" t="s">
        <v>59</v>
      </c>
      <c r="K55" s="276" t="e">
        <f t="shared" si="23"/>
        <v>#REF!</v>
      </c>
      <c r="L55" s="276">
        <f t="shared" si="23"/>
        <v>2191775.2460433934</v>
      </c>
      <c r="M55" s="276" t="e">
        <f t="shared" si="23"/>
        <v>#REF!</v>
      </c>
      <c r="N55" s="276" t="e">
        <f t="shared" si="23"/>
        <v>#REF!</v>
      </c>
      <c r="O55" s="276">
        <f t="shared" si="23"/>
        <v>103425.0977043318</v>
      </c>
      <c r="P55" s="276" t="e">
        <f t="shared" si="23"/>
        <v>#REF!</v>
      </c>
      <c r="Q55" s="281"/>
      <c r="S55" s="276" t="e">
        <f t="shared" si="24"/>
        <v>#REF!</v>
      </c>
      <c r="T55" s="276">
        <f t="shared" si="24"/>
        <v>0</v>
      </c>
      <c r="U55" s="276" t="e">
        <f t="shared" si="24"/>
        <v>#REF!</v>
      </c>
      <c r="V55" s="276" t="e">
        <f t="shared" si="24"/>
        <v>#REF!</v>
      </c>
      <c r="W55" s="276">
        <f t="shared" si="24"/>
        <v>0</v>
      </c>
      <c r="X55" s="276">
        <f t="shared" si="24"/>
        <v>0</v>
      </c>
      <c r="Y55" s="276"/>
      <c r="Z55" s="276">
        <f t="shared" si="25"/>
        <v>5490.0314996287925</v>
      </c>
      <c r="AA55" s="276"/>
      <c r="AB55" s="276"/>
      <c r="AC55" s="276"/>
      <c r="AD55" s="276" t="e">
        <f t="shared" si="25"/>
        <v>#REF!</v>
      </c>
      <c r="AE55" s="286"/>
      <c r="AF55" s="276" t="e">
        <f t="shared" si="26"/>
        <v>#REF!</v>
      </c>
      <c r="AG55" s="276">
        <f t="shared" si="26"/>
        <v>108915.12920396059</v>
      </c>
      <c r="AH55" s="276" t="e">
        <f t="shared" si="26"/>
        <v>#REF!</v>
      </c>
      <c r="AI55" s="281"/>
      <c r="AJ55" s="286"/>
      <c r="AK55" s="276" t="e">
        <f t="shared" si="27"/>
        <v>#REF!</v>
      </c>
      <c r="AL55" s="276" t="e">
        <f t="shared" si="27"/>
        <v>#REF!</v>
      </c>
      <c r="AM55" s="276"/>
      <c r="AN55" s="276"/>
      <c r="AO55" s="276"/>
      <c r="AP55" s="276" t="e">
        <f t="shared" si="28"/>
        <v>#REF!</v>
      </c>
      <c r="AQ55" s="286"/>
      <c r="AR55" s="281" t="e">
        <f t="shared" si="29"/>
        <v>#REF!</v>
      </c>
      <c r="AS55" s="281">
        <f t="shared" si="29"/>
        <v>4.71878208730733E-2</v>
      </c>
      <c r="AT55" s="281" t="e">
        <f t="shared" si="29"/>
        <v>#REF!</v>
      </c>
      <c r="AU55" s="286"/>
      <c r="AV55" s="281" t="e">
        <f t="shared" si="30"/>
        <v>#REF!</v>
      </c>
      <c r="AW55" s="281">
        <f t="shared" si="30"/>
        <v>2.5048332439831233E-3</v>
      </c>
      <c r="AX55" s="281" t="e">
        <f t="shared" si="30"/>
        <v>#REF!</v>
      </c>
      <c r="AY55" s="286"/>
      <c r="AZ55" s="281" t="e">
        <f t="shared" si="31"/>
        <v>#REF!</v>
      </c>
      <c r="BA55" s="281">
        <f t="shared" si="31"/>
        <v>4.9692654117056423E-2</v>
      </c>
      <c r="BB55" s="281" t="e">
        <f t="shared" si="31"/>
        <v>#REF!</v>
      </c>
    </row>
    <row r="56" spans="7:54" hidden="1" outlineLevel="1" x14ac:dyDescent="0.2">
      <c r="H56" s="273">
        <v>5</v>
      </c>
      <c r="I56" s="274" t="s">
        <v>72</v>
      </c>
      <c r="J56" s="274" t="s">
        <v>73</v>
      </c>
      <c r="K56" s="276" t="e">
        <f t="shared" si="23"/>
        <v>#REF!</v>
      </c>
      <c r="L56" s="276">
        <f t="shared" si="23"/>
        <v>3741662.583626274</v>
      </c>
      <c r="M56" s="276" t="e">
        <f t="shared" si="23"/>
        <v>#REF!</v>
      </c>
      <c r="N56" s="276" t="e">
        <f t="shared" si="23"/>
        <v>#REF!</v>
      </c>
      <c r="O56" s="276">
        <f t="shared" si="23"/>
        <v>137199.45013834757</v>
      </c>
      <c r="P56" s="276" t="e">
        <f t="shared" si="23"/>
        <v>#REF!</v>
      </c>
      <c r="Q56" s="281"/>
      <c r="S56" s="276" t="e">
        <f t="shared" si="24"/>
        <v>#REF!</v>
      </c>
      <c r="T56" s="276">
        <f t="shared" si="24"/>
        <v>0</v>
      </c>
      <c r="U56" s="276" t="e">
        <f t="shared" si="24"/>
        <v>#REF!</v>
      </c>
      <c r="V56" s="276" t="e">
        <f t="shared" si="24"/>
        <v>#REF!</v>
      </c>
      <c r="W56" s="276">
        <f t="shared" si="24"/>
        <v>0</v>
      </c>
      <c r="X56" s="276">
        <f t="shared" si="24"/>
        <v>0</v>
      </c>
      <c r="Y56" s="276"/>
      <c r="Z56" s="276">
        <f t="shared" si="25"/>
        <v>2470.7623250097968</v>
      </c>
      <c r="AA56" s="276"/>
      <c r="AB56" s="276"/>
      <c r="AC56" s="276"/>
      <c r="AD56" s="276" t="e">
        <f t="shared" si="25"/>
        <v>#REF!</v>
      </c>
      <c r="AE56" s="286"/>
      <c r="AF56" s="276" t="e">
        <f t="shared" si="26"/>
        <v>#REF!</v>
      </c>
      <c r="AG56" s="276">
        <f t="shared" si="26"/>
        <v>139670.21246335737</v>
      </c>
      <c r="AH56" s="276" t="e">
        <f t="shared" si="26"/>
        <v>#REF!</v>
      </c>
      <c r="AI56" s="281"/>
      <c r="AJ56" s="286"/>
      <c r="AK56" s="276" t="e">
        <f t="shared" si="27"/>
        <v>#REF!</v>
      </c>
      <c r="AL56" s="276" t="e">
        <f t="shared" si="27"/>
        <v>#REF!</v>
      </c>
      <c r="AM56" s="276"/>
      <c r="AN56" s="276"/>
      <c r="AO56" s="276"/>
      <c r="AP56" s="276" t="e">
        <f t="shared" si="28"/>
        <v>#REF!</v>
      </c>
      <c r="AQ56" s="286"/>
      <c r="AR56" s="281" t="e">
        <f t="shared" si="29"/>
        <v>#REF!</v>
      </c>
      <c r="AS56" s="281">
        <f t="shared" si="29"/>
        <v>3.6668044504798505E-2</v>
      </c>
      <c r="AT56" s="281" t="e">
        <f t="shared" si="29"/>
        <v>#REF!</v>
      </c>
      <c r="AU56" s="286"/>
      <c r="AV56" s="281" t="e">
        <f t="shared" si="30"/>
        <v>#REF!</v>
      </c>
      <c r="AW56" s="281">
        <f t="shared" si="30"/>
        <v>6.6033809029761303E-4</v>
      </c>
      <c r="AX56" s="281" t="e">
        <f t="shared" si="30"/>
        <v>#REF!</v>
      </c>
      <c r="AY56" s="286"/>
      <c r="AZ56" s="281" t="e">
        <f t="shared" si="31"/>
        <v>#REF!</v>
      </c>
      <c r="BA56" s="281">
        <f t="shared" si="31"/>
        <v>3.7328382595096118E-2</v>
      </c>
      <c r="BB56" s="281" t="e">
        <f t="shared" si="31"/>
        <v>#REF!</v>
      </c>
    </row>
    <row r="57" spans="7:54" hidden="1" outlineLevel="1" x14ac:dyDescent="0.2">
      <c r="H57" s="273">
        <v>6</v>
      </c>
      <c r="I57" s="274" t="s">
        <v>84</v>
      </c>
      <c r="J57" s="274" t="s">
        <v>85</v>
      </c>
      <c r="K57" s="276" t="e">
        <f t="shared" si="23"/>
        <v>#REF!</v>
      </c>
      <c r="L57" s="276">
        <f t="shared" si="23"/>
        <v>2977566.3767320681</v>
      </c>
      <c r="M57" s="276" t="e">
        <f t="shared" si="23"/>
        <v>#REF!</v>
      </c>
      <c r="N57" s="276" t="e">
        <f t="shared" si="23"/>
        <v>#REF!</v>
      </c>
      <c r="O57" s="276">
        <f t="shared" si="23"/>
        <v>124274.88130601402</v>
      </c>
      <c r="P57" s="276" t="e">
        <f t="shared" si="23"/>
        <v>#REF!</v>
      </c>
      <c r="Q57" s="281"/>
      <c r="S57" s="276" t="e">
        <f t="shared" si="24"/>
        <v>#REF!</v>
      </c>
      <c r="T57" s="276">
        <f t="shared" si="24"/>
        <v>0</v>
      </c>
      <c r="U57" s="276" t="e">
        <f t="shared" si="24"/>
        <v>#REF!</v>
      </c>
      <c r="V57" s="276" t="e">
        <f t="shared" si="24"/>
        <v>#REF!</v>
      </c>
      <c r="W57" s="276">
        <f t="shared" si="24"/>
        <v>0</v>
      </c>
      <c r="X57" s="276">
        <f t="shared" si="24"/>
        <v>0</v>
      </c>
      <c r="Y57" s="276"/>
      <c r="Z57" s="276">
        <f t="shared" si="25"/>
        <v>3491.7753455752973</v>
      </c>
      <c r="AA57" s="276"/>
      <c r="AB57" s="276"/>
      <c r="AC57" s="276"/>
      <c r="AD57" s="276" t="e">
        <f t="shared" si="25"/>
        <v>#REF!</v>
      </c>
      <c r="AE57" s="286"/>
      <c r="AF57" s="276" t="e">
        <f t="shared" si="26"/>
        <v>#REF!</v>
      </c>
      <c r="AG57" s="276">
        <f t="shared" si="26"/>
        <v>127766.65665158932</v>
      </c>
      <c r="AH57" s="276" t="e">
        <f t="shared" si="26"/>
        <v>#REF!</v>
      </c>
      <c r="AI57" s="281"/>
      <c r="AJ57" s="286"/>
      <c r="AK57" s="276" t="e">
        <f t="shared" si="27"/>
        <v>#REF!</v>
      </c>
      <c r="AL57" s="276" t="e">
        <f t="shared" si="27"/>
        <v>#REF!</v>
      </c>
      <c r="AM57" s="276"/>
      <c r="AN57" s="276"/>
      <c r="AO57" s="276"/>
      <c r="AP57" s="276" t="e">
        <f t="shared" si="28"/>
        <v>#REF!</v>
      </c>
      <c r="AQ57" s="286"/>
      <c r="AR57" s="281" t="e">
        <f t="shared" si="29"/>
        <v>#REF!</v>
      </c>
      <c r="AS57" s="281">
        <f t="shared" si="29"/>
        <v>4.1737064965922915E-2</v>
      </c>
      <c r="AT57" s="281" t="e">
        <f t="shared" si="29"/>
        <v>#REF!</v>
      </c>
      <c r="AU57" s="286"/>
      <c r="AV57" s="281" t="e">
        <f t="shared" si="30"/>
        <v>#REF!</v>
      </c>
      <c r="AW57" s="281">
        <f t="shared" si="30"/>
        <v>1.1726943764751863E-3</v>
      </c>
      <c r="AX57" s="281" t="e">
        <f t="shared" si="30"/>
        <v>#REF!</v>
      </c>
      <c r="AY57" s="286"/>
      <c r="AZ57" s="281" t="e">
        <f t="shared" si="31"/>
        <v>#REF!</v>
      </c>
      <c r="BA57" s="281">
        <f t="shared" si="31"/>
        <v>4.2909759342398102E-2</v>
      </c>
      <c r="BB57" s="281" t="e">
        <f t="shared" si="31"/>
        <v>#REF!</v>
      </c>
    </row>
    <row r="58" spans="7:54" hidden="1" outlineLevel="1" x14ac:dyDescent="0.2">
      <c r="H58" s="273">
        <v>7</v>
      </c>
      <c r="I58" s="274" t="s">
        <v>98</v>
      </c>
      <c r="J58" s="274" t="s">
        <v>99</v>
      </c>
      <c r="K58" s="276" t="e">
        <f t="shared" si="23"/>
        <v>#REF!</v>
      </c>
      <c r="L58" s="276">
        <f t="shared" si="23"/>
        <v>1920073.1334201174</v>
      </c>
      <c r="M58" s="276" t="e">
        <f t="shared" si="23"/>
        <v>#REF!</v>
      </c>
      <c r="N58" s="276" t="e">
        <f t="shared" si="23"/>
        <v>#REF!</v>
      </c>
      <c r="O58" s="276">
        <f t="shared" si="23"/>
        <v>84156.328344673268</v>
      </c>
      <c r="P58" s="276" t="e">
        <f t="shared" si="23"/>
        <v>#REF!</v>
      </c>
      <c r="Q58" s="281"/>
      <c r="S58" s="276" t="e">
        <f t="shared" si="24"/>
        <v>#REF!</v>
      </c>
      <c r="T58" s="276">
        <f t="shared" si="24"/>
        <v>0</v>
      </c>
      <c r="U58" s="276" t="e">
        <f t="shared" si="24"/>
        <v>#REF!</v>
      </c>
      <c r="V58" s="276" t="e">
        <f t="shared" si="24"/>
        <v>#REF!</v>
      </c>
      <c r="W58" s="276">
        <f t="shared" si="24"/>
        <v>0</v>
      </c>
      <c r="X58" s="276">
        <f t="shared" si="24"/>
        <v>0</v>
      </c>
      <c r="Y58" s="276"/>
      <c r="Z58" s="276">
        <f t="shared" si="25"/>
        <v>2655.9096102339099</v>
      </c>
      <c r="AA58" s="276"/>
      <c r="AB58" s="276"/>
      <c r="AC58" s="276"/>
      <c r="AD58" s="276" t="e">
        <f t="shared" si="25"/>
        <v>#REF!</v>
      </c>
      <c r="AE58" s="286"/>
      <c r="AF58" s="276" t="e">
        <f t="shared" si="26"/>
        <v>#REF!</v>
      </c>
      <c r="AG58" s="276">
        <f t="shared" si="26"/>
        <v>86812.237954907177</v>
      </c>
      <c r="AH58" s="276" t="e">
        <f t="shared" si="26"/>
        <v>#REF!</v>
      </c>
      <c r="AI58" s="281"/>
      <c r="AJ58" s="286"/>
      <c r="AK58" s="276" t="e">
        <f t="shared" si="27"/>
        <v>#REF!</v>
      </c>
      <c r="AL58" s="276" t="e">
        <f t="shared" si="27"/>
        <v>#REF!</v>
      </c>
      <c r="AM58" s="276"/>
      <c r="AN58" s="276"/>
      <c r="AO58" s="276"/>
      <c r="AP58" s="276" t="e">
        <f t="shared" si="28"/>
        <v>#REF!</v>
      </c>
      <c r="AQ58" s="286"/>
      <c r="AR58" s="281" t="e">
        <f t="shared" si="29"/>
        <v>#REF!</v>
      </c>
      <c r="AS58" s="281">
        <f t="shared" si="29"/>
        <v>4.3829751523459096E-2</v>
      </c>
      <c r="AT58" s="281" t="e">
        <f t="shared" si="29"/>
        <v>#REF!</v>
      </c>
      <c r="AU58" s="286"/>
      <c r="AV58" s="281" t="e">
        <f t="shared" si="30"/>
        <v>#REF!</v>
      </c>
      <c r="AW58" s="281">
        <f t="shared" si="30"/>
        <v>1.3832335675168159E-3</v>
      </c>
      <c r="AX58" s="281" t="e">
        <f t="shared" si="30"/>
        <v>#REF!</v>
      </c>
      <c r="AY58" s="286"/>
      <c r="AZ58" s="281" t="e">
        <f t="shared" si="31"/>
        <v>#REF!</v>
      </c>
      <c r="BA58" s="281">
        <f t="shared" si="31"/>
        <v>4.5212985090975912E-2</v>
      </c>
      <c r="BB58" s="281" t="e">
        <f t="shared" si="31"/>
        <v>#REF!</v>
      </c>
    </row>
    <row r="59" spans="7:54" s="82" customFormat="1" ht="15" hidden="1" outlineLevel="1" x14ac:dyDescent="0.25">
      <c r="G59" s="277"/>
      <c r="H59" s="278"/>
      <c r="I59" s="279" t="s">
        <v>115</v>
      </c>
      <c r="J59" s="279" t="s">
        <v>116</v>
      </c>
      <c r="K59" s="280" t="e">
        <f t="shared" ref="K59:P59" si="32">SUM(K52:K58)</f>
        <v>#REF!</v>
      </c>
      <c r="L59" s="280">
        <f t="shared" si="32"/>
        <v>19766480.402186796</v>
      </c>
      <c r="M59" s="280" t="e">
        <f t="shared" si="32"/>
        <v>#REF!</v>
      </c>
      <c r="N59" s="282" t="e">
        <f t="shared" si="32"/>
        <v>#REF!</v>
      </c>
      <c r="O59" s="282">
        <f t="shared" si="32"/>
        <v>818230.6149078015</v>
      </c>
      <c r="P59" s="282" t="e">
        <f t="shared" si="32"/>
        <v>#REF!</v>
      </c>
      <c r="Q59" s="283"/>
      <c r="S59" s="282" t="e">
        <f t="shared" ref="S59:X59" si="33">SUM(S52:S58)</f>
        <v>#REF!</v>
      </c>
      <c r="T59" s="282">
        <f t="shared" si="33"/>
        <v>0</v>
      </c>
      <c r="U59" s="282" t="e">
        <f t="shared" si="33"/>
        <v>#REF!</v>
      </c>
      <c r="V59" s="282" t="e">
        <f t="shared" si="33"/>
        <v>#REF!</v>
      </c>
      <c r="W59" s="282">
        <f t="shared" si="33"/>
        <v>0</v>
      </c>
      <c r="X59" s="282">
        <f t="shared" si="33"/>
        <v>0</v>
      </c>
      <c r="Y59" s="282"/>
      <c r="Z59" s="282">
        <f>SUM(Z52:Z58)</f>
        <v>26662.858177471848</v>
      </c>
      <c r="AA59" s="282"/>
      <c r="AB59" s="282"/>
      <c r="AC59" s="282"/>
      <c r="AD59" s="282" t="e">
        <f>SUM(AD52:AD58)</f>
        <v>#REF!</v>
      </c>
      <c r="AE59" s="287"/>
      <c r="AF59" s="282" t="e">
        <f>SUM(AF52:AF58)</f>
        <v>#REF!</v>
      </c>
      <c r="AG59" s="282">
        <f>SUM(AG52:AG58)</f>
        <v>844893.47308527329</v>
      </c>
      <c r="AH59" s="282" t="e">
        <f>SUM(AH52:AH58)</f>
        <v>#REF!</v>
      </c>
      <c r="AI59" s="283"/>
      <c r="AJ59" s="287"/>
      <c r="AK59" s="282" t="e">
        <f>SUM(AK52:AK58)</f>
        <v>#REF!</v>
      </c>
      <c r="AL59" s="282" t="e">
        <f>SUM(AL52:AL58)</f>
        <v>#REF!</v>
      </c>
      <c r="AM59" s="282"/>
      <c r="AN59" s="282"/>
      <c r="AO59" s="282"/>
      <c r="AP59" s="282" t="e">
        <f>SUM(AP52:AP58)</f>
        <v>#REF!</v>
      </c>
      <c r="AQ59" s="287"/>
      <c r="AR59" s="283" t="e">
        <f t="shared" si="29"/>
        <v>#REF!</v>
      </c>
      <c r="AS59" s="283">
        <f t="shared" si="29"/>
        <v>4.1394856254595498E-2</v>
      </c>
      <c r="AT59" s="283" t="e">
        <f t="shared" si="29"/>
        <v>#REF!</v>
      </c>
      <c r="AU59" s="287"/>
      <c r="AV59" s="283" t="e">
        <f t="shared" si="30"/>
        <v>#REF!</v>
      </c>
      <c r="AW59" s="283">
        <f t="shared" si="30"/>
        <v>1.3488925511757829E-3</v>
      </c>
      <c r="AX59" s="283" t="e">
        <f t="shared" si="30"/>
        <v>#REF!</v>
      </c>
      <c r="AY59" s="287"/>
      <c r="AZ59" s="283" t="e">
        <f t="shared" si="31"/>
        <v>#REF!</v>
      </c>
      <c r="BA59" s="283">
        <f t="shared" si="31"/>
        <v>4.2743748805771281E-2</v>
      </c>
      <c r="BB59" s="283" t="e">
        <f t="shared" si="31"/>
        <v>#REF!</v>
      </c>
    </row>
    <row r="60" spans="7:54" hidden="1" outlineLevel="1" x14ac:dyDescent="0.2"/>
    <row r="61" spans="7:54" ht="15" collapsed="1" x14ac:dyDescent="0.25">
      <c r="J61" s="318" t="s">
        <v>115</v>
      </c>
      <c r="K61" s="319" t="e">
        <f t="shared" ref="K61:P61" si="34">SUM(K7:K48)</f>
        <v>#REF!</v>
      </c>
      <c r="L61" s="319">
        <f t="shared" si="34"/>
        <v>19766480.402186796</v>
      </c>
      <c r="M61" s="319" t="e">
        <f t="shared" si="34"/>
        <v>#REF!</v>
      </c>
      <c r="N61" s="319" t="e">
        <f t="shared" si="34"/>
        <v>#REF!</v>
      </c>
      <c r="O61" s="319">
        <f t="shared" si="34"/>
        <v>818230.61490780138</v>
      </c>
      <c r="P61" s="319" t="e">
        <f t="shared" si="34"/>
        <v>#REF!</v>
      </c>
      <c r="Q61" s="416" t="e">
        <f>AT61</f>
        <v>#REF!</v>
      </c>
      <c r="R61" s="318"/>
      <c r="S61" s="319" t="e">
        <f t="shared" ref="S61:AD61" si="35">SUM(S7:S48)</f>
        <v>#REF!</v>
      </c>
      <c r="T61" s="319">
        <f t="shared" si="35"/>
        <v>0</v>
      </c>
      <c r="U61" s="319" t="e">
        <f t="shared" si="35"/>
        <v>#REF!</v>
      </c>
      <c r="V61" s="319" t="e">
        <f t="shared" si="35"/>
        <v>#REF!</v>
      </c>
      <c r="W61" s="319">
        <f t="shared" si="35"/>
        <v>0</v>
      </c>
      <c r="X61" s="319">
        <f t="shared" si="35"/>
        <v>0</v>
      </c>
      <c r="Y61" s="319">
        <f t="shared" si="35"/>
        <v>0</v>
      </c>
      <c r="Z61" s="319">
        <f t="shared" si="35"/>
        <v>26662.858177471848</v>
      </c>
      <c r="AA61" s="319">
        <f t="shared" si="35"/>
        <v>0</v>
      </c>
      <c r="AB61" s="319">
        <f t="shared" si="35"/>
        <v>0</v>
      </c>
      <c r="AC61" s="319">
        <f t="shared" si="35"/>
        <v>0</v>
      </c>
      <c r="AD61" s="319" t="e">
        <f t="shared" si="35"/>
        <v>#REF!</v>
      </c>
      <c r="AE61" s="313"/>
      <c r="AF61" s="319" t="e">
        <f>SUM(AF7:AF48)</f>
        <v>#REF!</v>
      </c>
      <c r="AG61" s="319">
        <f>SUM(AG7:AG48)</f>
        <v>844893.47308527341</v>
      </c>
      <c r="AH61" s="319" t="e">
        <f>SUM(AH7:AH48)</f>
        <v>#REF!</v>
      </c>
      <c r="AI61" s="416" t="e">
        <f>BB61</f>
        <v>#REF!</v>
      </c>
      <c r="AJ61" s="313" t="s">
        <v>115</v>
      </c>
      <c r="AK61" s="317" t="e">
        <f>SUM(AK7:AK48)</f>
        <v>#REF!</v>
      </c>
      <c r="AL61" s="317" t="e">
        <f>SUM(AL7:AL48)</f>
        <v>#REF!</v>
      </c>
      <c r="AM61" s="317" t="e">
        <f>SUM(AM7:AM48)</f>
        <v>#REF!</v>
      </c>
      <c r="AN61" s="317" t="e">
        <f>SUM(AN7:AN48)</f>
        <v>#REF!</v>
      </c>
      <c r="AO61" s="317" t="e">
        <f>AP61-AK61</f>
        <v>#REF!</v>
      </c>
      <c r="AP61" s="317" t="e">
        <f>SUM(AP7:AP48)</f>
        <v>#REF!</v>
      </c>
      <c r="AQ61" s="287"/>
      <c r="AR61" s="307" t="e">
        <f>N61/K61</f>
        <v>#REF!</v>
      </c>
      <c r="AS61" s="307">
        <f>O61/L61</f>
        <v>4.1394856254595498E-2</v>
      </c>
      <c r="AT61" s="307" t="e">
        <f>P61/M61</f>
        <v>#REF!</v>
      </c>
      <c r="AU61" s="308"/>
      <c r="AV61" s="307" t="e">
        <f>AZ61-AR61</f>
        <v>#REF!</v>
      </c>
      <c r="AW61" s="307">
        <f t="shared" ref="AW61" si="36">BA61-AS61</f>
        <v>1.3488925511757899E-3</v>
      </c>
      <c r="AX61" s="307" t="e">
        <f t="shared" ref="AX61" si="37">BB61-AT61</f>
        <v>#REF!</v>
      </c>
      <c r="AY61" s="308"/>
      <c r="AZ61" s="307" t="e">
        <f>AF61/K61</f>
        <v>#REF!</v>
      </c>
      <c r="BA61" s="307">
        <f>AG61/L61</f>
        <v>4.2743748805771288E-2</v>
      </c>
      <c r="BB61" s="307" t="e">
        <f>AH61/M61</f>
        <v>#REF!</v>
      </c>
    </row>
    <row r="62" spans="7:54" ht="15" x14ac:dyDescent="0.25">
      <c r="J62" s="313" t="s">
        <v>252</v>
      </c>
      <c r="K62" s="314"/>
      <c r="L62" s="314"/>
      <c r="M62" s="314"/>
      <c r="N62" s="314"/>
      <c r="O62" s="315"/>
      <c r="P62" s="314"/>
      <c r="Q62" s="314"/>
      <c r="R62" s="314"/>
      <c r="S62" s="314" t="s">
        <v>7</v>
      </c>
      <c r="T62" s="314" t="s">
        <v>7</v>
      </c>
      <c r="U62" s="314" t="s">
        <v>7</v>
      </c>
      <c r="V62" s="314" t="s">
        <v>7</v>
      </c>
      <c r="W62" s="314" t="s">
        <v>333</v>
      </c>
      <c r="X62" s="314" t="s">
        <v>333</v>
      </c>
      <c r="Y62" s="314"/>
      <c r="Z62" s="314" t="s">
        <v>333</v>
      </c>
      <c r="AA62" s="314"/>
      <c r="AB62" s="314"/>
      <c r="AC62" s="314" t="s">
        <v>7</v>
      </c>
      <c r="AD62" s="314" t="s">
        <v>334</v>
      </c>
      <c r="AE62" s="316"/>
      <c r="AF62" s="314"/>
      <c r="AG62" s="314"/>
      <c r="AH62" s="314"/>
      <c r="AI62" s="314"/>
      <c r="AJ62" s="316" t="s">
        <v>252</v>
      </c>
      <c r="AK62" s="317">
        <f>SUMIFS(AK$7:AK$48,AK$7:AK$48,"&lt;0")</f>
        <v>0</v>
      </c>
      <c r="AL62" s="317"/>
      <c r="AM62" s="317"/>
      <c r="AN62" s="317"/>
      <c r="AO62" s="317">
        <f>AP62-AK62</f>
        <v>0</v>
      </c>
      <c r="AP62" s="317">
        <f t="shared" ref="AP62" si="38">SUMIFS(AP$7:AP$48,AP$7:AP$48,"&lt;0")</f>
        <v>0</v>
      </c>
      <c r="AQ62" s="286"/>
      <c r="AR62" s="61" t="e">
        <f>AO62/$AO$61</f>
        <v>#REF!</v>
      </c>
      <c r="AU62" s="286"/>
      <c r="AY62" s="286"/>
    </row>
    <row r="63" spans="7:54" ht="15" x14ac:dyDescent="0.25">
      <c r="G63" s="82"/>
      <c r="H63" s="82"/>
      <c r="I63" s="82"/>
      <c r="J63" s="313" t="s">
        <v>384</v>
      </c>
      <c r="K63" s="314"/>
      <c r="L63" s="314"/>
      <c r="M63" s="314"/>
      <c r="N63" s="314"/>
      <c r="O63" s="314"/>
      <c r="P63" s="314"/>
      <c r="Q63" s="415"/>
      <c r="R63" s="314"/>
      <c r="S63" s="314"/>
      <c r="T63" s="314"/>
      <c r="U63" s="314"/>
      <c r="V63" s="314"/>
      <c r="W63" s="314"/>
      <c r="X63" s="314"/>
      <c r="Y63" s="314"/>
      <c r="Z63" s="314"/>
      <c r="AA63" s="314"/>
      <c r="AB63" s="314"/>
      <c r="AC63" s="314"/>
      <c r="AD63" s="314"/>
      <c r="AE63" s="316"/>
      <c r="AF63" s="315"/>
      <c r="AG63" s="315"/>
      <c r="AH63" s="314"/>
      <c r="AI63" s="415"/>
      <c r="AJ63" s="316" t="s">
        <v>384</v>
      </c>
      <c r="AK63" s="317">
        <f>SUMIFS(AK$7:AK$48,AK$7:AK$48,"&gt;0")</f>
        <v>0</v>
      </c>
      <c r="AL63" s="317"/>
      <c r="AM63" s="317"/>
      <c r="AN63" s="317"/>
      <c r="AO63" s="317">
        <f>AP63-AK63</f>
        <v>0</v>
      </c>
      <c r="AP63" s="317">
        <f t="shared" ref="AP63" si="39">SUMIFS(AP$7:AP$48,AP$7:AP$48,"&gt;0")</f>
        <v>0</v>
      </c>
      <c r="AQ63" s="286"/>
      <c r="AR63" s="262"/>
      <c r="AS63" s="262"/>
      <c r="AT63" s="262"/>
      <c r="AU63" s="286"/>
      <c r="AV63" s="262"/>
      <c r="AW63" s="262"/>
      <c r="AX63" s="262"/>
      <c r="AY63" s="286"/>
      <c r="AZ63" s="262"/>
      <c r="BA63" s="262"/>
      <c r="BB63" s="262"/>
    </row>
    <row r="64" spans="7:54" x14ac:dyDescent="0.2">
      <c r="U64" s="71"/>
    </row>
    <row r="65" spans="19:30" ht="15" x14ac:dyDescent="0.25">
      <c r="S65" s="319" t="e">
        <f>'Op 2 - Acute'!S61</f>
        <v>#REF!</v>
      </c>
      <c r="T65" s="319">
        <f>'Op 2 - Acute'!T61</f>
        <v>0</v>
      </c>
      <c r="U65" s="319" t="e">
        <f>'Op 2 - Acute'!U61</f>
        <v>#REF!</v>
      </c>
      <c r="V65" s="319" t="e">
        <f>'Op 2 - Acute'!V61</f>
        <v>#REF!</v>
      </c>
      <c r="W65" s="319">
        <f>'Op 2 - Acute'!W61</f>
        <v>85653.646234962784</v>
      </c>
      <c r="X65" s="319">
        <f>'Op 2 - Acute'!X61</f>
        <v>-30396.135887500772</v>
      </c>
      <c r="Y65" s="319">
        <f>'Op 2 - Acute'!Y61</f>
        <v>55257.510347461997</v>
      </c>
      <c r="Z65" s="319">
        <f>'Op 2 - Acute'!Z61</f>
        <v>47067.469229091606</v>
      </c>
      <c r="AA65" s="319"/>
      <c r="AB65" s="319"/>
      <c r="AC65" s="319"/>
      <c r="AD65" s="319" t="e">
        <f>'Op 2 - Acute'!AA61</f>
        <v>#REF!</v>
      </c>
    </row>
    <row r="66" spans="19:30" ht="15" x14ac:dyDescent="0.25">
      <c r="S66" s="319" t="e">
        <f>S65-S61</f>
        <v>#REF!</v>
      </c>
      <c r="T66" s="319">
        <f t="shared" ref="T66:AD66" si="40">T65-T61</f>
        <v>0</v>
      </c>
      <c r="U66" s="319" t="e">
        <f t="shared" si="40"/>
        <v>#REF!</v>
      </c>
      <c r="V66" s="319" t="e">
        <f t="shared" si="40"/>
        <v>#REF!</v>
      </c>
      <c r="W66" s="319">
        <f t="shared" si="40"/>
        <v>85653.646234962784</v>
      </c>
      <c r="X66" s="319">
        <f t="shared" si="40"/>
        <v>-30396.135887500772</v>
      </c>
      <c r="Y66" s="319">
        <f t="shared" si="40"/>
        <v>55257.510347461997</v>
      </c>
      <c r="Z66" s="319">
        <f t="shared" si="40"/>
        <v>20404.611051619759</v>
      </c>
      <c r="AA66" s="319"/>
      <c r="AB66" s="319"/>
      <c r="AC66" s="319"/>
      <c r="AD66" s="319" t="e">
        <f t="shared" si="40"/>
        <v>#REF!</v>
      </c>
    </row>
    <row r="71" spans="19:30" x14ac:dyDescent="0.2">
      <c r="T71" s="61">
        <f>675</f>
        <v>675</v>
      </c>
      <c r="U71" s="61">
        <f>T71*(1-1.1%)</f>
        <v>667.57500000000005</v>
      </c>
    </row>
    <row r="72" spans="19:30" x14ac:dyDescent="0.2">
      <c r="T72" s="61">
        <f>675</f>
        <v>675</v>
      </c>
      <c r="U72" s="61">
        <f>T72*(1-1.1%*'Op 2 - Acute'!E9)</f>
        <v>667.57500000000005</v>
      </c>
      <c r="V72" s="61">
        <f>U72-U71</f>
        <v>0</v>
      </c>
    </row>
  </sheetData>
  <conditionalFormatting sqref="Q7:Q48">
    <cfRule type="colorScale" priority="1">
      <colorScale>
        <cfvo type="min"/>
        <cfvo type="percentile" val="50"/>
        <cfvo type="max"/>
        <color rgb="FFF8696B"/>
        <color rgb="FFFFEB84"/>
        <color rgb="FF63BE7B"/>
      </colorScale>
    </cfRule>
  </conditionalFormatting>
  <conditionalFormatting sqref="AI7:AI48">
    <cfRule type="colorScale" priority="2">
      <colorScale>
        <cfvo type="min"/>
        <cfvo type="percentile" val="50"/>
        <cfvo type="max"/>
        <color rgb="FFF8696B"/>
        <color rgb="FFFFEB84"/>
        <color rgb="FF63BE7B"/>
      </colorScale>
    </cfRule>
  </conditionalFormatting>
  <conditionalFormatting sqref="AT7:AT48">
    <cfRule type="colorScale" priority="5">
      <colorScale>
        <cfvo type="min"/>
        <cfvo type="percentile" val="50"/>
        <cfvo type="max"/>
        <color rgb="FFF8696B"/>
        <color rgb="FFFFEB84"/>
        <color rgb="FF63BE7B"/>
      </colorScale>
    </cfRule>
  </conditionalFormatting>
  <conditionalFormatting sqref="AX7:AX48">
    <cfRule type="colorScale" priority="4">
      <colorScale>
        <cfvo type="min"/>
        <cfvo type="percentile" val="50"/>
        <cfvo type="max"/>
        <color rgb="FFF8696B"/>
        <color rgb="FFFFEB84"/>
        <color rgb="FF63BE7B"/>
      </colorScale>
    </cfRule>
  </conditionalFormatting>
  <conditionalFormatting sqref="BB7:BB48">
    <cfRule type="colorScale" priority="3">
      <colorScale>
        <cfvo type="min"/>
        <cfvo type="percentile" val="50"/>
        <cfvo type="max"/>
        <color rgb="FFF8696B"/>
        <color rgb="FFFFEB84"/>
        <color rgb="FF63BE7B"/>
      </colorScale>
    </cfRule>
  </conditionalFormatting>
  <dataValidations disablePrompts="1" count="5">
    <dataValidation type="list" allowBlank="1" showInputMessage="1" showErrorMessage="1" sqref="D12" xr:uid="{5AEA9BCB-B572-4577-8037-A4C5608AB995}">
      <formula1>"In floor, Not in floor"</formula1>
    </dataValidation>
    <dataValidation type="list" allowBlank="1" showInputMessage="1" showErrorMessage="1" sqref="D14" xr:uid="{63A73637-1B9E-4959-8102-01B696CE6EEF}">
      <formula1>"300,675"</formula1>
    </dataValidation>
    <dataValidation type="list" allowBlank="1" showInputMessage="1" showErrorMessage="1" sqref="D11" xr:uid="{E292FDCF-45BB-4E28-A2B3-D682E5900CA1}">
      <formula1>"MHIS included, MHIS on top"</formula1>
    </dataValidation>
    <dataValidation type="list" allowBlank="1" showInputMessage="1" showErrorMessage="1" sqref="D9" xr:uid="{C2826E7A-9E3F-422B-939A-8B0944EF0BC2}">
      <formula1>"150,200,230"</formula1>
    </dataValidation>
    <dataValidation type="list" allowBlank="1" showInputMessage="1" showErrorMessage="1" sqref="C7:C17" xr:uid="{2D392CC3-F541-4889-81AE-58195DD2A9DD}">
      <formula1>"On, Off"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175F-E337-4522-8FFC-378EE29A3BA6}">
  <sheetPr codeName="Sheet32">
    <tabColor rgb="FF002060"/>
  </sheetPr>
  <dimension ref="B1:BB72"/>
  <sheetViews>
    <sheetView topLeftCell="H1" workbookViewId="0">
      <selection activeCell="J5" sqref="J4:BB61"/>
    </sheetView>
  </sheetViews>
  <sheetFormatPr defaultColWidth="8.7109375" defaultRowHeight="14.25" outlineLevelRow="1" outlineLevelCol="1" x14ac:dyDescent="0.2"/>
  <cols>
    <col min="1" max="1" width="8.7109375" style="61"/>
    <col min="2" max="2" width="24.42578125" style="61" bestFit="1" customWidth="1"/>
    <col min="3" max="3" width="8.7109375" style="61"/>
    <col min="4" max="4" width="16.7109375" style="61" customWidth="1"/>
    <col min="5" max="5" width="13" style="61" bestFit="1" customWidth="1"/>
    <col min="6" max="7" width="8.7109375" style="61"/>
    <col min="8" max="8" width="27.7109375" style="61" customWidth="1"/>
    <col min="9" max="9" width="8.7109375" style="61"/>
    <col min="10" max="10" width="60" style="61" customWidth="1"/>
    <col min="11" max="11" width="13.5703125" style="61" hidden="1" customWidth="1" outlineLevel="1"/>
    <col min="12" max="12" width="12.28515625" style="61" hidden="1" customWidth="1" outlineLevel="1"/>
    <col min="13" max="13" width="13.5703125" style="61" hidden="1" customWidth="1" outlineLevel="1"/>
    <col min="14" max="15" width="12" style="61" hidden="1" customWidth="1" outlineLevel="1"/>
    <col min="16" max="16" width="12" style="61" hidden="1" customWidth="1" collapsed="1"/>
    <col min="17" max="17" width="9.28515625" style="61" hidden="1" customWidth="1"/>
    <col min="18" max="18" width="2.42578125" style="61" hidden="1" customWidth="1"/>
    <col min="19" max="19" width="10.28515625" style="61" hidden="1" customWidth="1"/>
    <col min="20" max="20" width="10.28515625" style="61" hidden="1" customWidth="1" outlineLevel="1"/>
    <col min="21" max="21" width="10.28515625" style="61" hidden="1" customWidth="1" collapsed="1"/>
    <col min="22" max="22" width="10.28515625" style="61" hidden="1" customWidth="1"/>
    <col min="23" max="25" width="10.28515625" style="61" hidden="1" customWidth="1" outlineLevel="1"/>
    <col min="26" max="26" width="10.28515625" style="61" hidden="1" customWidth="1" collapsed="1"/>
    <col min="27" max="27" width="10.28515625" style="61" hidden="1" customWidth="1" outlineLevel="1"/>
    <col min="28" max="28" width="10.28515625" style="61" hidden="1" customWidth="1" collapsed="1"/>
    <col min="29" max="29" width="10.28515625" style="61" hidden="1" customWidth="1"/>
    <col min="30" max="30" width="11.28515625" style="61" hidden="1" customWidth="1"/>
    <col min="31" max="31" width="2.42578125" style="61" hidden="1" customWidth="1"/>
    <col min="32" max="33" width="11.42578125" style="61" hidden="1" customWidth="1" outlineLevel="1"/>
    <col min="34" max="34" width="11.42578125" style="61" hidden="1" customWidth="1" collapsed="1"/>
    <col min="35" max="35" width="9.28515625" style="61" hidden="1" customWidth="1"/>
    <col min="36" max="36" width="2.42578125" style="61" hidden="1" customWidth="1"/>
    <col min="37" max="42" width="12.5703125" style="61" hidden="1" customWidth="1"/>
    <col min="43" max="43" width="2.42578125" style="61" hidden="1" customWidth="1"/>
    <col min="44" max="46" width="9.28515625" style="61" bestFit="1" customWidth="1"/>
    <col min="47" max="47" width="2.42578125" style="61" customWidth="1"/>
    <col min="48" max="50" width="9.28515625" style="61" bestFit="1" customWidth="1"/>
    <col min="51" max="51" width="2.42578125" style="61" customWidth="1"/>
    <col min="52" max="54" width="9.28515625" style="61" bestFit="1" customWidth="1"/>
    <col min="55" max="16384" width="8.7109375" style="61"/>
  </cols>
  <sheetData>
    <row r="1" spans="2:54" x14ac:dyDescent="0.2">
      <c r="J1" s="314"/>
      <c r="K1" s="314"/>
      <c r="L1" s="314"/>
      <c r="M1" s="314"/>
      <c r="N1" s="314"/>
      <c r="O1" s="314"/>
      <c r="P1" s="314"/>
      <c r="Q1" s="314"/>
      <c r="R1" s="314"/>
      <c r="S1" s="414">
        <v>1</v>
      </c>
      <c r="T1" s="414">
        <v>0.9</v>
      </c>
      <c r="U1" s="414">
        <v>0.9</v>
      </c>
      <c r="V1" s="414">
        <v>0.9</v>
      </c>
      <c r="W1" s="414">
        <v>1</v>
      </c>
      <c r="X1" s="414">
        <v>1</v>
      </c>
      <c r="Y1" s="414">
        <v>1</v>
      </c>
      <c r="Z1" s="414">
        <v>1</v>
      </c>
      <c r="AA1" s="414">
        <v>1</v>
      </c>
      <c r="AB1" s="414">
        <v>1</v>
      </c>
      <c r="AC1" s="414">
        <v>0.9</v>
      </c>
      <c r="AD1" s="314" t="s">
        <v>332</v>
      </c>
      <c r="AE1" s="316"/>
      <c r="AF1" s="314"/>
      <c r="AG1" s="314"/>
      <c r="AH1" s="314"/>
      <c r="AI1" s="314"/>
      <c r="AJ1" s="316"/>
      <c r="AK1" s="314"/>
      <c r="AL1" s="314"/>
      <c r="AM1" s="314"/>
      <c r="AQ1" s="286"/>
      <c r="AU1" s="286"/>
      <c r="AY1" s="286"/>
    </row>
    <row r="3" spans="2:54" x14ac:dyDescent="0.2">
      <c r="W3" s="61">
        <v>4683.3322104546833</v>
      </c>
      <c r="X3" s="61">
        <v>-7.5149613432586193E-2</v>
      </c>
      <c r="AA3" s="61" t="e">
        <v>#DIV/0!</v>
      </c>
    </row>
    <row r="4" spans="2:54" s="82" customFormat="1" ht="15" x14ac:dyDescent="0.25">
      <c r="B4" s="56" t="s">
        <v>335</v>
      </c>
    </row>
    <row r="5" spans="2:54" ht="13.9" customHeight="1" x14ac:dyDescent="0.2">
      <c r="K5" s="284" t="s">
        <v>336</v>
      </c>
      <c r="L5" s="284"/>
      <c r="M5" s="284"/>
      <c r="N5" s="284" t="s">
        <v>337</v>
      </c>
      <c r="O5" s="284"/>
      <c r="P5" s="475" t="s">
        <v>1082</v>
      </c>
      <c r="Q5" s="475"/>
      <c r="S5" s="475" t="s">
        <v>338</v>
      </c>
      <c r="T5" s="475"/>
      <c r="U5" s="475"/>
      <c r="V5" s="475"/>
      <c r="W5" s="475"/>
      <c r="X5" s="475"/>
      <c r="Y5" s="475"/>
      <c r="Z5" s="475"/>
      <c r="AA5" s="475"/>
      <c r="AB5" s="475"/>
      <c r="AC5" s="475"/>
      <c r="AD5" s="475"/>
      <c r="AE5" s="286"/>
      <c r="AF5" s="475"/>
      <c r="AG5" s="475"/>
      <c r="AH5" s="475" t="s">
        <v>1085</v>
      </c>
      <c r="AI5" s="475"/>
      <c r="AJ5" s="286"/>
      <c r="AK5" s="475" t="s">
        <v>252</v>
      </c>
      <c r="AL5" s="475"/>
      <c r="AM5" s="475"/>
      <c r="AN5" s="475"/>
      <c r="AO5" s="475"/>
      <c r="AP5" s="475"/>
      <c r="AQ5" s="286"/>
      <c r="AR5" s="475" t="s">
        <v>339</v>
      </c>
      <c r="AS5" s="475"/>
      <c r="AT5" s="475"/>
      <c r="AU5" s="286"/>
      <c r="AV5" s="475" t="s">
        <v>340</v>
      </c>
      <c r="AW5" s="475"/>
      <c r="AX5" s="475"/>
      <c r="AY5" s="286"/>
      <c r="AZ5" s="475" t="s">
        <v>341</v>
      </c>
      <c r="BA5" s="475"/>
      <c r="BB5" s="475"/>
    </row>
    <row r="6" spans="2:54" ht="60" x14ac:dyDescent="0.25">
      <c r="C6" s="239" t="s">
        <v>342</v>
      </c>
      <c r="D6" s="239" t="s">
        <v>343</v>
      </c>
      <c r="E6" s="239" t="s">
        <v>344</v>
      </c>
      <c r="G6" s="263" t="s">
        <v>13</v>
      </c>
      <c r="H6" s="264" t="s">
        <v>14</v>
      </c>
      <c r="I6" s="264" t="s">
        <v>15</v>
      </c>
      <c r="J6" s="264" t="s">
        <v>16</v>
      </c>
      <c r="K6" s="265" t="s">
        <v>7</v>
      </c>
      <c r="L6" s="265" t="s">
        <v>333</v>
      </c>
      <c r="M6" s="265" t="s">
        <v>115</v>
      </c>
      <c r="N6" s="265" t="s">
        <v>7</v>
      </c>
      <c r="O6" s="265" t="s">
        <v>333</v>
      </c>
      <c r="P6" s="265" t="s">
        <v>1110</v>
      </c>
      <c r="Q6" s="265" t="s">
        <v>1084</v>
      </c>
      <c r="S6" s="265" t="s">
        <v>345</v>
      </c>
      <c r="T6" s="265" t="s">
        <v>295</v>
      </c>
      <c r="U6" s="265" t="s">
        <v>346</v>
      </c>
      <c r="V6" s="265" t="s">
        <v>280</v>
      </c>
      <c r="W6" s="265" t="s">
        <v>347</v>
      </c>
      <c r="X6" s="265" t="s">
        <v>348</v>
      </c>
      <c r="Y6" s="265" t="s">
        <v>1073</v>
      </c>
      <c r="Z6" s="265" t="s">
        <v>212</v>
      </c>
      <c r="AA6" s="265" t="s">
        <v>1131</v>
      </c>
      <c r="AB6" s="265" t="s">
        <v>1130</v>
      </c>
      <c r="AC6" s="265" t="s">
        <v>1129</v>
      </c>
      <c r="AD6" s="265" t="s">
        <v>115</v>
      </c>
      <c r="AE6" s="286"/>
      <c r="AF6" s="265" t="s">
        <v>7</v>
      </c>
      <c r="AG6" s="265" t="s">
        <v>333</v>
      </c>
      <c r="AH6" s="265" t="s">
        <v>1110</v>
      </c>
      <c r="AI6" s="265" t="s">
        <v>1084</v>
      </c>
      <c r="AJ6" s="286"/>
      <c r="AK6" s="265" t="s">
        <v>1081</v>
      </c>
      <c r="AL6" s="265" t="s">
        <v>1069</v>
      </c>
      <c r="AM6" s="285" t="s">
        <v>288</v>
      </c>
      <c r="AN6" s="265" t="s">
        <v>1070</v>
      </c>
      <c r="AO6" s="265" t="s">
        <v>1071</v>
      </c>
      <c r="AP6" s="265" t="s">
        <v>349</v>
      </c>
      <c r="AQ6" s="286"/>
      <c r="AR6" s="265" t="s">
        <v>7</v>
      </c>
      <c r="AS6" s="265" t="s">
        <v>333</v>
      </c>
      <c r="AT6" s="265" t="s">
        <v>115</v>
      </c>
      <c r="AU6" s="286"/>
      <c r="AV6" s="265" t="s">
        <v>7</v>
      </c>
      <c r="AW6" s="265" t="s">
        <v>333</v>
      </c>
      <c r="AX6" s="265" t="s">
        <v>115</v>
      </c>
      <c r="AY6" s="286"/>
      <c r="AZ6" s="265" t="s">
        <v>7</v>
      </c>
      <c r="BA6" s="265" t="s">
        <v>333</v>
      </c>
      <c r="BB6" s="265" t="s">
        <v>115</v>
      </c>
    </row>
    <row r="7" spans="2:54" x14ac:dyDescent="0.2">
      <c r="B7" s="98" t="s">
        <v>189</v>
      </c>
      <c r="C7" s="242" t="s">
        <v>194</v>
      </c>
      <c r="D7" s="240"/>
      <c r="E7" s="240" t="s">
        <v>194</v>
      </c>
      <c r="G7" s="266" t="s">
        <v>17</v>
      </c>
      <c r="H7" s="61" t="s">
        <v>18</v>
      </c>
      <c r="I7" s="61" t="s">
        <v>19</v>
      </c>
      <c r="J7" s="61" t="s">
        <v>20</v>
      </c>
      <c r="K7" s="311">
        <v>3048260.3937388603</v>
      </c>
      <c r="L7" s="311">
        <v>518473.07957153779</v>
      </c>
      <c r="M7" s="311">
        <v>3566733.4733103979</v>
      </c>
      <c r="N7" s="311">
        <v>57197.467761613894</v>
      </c>
      <c r="O7" s="311">
        <v>24835.92042846221</v>
      </c>
      <c r="P7" s="309">
        <v>82033.388190076104</v>
      </c>
      <c r="Q7" s="305">
        <v>2.2999584578978459E-2</v>
      </c>
      <c r="S7" s="311">
        <v>7533.3713450871073</v>
      </c>
      <c r="T7" s="311">
        <v>0</v>
      </c>
      <c r="U7" s="311">
        <v>7117.8586285073825</v>
      </c>
      <c r="V7" s="311">
        <v>19061.53281223536</v>
      </c>
      <c r="W7" s="311"/>
      <c r="X7" s="311"/>
      <c r="Y7" s="311">
        <v>0</v>
      </c>
      <c r="Z7" s="311">
        <v>1520</v>
      </c>
      <c r="AA7" s="311"/>
      <c r="AB7" s="311">
        <v>233.98245364160306</v>
      </c>
      <c r="AC7" s="311">
        <v>0</v>
      </c>
      <c r="AD7" s="311">
        <v>35466.745239471456</v>
      </c>
      <c r="AE7" s="286"/>
      <c r="AF7" s="311">
        <v>90910.230547443745</v>
      </c>
      <c r="AG7" s="311">
        <v>26355.92042846221</v>
      </c>
      <c r="AH7" s="311">
        <v>117266.15097590596</v>
      </c>
      <c r="AI7" s="305">
        <v>3.2877744259109873E-2</v>
      </c>
      <c r="AJ7" s="286"/>
      <c r="AK7" s="311">
        <v>-30000</v>
      </c>
      <c r="AL7" s="311">
        <v>35466.745239471456</v>
      </c>
      <c r="AM7" s="311">
        <v>-2617.9391440742738</v>
      </c>
      <c r="AN7" s="311">
        <v>-14393.19143805766</v>
      </c>
      <c r="AO7" s="311">
        <v>18455.61465733952</v>
      </c>
      <c r="AP7" s="311">
        <v>-11544.38534266048</v>
      </c>
      <c r="AQ7" s="286"/>
      <c r="AR7" s="303">
        <v>1.8763970387535703E-2</v>
      </c>
      <c r="AS7" s="305">
        <v>4.7902044304762026E-2</v>
      </c>
      <c r="AT7" s="305">
        <v>2.2999584578978459E-2</v>
      </c>
      <c r="AU7" s="286"/>
      <c r="AV7" s="305">
        <v>1.1059672872788692E-2</v>
      </c>
      <c r="AW7" s="305">
        <v>2.931685481637962E-3</v>
      </c>
      <c r="AX7" s="449">
        <v>9.8781596801314139E-3</v>
      </c>
      <c r="AY7" s="286"/>
      <c r="AZ7" s="305">
        <v>2.9823643260324394E-2</v>
      </c>
      <c r="BA7" s="305">
        <v>5.0833729786399988E-2</v>
      </c>
      <c r="BB7" s="305">
        <v>3.2877744259109873E-2</v>
      </c>
    </row>
    <row r="8" spans="2:54" x14ac:dyDescent="0.2">
      <c r="B8" s="98" t="s">
        <v>350</v>
      </c>
      <c r="C8" s="242" t="s">
        <v>194</v>
      </c>
      <c r="D8" s="240"/>
      <c r="E8" s="240" t="s">
        <v>194</v>
      </c>
      <c r="G8" s="267" t="s">
        <v>17</v>
      </c>
      <c r="H8" s="268" t="s">
        <v>18</v>
      </c>
      <c r="I8" s="61" t="s">
        <v>21</v>
      </c>
      <c r="J8" s="61" t="s">
        <v>22</v>
      </c>
      <c r="K8" s="311">
        <v>6013766.1069202833</v>
      </c>
      <c r="L8" s="311">
        <v>944926.6747170426</v>
      </c>
      <c r="M8" s="311">
        <v>6958692.7816373259</v>
      </c>
      <c r="N8" s="311">
        <v>95468.032513257116</v>
      </c>
      <c r="O8" s="311">
        <v>44212.325282957405</v>
      </c>
      <c r="P8" s="309">
        <v>139680.35779621452</v>
      </c>
      <c r="Q8" s="305">
        <v>2.0072786970105155E-2</v>
      </c>
      <c r="S8" s="311">
        <v>16988.056797629615</v>
      </c>
      <c r="T8" s="311">
        <v>0</v>
      </c>
      <c r="U8" s="311">
        <v>14023.030736306619</v>
      </c>
      <c r="V8" s="311">
        <v>37553.493888813944</v>
      </c>
      <c r="W8" s="311"/>
      <c r="X8" s="311"/>
      <c r="Y8" s="311">
        <v>0</v>
      </c>
      <c r="Z8" s="311">
        <v>2769</v>
      </c>
      <c r="AA8" s="311"/>
      <c r="AB8" s="311">
        <v>460.97335033200784</v>
      </c>
      <c r="AC8" s="311">
        <v>0</v>
      </c>
      <c r="AD8" s="311">
        <v>71794.554773082171</v>
      </c>
      <c r="AE8" s="286"/>
      <c r="AF8" s="311">
        <v>164032.61393600728</v>
      </c>
      <c r="AG8" s="311">
        <v>46981.325282957405</v>
      </c>
      <c r="AH8" s="311">
        <v>211013.93921896469</v>
      </c>
      <c r="AI8" s="305">
        <v>3.0323790091120358E-2</v>
      </c>
      <c r="AJ8" s="286"/>
      <c r="AK8" s="311">
        <v>-34638</v>
      </c>
      <c r="AL8" s="311">
        <v>71794.554773082171</v>
      </c>
      <c r="AM8" s="311">
        <v>-5157.6524625120555</v>
      </c>
      <c r="AN8" s="311">
        <v>-28081.099446933553</v>
      </c>
      <c r="AO8" s="311">
        <v>38555.802863636563</v>
      </c>
      <c r="AP8" s="311">
        <v>3917.8028636365634</v>
      </c>
      <c r="AQ8" s="286"/>
      <c r="AR8" s="303">
        <v>1.5874916120099551E-2</v>
      </c>
      <c r="AS8" s="305">
        <v>4.6789159906187157E-2</v>
      </c>
      <c r="AT8" s="305">
        <v>2.0072786970105155E-2</v>
      </c>
      <c r="AU8" s="286"/>
      <c r="AV8" s="305">
        <v>1.1401271716212927E-2</v>
      </c>
      <c r="AW8" s="305">
        <v>2.9303861072915299E-3</v>
      </c>
      <c r="AX8" s="449">
        <v>1.0251003121015203E-2</v>
      </c>
      <c r="AY8" s="286"/>
      <c r="AZ8" s="305">
        <v>2.7276187836312478E-2</v>
      </c>
      <c r="BA8" s="305">
        <v>4.9719546013478687E-2</v>
      </c>
      <c r="BB8" s="305">
        <v>3.0323790091120358E-2</v>
      </c>
    </row>
    <row r="9" spans="2:54" x14ac:dyDescent="0.2">
      <c r="B9" s="98" t="s">
        <v>198</v>
      </c>
      <c r="C9" s="242" t="s">
        <v>194</v>
      </c>
      <c r="D9" s="242">
        <v>230</v>
      </c>
      <c r="E9" s="253">
        <v>0.8</v>
      </c>
      <c r="G9" s="267" t="s">
        <v>17</v>
      </c>
      <c r="H9" s="268" t="s">
        <v>18</v>
      </c>
      <c r="I9" s="61" t="s">
        <v>23</v>
      </c>
      <c r="J9" s="61" t="s">
        <v>24</v>
      </c>
      <c r="K9" s="311">
        <v>2624831.9901583381</v>
      </c>
      <c r="L9" s="311">
        <v>484846.53629568382</v>
      </c>
      <c r="M9" s="311">
        <v>3109678.5264540222</v>
      </c>
      <c r="N9" s="311">
        <v>44595.050029436126</v>
      </c>
      <c r="O9" s="311">
        <v>17472.259423059877</v>
      </c>
      <c r="P9" s="309">
        <v>62067.309452496003</v>
      </c>
      <c r="Q9" s="305">
        <v>1.9959397386093019E-2</v>
      </c>
      <c r="S9" s="311">
        <v>7422.8556532127477</v>
      </c>
      <c r="T9" s="311">
        <v>0</v>
      </c>
      <c r="U9" s="311">
        <v>6120.6403809544036</v>
      </c>
      <c r="V9" s="311">
        <v>16390.995317916364</v>
      </c>
      <c r="W9" s="311"/>
      <c r="X9" s="311"/>
      <c r="Y9" s="311">
        <v>0</v>
      </c>
      <c r="Z9" s="311">
        <v>0.13001096004154533</v>
      </c>
      <c r="AA9" s="311"/>
      <c r="AB9" s="311">
        <v>201.20130631112352</v>
      </c>
      <c r="AC9" s="311">
        <v>0</v>
      </c>
      <c r="AD9" s="311">
        <v>30135.822669354679</v>
      </c>
      <c r="AE9" s="286"/>
      <c r="AF9" s="311">
        <v>74529.541381519637</v>
      </c>
      <c r="AG9" s="311">
        <v>17472.389434019919</v>
      </c>
      <c r="AH9" s="311">
        <v>92001.930815539556</v>
      </c>
      <c r="AI9" s="305">
        <v>2.9585672613062577E-2</v>
      </c>
      <c r="AJ9" s="286"/>
      <c r="AK9" s="311">
        <v>-54500</v>
      </c>
      <c r="AL9" s="311">
        <v>30135.822669354679</v>
      </c>
      <c r="AM9" s="311">
        <v>-2251.1635698870764</v>
      </c>
      <c r="AN9" s="311">
        <v>-12548.792523184607</v>
      </c>
      <c r="AO9" s="311">
        <v>15335.866576282993</v>
      </c>
      <c r="AP9" s="311">
        <v>-39164.133423717009</v>
      </c>
      <c r="AQ9" s="286"/>
      <c r="AR9" s="303">
        <v>1.6989677890487009E-2</v>
      </c>
      <c r="AS9" s="305">
        <v>3.6036679887518915E-2</v>
      </c>
      <c r="AT9" s="305">
        <v>1.9959397386093019E-2</v>
      </c>
      <c r="AU9" s="286"/>
      <c r="AV9" s="305">
        <v>1.1404345674055034E-2</v>
      </c>
      <c r="AW9" s="305">
        <v>2.6814868274438464E-7</v>
      </c>
      <c r="AX9" s="449">
        <v>9.6262752269695578E-3</v>
      </c>
      <c r="AY9" s="286"/>
      <c r="AZ9" s="305">
        <v>2.8394023564542042E-2</v>
      </c>
      <c r="BA9" s="305">
        <v>3.6036948036201659E-2</v>
      </c>
      <c r="BB9" s="305">
        <v>2.9585672613062577E-2</v>
      </c>
    </row>
    <row r="10" spans="2:54" x14ac:dyDescent="0.2">
      <c r="B10" s="98" t="s">
        <v>203</v>
      </c>
      <c r="C10" s="242" t="s">
        <v>200</v>
      </c>
      <c r="D10" s="240"/>
      <c r="E10" s="253">
        <v>0</v>
      </c>
      <c r="G10" s="269" t="s">
        <v>17</v>
      </c>
      <c r="H10" s="270" t="s">
        <v>18</v>
      </c>
      <c r="I10" s="271" t="s">
        <v>25</v>
      </c>
      <c r="J10" s="271" t="s">
        <v>26</v>
      </c>
      <c r="K10" s="312">
        <v>4409923.2175515071</v>
      </c>
      <c r="L10" s="312">
        <v>697032.31230978144</v>
      </c>
      <c r="M10" s="312">
        <v>5106955.5298612881</v>
      </c>
      <c r="N10" s="312">
        <v>77972.981732874177</v>
      </c>
      <c r="O10" s="312">
        <v>33453.687690218561</v>
      </c>
      <c r="P10" s="310">
        <v>111426.66942309274</v>
      </c>
      <c r="Q10" s="306">
        <v>2.1818609692518556E-2</v>
      </c>
      <c r="S10" s="312">
        <v>11053.35299421502</v>
      </c>
      <c r="T10" s="312">
        <v>0</v>
      </c>
      <c r="U10" s="312">
        <v>10295.925694196976</v>
      </c>
      <c r="V10" s="312">
        <v>27572.355071264996</v>
      </c>
      <c r="W10" s="312"/>
      <c r="X10" s="312"/>
      <c r="Y10" s="312">
        <v>0</v>
      </c>
      <c r="Z10" s="312">
        <v>2045</v>
      </c>
      <c r="AA10" s="312"/>
      <c r="AB10" s="312">
        <v>338.45375163696053</v>
      </c>
      <c r="AC10" s="312">
        <v>0</v>
      </c>
      <c r="AD10" s="312">
        <v>51305.087511313948</v>
      </c>
      <c r="AE10" s="286"/>
      <c r="AF10" s="312">
        <v>126894.61549255117</v>
      </c>
      <c r="AG10" s="312">
        <v>35498.687690218561</v>
      </c>
      <c r="AH10" s="312">
        <v>162393.30318276974</v>
      </c>
      <c r="AI10" s="306">
        <v>3.1798456484147329E-2</v>
      </c>
      <c r="AJ10" s="286"/>
      <c r="AK10" s="312">
        <v>0</v>
      </c>
      <c r="AL10" s="312">
        <v>51305.087511313948</v>
      </c>
      <c r="AM10" s="312">
        <v>-3786.8280765461959</v>
      </c>
      <c r="AN10" s="312">
        <v>-20608.601443583066</v>
      </c>
      <c r="AO10" s="312">
        <v>26909.657991184686</v>
      </c>
      <c r="AP10" s="312">
        <v>26909.657991184686</v>
      </c>
      <c r="AQ10" s="286"/>
      <c r="AR10" s="304">
        <v>1.7681256086850103E-2</v>
      </c>
      <c r="AS10" s="306">
        <v>4.799445750134862E-2</v>
      </c>
      <c r="AT10" s="306">
        <v>2.1818609692518556E-2</v>
      </c>
      <c r="AU10" s="286"/>
      <c r="AV10" s="306">
        <v>1.109353413795704E-2</v>
      </c>
      <c r="AW10" s="306">
        <v>2.9338668579415028E-3</v>
      </c>
      <c r="AX10" s="449">
        <v>9.9798467916287735E-3</v>
      </c>
      <c r="AY10" s="286"/>
      <c r="AZ10" s="306">
        <v>2.8774790224807143E-2</v>
      </c>
      <c r="BA10" s="306">
        <v>5.0928324359290122E-2</v>
      </c>
      <c r="BB10" s="306">
        <v>3.1798456484147329E-2</v>
      </c>
    </row>
    <row r="11" spans="2:54" x14ac:dyDescent="0.2">
      <c r="B11" s="98" t="s">
        <v>208</v>
      </c>
      <c r="C11" s="242" t="s">
        <v>194</v>
      </c>
      <c r="D11" s="413" t="s">
        <v>1080</v>
      </c>
      <c r="E11" s="253">
        <v>2.3574710565085282E-3</v>
      </c>
      <c r="G11" s="266" t="s">
        <v>27</v>
      </c>
      <c r="H11" s="61" t="s">
        <v>28</v>
      </c>
      <c r="I11" s="61" t="s">
        <v>29</v>
      </c>
      <c r="J11" s="61" t="s">
        <v>30</v>
      </c>
      <c r="K11" s="311">
        <v>5279034.5227323426</v>
      </c>
      <c r="L11" s="311">
        <v>941747.05148924538</v>
      </c>
      <c r="M11" s="311">
        <v>6220781.5742215877</v>
      </c>
      <c r="N11" s="311">
        <v>90830.688755045645</v>
      </c>
      <c r="O11" s="311">
        <v>34142.767536125844</v>
      </c>
      <c r="P11" s="309">
        <v>124973.45629117149</v>
      </c>
      <c r="Q11" s="305">
        <v>2.0089671177179941E-2</v>
      </c>
      <c r="S11" s="311">
        <v>14931.917250969629</v>
      </c>
      <c r="T11" s="311">
        <v>0</v>
      </c>
      <c r="U11" s="311">
        <v>12309.767632151888</v>
      </c>
      <c r="V11" s="311">
        <v>32965.39758341066</v>
      </c>
      <c r="W11" s="311"/>
      <c r="X11" s="311"/>
      <c r="Y11" s="311">
        <v>0</v>
      </c>
      <c r="Z11" s="311">
        <v>0.17748141498304904</v>
      </c>
      <c r="AA11" s="311"/>
      <c r="AB11" s="311">
        <v>404.65395347882583</v>
      </c>
      <c r="AC11" s="311">
        <v>0</v>
      </c>
      <c r="AD11" s="311">
        <v>60611.913901425985</v>
      </c>
      <c r="AE11" s="286"/>
      <c r="AF11" s="311">
        <v>151037.77122157783</v>
      </c>
      <c r="AG11" s="311">
        <v>34142.945017540827</v>
      </c>
      <c r="AH11" s="311">
        <v>185180.71623911866</v>
      </c>
      <c r="AI11" s="305">
        <v>2.9768078822521669E-2</v>
      </c>
      <c r="AJ11" s="286"/>
      <c r="AK11" s="311">
        <v>0</v>
      </c>
      <c r="AL11" s="311">
        <v>60611.913901425985</v>
      </c>
      <c r="AM11" s="311">
        <v>-4527.5165215562538</v>
      </c>
      <c r="AN11" s="311">
        <v>-25103.333557752769</v>
      </c>
      <c r="AO11" s="311">
        <v>30981.063822116965</v>
      </c>
      <c r="AP11" s="311">
        <v>30981.063822116965</v>
      </c>
      <c r="AQ11" s="286"/>
      <c r="AR11" s="303">
        <v>1.7205928160521512E-2</v>
      </c>
      <c r="AS11" s="305">
        <v>3.6254711370886358E-2</v>
      </c>
      <c r="AT11" s="305">
        <v>2.0089671177179941E-2</v>
      </c>
      <c r="AU11" s="286"/>
      <c r="AV11" s="305">
        <v>1.1404941984613119E-2</v>
      </c>
      <c r="AW11" s="305">
        <v>1.8845975116588143E-7</v>
      </c>
      <c r="AX11" s="449">
        <v>9.678407645341728E-3</v>
      </c>
      <c r="AY11" s="286"/>
      <c r="AZ11" s="305">
        <v>2.861087014513463E-2</v>
      </c>
      <c r="BA11" s="305">
        <v>3.6254899830637524E-2</v>
      </c>
      <c r="BB11" s="305">
        <v>2.9768078822521669E-2</v>
      </c>
    </row>
    <row r="12" spans="2:54" x14ac:dyDescent="0.2">
      <c r="B12" s="98" t="s">
        <v>212</v>
      </c>
      <c r="C12" s="242" t="s">
        <v>194</v>
      </c>
      <c r="D12" s="240" t="s">
        <v>1106</v>
      </c>
      <c r="E12" s="253">
        <v>2.9595557129901617E-3</v>
      </c>
      <c r="G12" s="267" t="s">
        <v>27</v>
      </c>
      <c r="H12" s="268" t="s">
        <v>28</v>
      </c>
      <c r="I12" s="61" t="s">
        <v>31</v>
      </c>
      <c r="J12" s="61" t="s">
        <v>8</v>
      </c>
      <c r="K12" s="311">
        <v>5656247.185408433</v>
      </c>
      <c r="L12" s="311">
        <v>1116891.9456620421</v>
      </c>
      <c r="M12" s="311">
        <v>6773139.1310704751</v>
      </c>
      <c r="N12" s="311">
        <v>92163.31825776957</v>
      </c>
      <c r="O12" s="311">
        <v>36940.209962800378</v>
      </c>
      <c r="P12" s="309">
        <v>129103.52822056995</v>
      </c>
      <c r="Q12" s="305">
        <v>1.906110678109834E-2</v>
      </c>
      <c r="S12" s="311">
        <v>15984.653008914531</v>
      </c>
      <c r="T12" s="311">
        <v>0</v>
      </c>
      <c r="U12" s="311">
        <v>13189.360331432936</v>
      </c>
      <c r="V12" s="311">
        <v>35320.935389626444</v>
      </c>
      <c r="W12" s="311"/>
      <c r="X12" s="311"/>
      <c r="Y12" s="311">
        <v>0</v>
      </c>
      <c r="Z12" s="311">
        <v>-0.16119646956212819</v>
      </c>
      <c r="AA12" s="311"/>
      <c r="AB12" s="311">
        <v>433.56844430036915</v>
      </c>
      <c r="AC12" s="311">
        <v>0</v>
      </c>
      <c r="AD12" s="311">
        <v>64928.35597780472</v>
      </c>
      <c r="AE12" s="286"/>
      <c r="AF12" s="311">
        <v>156658.2669877435</v>
      </c>
      <c r="AG12" s="311">
        <v>36940.048766330816</v>
      </c>
      <c r="AH12" s="311">
        <v>193598.31575407431</v>
      </c>
      <c r="AI12" s="305">
        <v>2.8583248034279883E-2</v>
      </c>
      <c r="AJ12" s="286"/>
      <c r="AK12" s="311">
        <v>-200422</v>
      </c>
      <c r="AL12" s="311">
        <v>64928.35597780472</v>
      </c>
      <c r="AM12" s="311">
        <v>-4851.0295721059365</v>
      </c>
      <c r="AN12" s="311">
        <v>-27332.31649619617</v>
      </c>
      <c r="AO12" s="311">
        <v>32745.009909502613</v>
      </c>
      <c r="AP12" s="311">
        <v>-167676.99009049739</v>
      </c>
      <c r="AQ12" s="286"/>
      <c r="AR12" s="303">
        <v>1.6294075424342427E-2</v>
      </c>
      <c r="AS12" s="305">
        <v>3.307411259099368E-2</v>
      </c>
      <c r="AT12" s="305">
        <v>1.906110678109834E-2</v>
      </c>
      <c r="AU12" s="286"/>
      <c r="AV12" s="305">
        <v>1.1402427548844261E-2</v>
      </c>
      <c r="AW12" s="305">
        <v>-1.4432593071350697E-7</v>
      </c>
      <c r="AX12" s="449">
        <v>9.522141253181543E-3</v>
      </c>
      <c r="AY12" s="286"/>
      <c r="AZ12" s="305">
        <v>2.7696502973186689E-2</v>
      </c>
      <c r="BA12" s="305">
        <v>3.3073968265062967E-2</v>
      </c>
      <c r="BB12" s="305">
        <v>2.8583248034279883E-2</v>
      </c>
    </row>
    <row r="13" spans="2:54" x14ac:dyDescent="0.2">
      <c r="B13" s="98" t="s">
        <v>216</v>
      </c>
      <c r="C13" s="242" t="s">
        <v>194</v>
      </c>
      <c r="D13" s="240"/>
      <c r="E13" s="254" t="s">
        <v>352</v>
      </c>
      <c r="G13" s="269" t="s">
        <v>27</v>
      </c>
      <c r="H13" s="270" t="s">
        <v>28</v>
      </c>
      <c r="I13" s="271" t="s">
        <v>32</v>
      </c>
      <c r="J13" s="271" t="s">
        <v>33</v>
      </c>
      <c r="K13" s="312">
        <v>3506623.0145232137</v>
      </c>
      <c r="L13" s="312">
        <v>601835.21210633765</v>
      </c>
      <c r="M13" s="312">
        <v>4108458.2266295515</v>
      </c>
      <c r="N13" s="312">
        <v>58183.87041085586</v>
      </c>
      <c r="O13" s="312">
        <v>28459.787893662346</v>
      </c>
      <c r="P13" s="310">
        <v>86643.658304518205</v>
      </c>
      <c r="Q13" s="306">
        <v>2.1089093164663356E-2</v>
      </c>
      <c r="S13" s="312">
        <v>9912.6639329674217</v>
      </c>
      <c r="T13" s="312">
        <v>0</v>
      </c>
      <c r="U13" s="312">
        <v>8176.8198894056231</v>
      </c>
      <c r="V13" s="312">
        <v>21897.417293089518</v>
      </c>
      <c r="W13" s="312"/>
      <c r="X13" s="312"/>
      <c r="Y13" s="312">
        <v>0</v>
      </c>
      <c r="Z13" s="312">
        <v>1764</v>
      </c>
      <c r="AA13" s="312"/>
      <c r="AB13" s="312">
        <v>268.79325378084877</v>
      </c>
      <c r="AC13" s="312">
        <v>0</v>
      </c>
      <c r="AD13" s="312">
        <v>42019.694369243414</v>
      </c>
      <c r="AE13" s="286"/>
      <c r="AF13" s="312">
        <v>98170.771526318422</v>
      </c>
      <c r="AG13" s="312">
        <v>30223.787893662346</v>
      </c>
      <c r="AH13" s="312">
        <v>128394.55941998077</v>
      </c>
      <c r="AI13" s="306">
        <v>3.1251275378139008E-2</v>
      </c>
      <c r="AJ13" s="286"/>
      <c r="AK13" s="312">
        <v>-198490</v>
      </c>
      <c r="AL13" s="312">
        <v>42019.694369243414</v>
      </c>
      <c r="AM13" s="312">
        <v>-3007.4237182495135</v>
      </c>
      <c r="AN13" s="312">
        <v>-16579.266775506509</v>
      </c>
      <c r="AO13" s="312">
        <v>22433.003875487393</v>
      </c>
      <c r="AP13" s="312">
        <v>-176056.9961245126</v>
      </c>
      <c r="AQ13" s="286"/>
      <c r="AR13" s="304">
        <v>1.6592565031906335E-2</v>
      </c>
      <c r="AS13" s="306">
        <v>4.7288339600564638E-2</v>
      </c>
      <c r="AT13" s="306">
        <v>2.1089093164663356E-2</v>
      </c>
      <c r="AU13" s="286"/>
      <c r="AV13" s="306">
        <v>1.1403250634542329E-2</v>
      </c>
      <c r="AW13" s="306">
        <v>2.9310348821669149E-3</v>
      </c>
      <c r="AX13" s="449">
        <v>1.0162182213475653E-2</v>
      </c>
      <c r="AY13" s="286"/>
      <c r="AZ13" s="306">
        <v>2.7995815666448664E-2</v>
      </c>
      <c r="BA13" s="306">
        <v>5.0219374482731553E-2</v>
      </c>
      <c r="BB13" s="306">
        <v>3.1251275378139008E-2</v>
      </c>
    </row>
    <row r="14" spans="2:54" x14ac:dyDescent="0.2">
      <c r="B14" s="98" t="s">
        <v>218</v>
      </c>
      <c r="C14" s="242" t="s">
        <v>194</v>
      </c>
      <c r="D14" s="242">
        <v>675</v>
      </c>
      <c r="E14" s="253">
        <v>6.3132768214245608E-3</v>
      </c>
      <c r="F14" s="445">
        <v>0.973993787164255</v>
      </c>
      <c r="G14" s="266" t="s">
        <v>34</v>
      </c>
      <c r="H14" s="61" t="s">
        <v>35</v>
      </c>
      <c r="I14" s="61" t="s">
        <v>36</v>
      </c>
      <c r="J14" s="61" t="s">
        <v>37</v>
      </c>
      <c r="K14" s="311">
        <v>2574908.3183812057</v>
      </c>
      <c r="L14" s="311">
        <v>544962.09035921283</v>
      </c>
      <c r="M14" s="311">
        <v>3119870.4087404185</v>
      </c>
      <c r="N14" s="311">
        <v>79377.315752677619</v>
      </c>
      <c r="O14" s="311">
        <v>17523.556946943398</v>
      </c>
      <c r="P14" s="309">
        <v>96900.872699621017</v>
      </c>
      <c r="Q14" s="305">
        <v>3.1059262086062956E-2</v>
      </c>
      <c r="S14" s="311">
        <v>0</v>
      </c>
      <c r="T14" s="311">
        <v>0</v>
      </c>
      <c r="U14" s="311">
        <v>6082.4123774142317</v>
      </c>
      <c r="V14" s="311">
        <v>16288.621221736819</v>
      </c>
      <c r="W14" s="311"/>
      <c r="X14" s="311"/>
      <c r="Y14" s="311">
        <v>0</v>
      </c>
      <c r="Z14" s="311">
        <v>-9.9717373843304813E-2</v>
      </c>
      <c r="AA14" s="311"/>
      <c r="AB14" s="311">
        <v>199.94465279593214</v>
      </c>
      <c r="AC14" s="311">
        <v>0</v>
      </c>
      <c r="AD14" s="311">
        <v>22570.878534573141</v>
      </c>
      <c r="AE14" s="286"/>
      <c r="AF14" s="311">
        <v>101748.34935182867</v>
      </c>
      <c r="AG14" s="311">
        <v>17523.457229569554</v>
      </c>
      <c r="AH14" s="311">
        <v>119271.80658139822</v>
      </c>
      <c r="AI14" s="305">
        <v>3.8229731032178249E-2</v>
      </c>
      <c r="AJ14" s="286"/>
      <c r="AK14" s="311">
        <v>0</v>
      </c>
      <c r="AL14" s="311">
        <v>22570.878534573141</v>
      </c>
      <c r="AM14" s="311">
        <v>-2237.1033599151046</v>
      </c>
      <c r="AN14" s="311">
        <v>-12589.920831189664</v>
      </c>
      <c r="AO14" s="311">
        <v>7743.8543434683725</v>
      </c>
      <c r="AP14" s="311">
        <v>7743.8543434683725</v>
      </c>
      <c r="AQ14" s="286"/>
      <c r="AR14" s="303">
        <v>3.0827239628702811E-2</v>
      </c>
      <c r="AS14" s="305">
        <v>3.215555220619605E-2</v>
      </c>
      <c r="AT14" s="305">
        <v>3.1059262086062956E-2</v>
      </c>
      <c r="AU14" s="286"/>
      <c r="AV14" s="305">
        <v>8.6880893736889578E-3</v>
      </c>
      <c r="AW14" s="305">
        <v>-1.8298038635677916E-7</v>
      </c>
      <c r="AX14" s="449">
        <v>7.170468946115293E-3</v>
      </c>
      <c r="AY14" s="286"/>
      <c r="AZ14" s="305">
        <v>3.9515329002391769E-2</v>
      </c>
      <c r="BA14" s="305">
        <v>3.2155369225809693E-2</v>
      </c>
      <c r="BB14" s="305">
        <v>3.8229731032178249E-2</v>
      </c>
    </row>
    <row r="15" spans="2:54" x14ac:dyDescent="0.2">
      <c r="B15" s="98" t="s">
        <v>1105</v>
      </c>
      <c r="C15" s="242" t="s">
        <v>200</v>
      </c>
      <c r="D15" s="240"/>
      <c r="E15" s="254">
        <v>0</v>
      </c>
      <c r="G15" s="267" t="s">
        <v>34</v>
      </c>
      <c r="H15" s="268" t="s">
        <v>35</v>
      </c>
      <c r="I15" s="61" t="s">
        <v>38</v>
      </c>
      <c r="J15" s="61" t="s">
        <v>39</v>
      </c>
      <c r="K15" s="311">
        <v>2278092.835673023</v>
      </c>
      <c r="L15" s="311">
        <v>412828.24853130744</v>
      </c>
      <c r="M15" s="311">
        <v>2690921.0842043306</v>
      </c>
      <c r="N15" s="311">
        <v>36573.871690907516</v>
      </c>
      <c r="O15" s="311">
        <v>14952.869283407053</v>
      </c>
      <c r="P15" s="309">
        <v>51526.740974314569</v>
      </c>
      <c r="Q15" s="305">
        <v>1.9148365694102224E-2</v>
      </c>
      <c r="S15" s="311">
        <v>6436.4256693645875</v>
      </c>
      <c r="T15" s="311">
        <v>0</v>
      </c>
      <c r="U15" s="311">
        <v>5312.1064715239627</v>
      </c>
      <c r="V15" s="311">
        <v>14225.752026529843</v>
      </c>
      <c r="W15" s="311"/>
      <c r="X15" s="311"/>
      <c r="Y15" s="311">
        <v>0</v>
      </c>
      <c r="Z15" s="311">
        <v>5.6465754983946681E-2</v>
      </c>
      <c r="AA15" s="311"/>
      <c r="AB15" s="311">
        <v>174.62270200683378</v>
      </c>
      <c r="AC15" s="311">
        <v>0</v>
      </c>
      <c r="AD15" s="311">
        <v>26148.963335180211</v>
      </c>
      <c r="AE15" s="286"/>
      <c r="AF15" s="311">
        <v>62548.15585832591</v>
      </c>
      <c r="AG15" s="311">
        <v>14952.925749162037</v>
      </c>
      <c r="AH15" s="311">
        <v>77501.081607487955</v>
      </c>
      <c r="AI15" s="305">
        <v>2.8800949259500112E-2</v>
      </c>
      <c r="AJ15" s="286"/>
      <c r="AK15" s="311">
        <v>-78751</v>
      </c>
      <c r="AL15" s="311">
        <v>26148.963335180211</v>
      </c>
      <c r="AM15" s="311">
        <v>-1953.7858498053802</v>
      </c>
      <c r="AN15" s="311">
        <v>-10858.939306645527</v>
      </c>
      <c r="AO15" s="311">
        <v>13336.238178729305</v>
      </c>
      <c r="AP15" s="311">
        <v>-65414.761821270695</v>
      </c>
      <c r="AQ15" s="286"/>
      <c r="AR15" s="303">
        <v>1.6054601076036658E-2</v>
      </c>
      <c r="AS15" s="305">
        <v>3.622055742697821E-2</v>
      </c>
      <c r="AT15" s="305">
        <v>1.9148365694102224E-2</v>
      </c>
      <c r="AU15" s="286"/>
      <c r="AV15" s="305">
        <v>1.1401767197843252E-2</v>
      </c>
      <c r="AW15" s="305">
        <v>1.3677783723686776E-7</v>
      </c>
      <c r="AX15" s="449">
        <v>9.6525835653978875E-3</v>
      </c>
      <c r="AY15" s="286"/>
      <c r="AZ15" s="305">
        <v>2.745636827387991E-2</v>
      </c>
      <c r="BA15" s="305">
        <v>3.6220694204815447E-2</v>
      </c>
      <c r="BB15" s="305">
        <v>2.8800949259500112E-2</v>
      </c>
    </row>
    <row r="16" spans="2:54" x14ac:dyDescent="0.2">
      <c r="B16" s="98" t="s">
        <v>1128</v>
      </c>
      <c r="C16" s="242" t="s">
        <v>200</v>
      </c>
      <c r="D16" s="240"/>
      <c r="E16" s="254">
        <v>0</v>
      </c>
      <c r="G16" s="267" t="s">
        <v>34</v>
      </c>
      <c r="H16" s="268" t="s">
        <v>35</v>
      </c>
      <c r="I16" s="61" t="s">
        <v>40</v>
      </c>
      <c r="J16" s="61" t="s">
        <v>41</v>
      </c>
      <c r="K16" s="311">
        <v>1685365.9442301078</v>
      </c>
      <c r="L16" s="311">
        <v>313055.19999377243</v>
      </c>
      <c r="M16" s="311">
        <v>1998421.1442238803</v>
      </c>
      <c r="N16" s="311">
        <v>47353.865951861953</v>
      </c>
      <c r="O16" s="311">
        <v>14146.800006227568</v>
      </c>
      <c r="P16" s="309">
        <v>61500.665958089521</v>
      </c>
      <c r="Q16" s="305">
        <v>3.0774627328102214E-2</v>
      </c>
      <c r="S16" s="311">
        <v>2305.3349890025656</v>
      </c>
      <c r="T16" s="311">
        <v>0</v>
      </c>
      <c r="U16" s="311">
        <v>3952.3696221927635</v>
      </c>
      <c r="V16" s="311">
        <v>10584.394432586263</v>
      </c>
      <c r="W16" s="311"/>
      <c r="X16" s="311"/>
      <c r="Y16" s="311">
        <v>0</v>
      </c>
      <c r="Z16" s="311">
        <v>916</v>
      </c>
      <c r="AA16" s="311"/>
      <c r="AB16" s="311">
        <v>129.92462904438526</v>
      </c>
      <c r="AC16" s="311">
        <v>0</v>
      </c>
      <c r="AD16" s="311">
        <v>17888.023672825977</v>
      </c>
      <c r="AE16" s="286"/>
      <c r="AF16" s="311">
        <v>64195.964995643546</v>
      </c>
      <c r="AG16" s="311">
        <v>15062.800006227568</v>
      </c>
      <c r="AH16" s="311">
        <v>79258.765001871114</v>
      </c>
      <c r="AI16" s="305">
        <v>3.966069175706833E-2</v>
      </c>
      <c r="AJ16" s="286"/>
      <c r="AK16" s="311">
        <v>0</v>
      </c>
      <c r="AL16" s="311">
        <v>17888.023672825977</v>
      </c>
      <c r="AM16" s="311">
        <v>-1453.6764054779023</v>
      </c>
      <c r="AN16" s="311">
        <v>-8064.4259847036137</v>
      </c>
      <c r="AO16" s="311">
        <v>8369.9212826444618</v>
      </c>
      <c r="AP16" s="311">
        <v>8369.9212826444618</v>
      </c>
      <c r="AQ16" s="286"/>
      <c r="AR16" s="303">
        <v>2.8097082484655093E-2</v>
      </c>
      <c r="AS16" s="305">
        <v>4.5189474592688406E-2</v>
      </c>
      <c r="AT16" s="305">
        <v>3.0774627328102214E-2</v>
      </c>
      <c r="AU16" s="286"/>
      <c r="AV16" s="305">
        <v>9.9931407190473574E-3</v>
      </c>
      <c r="AW16" s="305">
        <v>2.9260015486668872E-3</v>
      </c>
      <c r="AX16" s="449">
        <v>8.8860644289661152E-3</v>
      </c>
      <c r="AY16" s="286"/>
      <c r="AZ16" s="305">
        <v>3.809022320370245E-2</v>
      </c>
      <c r="BA16" s="305">
        <v>4.8115476141355293E-2</v>
      </c>
      <c r="BB16" s="305">
        <v>3.966069175706833E-2</v>
      </c>
    </row>
    <row r="17" spans="7:54" x14ac:dyDescent="0.2">
      <c r="G17" s="267" t="s">
        <v>34</v>
      </c>
      <c r="H17" s="268" t="s">
        <v>35</v>
      </c>
      <c r="I17" s="61" t="s">
        <v>42</v>
      </c>
      <c r="J17" s="61" t="s">
        <v>43</v>
      </c>
      <c r="K17" s="311">
        <v>1962581.0752503697</v>
      </c>
      <c r="L17" s="311">
        <v>322102.10294092807</v>
      </c>
      <c r="M17" s="311">
        <v>2284683.1781912977</v>
      </c>
      <c r="N17" s="311">
        <v>37295.525835746434</v>
      </c>
      <c r="O17" s="311">
        <v>15912.897059071925</v>
      </c>
      <c r="P17" s="309">
        <v>53208.422894818359</v>
      </c>
      <c r="Q17" s="305">
        <v>2.328919099274919E-2</v>
      </c>
      <c r="S17" s="311">
        <v>5560.9501466811198</v>
      </c>
      <c r="T17" s="311">
        <v>0</v>
      </c>
      <c r="U17" s="311">
        <v>4576.3892794333515</v>
      </c>
      <c r="V17" s="311">
        <v>12255.510956920165</v>
      </c>
      <c r="W17" s="311"/>
      <c r="X17" s="311"/>
      <c r="Y17" s="311">
        <v>0</v>
      </c>
      <c r="Z17" s="311">
        <v>946</v>
      </c>
      <c r="AA17" s="311"/>
      <c r="AB17" s="311">
        <v>150.43777185070186</v>
      </c>
      <c r="AC17" s="311">
        <v>0</v>
      </c>
      <c r="AD17" s="311">
        <v>23489.28815488534</v>
      </c>
      <c r="AE17" s="286"/>
      <c r="AF17" s="311">
        <v>59688.376218781072</v>
      </c>
      <c r="AG17" s="311">
        <v>16858.897059071925</v>
      </c>
      <c r="AH17" s="311">
        <v>76547.273277853004</v>
      </c>
      <c r="AI17" s="305">
        <v>3.3504546279564569E-2</v>
      </c>
      <c r="AJ17" s="286"/>
      <c r="AK17" s="311">
        <v>-62500</v>
      </c>
      <c r="AL17" s="311">
        <v>23489.28815488534</v>
      </c>
      <c r="AM17" s="311">
        <v>-1683.1900236353513</v>
      </c>
      <c r="AN17" s="311">
        <v>-9219.607409716762</v>
      </c>
      <c r="AO17" s="311">
        <v>12586.490721533228</v>
      </c>
      <c r="AP17" s="311">
        <v>-49913.509278466772</v>
      </c>
      <c r="AQ17" s="286"/>
      <c r="AR17" s="303">
        <v>1.9003304528954851E-2</v>
      </c>
      <c r="AS17" s="305">
        <v>4.9403269689270772E-2</v>
      </c>
      <c r="AT17" s="305">
        <v>2.328919099274919E-2</v>
      </c>
      <c r="AU17" s="286"/>
      <c r="AV17" s="305">
        <v>1.1409898253593394E-2</v>
      </c>
      <c r="AW17" s="305">
        <v>2.9369569194445527E-3</v>
      </c>
      <c r="AX17" s="449">
        <v>1.0215355286815379E-2</v>
      </c>
      <c r="AY17" s="286"/>
      <c r="AZ17" s="305">
        <v>3.0413202782548245E-2</v>
      </c>
      <c r="BA17" s="305">
        <v>5.2340226608715325E-2</v>
      </c>
      <c r="BB17" s="305">
        <v>3.3504546279564569E-2</v>
      </c>
    </row>
    <row r="18" spans="7:54" x14ac:dyDescent="0.2">
      <c r="G18" s="267" t="s">
        <v>34</v>
      </c>
      <c r="H18" s="268" t="s">
        <v>35</v>
      </c>
      <c r="I18" s="61" t="s">
        <v>44</v>
      </c>
      <c r="J18" s="61" t="s">
        <v>45</v>
      </c>
      <c r="K18" s="311">
        <v>1398930.5188933569</v>
      </c>
      <c r="L18" s="311">
        <v>254797.12308630819</v>
      </c>
      <c r="M18" s="311">
        <v>1653727.641979665</v>
      </c>
      <c r="N18" s="311">
        <v>29740.031029047677</v>
      </c>
      <c r="O18" s="311">
        <v>12680.876913691813</v>
      </c>
      <c r="P18" s="309">
        <v>42420.90794273949</v>
      </c>
      <c r="Q18" s="305">
        <v>2.5651689471645849E-2</v>
      </c>
      <c r="S18" s="311">
        <v>3972.5549229600983</v>
      </c>
      <c r="T18" s="311">
        <v>0</v>
      </c>
      <c r="U18" s="311">
        <v>3262.0566406506155</v>
      </c>
      <c r="V18" s="311">
        <v>8735.7452481703876</v>
      </c>
      <c r="W18" s="311"/>
      <c r="X18" s="311"/>
      <c r="Y18" s="311">
        <v>0</v>
      </c>
      <c r="Z18" s="311">
        <v>749</v>
      </c>
      <c r="AA18" s="311"/>
      <c r="AB18" s="311">
        <v>107.23225291949537</v>
      </c>
      <c r="AC18" s="311">
        <v>0</v>
      </c>
      <c r="AD18" s="311">
        <v>16826.589064700598</v>
      </c>
      <c r="AE18" s="286"/>
      <c r="AF18" s="311">
        <v>45710.387840828778</v>
      </c>
      <c r="AG18" s="311">
        <v>13429.876913691813</v>
      </c>
      <c r="AH18" s="311">
        <v>59140.264754520591</v>
      </c>
      <c r="AI18" s="305">
        <v>3.5761792482179366E-2</v>
      </c>
      <c r="AJ18" s="286"/>
      <c r="AK18" s="311">
        <v>-65655</v>
      </c>
      <c r="AL18" s="311">
        <v>16826.589064700598</v>
      </c>
      <c r="AM18" s="311">
        <v>-1199.7801888821</v>
      </c>
      <c r="AN18" s="311">
        <v>-6673.4502915714702</v>
      </c>
      <c r="AO18" s="311">
        <v>8953.3585842470275</v>
      </c>
      <c r="AP18" s="311">
        <v>-56701.641415752973</v>
      </c>
      <c r="AQ18" s="286"/>
      <c r="AR18" s="303">
        <v>2.1259119468330662E-2</v>
      </c>
      <c r="AS18" s="305">
        <v>4.9768524699536666E-2</v>
      </c>
      <c r="AT18" s="305">
        <v>2.5651689471645849E-2</v>
      </c>
      <c r="AU18" s="286"/>
      <c r="AV18" s="305">
        <v>1.1416118667862549E-2</v>
      </c>
      <c r="AW18" s="305">
        <v>2.9395936301301537E-3</v>
      </c>
      <c r="AX18" s="449">
        <v>1.0110103010533517E-2</v>
      </c>
      <c r="AY18" s="286"/>
      <c r="AZ18" s="305">
        <v>3.2675238136193212E-2</v>
      </c>
      <c r="BA18" s="305">
        <v>5.270811832966682E-2</v>
      </c>
      <c r="BB18" s="305">
        <v>3.5761792482179366E-2</v>
      </c>
    </row>
    <row r="19" spans="7:54" x14ac:dyDescent="0.2">
      <c r="G19" s="267" t="s">
        <v>34</v>
      </c>
      <c r="H19" s="268" t="s">
        <v>35</v>
      </c>
      <c r="I19" s="61" t="s">
        <v>46</v>
      </c>
      <c r="J19" s="61" t="s">
        <v>47</v>
      </c>
      <c r="K19" s="311">
        <v>1777648.0142066516</v>
      </c>
      <c r="L19" s="311">
        <v>359790.82190727431</v>
      </c>
      <c r="M19" s="311">
        <v>2137438.836113926</v>
      </c>
      <c r="N19" s="311">
        <v>48676.413719905075</v>
      </c>
      <c r="O19" s="311">
        <v>12537.156591430306</v>
      </c>
      <c r="P19" s="309">
        <v>61213.570311335381</v>
      </c>
      <c r="Q19" s="305">
        <v>2.8638747119720007E-2</v>
      </c>
      <c r="S19" s="311">
        <v>2829.4480924607542</v>
      </c>
      <c r="T19" s="311">
        <v>0</v>
      </c>
      <c r="U19" s="311">
        <v>4165.1955428919518</v>
      </c>
      <c r="V19" s="311">
        <v>11154.339479605622</v>
      </c>
      <c r="W19" s="311"/>
      <c r="X19" s="311"/>
      <c r="Y19" s="311">
        <v>0</v>
      </c>
      <c r="Z19" s="311">
        <v>-8.01487299031578E-2</v>
      </c>
      <c r="AA19" s="311"/>
      <c r="AB19" s="311">
        <v>136.92076843443829</v>
      </c>
      <c r="AC19" s="311">
        <v>0</v>
      </c>
      <c r="AD19" s="311">
        <v>18285.823734662859</v>
      </c>
      <c r="AE19" s="286"/>
      <c r="AF19" s="311">
        <v>66825.396834863408</v>
      </c>
      <c r="AG19" s="311">
        <v>12537.076442700403</v>
      </c>
      <c r="AH19" s="311">
        <v>79362.473277563811</v>
      </c>
      <c r="AI19" s="305">
        <v>3.7129704923792153E-2</v>
      </c>
      <c r="AJ19" s="286"/>
      <c r="AK19" s="311">
        <v>-61072</v>
      </c>
      <c r="AL19" s="311">
        <v>18285.823734662859</v>
      </c>
      <c r="AM19" s="311">
        <v>-1531.9535022497571</v>
      </c>
      <c r="AN19" s="311">
        <v>-8625.4177906860314</v>
      </c>
      <c r="AO19" s="311">
        <v>8128.4524417270695</v>
      </c>
      <c r="AP19" s="311">
        <v>-52943.547558272927</v>
      </c>
      <c r="AQ19" s="286"/>
      <c r="AR19" s="303">
        <v>2.7382481419770226E-2</v>
      </c>
      <c r="AS19" s="305">
        <v>3.4845682068736582E-2</v>
      </c>
      <c r="AT19" s="305">
        <v>2.8638747119720007E-2</v>
      </c>
      <c r="AU19" s="286"/>
      <c r="AV19" s="305">
        <v>1.0209548217596981E-2</v>
      </c>
      <c r="AW19" s="305">
        <v>-2.2276479838545526E-7</v>
      </c>
      <c r="AX19" s="449">
        <v>8.490957804072146E-3</v>
      </c>
      <c r="AY19" s="286"/>
      <c r="AZ19" s="305">
        <v>3.7592029637367207E-2</v>
      </c>
      <c r="BA19" s="305">
        <v>3.4845459303938196E-2</v>
      </c>
      <c r="BB19" s="305">
        <v>3.7129704923792153E-2</v>
      </c>
    </row>
    <row r="20" spans="7:54" x14ac:dyDescent="0.2">
      <c r="G20" s="267" t="s">
        <v>34</v>
      </c>
      <c r="H20" s="268" t="s">
        <v>35</v>
      </c>
      <c r="I20" s="61" t="s">
        <v>48</v>
      </c>
      <c r="J20" s="61" t="s">
        <v>49</v>
      </c>
      <c r="K20" s="311">
        <v>1430540.2336945874</v>
      </c>
      <c r="L20" s="311">
        <v>244617.26023720729</v>
      </c>
      <c r="M20" s="311">
        <v>1675157.4939317945</v>
      </c>
      <c r="N20" s="311">
        <v>29031.516430947464</v>
      </c>
      <c r="O20" s="311">
        <v>12182.739762792713</v>
      </c>
      <c r="P20" s="309">
        <v>41214.256193740177</v>
      </c>
      <c r="Q20" s="305">
        <v>2.4603212738526094E-2</v>
      </c>
      <c r="S20" s="311">
        <v>4058.5105424144276</v>
      </c>
      <c r="T20" s="311">
        <v>0</v>
      </c>
      <c r="U20" s="311">
        <v>3335.764861812303</v>
      </c>
      <c r="V20" s="311">
        <v>8933.1349055847604</v>
      </c>
      <c r="W20" s="311"/>
      <c r="X20" s="311"/>
      <c r="Y20" s="311">
        <v>0</v>
      </c>
      <c r="Z20" s="311">
        <v>719</v>
      </c>
      <c r="AA20" s="311"/>
      <c r="AB20" s="311">
        <v>109.65523310793247</v>
      </c>
      <c r="AC20" s="311">
        <v>0</v>
      </c>
      <c r="AD20" s="311">
        <v>17156.065542919423</v>
      </c>
      <c r="AE20" s="286"/>
      <c r="AF20" s="311">
        <v>45358.92674075895</v>
      </c>
      <c r="AG20" s="311">
        <v>12901.739762792713</v>
      </c>
      <c r="AH20" s="311">
        <v>58260.666503551663</v>
      </c>
      <c r="AI20" s="305">
        <v>3.4779217306193058E-2</v>
      </c>
      <c r="AJ20" s="286"/>
      <c r="AK20" s="311">
        <v>-28894</v>
      </c>
      <c r="AL20" s="311">
        <v>17156.065542919423</v>
      </c>
      <c r="AM20" s="311">
        <v>-1226.8899767397061</v>
      </c>
      <c r="AN20" s="311">
        <v>-6759.928287178458</v>
      </c>
      <c r="AO20" s="311">
        <v>9169.2472790012598</v>
      </c>
      <c r="AP20" s="311">
        <v>-19724.752720998738</v>
      </c>
      <c r="AQ20" s="286"/>
      <c r="AR20" s="303">
        <v>2.0294092921783236E-2</v>
      </c>
      <c r="AS20" s="305">
        <v>4.9803271244960451E-2</v>
      </c>
      <c r="AT20" s="305">
        <v>2.4603212738526094E-2</v>
      </c>
      <c r="AU20" s="286"/>
      <c r="AV20" s="305">
        <v>1.1413457605203788E-2</v>
      </c>
      <c r="AW20" s="305">
        <v>2.9392856387271266E-3</v>
      </c>
      <c r="AX20" s="449">
        <v>1.0176004567666964E-2</v>
      </c>
      <c r="AY20" s="286"/>
      <c r="AZ20" s="305">
        <v>3.1707550526987024E-2</v>
      </c>
      <c r="BA20" s="305">
        <v>5.2742556883687577E-2</v>
      </c>
      <c r="BB20" s="305">
        <v>3.4779217306193058E-2</v>
      </c>
    </row>
    <row r="21" spans="7:54" x14ac:dyDescent="0.2">
      <c r="G21" s="267" t="s">
        <v>34</v>
      </c>
      <c r="H21" s="268" t="s">
        <v>35</v>
      </c>
      <c r="I21" s="61" t="s">
        <v>50</v>
      </c>
      <c r="J21" s="61" t="s">
        <v>51</v>
      </c>
      <c r="K21" s="311">
        <v>1308776.6234172874</v>
      </c>
      <c r="L21" s="311">
        <v>227386.69840213092</v>
      </c>
      <c r="M21" s="311">
        <v>1536163.3218194183</v>
      </c>
      <c r="N21" s="311">
        <v>29060.265408934793</v>
      </c>
      <c r="O21" s="311">
        <v>12118.301597869082</v>
      </c>
      <c r="P21" s="309">
        <v>41178.567006803874</v>
      </c>
      <c r="Q21" s="305">
        <v>2.6806112619608923E-2</v>
      </c>
      <c r="S21" s="311">
        <v>3719.9546896970642</v>
      </c>
      <c r="T21" s="311">
        <v>0</v>
      </c>
      <c r="U21" s="311">
        <v>3051.83382440176</v>
      </c>
      <c r="V21" s="311">
        <v>8172.7712810057174</v>
      </c>
      <c r="W21" s="311"/>
      <c r="X21" s="311"/>
      <c r="Y21" s="311">
        <v>0</v>
      </c>
      <c r="Z21" s="311">
        <v>670</v>
      </c>
      <c r="AA21" s="311"/>
      <c r="AB21" s="311">
        <v>100.32168431669216</v>
      </c>
      <c r="AC21" s="311">
        <v>0</v>
      </c>
      <c r="AD21" s="311">
        <v>15714.881479421234</v>
      </c>
      <c r="AE21" s="286"/>
      <c r="AF21" s="311">
        <v>44004.825204039334</v>
      </c>
      <c r="AG21" s="311">
        <v>12788.301597869082</v>
      </c>
      <c r="AH21" s="311">
        <v>56793.126801908416</v>
      </c>
      <c r="AI21" s="305">
        <v>3.6970760852851982E-2</v>
      </c>
      <c r="AJ21" s="286"/>
      <c r="AK21" s="311">
        <v>-34826</v>
      </c>
      <c r="AL21" s="311">
        <v>15714.881479421234</v>
      </c>
      <c r="AM21" s="311">
        <v>-1122.4605105407475</v>
      </c>
      <c r="AN21" s="311">
        <v>-6199.0313928750629</v>
      </c>
      <c r="AO21" s="311">
        <v>8393.389576005422</v>
      </c>
      <c r="AP21" s="311">
        <v>-26432.610423994578</v>
      </c>
      <c r="AQ21" s="286"/>
      <c r="AR21" s="303">
        <v>2.2204144610297859E-2</v>
      </c>
      <c r="AS21" s="305">
        <v>5.3293801629671393E-2</v>
      </c>
      <c r="AT21" s="305">
        <v>2.6806112619608923E-2</v>
      </c>
      <c r="AU21" s="286"/>
      <c r="AV21" s="305">
        <v>1.1418724576607638E-2</v>
      </c>
      <c r="AW21" s="305">
        <v>2.9465223986634079E-3</v>
      </c>
      <c r="AX21" s="449">
        <v>1.0164648233243059E-2</v>
      </c>
      <c r="AY21" s="286"/>
      <c r="AZ21" s="305">
        <v>3.3622869186905498E-2</v>
      </c>
      <c r="BA21" s="305">
        <v>5.6240324028334801E-2</v>
      </c>
      <c r="BB21" s="305">
        <v>3.6970760852851982E-2</v>
      </c>
    </row>
    <row r="22" spans="7:54" x14ac:dyDescent="0.2">
      <c r="G22" s="267" t="s">
        <v>34</v>
      </c>
      <c r="H22" s="268" t="s">
        <v>35</v>
      </c>
      <c r="I22" s="61" t="s">
        <v>52</v>
      </c>
      <c r="J22" s="61" t="s">
        <v>53</v>
      </c>
      <c r="K22" s="311">
        <v>2105020.7165497779</v>
      </c>
      <c r="L22" s="311">
        <v>405681.49977994605</v>
      </c>
      <c r="M22" s="311">
        <v>2510702.2163297241</v>
      </c>
      <c r="N22" s="311">
        <v>46880.141031249426</v>
      </c>
      <c r="O22" s="311">
        <v>14810.223440669535</v>
      </c>
      <c r="P22" s="309">
        <v>61690.364471918961</v>
      </c>
      <c r="Q22" s="305">
        <v>2.4570960295761862E-2</v>
      </c>
      <c r="S22" s="311">
        <v>4657.4277515574213</v>
      </c>
      <c r="T22" s="311">
        <v>0</v>
      </c>
      <c r="U22" s="311">
        <v>4920.3730952690476</v>
      </c>
      <c r="V22" s="311">
        <v>13176.695140906273</v>
      </c>
      <c r="W22" s="311"/>
      <c r="X22" s="311"/>
      <c r="Y22" s="311">
        <v>0</v>
      </c>
      <c r="Z22" s="311">
        <v>0.13111249351641163</v>
      </c>
      <c r="AA22" s="311"/>
      <c r="AB22" s="311">
        <v>161.74541104992485</v>
      </c>
      <c r="AC22" s="311">
        <v>0</v>
      </c>
      <c r="AD22" s="311">
        <v>22916.372511276182</v>
      </c>
      <c r="AE22" s="286"/>
      <c r="AF22" s="311">
        <v>69634.637018982176</v>
      </c>
      <c r="AG22" s="311">
        <v>14810.354553163052</v>
      </c>
      <c r="AH22" s="311">
        <v>84444.991572145227</v>
      </c>
      <c r="AI22" s="305">
        <v>3.3634013234588742E-2</v>
      </c>
      <c r="AJ22" s="286"/>
      <c r="AK22" s="311">
        <v>-91486</v>
      </c>
      <c r="AL22" s="311">
        <v>22916.372511276182</v>
      </c>
      <c r="AM22" s="311">
        <v>-1809.7068236175317</v>
      </c>
      <c r="AN22" s="311">
        <v>-10131.684330774922</v>
      </c>
      <c r="AO22" s="311">
        <v>10974.981356883727</v>
      </c>
      <c r="AP22" s="311">
        <v>-80511.018643116273</v>
      </c>
      <c r="AQ22" s="286"/>
      <c r="AR22" s="303">
        <v>2.2270631667743419E-2</v>
      </c>
      <c r="AS22" s="305">
        <v>3.6507022007912733E-2</v>
      </c>
      <c r="AT22" s="305">
        <v>2.4570960295761862E-2</v>
      </c>
      <c r="AU22" s="286"/>
      <c r="AV22" s="305">
        <v>1.0809630427309227E-2</v>
      </c>
      <c r="AW22" s="305">
        <v>3.2319071386482934E-7</v>
      </c>
      <c r="AX22" s="449">
        <v>9.0630529388268793E-3</v>
      </c>
      <c r="AY22" s="286"/>
      <c r="AZ22" s="305">
        <v>3.3080262095052645E-2</v>
      </c>
      <c r="BA22" s="305">
        <v>3.6507345198626598E-2</v>
      </c>
      <c r="BB22" s="305">
        <v>3.3634013234588742E-2</v>
      </c>
    </row>
    <row r="23" spans="7:54" x14ac:dyDescent="0.2">
      <c r="G23" s="267" t="s">
        <v>34</v>
      </c>
      <c r="H23" s="268" t="s">
        <v>35</v>
      </c>
      <c r="I23" s="61" t="s">
        <v>54</v>
      </c>
      <c r="J23" s="61" t="s">
        <v>55</v>
      </c>
      <c r="K23" s="311">
        <v>916403.00407981756</v>
      </c>
      <c r="L23" s="311">
        <v>154471.73507291987</v>
      </c>
      <c r="M23" s="311">
        <v>1070874.7391527374</v>
      </c>
      <c r="N23" s="311">
        <v>22832.387407506933</v>
      </c>
      <c r="O23" s="311">
        <v>8481.2649270801339</v>
      </c>
      <c r="P23" s="309">
        <v>31313.652334587066</v>
      </c>
      <c r="Q23" s="305">
        <v>2.9241190579733008E-2</v>
      </c>
      <c r="S23" s="311">
        <v>2611.5563427725556</v>
      </c>
      <c r="T23" s="311">
        <v>0</v>
      </c>
      <c r="U23" s="311">
        <v>2136.8884763022502</v>
      </c>
      <c r="V23" s="311">
        <v>5722.5595411501681</v>
      </c>
      <c r="W23" s="311"/>
      <c r="X23" s="311"/>
      <c r="Y23" s="311">
        <v>0</v>
      </c>
      <c r="Z23" s="311">
        <v>456</v>
      </c>
      <c r="AA23" s="311"/>
      <c r="AB23" s="311">
        <v>70.245060338957046</v>
      </c>
      <c r="AC23" s="311">
        <v>0</v>
      </c>
      <c r="AD23" s="311">
        <v>10997.249420563932</v>
      </c>
      <c r="AE23" s="286"/>
      <c r="AF23" s="311">
        <v>33303.391767731911</v>
      </c>
      <c r="AG23" s="311">
        <v>8937.2649270801339</v>
      </c>
      <c r="AH23" s="311">
        <v>42240.656694812045</v>
      </c>
      <c r="AI23" s="305">
        <v>3.9445002436262824E-2</v>
      </c>
      <c r="AJ23" s="286"/>
      <c r="AK23" s="311">
        <v>-130814</v>
      </c>
      <c r="AL23" s="311">
        <v>10997.249420563932</v>
      </c>
      <c r="AM23" s="311">
        <v>-785.94480174524165</v>
      </c>
      <c r="AN23" s="311">
        <v>-4321.4064751801698</v>
      </c>
      <c r="AO23" s="311">
        <v>5889.8981436385211</v>
      </c>
      <c r="AP23" s="311">
        <v>-124924.10185636148</v>
      </c>
      <c r="AQ23" s="286"/>
      <c r="AR23" s="303">
        <v>2.4915225403951489E-2</v>
      </c>
      <c r="AS23" s="305">
        <v>5.49049631835654E-2</v>
      </c>
      <c r="AT23" s="305">
        <v>2.9241190579733008E-2</v>
      </c>
      <c r="AU23" s="286"/>
      <c r="AV23" s="305">
        <v>1.1426200387393066E-2</v>
      </c>
      <c r="AW23" s="305">
        <v>2.9519963622130704E-3</v>
      </c>
      <c r="AX23" s="449">
        <v>1.0203811856529816E-2</v>
      </c>
      <c r="AY23" s="286"/>
      <c r="AZ23" s="305">
        <v>3.6341425791344556E-2</v>
      </c>
      <c r="BA23" s="305">
        <v>5.785695954577847E-2</v>
      </c>
      <c r="BB23" s="305">
        <v>3.9445002436262824E-2</v>
      </c>
    </row>
    <row r="24" spans="7:54" x14ac:dyDescent="0.2">
      <c r="G24" s="269" t="s">
        <v>34</v>
      </c>
      <c r="H24" s="270" t="s">
        <v>35</v>
      </c>
      <c r="I24" s="271" t="s">
        <v>56</v>
      </c>
      <c r="J24" s="271" t="s">
        <v>57</v>
      </c>
      <c r="K24" s="312">
        <v>2085541.323485509</v>
      </c>
      <c r="L24" s="312">
        <v>389957.46990226448</v>
      </c>
      <c r="M24" s="312">
        <v>2475498.7933877734</v>
      </c>
      <c r="N24" s="312">
        <v>37498.100742110051</v>
      </c>
      <c r="O24" s="312">
        <v>14311.21266796469</v>
      </c>
      <c r="P24" s="310">
        <v>51809.313410074741</v>
      </c>
      <c r="Q24" s="306">
        <v>2.0928838078394931E-2</v>
      </c>
      <c r="S24" s="312">
        <v>5903.471829102833</v>
      </c>
      <c r="T24" s="312">
        <v>0</v>
      </c>
      <c r="U24" s="312">
        <v>4863.1106632864839</v>
      </c>
      <c r="V24" s="312">
        <v>13023.347092973363</v>
      </c>
      <c r="W24" s="312"/>
      <c r="X24" s="312"/>
      <c r="Y24" s="312">
        <v>0</v>
      </c>
      <c r="Z24" s="312">
        <v>0.2253889738349244</v>
      </c>
      <c r="AA24" s="312"/>
      <c r="AB24" s="312">
        <v>159.86304655857285</v>
      </c>
      <c r="AC24" s="312">
        <v>0</v>
      </c>
      <c r="AD24" s="312">
        <v>23950.018020895088</v>
      </c>
      <c r="AE24" s="286"/>
      <c r="AF24" s="312">
        <v>61288.030327472734</v>
      </c>
      <c r="AG24" s="312">
        <v>14311.438056938525</v>
      </c>
      <c r="AH24" s="312">
        <v>75599.468384411259</v>
      </c>
      <c r="AI24" s="306">
        <v>3.0539085127547872E-2</v>
      </c>
      <c r="AJ24" s="286"/>
      <c r="AK24" s="312">
        <v>-91446</v>
      </c>
      <c r="AL24" s="312">
        <v>23950.018020895088</v>
      </c>
      <c r="AM24" s="312">
        <v>-1788.6457756259842</v>
      </c>
      <c r="AN24" s="312">
        <v>-9989.6244854094293</v>
      </c>
      <c r="AO24" s="312">
        <v>12171.747759859674</v>
      </c>
      <c r="AP24" s="312">
        <v>-79274.252240140326</v>
      </c>
      <c r="AQ24" s="286"/>
      <c r="AR24" s="304">
        <v>1.7980032483576248E-2</v>
      </c>
      <c r="AS24" s="306">
        <v>3.6699419225259426E-2</v>
      </c>
      <c r="AT24" s="306">
        <v>2.0928838078394931E-2</v>
      </c>
      <c r="AU24" s="286"/>
      <c r="AV24" s="306">
        <v>1.1407076578853498E-2</v>
      </c>
      <c r="AW24" s="306">
        <v>5.7798347571913489E-7</v>
      </c>
      <c r="AX24" s="449">
        <v>9.610247049152941E-3</v>
      </c>
      <c r="AY24" s="286"/>
      <c r="AZ24" s="306">
        <v>2.9387109062429747E-2</v>
      </c>
      <c r="BA24" s="306">
        <v>3.6699997208735145E-2</v>
      </c>
      <c r="BB24" s="306">
        <v>3.0539085127547872E-2</v>
      </c>
    </row>
    <row r="25" spans="7:54" x14ac:dyDescent="0.2">
      <c r="G25" s="266" t="s">
        <v>58</v>
      </c>
      <c r="H25" s="61" t="s">
        <v>59</v>
      </c>
      <c r="I25" s="61" t="s">
        <v>60</v>
      </c>
      <c r="J25" s="61" t="s">
        <v>61</v>
      </c>
      <c r="K25" s="311">
        <v>1641208.6855702072</v>
      </c>
      <c r="L25" s="311">
        <v>313058.37890935689</v>
      </c>
      <c r="M25" s="311">
        <v>1954267.0644795641</v>
      </c>
      <c r="N25" s="311">
        <v>45656.703329878161</v>
      </c>
      <c r="O25" s="311">
        <v>15444.621090643108</v>
      </c>
      <c r="P25" s="309">
        <v>61101.324420521269</v>
      </c>
      <c r="Q25" s="305">
        <v>3.126559595210341E-2</v>
      </c>
      <c r="S25" s="311">
        <v>1543.534196449501</v>
      </c>
      <c r="T25" s="311">
        <v>0</v>
      </c>
      <c r="U25" s="311">
        <v>3855.1219448366155</v>
      </c>
      <c r="V25" s="311">
        <v>10323.966417703561</v>
      </c>
      <c r="W25" s="311"/>
      <c r="X25" s="311"/>
      <c r="Y25" s="311">
        <v>0</v>
      </c>
      <c r="Z25" s="311">
        <v>919</v>
      </c>
      <c r="AA25" s="311"/>
      <c r="AB25" s="311">
        <v>126.72784594622053</v>
      </c>
      <c r="AC25" s="311">
        <v>0</v>
      </c>
      <c r="AD25" s="311">
        <v>16768.3504049359</v>
      </c>
      <c r="AE25" s="286"/>
      <c r="AF25" s="311">
        <v>61379.325888867839</v>
      </c>
      <c r="AG25" s="311">
        <v>16363.621090643108</v>
      </c>
      <c r="AH25" s="311">
        <v>77742.946979510947</v>
      </c>
      <c r="AI25" s="305">
        <v>3.9781127355904389E-2</v>
      </c>
      <c r="AJ25" s="286"/>
      <c r="AK25" s="311">
        <v>0</v>
      </c>
      <c r="AL25" s="311">
        <v>16768.3504049359</v>
      </c>
      <c r="AM25" s="311">
        <v>-1417.9088362540174</v>
      </c>
      <c r="AN25" s="311">
        <v>-7886.2466709739101</v>
      </c>
      <c r="AO25" s="311">
        <v>7464.1948977079728</v>
      </c>
      <c r="AP25" s="311">
        <v>7464.1948977079728</v>
      </c>
      <c r="AQ25" s="286"/>
      <c r="AR25" s="303">
        <v>2.781895058885555E-2</v>
      </c>
      <c r="AS25" s="305">
        <v>4.9334635745734032E-2</v>
      </c>
      <c r="AT25" s="305">
        <v>3.126559595210341E-2</v>
      </c>
      <c r="AU25" s="286"/>
      <c r="AV25" s="305">
        <v>9.5799045528004584E-3</v>
      </c>
      <c r="AW25" s="305">
        <v>2.935554714113206E-3</v>
      </c>
      <c r="AX25" s="449">
        <v>8.5155314038009786E-3</v>
      </c>
      <c r="AY25" s="286"/>
      <c r="AZ25" s="305">
        <v>3.7398855141656008E-2</v>
      </c>
      <c r="BA25" s="305">
        <v>5.2270190459847238E-2</v>
      </c>
      <c r="BB25" s="305">
        <v>3.9781127355904389E-2</v>
      </c>
    </row>
    <row r="26" spans="7:54" x14ac:dyDescent="0.2">
      <c r="G26" s="267" t="s">
        <v>58</v>
      </c>
      <c r="H26" s="268" t="s">
        <v>59</v>
      </c>
      <c r="I26" s="61" t="s">
        <v>62</v>
      </c>
      <c r="J26" s="61" t="s">
        <v>63</v>
      </c>
      <c r="K26" s="311">
        <v>1518436.8136209415</v>
      </c>
      <c r="L26" s="311">
        <v>321815.61586934631</v>
      </c>
      <c r="M26" s="311">
        <v>1840252.4294902878</v>
      </c>
      <c r="N26" s="311">
        <v>28424.497750137933</v>
      </c>
      <c r="O26" s="311">
        <v>11742.727878378937</v>
      </c>
      <c r="P26" s="309">
        <v>40167.22562851687</v>
      </c>
      <c r="Q26" s="305">
        <v>2.1827019481040634E-2</v>
      </c>
      <c r="S26" s="311">
        <v>4301.2846756432882</v>
      </c>
      <c r="T26" s="311">
        <v>0</v>
      </c>
      <c r="U26" s="311">
        <v>3540.7240205173812</v>
      </c>
      <c r="V26" s="311">
        <v>9482.0128663211435</v>
      </c>
      <c r="W26" s="311"/>
      <c r="X26" s="311"/>
      <c r="Y26" s="311">
        <v>0</v>
      </c>
      <c r="Z26" s="311">
        <v>3.1499628792516887E-2</v>
      </c>
      <c r="AA26" s="311"/>
      <c r="AB26" s="311">
        <v>116.3927716505025</v>
      </c>
      <c r="AC26" s="311">
        <v>0</v>
      </c>
      <c r="AD26" s="311">
        <v>17440.445833761107</v>
      </c>
      <c r="AE26" s="286"/>
      <c r="AF26" s="311">
        <v>45748.519312619741</v>
      </c>
      <c r="AG26" s="311">
        <v>11742.75937800773</v>
      </c>
      <c r="AH26" s="311">
        <v>57491.27869062747</v>
      </c>
      <c r="AI26" s="305">
        <v>3.1240974210560546E-2</v>
      </c>
      <c r="AJ26" s="286"/>
      <c r="AK26" s="311">
        <v>0</v>
      </c>
      <c r="AL26" s="311">
        <v>17440.445833761107</v>
      </c>
      <c r="AM26" s="311">
        <v>-1302.2736886838522</v>
      </c>
      <c r="AN26" s="311">
        <v>-7426.152167019337</v>
      </c>
      <c r="AO26" s="311">
        <v>8712.0199780579169</v>
      </c>
      <c r="AP26" s="311">
        <v>8712.0199780579169</v>
      </c>
      <c r="AQ26" s="286"/>
      <c r="AR26" s="303">
        <v>1.8719578908493028E-2</v>
      </c>
      <c r="AS26" s="305">
        <v>3.648899338416927E-2</v>
      </c>
      <c r="AT26" s="305">
        <v>2.1827019481040634E-2</v>
      </c>
      <c r="AU26" s="286"/>
      <c r="AV26" s="305">
        <v>1.1409115879619691E-2</v>
      </c>
      <c r="AW26" s="305">
        <v>9.7880982895259816E-8</v>
      </c>
      <c r="AX26" s="449">
        <v>9.4139547295199119E-3</v>
      </c>
      <c r="AY26" s="286"/>
      <c r="AZ26" s="305">
        <v>3.0128694788112718E-2</v>
      </c>
      <c r="BA26" s="305">
        <v>3.6489091265152165E-2</v>
      </c>
      <c r="BB26" s="305">
        <v>3.1240974210560546E-2</v>
      </c>
    </row>
    <row r="27" spans="7:54" x14ac:dyDescent="0.2">
      <c r="G27" s="267" t="s">
        <v>58</v>
      </c>
      <c r="H27" s="268" t="s">
        <v>59</v>
      </c>
      <c r="I27" s="61" t="s">
        <v>64</v>
      </c>
      <c r="J27" s="61" t="s">
        <v>65</v>
      </c>
      <c r="K27" s="311">
        <v>2594304.3550825687</v>
      </c>
      <c r="L27" s="311">
        <v>509326.00412967935</v>
      </c>
      <c r="M27" s="311">
        <v>3103630.3592122481</v>
      </c>
      <c r="N27" s="311">
        <v>42932.365503720008</v>
      </c>
      <c r="O27" s="311">
        <v>24088.99587032065</v>
      </c>
      <c r="P27" s="309">
        <v>67021.361374040658</v>
      </c>
      <c r="Q27" s="305">
        <v>2.1594505020582338E-2</v>
      </c>
      <c r="S27" s="311">
        <v>7333.3708046417887</v>
      </c>
      <c r="T27" s="311">
        <v>0</v>
      </c>
      <c r="U27" s="311">
        <v>6049.4553768549522</v>
      </c>
      <c r="V27" s="311">
        <v>16200.362802970594</v>
      </c>
      <c r="W27" s="311"/>
      <c r="X27" s="311"/>
      <c r="Y27" s="311">
        <v>0</v>
      </c>
      <c r="Z27" s="311">
        <v>1493</v>
      </c>
      <c r="AA27" s="311"/>
      <c r="AB27" s="311">
        <v>198.86127080452204</v>
      </c>
      <c r="AC27" s="311">
        <v>0</v>
      </c>
      <c r="AD27" s="311">
        <v>31275.050255271857</v>
      </c>
      <c r="AE27" s="286"/>
      <c r="AF27" s="311">
        <v>72515.554488187336</v>
      </c>
      <c r="AG27" s="311">
        <v>25581.99587032065</v>
      </c>
      <c r="AH27" s="311">
        <v>98097.550358507986</v>
      </c>
      <c r="AI27" s="305">
        <v>3.1607356226340928E-2</v>
      </c>
      <c r="AJ27" s="286"/>
      <c r="AK27" s="311">
        <v>0</v>
      </c>
      <c r="AL27" s="311">
        <v>31275.050255271857</v>
      </c>
      <c r="AM27" s="311">
        <v>-2224.9818179825543</v>
      </c>
      <c r="AN27" s="311">
        <v>-12524.38575727074</v>
      </c>
      <c r="AO27" s="311">
        <v>16525.682680018559</v>
      </c>
      <c r="AP27" s="311">
        <v>16525.682680018559</v>
      </c>
      <c r="AQ27" s="286"/>
      <c r="AR27" s="303">
        <v>1.6548700394234818E-2</v>
      </c>
      <c r="AS27" s="305">
        <v>4.7295829537475097E-2</v>
      </c>
      <c r="AT27" s="305">
        <v>2.1594505020582338E-2</v>
      </c>
      <c r="AU27" s="286"/>
      <c r="AV27" s="305">
        <v>1.1403129677715004E-2</v>
      </c>
      <c r="AW27" s="305">
        <v>2.9313249036855907E-3</v>
      </c>
      <c r="AX27" s="449">
        <v>1.001285120575859E-2</v>
      </c>
      <c r="AY27" s="286"/>
      <c r="AZ27" s="305">
        <v>2.7951830071949822E-2</v>
      </c>
      <c r="BA27" s="305">
        <v>5.0227154441160687E-2</v>
      </c>
      <c r="BB27" s="305">
        <v>3.1607356226340928E-2</v>
      </c>
    </row>
    <row r="28" spans="7:54" x14ac:dyDescent="0.2">
      <c r="G28" s="267" t="s">
        <v>58</v>
      </c>
      <c r="H28" s="268" t="s">
        <v>59</v>
      </c>
      <c r="I28" s="61" t="s">
        <v>66</v>
      </c>
      <c r="J28" s="61" t="s">
        <v>67</v>
      </c>
      <c r="K28" s="311">
        <v>2106982.2441266733</v>
      </c>
      <c r="L28" s="311">
        <v>391887.59398342425</v>
      </c>
      <c r="M28" s="311">
        <v>2498869.8381100977</v>
      </c>
      <c r="N28" s="311">
        <v>38212.650159172248</v>
      </c>
      <c r="O28" s="311">
        <v>19090.406016575755</v>
      </c>
      <c r="P28" s="309">
        <v>57303.056175748003</v>
      </c>
      <c r="Q28" s="305">
        <v>2.2931589033499428E-2</v>
      </c>
      <c r="S28" s="311">
        <v>5965.0712546929208</v>
      </c>
      <c r="T28" s="311">
        <v>0</v>
      </c>
      <c r="U28" s="311">
        <v>4913.1070688367045</v>
      </c>
      <c r="V28" s="311">
        <v>13157.236816642853</v>
      </c>
      <c r="W28" s="311"/>
      <c r="X28" s="311"/>
      <c r="Y28" s="311">
        <v>0</v>
      </c>
      <c r="Z28" s="311">
        <v>1150</v>
      </c>
      <c r="AA28" s="311"/>
      <c r="AB28" s="311">
        <v>161.50655793670688</v>
      </c>
      <c r="AC28" s="311">
        <v>0</v>
      </c>
      <c r="AD28" s="311">
        <v>25346.921698109185</v>
      </c>
      <c r="AE28" s="286"/>
      <c r="AF28" s="311">
        <v>62248.065299344729</v>
      </c>
      <c r="AG28" s="311">
        <v>20240.406016575755</v>
      </c>
      <c r="AH28" s="311">
        <v>82488.471315920484</v>
      </c>
      <c r="AI28" s="305">
        <v>3.3010311324701391E-2</v>
      </c>
      <c r="AJ28" s="286"/>
      <c r="AK28" s="311">
        <v>-56614</v>
      </c>
      <c r="AL28" s="311">
        <v>25346.921698109185</v>
      </c>
      <c r="AM28" s="311">
        <v>-1807.0343885479554</v>
      </c>
      <c r="AN28" s="311">
        <v>-10083.935967697902</v>
      </c>
      <c r="AO28" s="311">
        <v>13455.951341863327</v>
      </c>
      <c r="AP28" s="311">
        <v>-43158.048658136671</v>
      </c>
      <c r="AQ28" s="286"/>
      <c r="AR28" s="303">
        <v>1.8136199422511542E-2</v>
      </c>
      <c r="AS28" s="305">
        <v>4.8713984085403901E-2</v>
      </c>
      <c r="AT28" s="305">
        <v>2.2931589033499428E-2</v>
      </c>
      <c r="AU28" s="286"/>
      <c r="AV28" s="305">
        <v>1.1407507209504258E-2</v>
      </c>
      <c r="AW28" s="305">
        <v>2.9345149416713651E-3</v>
      </c>
      <c r="AX28" s="449">
        <v>1.0078722291201964E-2</v>
      </c>
      <c r="AY28" s="286"/>
      <c r="AZ28" s="305">
        <v>2.95437066320158E-2</v>
      </c>
      <c r="BA28" s="305">
        <v>5.1648499027075266E-2</v>
      </c>
      <c r="BB28" s="305">
        <v>3.3010311324701391E-2</v>
      </c>
    </row>
    <row r="29" spans="7:54" x14ac:dyDescent="0.2">
      <c r="G29" s="267" t="s">
        <v>58</v>
      </c>
      <c r="H29" s="268" t="s">
        <v>59</v>
      </c>
      <c r="I29" s="61" t="s">
        <v>68</v>
      </c>
      <c r="J29" s="61" t="s">
        <v>69</v>
      </c>
      <c r="K29" s="311">
        <v>1927866.3541545926</v>
      </c>
      <c r="L29" s="311">
        <v>329792.60057968274</v>
      </c>
      <c r="M29" s="311">
        <v>2257658.9547342751</v>
      </c>
      <c r="N29" s="311">
        <v>38168.526519314153</v>
      </c>
      <c r="O29" s="311">
        <v>16887.399420317262</v>
      </c>
      <c r="P29" s="309">
        <v>55055.925939631416</v>
      </c>
      <c r="Q29" s="305">
        <v>2.4386289977137605E-2</v>
      </c>
      <c r="S29" s="311">
        <v>5466.8128069713966</v>
      </c>
      <c r="T29" s="311">
        <v>0</v>
      </c>
      <c r="U29" s="311">
        <v>4495.4407369936634</v>
      </c>
      <c r="V29" s="311">
        <v>12038.731813311308</v>
      </c>
      <c r="W29" s="311"/>
      <c r="X29" s="311"/>
      <c r="Y29" s="311">
        <v>0</v>
      </c>
      <c r="Z29" s="311">
        <v>970</v>
      </c>
      <c r="AA29" s="311"/>
      <c r="AB29" s="311">
        <v>147.77678354406541</v>
      </c>
      <c r="AC29" s="311">
        <v>0</v>
      </c>
      <c r="AD29" s="311">
        <v>23118.762140820432</v>
      </c>
      <c r="AE29" s="286"/>
      <c r="AF29" s="311">
        <v>60169.511876590521</v>
      </c>
      <c r="AG29" s="311">
        <v>17857.399420317262</v>
      </c>
      <c r="AH29" s="311">
        <v>78026.911296907783</v>
      </c>
      <c r="AI29" s="305">
        <v>3.4560982354436921E-2</v>
      </c>
      <c r="AJ29" s="286"/>
      <c r="AK29" s="311">
        <v>0</v>
      </c>
      <c r="AL29" s="311">
        <v>23118.762140820432</v>
      </c>
      <c r="AM29" s="311">
        <v>-1653.4172550304968</v>
      </c>
      <c r="AN29" s="311">
        <v>-9110.5538948992489</v>
      </c>
      <c r="AO29" s="311">
        <v>12354.790990890686</v>
      </c>
      <c r="AP29" s="311">
        <v>12354.790990890686</v>
      </c>
      <c r="AQ29" s="286"/>
      <c r="AR29" s="303">
        <v>1.9798325976829345E-2</v>
      </c>
      <c r="AS29" s="305">
        <v>5.1206119817830839E-2</v>
      </c>
      <c r="AT29" s="305">
        <v>2.4386289977137605E-2</v>
      </c>
      <c r="AU29" s="286"/>
      <c r="AV29" s="305">
        <v>1.1412090526847871E-2</v>
      </c>
      <c r="AW29" s="305">
        <v>2.9412424605494841E-3</v>
      </c>
      <c r="AX29" s="449">
        <v>1.0174692377299316E-2</v>
      </c>
      <c r="AY29" s="286"/>
      <c r="AZ29" s="305">
        <v>3.1210416503677216E-2</v>
      </c>
      <c r="BA29" s="305">
        <v>5.4147362278380323E-2</v>
      </c>
      <c r="BB29" s="305">
        <v>3.4560982354436921E-2</v>
      </c>
    </row>
    <row r="30" spans="7:54" x14ac:dyDescent="0.2">
      <c r="G30" s="269" t="s">
        <v>58</v>
      </c>
      <c r="H30" s="270" t="s">
        <v>59</v>
      </c>
      <c r="I30" s="271" t="s">
        <v>70</v>
      </c>
      <c r="J30" s="271" t="s">
        <v>71</v>
      </c>
      <c r="K30" s="312">
        <v>1763854.7038942592</v>
      </c>
      <c r="L30" s="312">
        <v>325895.05257190391</v>
      </c>
      <c r="M30" s="312">
        <v>2089749.7564661631</v>
      </c>
      <c r="N30" s="312">
        <v>59670.323376999469</v>
      </c>
      <c r="O30" s="312">
        <v>16170.947428096086</v>
      </c>
      <c r="P30" s="310">
        <v>75841.270805095555</v>
      </c>
      <c r="Q30" s="306">
        <v>3.6292034761782048E-2</v>
      </c>
      <c r="S30" s="312">
        <v>0</v>
      </c>
      <c r="T30" s="312">
        <v>0</v>
      </c>
      <c r="U30" s="312">
        <v>4158.2820348153282</v>
      </c>
      <c r="V30" s="312">
        <v>11135.825194912972</v>
      </c>
      <c r="W30" s="312"/>
      <c r="X30" s="312"/>
      <c r="Y30" s="312">
        <v>0</v>
      </c>
      <c r="Z30" s="312">
        <v>958</v>
      </c>
      <c r="AA30" s="312"/>
      <c r="AB30" s="312">
        <v>136.6935035128563</v>
      </c>
      <c r="AC30" s="312">
        <v>0</v>
      </c>
      <c r="AD30" s="312">
        <v>16388.800733241154</v>
      </c>
      <c r="AE30" s="286"/>
      <c r="AF30" s="312">
        <v>74964.430606727765</v>
      </c>
      <c r="AG30" s="312">
        <v>17128.947428096086</v>
      </c>
      <c r="AH30" s="312">
        <v>92093.378034823851</v>
      </c>
      <c r="AI30" s="306">
        <v>4.4069093799324971E-2</v>
      </c>
      <c r="AJ30" s="286"/>
      <c r="AK30" s="312">
        <v>0</v>
      </c>
      <c r="AL30" s="312">
        <v>16388.800733241154</v>
      </c>
      <c r="AM30" s="312">
        <v>-1529.4107229728297</v>
      </c>
      <c r="AN30" s="312">
        <v>-8432.9733431232144</v>
      </c>
      <c r="AO30" s="312">
        <v>6426.4166671451112</v>
      </c>
      <c r="AP30" s="312">
        <v>6426.4166671451112</v>
      </c>
      <c r="AQ30" s="286"/>
      <c r="AR30" s="304">
        <v>3.3829500380761879E-2</v>
      </c>
      <c r="AS30" s="306">
        <v>4.9620107149457894E-2</v>
      </c>
      <c r="AT30" s="306">
        <v>3.6292034761782048E-2</v>
      </c>
      <c r="AU30" s="286"/>
      <c r="AV30" s="306">
        <v>8.6708430098929243E-3</v>
      </c>
      <c r="AW30" s="306">
        <v>2.9395966352960545E-3</v>
      </c>
      <c r="AX30" s="449">
        <v>7.777059037542923E-3</v>
      </c>
      <c r="AY30" s="286"/>
      <c r="AZ30" s="306">
        <v>4.2500343390654803E-2</v>
      </c>
      <c r="BA30" s="306">
        <v>5.2559703784753949E-2</v>
      </c>
      <c r="BB30" s="306">
        <v>4.4069093799324971E-2</v>
      </c>
    </row>
    <row r="31" spans="7:54" x14ac:dyDescent="0.2">
      <c r="G31" s="266" t="s">
        <v>72</v>
      </c>
      <c r="H31" s="61" t="s">
        <v>73</v>
      </c>
      <c r="I31" s="61" t="s">
        <v>74</v>
      </c>
      <c r="J31" s="61" t="s">
        <v>75</v>
      </c>
      <c r="K31" s="311">
        <v>2833391.4954447062</v>
      </c>
      <c r="L31" s="311">
        <v>694548.92659571301</v>
      </c>
      <c r="M31" s="311">
        <v>3527940.4220404192</v>
      </c>
      <c r="N31" s="311">
        <v>53949.913990910631</v>
      </c>
      <c r="O31" s="311">
        <v>23417.078822379932</v>
      </c>
      <c r="P31" s="309">
        <v>77366.992813290562</v>
      </c>
      <c r="Q31" s="305">
        <v>2.1929790063899265E-2</v>
      </c>
      <c r="S31" s="311">
        <v>8028.6737261864509</v>
      </c>
      <c r="T31" s="311">
        <v>0</v>
      </c>
      <c r="U31" s="311">
        <v>6606.9639760164309</v>
      </c>
      <c r="V31" s="311">
        <v>17693.363578998706</v>
      </c>
      <c r="W31" s="311"/>
      <c r="X31" s="311"/>
      <c r="Y31" s="311">
        <v>0</v>
      </c>
      <c r="Z31" s="311">
        <v>-0.16964128217659891</v>
      </c>
      <c r="AA31" s="311"/>
      <c r="AB31" s="311">
        <v>217.18802281890569</v>
      </c>
      <c r="AC31" s="311">
        <v>0</v>
      </c>
      <c r="AD31" s="311">
        <v>32546.019662738319</v>
      </c>
      <c r="AE31" s="286"/>
      <c r="AF31" s="311">
        <v>86278.915272112223</v>
      </c>
      <c r="AG31" s="311">
        <v>23416.909181097755</v>
      </c>
      <c r="AH31" s="311">
        <v>109695.82445320998</v>
      </c>
      <c r="AI31" s="305">
        <v>3.1093445843897307E-2</v>
      </c>
      <c r="AJ31" s="286"/>
      <c r="AK31" s="311">
        <v>1</v>
      </c>
      <c r="AL31" s="311">
        <v>32546.019662738319</v>
      </c>
      <c r="AM31" s="311">
        <v>-2430.0327555015128</v>
      </c>
      <c r="AN31" s="311">
        <v>-14236.646011388319</v>
      </c>
      <c r="AO31" s="311">
        <v>15879.340895848487</v>
      </c>
      <c r="AP31" s="311">
        <v>15880.340895848487</v>
      </c>
      <c r="AQ31" s="286"/>
      <c r="AR31" s="303">
        <v>1.9040755249547008E-2</v>
      </c>
      <c r="AS31" s="305">
        <v>3.3715520859210368E-2</v>
      </c>
      <c r="AT31" s="305">
        <v>2.1929790063899265E-2</v>
      </c>
      <c r="AU31" s="286"/>
      <c r="AV31" s="305">
        <v>1.1410001524031359E-2</v>
      </c>
      <c r="AW31" s="305">
        <v>-2.4424669837347368E-7</v>
      </c>
      <c r="AX31" s="449">
        <v>9.1636557799980416E-3</v>
      </c>
      <c r="AY31" s="286"/>
      <c r="AZ31" s="305">
        <v>3.0450756773578367E-2</v>
      </c>
      <c r="BA31" s="305">
        <v>3.3715276612511995E-2</v>
      </c>
      <c r="BB31" s="305">
        <v>3.1093445843897307E-2</v>
      </c>
    </row>
    <row r="32" spans="7:54" x14ac:dyDescent="0.2">
      <c r="G32" s="267" t="s">
        <v>72</v>
      </c>
      <c r="H32" s="268" t="s">
        <v>73</v>
      </c>
      <c r="I32" s="61" t="s">
        <v>76</v>
      </c>
      <c r="J32" s="61" t="s">
        <v>77</v>
      </c>
      <c r="K32" s="311">
        <v>3667968.0023028343</v>
      </c>
      <c r="L32" s="311">
        <v>777476.70508266648</v>
      </c>
      <c r="M32" s="311">
        <v>4445444.7073855009</v>
      </c>
      <c r="N32" s="311">
        <v>79512.902489951346</v>
      </c>
      <c r="O32" s="311">
        <v>26323.760043796501</v>
      </c>
      <c r="P32" s="309">
        <v>105836.66253374785</v>
      </c>
      <c r="Q32" s="305">
        <v>2.380789088612769E-2</v>
      </c>
      <c r="S32" s="311">
        <v>8379.1076499135015</v>
      </c>
      <c r="T32" s="311">
        <v>0</v>
      </c>
      <c r="U32" s="311">
        <v>8571.2755771826542</v>
      </c>
      <c r="V32" s="311">
        <v>22953.76449355526</v>
      </c>
      <c r="W32" s="311"/>
      <c r="X32" s="311"/>
      <c r="Y32" s="311">
        <v>0</v>
      </c>
      <c r="Z32" s="311">
        <v>6.6550185088999569E-2</v>
      </c>
      <c r="AA32" s="311"/>
      <c r="AB32" s="311">
        <v>281.76003417029159</v>
      </c>
      <c r="AC32" s="311">
        <v>0</v>
      </c>
      <c r="AD32" s="311">
        <v>40185.974305006799</v>
      </c>
      <c r="AE32" s="286"/>
      <c r="AF32" s="311">
        <v>119417.05021060276</v>
      </c>
      <c r="AG32" s="311">
        <v>26323.82659398159</v>
      </c>
      <c r="AH32" s="311">
        <v>145740.87680458435</v>
      </c>
      <c r="AI32" s="305">
        <v>3.278431886970852E-2</v>
      </c>
      <c r="AJ32" s="286"/>
      <c r="AK32" s="311">
        <v>-31213</v>
      </c>
      <c r="AL32" s="311">
        <v>40185.974305006799</v>
      </c>
      <c r="AM32" s="311">
        <v>-3152.5040070737905</v>
      </c>
      <c r="AN32" s="311">
        <v>-17939.141564540296</v>
      </c>
      <c r="AO32" s="311">
        <v>19094.328733392715</v>
      </c>
      <c r="AP32" s="311">
        <v>-12118.671266607285</v>
      </c>
      <c r="AQ32" s="286"/>
      <c r="AR32" s="303">
        <v>2.1677643436374398E-2</v>
      </c>
      <c r="AS32" s="305">
        <v>3.3857940529546264E-2</v>
      </c>
      <c r="AT32" s="305">
        <v>2.380789088612769E-2</v>
      </c>
      <c r="AU32" s="286"/>
      <c r="AV32" s="305">
        <v>1.0879088284194045E-2</v>
      </c>
      <c r="AW32" s="305">
        <v>8.5597657982494635E-8</v>
      </c>
      <c r="AX32" s="449">
        <v>8.97642798358083E-3</v>
      </c>
      <c r="AY32" s="286"/>
      <c r="AZ32" s="305">
        <v>3.2556731720568444E-2</v>
      </c>
      <c r="BA32" s="305">
        <v>3.3858026127204247E-2</v>
      </c>
      <c r="BB32" s="305">
        <v>3.278431886970852E-2</v>
      </c>
    </row>
    <row r="33" spans="7:54" x14ac:dyDescent="0.2">
      <c r="G33" s="267" t="s">
        <v>72</v>
      </c>
      <c r="H33" s="268" t="s">
        <v>73</v>
      </c>
      <c r="I33" s="61" t="s">
        <v>78</v>
      </c>
      <c r="J33" s="61" t="s">
        <v>79</v>
      </c>
      <c r="K33" s="311">
        <v>4100650.4519983563</v>
      </c>
      <c r="L33" s="311">
        <v>841569.45282937237</v>
      </c>
      <c r="M33" s="311">
        <v>4942219.9048277289</v>
      </c>
      <c r="N33" s="311">
        <v>126765.75742776645</v>
      </c>
      <c r="O33" s="311">
        <v>41036.547170627629</v>
      </c>
      <c r="P33" s="309">
        <v>167802.30459839408</v>
      </c>
      <c r="Q33" s="305">
        <v>3.3952820358009381E-2</v>
      </c>
      <c r="S33" s="311">
        <v>0</v>
      </c>
      <c r="T33" s="311">
        <v>0</v>
      </c>
      <c r="U33" s="311">
        <v>9667.2492967117723</v>
      </c>
      <c r="V33" s="311">
        <v>25888.767857134677</v>
      </c>
      <c r="W33" s="311"/>
      <c r="X33" s="311"/>
      <c r="Y33" s="311">
        <v>0</v>
      </c>
      <c r="Z33" s="311">
        <v>2471</v>
      </c>
      <c r="AA33" s="311"/>
      <c r="AB33" s="311">
        <v>317.78752971439917</v>
      </c>
      <c r="AC33" s="311">
        <v>0</v>
      </c>
      <c r="AD33" s="311">
        <v>38344.804683560847</v>
      </c>
      <c r="AE33" s="286"/>
      <c r="AF33" s="311">
        <v>162321.7745816129</v>
      </c>
      <c r="AG33" s="311">
        <v>43507.547170627629</v>
      </c>
      <c r="AH33" s="311">
        <v>205829.32175224053</v>
      </c>
      <c r="AI33" s="305">
        <v>4.1647139487091506E-2</v>
      </c>
      <c r="AJ33" s="286"/>
      <c r="AK33" s="311">
        <v>0</v>
      </c>
      <c r="AL33" s="311">
        <v>38344.804683560847</v>
      </c>
      <c r="AM33" s="311">
        <v>-3555.6017153846442</v>
      </c>
      <c r="AN33" s="311">
        <v>-19943.827524948927</v>
      </c>
      <c r="AO33" s="311">
        <v>14845.37544322728</v>
      </c>
      <c r="AP33" s="311">
        <v>14845.37544322728</v>
      </c>
      <c r="AQ33" s="286"/>
      <c r="AR33" s="303">
        <v>3.091357308106818E-2</v>
      </c>
      <c r="AS33" s="305">
        <v>4.8761925747972418E-2</v>
      </c>
      <c r="AT33" s="305">
        <v>3.3952820358009381E-2</v>
      </c>
      <c r="AU33" s="286"/>
      <c r="AV33" s="305">
        <v>8.6708237071314032E-3</v>
      </c>
      <c r="AW33" s="305">
        <v>2.936180717696503E-3</v>
      </c>
      <c r="AX33" s="449">
        <v>7.694319129082125E-3</v>
      </c>
      <c r="AY33" s="286"/>
      <c r="AZ33" s="305">
        <v>3.9584396788199583E-2</v>
      </c>
      <c r="BA33" s="305">
        <v>5.1698106465668921E-2</v>
      </c>
      <c r="BB33" s="305">
        <v>4.1647139487091506E-2</v>
      </c>
    </row>
    <row r="34" spans="7:54" x14ac:dyDescent="0.2">
      <c r="G34" s="267" t="s">
        <v>72</v>
      </c>
      <c r="H34" s="268" t="s">
        <v>73</v>
      </c>
      <c r="I34" s="61" t="s">
        <v>80</v>
      </c>
      <c r="J34" s="61" t="s">
        <v>81</v>
      </c>
      <c r="K34" s="311">
        <v>3537577.9285025978</v>
      </c>
      <c r="L34" s="311">
        <v>862816.27392937022</v>
      </c>
      <c r="M34" s="311">
        <v>4400394.2024319684</v>
      </c>
      <c r="N34" s="311">
        <v>64456.829455873929</v>
      </c>
      <c r="O34" s="311">
        <v>27881.036935875774</v>
      </c>
      <c r="P34" s="309">
        <v>92337.866391749703</v>
      </c>
      <c r="Q34" s="305">
        <v>2.0983998738276059E-2</v>
      </c>
      <c r="S34" s="311">
        <v>10016.049922447295</v>
      </c>
      <c r="T34" s="311">
        <v>0</v>
      </c>
      <c r="U34" s="311">
        <v>8249.0012317549899</v>
      </c>
      <c r="V34" s="311">
        <v>22090.717988907381</v>
      </c>
      <c r="W34" s="311"/>
      <c r="X34" s="311"/>
      <c r="Y34" s="311">
        <v>0</v>
      </c>
      <c r="Z34" s="311">
        <v>7.7384938718751073E-2</v>
      </c>
      <c r="AA34" s="311"/>
      <c r="AB34" s="311">
        <v>271.16604150697862</v>
      </c>
      <c r="AC34" s="311">
        <v>0</v>
      </c>
      <c r="AD34" s="311">
        <v>40627.012569555365</v>
      </c>
      <c r="AE34" s="286"/>
      <c r="AF34" s="311">
        <v>104812.5985989836</v>
      </c>
      <c r="AG34" s="311">
        <v>27881.114320814493</v>
      </c>
      <c r="AH34" s="311">
        <v>132693.7129197981</v>
      </c>
      <c r="AI34" s="305">
        <v>3.0154960400243729E-2</v>
      </c>
      <c r="AJ34" s="286"/>
      <c r="AK34" s="311">
        <v>7</v>
      </c>
      <c r="AL34" s="311">
        <v>40627.012569555365</v>
      </c>
      <c r="AM34" s="311">
        <v>-3033.9719220662364</v>
      </c>
      <c r="AN34" s="311">
        <v>-17757.344817732763</v>
      </c>
      <c r="AO34" s="311">
        <v>19835.695829756365</v>
      </c>
      <c r="AP34" s="311">
        <v>19842.695829756365</v>
      </c>
      <c r="AQ34" s="286"/>
      <c r="AR34" s="303">
        <v>1.8220610473776194E-2</v>
      </c>
      <c r="AS34" s="305">
        <v>3.231399056591984E-2</v>
      </c>
      <c r="AT34" s="305">
        <v>2.0983998738276059E-2</v>
      </c>
      <c r="AU34" s="286"/>
      <c r="AV34" s="305">
        <v>1.140773997314927E-2</v>
      </c>
      <c r="AW34" s="305">
        <v>8.9688779701668775E-8</v>
      </c>
      <c r="AX34" s="449">
        <v>9.17096166196767E-3</v>
      </c>
      <c r="AY34" s="286"/>
      <c r="AZ34" s="305">
        <v>2.9628350446925463E-2</v>
      </c>
      <c r="BA34" s="305">
        <v>3.2314080254699541E-2</v>
      </c>
      <c r="BB34" s="305">
        <v>3.0154960400243729E-2</v>
      </c>
    </row>
    <row r="35" spans="7:54" x14ac:dyDescent="0.2">
      <c r="G35" s="269" t="s">
        <v>72</v>
      </c>
      <c r="H35" s="270" t="s">
        <v>73</v>
      </c>
      <c r="I35" s="271" t="s">
        <v>82</v>
      </c>
      <c r="J35" s="271" t="s">
        <v>83</v>
      </c>
      <c r="K35" s="312">
        <v>2647138.6093720454</v>
      </c>
      <c r="L35" s="312">
        <v>565251.22518915194</v>
      </c>
      <c r="M35" s="312">
        <v>3212389.8345611971</v>
      </c>
      <c r="N35" s="312">
        <v>47208.604556018952</v>
      </c>
      <c r="O35" s="312">
        <v>18541.027165667736</v>
      </c>
      <c r="P35" s="310">
        <v>65749.631721686688</v>
      </c>
      <c r="Q35" s="306">
        <v>2.0467513318061504E-2</v>
      </c>
      <c r="S35" s="312">
        <v>7492.0991718228179</v>
      </c>
      <c r="T35" s="312">
        <v>0</v>
      </c>
      <c r="U35" s="312">
        <v>6172.6554412835621</v>
      </c>
      <c r="V35" s="312">
        <v>16530.290972823546</v>
      </c>
      <c r="W35" s="312"/>
      <c r="X35" s="312"/>
      <c r="Y35" s="312">
        <v>0</v>
      </c>
      <c r="Z35" s="312">
        <v>-0.21196883183438331</v>
      </c>
      <c r="AA35" s="312"/>
      <c r="AB35" s="312">
        <v>202.91117610165134</v>
      </c>
      <c r="AC35" s="312">
        <v>0</v>
      </c>
      <c r="AD35" s="312">
        <v>30397.744793199741</v>
      </c>
      <c r="AE35" s="286"/>
      <c r="AF35" s="312">
        <v>77403.650141948878</v>
      </c>
      <c r="AG35" s="312">
        <v>18540.815196835902</v>
      </c>
      <c r="AH35" s="312">
        <v>95944.465338784779</v>
      </c>
      <c r="AI35" s="306">
        <v>2.9867005649982237E-2</v>
      </c>
      <c r="AJ35" s="286"/>
      <c r="AK35" s="312">
        <v>-81580</v>
      </c>
      <c r="AL35" s="312">
        <v>30397.744793199741</v>
      </c>
      <c r="AM35" s="312">
        <v>-2270.2946414107105</v>
      </c>
      <c r="AN35" s="312">
        <v>-12963.273597114643</v>
      </c>
      <c r="AO35" s="312">
        <v>15164.176554674388</v>
      </c>
      <c r="AP35" s="312">
        <v>-66415.823445325615</v>
      </c>
      <c r="AQ35" s="286"/>
      <c r="AR35" s="304">
        <v>1.7833824186190908E-2</v>
      </c>
      <c r="AS35" s="306">
        <v>3.2801392264940762E-2</v>
      </c>
      <c r="AT35" s="306">
        <v>2.0467513318061504E-2</v>
      </c>
      <c r="AU35" s="286"/>
      <c r="AV35" s="306">
        <v>1.1406673409177014E-2</v>
      </c>
      <c r="AW35" s="306">
        <v>-3.7499933196183388E-7</v>
      </c>
      <c r="AX35" s="449">
        <v>9.3994923319207328E-3</v>
      </c>
      <c r="AY35" s="286"/>
      <c r="AZ35" s="306">
        <v>2.9240497595367922E-2</v>
      </c>
      <c r="BA35" s="306">
        <v>3.2801017265608801E-2</v>
      </c>
      <c r="BB35" s="306">
        <v>2.9867005649982237E-2</v>
      </c>
    </row>
    <row r="36" spans="7:54" x14ac:dyDescent="0.2">
      <c r="G36" s="266" t="s">
        <v>84</v>
      </c>
      <c r="H36" s="61" t="s">
        <v>85</v>
      </c>
      <c r="I36" s="61" t="s">
        <v>86</v>
      </c>
      <c r="J36" s="61" t="s">
        <v>87</v>
      </c>
      <c r="K36" s="311">
        <v>2768970.5640742062</v>
      </c>
      <c r="L36" s="311">
        <v>577098.58919338009</v>
      </c>
      <c r="M36" s="311">
        <v>3346069.1532675861</v>
      </c>
      <c r="N36" s="311">
        <v>94438.840464997105</v>
      </c>
      <c r="O36" s="311">
        <v>20521.945768809412</v>
      </c>
      <c r="P36" s="309">
        <v>114960.78623380652</v>
      </c>
      <c r="Q36" s="305">
        <v>3.4356966628003541E-2</v>
      </c>
      <c r="S36" s="311">
        <v>0</v>
      </c>
      <c r="T36" s="311">
        <v>0</v>
      </c>
      <c r="U36" s="311">
        <v>6540.4467796911285</v>
      </c>
      <c r="V36" s="311">
        <v>17515.23139254946</v>
      </c>
      <c r="W36" s="311"/>
      <c r="X36" s="311"/>
      <c r="Y36" s="311">
        <v>0</v>
      </c>
      <c r="Z36" s="311">
        <v>-0.14499230775982141</v>
      </c>
      <c r="AA36" s="311"/>
      <c r="AB36" s="311">
        <v>215.00143024691775</v>
      </c>
      <c r="AC36" s="311">
        <v>0</v>
      </c>
      <c r="AD36" s="311">
        <v>24270.534610179744</v>
      </c>
      <c r="AE36" s="286"/>
      <c r="AF36" s="311">
        <v>118494.51863723769</v>
      </c>
      <c r="AG36" s="311">
        <v>20521.800776501652</v>
      </c>
      <c r="AH36" s="311">
        <v>139016.31941373934</v>
      </c>
      <c r="AI36" s="305">
        <v>4.154615850601405E-2</v>
      </c>
      <c r="AJ36" s="286"/>
      <c r="AK36" s="311">
        <v>-47550</v>
      </c>
      <c r="AL36" s="311">
        <v>24270.534610179744</v>
      </c>
      <c r="AM36" s="311">
        <v>-2405.5678172240582</v>
      </c>
      <c r="AN36" s="311">
        <v>-13502.722939166091</v>
      </c>
      <c r="AO36" s="311">
        <v>8362.2438537895941</v>
      </c>
      <c r="AP36" s="311">
        <v>-39187.756146210406</v>
      </c>
      <c r="AQ36" s="286"/>
      <c r="AR36" s="303">
        <v>3.4106119324736242E-2</v>
      </c>
      <c r="AS36" s="305">
        <v>3.5560554388970635E-2</v>
      </c>
      <c r="AT36" s="305">
        <v>3.4356966628003541E-2</v>
      </c>
      <c r="AU36" s="286"/>
      <c r="AV36" s="305">
        <v>8.6875889850001053E-3</v>
      </c>
      <c r="AW36" s="305">
        <v>-2.5124356648614787E-7</v>
      </c>
      <c r="AX36" s="449">
        <v>7.1891918780105091E-3</v>
      </c>
      <c r="AY36" s="286"/>
      <c r="AZ36" s="305">
        <v>4.2793708309736347E-2</v>
      </c>
      <c r="BA36" s="305">
        <v>3.5560303145404148E-2</v>
      </c>
      <c r="BB36" s="305">
        <v>4.154615850601405E-2</v>
      </c>
    </row>
    <row r="37" spans="7:54" x14ac:dyDescent="0.2">
      <c r="G37" s="267" t="s">
        <v>84</v>
      </c>
      <c r="H37" s="268" t="s">
        <v>85</v>
      </c>
      <c r="I37" s="61" t="s">
        <v>88</v>
      </c>
      <c r="J37" s="61" t="s">
        <v>89</v>
      </c>
      <c r="K37" s="311">
        <v>1226725.49919287</v>
      </c>
      <c r="L37" s="311">
        <v>223162.47777478211</v>
      </c>
      <c r="M37" s="311">
        <v>1449887.9769676521</v>
      </c>
      <c r="N37" s="311">
        <v>20688.383990344359</v>
      </c>
      <c r="O37" s="311">
        <v>10630.522225217894</v>
      </c>
      <c r="P37" s="309">
        <v>31318.906215562252</v>
      </c>
      <c r="Q37" s="305">
        <v>2.1600914493451927E-2</v>
      </c>
      <c r="S37" s="311">
        <v>3468.677938954439</v>
      </c>
      <c r="T37" s="311">
        <v>0</v>
      </c>
      <c r="U37" s="311">
        <v>2860.5052265662925</v>
      </c>
      <c r="V37" s="311">
        <v>7660.3957849607032</v>
      </c>
      <c r="W37" s="311"/>
      <c r="X37" s="311"/>
      <c r="Y37" s="311">
        <v>0</v>
      </c>
      <c r="Z37" s="311">
        <v>655</v>
      </c>
      <c r="AA37" s="311"/>
      <c r="AB37" s="311">
        <v>94.032217623148398</v>
      </c>
      <c r="AC37" s="311">
        <v>0</v>
      </c>
      <c r="AD37" s="311">
        <v>14738.611168104582</v>
      </c>
      <c r="AE37" s="286"/>
      <c r="AF37" s="311">
        <v>34677.96294082579</v>
      </c>
      <c r="AG37" s="311">
        <v>11285.522225217894</v>
      </c>
      <c r="AH37" s="311">
        <v>45963.485166043683</v>
      </c>
      <c r="AI37" s="305">
        <v>3.1701404450689613E-2</v>
      </c>
      <c r="AJ37" s="286"/>
      <c r="AK37" s="311">
        <v>-25000</v>
      </c>
      <c r="AL37" s="311">
        <v>14738.611168104582</v>
      </c>
      <c r="AM37" s="311">
        <v>-1052.0901011526994</v>
      </c>
      <c r="AN37" s="311">
        <v>-5850.8759828540888</v>
      </c>
      <c r="AO37" s="311">
        <v>7835.6450840977932</v>
      </c>
      <c r="AP37" s="311">
        <v>-17164.354915902208</v>
      </c>
      <c r="AQ37" s="286"/>
      <c r="AR37" s="303">
        <v>1.6864721572965084E-2</v>
      </c>
      <c r="AS37" s="305">
        <v>4.7635795816653045E-2</v>
      </c>
      <c r="AT37" s="305">
        <v>2.1600914493451927E-2</v>
      </c>
      <c r="AU37" s="286"/>
      <c r="AV37" s="305">
        <v>1.1404001106756111E-2</v>
      </c>
      <c r="AW37" s="305">
        <v>2.9350812310886473E-3</v>
      </c>
      <c r="AX37" s="449">
        <v>1.0100489957237686E-2</v>
      </c>
      <c r="AY37" s="286"/>
      <c r="AZ37" s="305">
        <v>2.8268722679721196E-2</v>
      </c>
      <c r="BA37" s="305">
        <v>5.0570877047741693E-2</v>
      </c>
      <c r="BB37" s="305">
        <v>3.1701404450689613E-2</v>
      </c>
    </row>
    <row r="38" spans="7:54" x14ac:dyDescent="0.2">
      <c r="G38" s="267" t="s">
        <v>84</v>
      </c>
      <c r="H38" s="268" t="s">
        <v>85</v>
      </c>
      <c r="I38" s="61" t="s">
        <v>90</v>
      </c>
      <c r="J38" s="61" t="s">
        <v>91</v>
      </c>
      <c r="K38" s="311">
        <v>3204352.7652876237</v>
      </c>
      <c r="L38" s="311">
        <v>619994.00625621236</v>
      </c>
      <c r="M38" s="311">
        <v>3824346.7715438362</v>
      </c>
      <c r="N38" s="311">
        <v>58687.39198427368</v>
      </c>
      <c r="O38" s="311">
        <v>22992.902881181333</v>
      </c>
      <c r="P38" s="309">
        <v>81680.294865455013</v>
      </c>
      <c r="Q38" s="305">
        <v>2.1357972941476174E-2</v>
      </c>
      <c r="S38" s="311">
        <v>9073.412696772124</v>
      </c>
      <c r="T38" s="311">
        <v>0</v>
      </c>
      <c r="U38" s="311">
        <v>7471.9795413874244</v>
      </c>
      <c r="V38" s="311">
        <v>20009.864010234603</v>
      </c>
      <c r="W38" s="311"/>
      <c r="X38" s="311"/>
      <c r="Y38" s="311">
        <v>0</v>
      </c>
      <c r="Z38" s="311">
        <v>1.3522907625883818E-2</v>
      </c>
      <c r="AA38" s="311"/>
      <c r="AB38" s="311">
        <v>245.62332548325864</v>
      </c>
      <c r="AC38" s="311">
        <v>0</v>
      </c>
      <c r="AD38" s="311">
        <v>36800.893096785032</v>
      </c>
      <c r="AE38" s="286"/>
      <c r="AF38" s="311">
        <v>95242.648232667823</v>
      </c>
      <c r="AG38" s="311">
        <v>22992.916404088959</v>
      </c>
      <c r="AH38" s="311">
        <v>118235.56463675678</v>
      </c>
      <c r="AI38" s="305">
        <v>3.0916538614260313E-2</v>
      </c>
      <c r="AJ38" s="286"/>
      <c r="AK38" s="311">
        <v>-139903</v>
      </c>
      <c r="AL38" s="311">
        <v>36800.893096785032</v>
      </c>
      <c r="AM38" s="311">
        <v>-2748.1843551622023</v>
      </c>
      <c r="AN38" s="311">
        <v>-15432.763793606257</v>
      </c>
      <c r="AO38" s="311">
        <v>18619.944948016575</v>
      </c>
      <c r="AP38" s="311">
        <v>-121283.05505198342</v>
      </c>
      <c r="AQ38" s="286"/>
      <c r="AR38" s="303">
        <v>1.831489735463189E-2</v>
      </c>
      <c r="AS38" s="305">
        <v>3.7085685747225629E-2</v>
      </c>
      <c r="AT38" s="305">
        <v>2.1357972941476174E-2</v>
      </c>
      <c r="AU38" s="286"/>
      <c r="AV38" s="305">
        <v>1.1407999969414395E-2</v>
      </c>
      <c r="AW38" s="305">
        <v>2.1811352189649025E-8</v>
      </c>
      <c r="AX38" s="449">
        <v>9.5585656727841389E-3</v>
      </c>
      <c r="AY38" s="286"/>
      <c r="AZ38" s="305">
        <v>2.9722897324046284E-2</v>
      </c>
      <c r="BA38" s="305">
        <v>3.7085707558577818E-2</v>
      </c>
      <c r="BB38" s="305">
        <v>3.0916538614260313E-2</v>
      </c>
    </row>
    <row r="39" spans="7:54" x14ac:dyDescent="0.2">
      <c r="G39" s="267" t="s">
        <v>84</v>
      </c>
      <c r="H39" s="268" t="s">
        <v>85</v>
      </c>
      <c r="I39" s="61" t="s">
        <v>92</v>
      </c>
      <c r="J39" s="61" t="s">
        <v>93</v>
      </c>
      <c r="K39" s="311">
        <v>3319652.3421270251</v>
      </c>
      <c r="L39" s="311">
        <v>613945.57198142598</v>
      </c>
      <c r="M39" s="311">
        <v>3933597.914108451</v>
      </c>
      <c r="N39" s="311">
        <v>66348.518629152328</v>
      </c>
      <c r="O39" s="311">
        <v>30804.428018574021</v>
      </c>
      <c r="P39" s="309">
        <v>97152.946647726349</v>
      </c>
      <c r="Q39" s="305">
        <v>2.4698240330887009E-2</v>
      </c>
      <c r="S39" s="311">
        <v>9415.196361228569</v>
      </c>
      <c r="T39" s="311">
        <v>0</v>
      </c>
      <c r="U39" s="311">
        <v>7740.8376048963291</v>
      </c>
      <c r="V39" s="311">
        <v>20729.862406786593</v>
      </c>
      <c r="W39" s="311"/>
      <c r="X39" s="311"/>
      <c r="Y39" s="311">
        <v>0</v>
      </c>
      <c r="Z39" s="311">
        <v>1805</v>
      </c>
      <c r="AA39" s="311"/>
      <c r="AB39" s="311">
        <v>254.46138657219251</v>
      </c>
      <c r="AC39" s="311">
        <v>0</v>
      </c>
      <c r="AD39" s="311">
        <v>39945.357759483682</v>
      </c>
      <c r="AE39" s="286"/>
      <c r="AF39" s="311">
        <v>104234.41500206382</v>
      </c>
      <c r="AG39" s="311">
        <v>32609.428018574021</v>
      </c>
      <c r="AH39" s="311">
        <v>136843.84302063784</v>
      </c>
      <c r="AI39" s="305">
        <v>3.4788467456174525E-2</v>
      </c>
      <c r="AJ39" s="286"/>
      <c r="AK39" s="311">
        <v>-117340</v>
      </c>
      <c r="AL39" s="311">
        <v>39945.357759483682</v>
      </c>
      <c r="AM39" s="311">
        <v>-2847.0700011682916</v>
      </c>
      <c r="AN39" s="311">
        <v>-15873.635706667808</v>
      </c>
      <c r="AO39" s="311">
        <v>21224.652051647579</v>
      </c>
      <c r="AP39" s="311">
        <v>-96115.347948352428</v>
      </c>
      <c r="AQ39" s="286"/>
      <c r="AR39" s="303">
        <v>1.9986586482920787E-2</v>
      </c>
      <c r="AS39" s="305">
        <v>5.0174525926063626E-2</v>
      </c>
      <c r="AT39" s="305">
        <v>2.4698240330887009E-2</v>
      </c>
      <c r="AU39" s="286"/>
      <c r="AV39" s="305">
        <v>1.1412609655575133E-2</v>
      </c>
      <c r="AW39" s="305">
        <v>2.9400000299287243E-3</v>
      </c>
      <c r="AX39" s="449">
        <v>1.0090227125287517E-2</v>
      </c>
      <c r="AY39" s="286"/>
      <c r="AZ39" s="305">
        <v>3.139919613849592E-2</v>
      </c>
      <c r="BA39" s="305">
        <v>5.311452595599235E-2</v>
      </c>
      <c r="BB39" s="305">
        <v>3.4788467456174525E-2</v>
      </c>
    </row>
    <row r="40" spans="7:54" x14ac:dyDescent="0.2">
      <c r="G40" s="267" t="s">
        <v>84</v>
      </c>
      <c r="H40" s="268" t="s">
        <v>85</v>
      </c>
      <c r="I40" s="61" t="s">
        <v>94</v>
      </c>
      <c r="J40" s="61" t="s">
        <v>95</v>
      </c>
      <c r="K40" s="311">
        <v>1830327.3385640713</v>
      </c>
      <c r="L40" s="311">
        <v>352386.33337149769</v>
      </c>
      <c r="M40" s="311">
        <v>2182713.671935569</v>
      </c>
      <c r="N40" s="311">
        <v>29827.162801235449</v>
      </c>
      <c r="O40" s="311">
        <v>16167.666628502309</v>
      </c>
      <c r="P40" s="309">
        <v>45994.829429737758</v>
      </c>
      <c r="Q40" s="305">
        <v>2.1072314715906294E-2</v>
      </c>
      <c r="S40" s="311">
        <v>5172.5470438496668</v>
      </c>
      <c r="T40" s="311">
        <v>0</v>
      </c>
      <c r="U40" s="311">
        <v>4267.9971368774241</v>
      </c>
      <c r="V40" s="311">
        <v>11429.640810971778</v>
      </c>
      <c r="W40" s="311"/>
      <c r="X40" s="311"/>
      <c r="Y40" s="311">
        <v>0</v>
      </c>
      <c r="Z40" s="311">
        <v>1032</v>
      </c>
      <c r="AA40" s="311"/>
      <c r="AB40" s="311">
        <v>140.30012316096406</v>
      </c>
      <c r="AC40" s="311">
        <v>0</v>
      </c>
      <c r="AD40" s="311">
        <v>22042.485114859832</v>
      </c>
      <c r="AE40" s="286"/>
      <c r="AF40" s="311">
        <v>50697.347792934321</v>
      </c>
      <c r="AG40" s="311">
        <v>17199.666628502309</v>
      </c>
      <c r="AH40" s="311">
        <v>67897.01442143663</v>
      </c>
      <c r="AI40" s="305">
        <v>3.1106697728808134E-2</v>
      </c>
      <c r="AJ40" s="286"/>
      <c r="AK40" s="311">
        <v>-22896</v>
      </c>
      <c r="AL40" s="311">
        <v>22042.485114859832</v>
      </c>
      <c r="AM40" s="311">
        <v>-1569.7637947849198</v>
      </c>
      <c r="AN40" s="311">
        <v>-8808.119801975572</v>
      </c>
      <c r="AO40" s="311">
        <v>11664.601518099338</v>
      </c>
      <c r="AP40" s="311">
        <v>-11231.398481900662</v>
      </c>
      <c r="AQ40" s="286"/>
      <c r="AR40" s="303">
        <v>1.6296081128655084E-2</v>
      </c>
      <c r="AS40" s="305">
        <v>4.5880515495071154E-2</v>
      </c>
      <c r="AT40" s="305">
        <v>2.1072314715906294E-2</v>
      </c>
      <c r="AU40" s="286"/>
      <c r="AV40" s="305">
        <v>1.1402433079577969E-2</v>
      </c>
      <c r="AW40" s="305">
        <v>2.9286039277579765E-3</v>
      </c>
      <c r="AX40" s="449">
        <v>1.003438301290184E-2</v>
      </c>
      <c r="AY40" s="286"/>
      <c r="AZ40" s="305">
        <v>2.7698514208233053E-2</v>
      </c>
      <c r="BA40" s="305">
        <v>4.8809119422829131E-2</v>
      </c>
      <c r="BB40" s="305">
        <v>3.1106697728808134E-2</v>
      </c>
    </row>
    <row r="41" spans="7:54" x14ac:dyDescent="0.2">
      <c r="G41" s="269" t="s">
        <v>84</v>
      </c>
      <c r="H41" s="270" t="s">
        <v>85</v>
      </c>
      <c r="I41" s="271" t="s">
        <v>96</v>
      </c>
      <c r="J41" s="271" t="s">
        <v>97</v>
      </c>
      <c r="K41" s="312">
        <v>3225586.3548450344</v>
      </c>
      <c r="L41" s="312">
        <v>590979.39815476979</v>
      </c>
      <c r="M41" s="312">
        <v>3816565.752999804</v>
      </c>
      <c r="N41" s="312">
        <v>62642.519837899599</v>
      </c>
      <c r="O41" s="312">
        <v>23157.415783729055</v>
      </c>
      <c r="P41" s="310">
        <v>85799.935621628654</v>
      </c>
      <c r="Q41" s="306">
        <v>2.2480926878880647E-2</v>
      </c>
      <c r="S41" s="312">
        <v>9143.3714183014163</v>
      </c>
      <c r="T41" s="312">
        <v>0</v>
      </c>
      <c r="U41" s="312">
        <v>7521.4924878026577</v>
      </c>
      <c r="V41" s="312">
        <v>20142.459036629829</v>
      </c>
      <c r="W41" s="312"/>
      <c r="X41" s="312"/>
      <c r="Y41" s="312">
        <v>0</v>
      </c>
      <c r="Z41" s="312">
        <v>-9.3185024568811059E-2</v>
      </c>
      <c r="AA41" s="312"/>
      <c r="AB41" s="312">
        <v>247.25094430710857</v>
      </c>
      <c r="AC41" s="312">
        <v>0</v>
      </c>
      <c r="AD41" s="312">
        <v>37054.480702016444</v>
      </c>
      <c r="AE41" s="286"/>
      <c r="AF41" s="312">
        <v>99449.842780633509</v>
      </c>
      <c r="AG41" s="312">
        <v>23157.322598704486</v>
      </c>
      <c r="AH41" s="312">
        <v>122607.165379338</v>
      </c>
      <c r="AI41" s="306">
        <v>3.2124997527677675E-2</v>
      </c>
      <c r="AJ41" s="286"/>
      <c r="AK41" s="312">
        <v>-15992</v>
      </c>
      <c r="AL41" s="312">
        <v>37054.480702016444</v>
      </c>
      <c r="AM41" s="312">
        <v>-2766.3951524432482</v>
      </c>
      <c r="AN41" s="312">
        <v>-15401.364281889058</v>
      </c>
      <c r="AO41" s="312">
        <v>18886.721267684137</v>
      </c>
      <c r="AP41" s="312">
        <v>2894.7212676841373</v>
      </c>
      <c r="AQ41" s="286"/>
      <c r="AR41" s="304">
        <v>1.9420506210849564E-2</v>
      </c>
      <c r="AS41" s="306">
        <v>3.9184810597516682E-2</v>
      </c>
      <c r="AT41" s="306">
        <v>2.2480926878880647E-2</v>
      </c>
      <c r="AU41" s="286"/>
      <c r="AV41" s="306">
        <v>1.1411048688077127E-2</v>
      </c>
      <c r="AW41" s="306">
        <v>-1.5767897300345002E-7</v>
      </c>
      <c r="AX41" s="449">
        <v>9.6440706487970276E-3</v>
      </c>
      <c r="AY41" s="286"/>
      <c r="AZ41" s="306">
        <v>3.0831554898926691E-2</v>
      </c>
      <c r="BA41" s="306">
        <v>3.9184652918543679E-2</v>
      </c>
      <c r="BB41" s="306">
        <v>3.2124997527677675E-2</v>
      </c>
    </row>
    <row r="42" spans="7:54" x14ac:dyDescent="0.2">
      <c r="G42" s="266" t="s">
        <v>98</v>
      </c>
      <c r="H42" s="61" t="s">
        <v>99</v>
      </c>
      <c r="I42" s="61" t="s">
        <v>100</v>
      </c>
      <c r="J42" s="61" t="s">
        <v>101</v>
      </c>
      <c r="K42" s="311">
        <v>1531592.4457872827</v>
      </c>
      <c r="L42" s="311">
        <v>284657.1505706599</v>
      </c>
      <c r="M42" s="311">
        <v>1816249.5963579426</v>
      </c>
      <c r="N42" s="311">
        <v>53694.83965016529</v>
      </c>
      <c r="O42" s="311">
        <v>14461.849429340102</v>
      </c>
      <c r="P42" s="309">
        <v>68156.689079505391</v>
      </c>
      <c r="Q42" s="305">
        <v>3.7526058762065224E-2</v>
      </c>
      <c r="S42" s="311">
        <v>0</v>
      </c>
      <c r="T42" s="311">
        <v>0</v>
      </c>
      <c r="U42" s="311">
        <v>3611.7811372774186</v>
      </c>
      <c r="V42" s="311">
        <v>9672.3029006356246</v>
      </c>
      <c r="W42" s="311"/>
      <c r="X42" s="311"/>
      <c r="Y42" s="311">
        <v>0</v>
      </c>
      <c r="Z42" s="311">
        <v>837</v>
      </c>
      <c r="AA42" s="311"/>
      <c r="AB42" s="311">
        <v>118.7286031689346</v>
      </c>
      <c r="AC42" s="311">
        <v>0</v>
      </c>
      <c r="AD42" s="311">
        <v>14239.812641081977</v>
      </c>
      <c r="AE42" s="286"/>
      <c r="AF42" s="311">
        <v>66978.923688078328</v>
      </c>
      <c r="AG42" s="311">
        <v>15298.849429340102</v>
      </c>
      <c r="AH42" s="311">
        <v>82277.77311741843</v>
      </c>
      <c r="AI42" s="305">
        <v>4.530091749636557E-2</v>
      </c>
      <c r="AJ42" s="286"/>
      <c r="AK42" s="311">
        <v>-9984</v>
      </c>
      <c r="AL42" s="311">
        <v>14239.812641081977</v>
      </c>
      <c r="AM42" s="311">
        <v>-1328.408403791304</v>
      </c>
      <c r="AN42" s="311">
        <v>-7329.2911666348728</v>
      </c>
      <c r="AO42" s="311">
        <v>5582.1130706558006</v>
      </c>
      <c r="AP42" s="311">
        <v>-4401.8869293441994</v>
      </c>
      <c r="AQ42" s="286"/>
      <c r="AR42" s="303">
        <v>3.5058177387761007E-2</v>
      </c>
      <c r="AS42" s="305">
        <v>5.0804448089036378E-2</v>
      </c>
      <c r="AT42" s="305">
        <v>3.7526058762065224E-2</v>
      </c>
      <c r="AU42" s="286"/>
      <c r="AV42" s="305">
        <v>8.6733804899936304E-3</v>
      </c>
      <c r="AW42" s="305">
        <v>2.9403793241168999E-3</v>
      </c>
      <c r="AX42" s="449">
        <v>7.7748587343003453E-3</v>
      </c>
      <c r="AY42" s="286"/>
      <c r="AZ42" s="305">
        <v>4.3731557877754637E-2</v>
      </c>
      <c r="BA42" s="305">
        <v>5.3744827413153277E-2</v>
      </c>
      <c r="BB42" s="305">
        <v>4.530091749636557E-2</v>
      </c>
    </row>
    <row r="43" spans="7:54" x14ac:dyDescent="0.2">
      <c r="G43" s="267" t="s">
        <v>98</v>
      </c>
      <c r="H43" s="268" t="s">
        <v>99</v>
      </c>
      <c r="I43" s="61" t="s">
        <v>102</v>
      </c>
      <c r="J43" s="61" t="s">
        <v>103</v>
      </c>
      <c r="K43" s="311">
        <v>1695158.1333267344</v>
      </c>
      <c r="L43" s="311">
        <v>376179.76938088128</v>
      </c>
      <c r="M43" s="311">
        <v>2071337.9027076156</v>
      </c>
      <c r="N43" s="311">
        <v>55911.186943079578</v>
      </c>
      <c r="O43" s="311">
        <v>12420.515921132464</v>
      </c>
      <c r="P43" s="309">
        <v>68331.702864212042</v>
      </c>
      <c r="Q43" s="305">
        <v>3.2989162596257261E-2</v>
      </c>
      <c r="S43" s="311">
        <v>0</v>
      </c>
      <c r="T43" s="311">
        <v>0</v>
      </c>
      <c r="U43" s="311">
        <v>4000.4079363758915</v>
      </c>
      <c r="V43" s="311">
        <v>10713.040413047127</v>
      </c>
      <c r="W43" s="311"/>
      <c r="X43" s="311"/>
      <c r="Y43" s="311">
        <v>0</v>
      </c>
      <c r="Z43" s="311">
        <v>-0.19389893650077283</v>
      </c>
      <c r="AA43" s="311"/>
      <c r="AB43" s="311">
        <v>131.50377288637691</v>
      </c>
      <c r="AC43" s="311">
        <v>0</v>
      </c>
      <c r="AD43" s="311">
        <v>14844.758223372895</v>
      </c>
      <c r="AE43" s="286"/>
      <c r="AF43" s="311">
        <v>70624.6352925026</v>
      </c>
      <c r="AG43" s="311">
        <v>12420.322022195964</v>
      </c>
      <c r="AH43" s="311">
        <v>83044.957314698564</v>
      </c>
      <c r="AI43" s="305">
        <v>4.009242393823996E-2</v>
      </c>
      <c r="AJ43" s="286"/>
      <c r="AK43" s="311">
        <v>0</v>
      </c>
      <c r="AL43" s="311">
        <v>14844.758223372895</v>
      </c>
      <c r="AM43" s="311">
        <v>-1471.3448349423015</v>
      </c>
      <c r="AN43" s="311">
        <v>-8358.6741733480376</v>
      </c>
      <c r="AO43" s="311">
        <v>5014.7392150825563</v>
      </c>
      <c r="AP43" s="311">
        <v>5014.7392150825563</v>
      </c>
      <c r="AQ43" s="286"/>
      <c r="AR43" s="303">
        <v>3.2982873894693419E-2</v>
      </c>
      <c r="AS43" s="305">
        <v>3.3017501025039753E-2</v>
      </c>
      <c r="AT43" s="305">
        <v>3.2989162596257261E-2</v>
      </c>
      <c r="AU43" s="286"/>
      <c r="AV43" s="305">
        <v>8.6796907380835286E-3</v>
      </c>
      <c r="AW43" s="305">
        <v>-5.1544222279958918E-7</v>
      </c>
      <c r="AX43" s="449">
        <v>7.1032613419826987E-3</v>
      </c>
      <c r="AY43" s="286"/>
      <c r="AZ43" s="305">
        <v>4.1662564632776948E-2</v>
      </c>
      <c r="BA43" s="305">
        <v>3.3016985582816953E-2</v>
      </c>
      <c r="BB43" s="305">
        <v>4.009242393823996E-2</v>
      </c>
    </row>
    <row r="44" spans="7:54" x14ac:dyDescent="0.2">
      <c r="G44" s="267" t="s">
        <v>98</v>
      </c>
      <c r="H44" s="268" t="s">
        <v>99</v>
      </c>
      <c r="I44" s="61" t="s">
        <v>104</v>
      </c>
      <c r="J44" s="61" t="s">
        <v>105</v>
      </c>
      <c r="K44" s="311">
        <v>1099157.4527298571</v>
      </c>
      <c r="L44" s="311">
        <v>203799.89655329022</v>
      </c>
      <c r="M44" s="311">
        <v>1302957.3492831474</v>
      </c>
      <c r="N44" s="311">
        <v>25560.513579056598</v>
      </c>
      <c r="O44" s="311">
        <v>11022.103446709778</v>
      </c>
      <c r="P44" s="309">
        <v>36582.617025766376</v>
      </c>
      <c r="Q44" s="305">
        <v>2.8076603617066334E-2</v>
      </c>
      <c r="S44" s="311">
        <v>3127.3350791969788</v>
      </c>
      <c r="T44" s="311">
        <v>0</v>
      </c>
      <c r="U44" s="311">
        <v>2563.0392784871224</v>
      </c>
      <c r="V44" s="311">
        <v>6863.7858456842287</v>
      </c>
      <c r="W44" s="311"/>
      <c r="X44" s="311"/>
      <c r="Y44" s="311">
        <v>0</v>
      </c>
      <c r="Z44" s="311">
        <v>601</v>
      </c>
      <c r="AA44" s="311"/>
      <c r="AB44" s="311">
        <v>84.253741252792963</v>
      </c>
      <c r="AC44" s="311">
        <v>0</v>
      </c>
      <c r="AD44" s="311">
        <v>13239.413944621123</v>
      </c>
      <c r="AE44" s="286"/>
      <c r="AF44" s="311">
        <v>38114.673782424929</v>
      </c>
      <c r="AG44" s="311">
        <v>11623.103446709778</v>
      </c>
      <c r="AH44" s="311">
        <v>49737.777229134706</v>
      </c>
      <c r="AI44" s="305">
        <v>3.817298951228075E-2</v>
      </c>
      <c r="AJ44" s="286"/>
      <c r="AK44" s="311">
        <v>0</v>
      </c>
      <c r="AL44" s="311">
        <v>13239.413944621123</v>
      </c>
      <c r="AM44" s="311">
        <v>-942.68251241713494</v>
      </c>
      <c r="AN44" s="311">
        <v>-5257.9523264603749</v>
      </c>
      <c r="AO44" s="311">
        <v>7038.7791057436125</v>
      </c>
      <c r="AP44" s="311">
        <v>7038.7791057436125</v>
      </c>
      <c r="AQ44" s="286"/>
      <c r="AR44" s="303">
        <v>2.3254642467805453E-2</v>
      </c>
      <c r="AS44" s="305">
        <v>5.4082968799877111E-2</v>
      </c>
      <c r="AT44" s="305">
        <v>2.8076603617066334E-2</v>
      </c>
      <c r="AU44" s="286"/>
      <c r="AV44" s="305">
        <v>1.142162132657968E-2</v>
      </c>
      <c r="AW44" s="305">
        <v>2.9489710748839826E-3</v>
      </c>
      <c r="AX44" s="449">
        <v>1.0096385895214416E-2</v>
      </c>
      <c r="AY44" s="286"/>
      <c r="AZ44" s="305">
        <v>3.4676263794385133E-2</v>
      </c>
      <c r="BA44" s="305">
        <v>5.7031939874761094E-2</v>
      </c>
      <c r="BB44" s="305">
        <v>3.817298951228075E-2</v>
      </c>
    </row>
    <row r="45" spans="7:54" x14ac:dyDescent="0.2">
      <c r="G45" s="267" t="s">
        <v>98</v>
      </c>
      <c r="H45" s="268" t="s">
        <v>99</v>
      </c>
      <c r="I45" s="61" t="s">
        <v>106</v>
      </c>
      <c r="J45" s="61" t="s">
        <v>107</v>
      </c>
      <c r="K45" s="311">
        <v>2260842.5105494577</v>
      </c>
      <c r="L45" s="311">
        <v>432487.4580030879</v>
      </c>
      <c r="M45" s="311">
        <v>2693329.9685525456</v>
      </c>
      <c r="N45" s="311">
        <v>46572.543189605698</v>
      </c>
      <c r="O45" s="311">
        <v>16870.260058616986</v>
      </c>
      <c r="P45" s="309">
        <v>63442.803248222684</v>
      </c>
      <c r="Q45" s="305">
        <v>2.3555525683441689E-2</v>
      </c>
      <c r="S45" s="311">
        <v>6416.0223806324575</v>
      </c>
      <c r="T45" s="311">
        <v>0</v>
      </c>
      <c r="U45" s="311">
        <v>5271.8817878368682</v>
      </c>
      <c r="V45" s="311">
        <v>14118.030846891279</v>
      </c>
      <c r="W45" s="311"/>
      <c r="X45" s="311"/>
      <c r="Y45" s="311">
        <v>0</v>
      </c>
      <c r="Z45" s="311">
        <v>-0.11948082956951112</v>
      </c>
      <c r="AA45" s="311"/>
      <c r="AB45" s="311">
        <v>173.30041244233348</v>
      </c>
      <c r="AC45" s="311">
        <v>0</v>
      </c>
      <c r="AD45" s="311">
        <v>25979.115946973372</v>
      </c>
      <c r="AE45" s="286"/>
      <c r="AF45" s="311">
        <v>72378.478204966304</v>
      </c>
      <c r="AG45" s="311">
        <v>16870.140577787417</v>
      </c>
      <c r="AH45" s="311">
        <v>89248.618782753721</v>
      </c>
      <c r="AI45" s="305">
        <v>3.3136904807366724E-2</v>
      </c>
      <c r="AJ45" s="286"/>
      <c r="AK45" s="311">
        <v>-89339</v>
      </c>
      <c r="AL45" s="311">
        <v>25979.115946973372</v>
      </c>
      <c r="AM45" s="311">
        <v>-1938.9912634728144</v>
      </c>
      <c r="AN45" s="311">
        <v>-10868.660115288909</v>
      </c>
      <c r="AO45" s="311">
        <v>13171.46456821165</v>
      </c>
      <c r="AP45" s="311">
        <v>-76167.535431788347</v>
      </c>
      <c r="AQ45" s="286"/>
      <c r="AR45" s="303">
        <v>2.0599640608441615E-2</v>
      </c>
      <c r="AS45" s="305">
        <v>3.9007512810918403E-2</v>
      </c>
      <c r="AT45" s="305">
        <v>2.3555525683441689E-2</v>
      </c>
      <c r="AU45" s="286"/>
      <c r="AV45" s="305">
        <v>1.1414300153569267E-2</v>
      </c>
      <c r="AW45" s="305">
        <v>-2.7626426468002618E-7</v>
      </c>
      <c r="AX45" s="449">
        <v>9.5813791239250344E-3</v>
      </c>
      <c r="AY45" s="286"/>
      <c r="AZ45" s="305">
        <v>3.2013940762010883E-2</v>
      </c>
      <c r="BA45" s="305">
        <v>3.9007236546653723E-2</v>
      </c>
      <c r="BB45" s="305">
        <v>3.3136904807366724E-2</v>
      </c>
    </row>
    <row r="46" spans="7:54" x14ac:dyDescent="0.2">
      <c r="G46" s="267" t="s">
        <v>98</v>
      </c>
      <c r="H46" s="268" t="s">
        <v>99</v>
      </c>
      <c r="I46" s="61" t="s">
        <v>108</v>
      </c>
      <c r="J46" s="61" t="s">
        <v>109</v>
      </c>
      <c r="K46" s="311">
        <v>1451450.3647777988</v>
      </c>
      <c r="L46" s="311">
        <v>239578.45737310644</v>
      </c>
      <c r="M46" s="311">
        <v>1691028.8221509052</v>
      </c>
      <c r="N46" s="311">
        <v>25707.012793711154</v>
      </c>
      <c r="O46" s="311">
        <v>11861.542626893555</v>
      </c>
      <c r="P46" s="309">
        <v>37568.555420604709</v>
      </c>
      <c r="Q46" s="305">
        <v>2.2216389767277508E-2</v>
      </c>
      <c r="S46" s="311">
        <v>4107.4960993641107</v>
      </c>
      <c r="T46" s="311">
        <v>0</v>
      </c>
      <c r="U46" s="311">
        <v>3384.5235607152499</v>
      </c>
      <c r="V46" s="311">
        <v>9063.7100669539486</v>
      </c>
      <c r="W46" s="311"/>
      <c r="X46" s="311"/>
      <c r="Y46" s="311">
        <v>0</v>
      </c>
      <c r="Z46" s="311">
        <v>704</v>
      </c>
      <c r="AA46" s="311"/>
      <c r="AB46" s="311">
        <v>111.25805786199423</v>
      </c>
      <c r="AC46" s="311">
        <v>0</v>
      </c>
      <c r="AD46" s="311">
        <v>17370.9877848953</v>
      </c>
      <c r="AE46" s="286"/>
      <c r="AF46" s="311">
        <v>42262.742520744461</v>
      </c>
      <c r="AG46" s="311">
        <v>12565.542626893555</v>
      </c>
      <c r="AH46" s="311">
        <v>54828.285147638016</v>
      </c>
      <c r="AI46" s="305">
        <v>3.2423034089921157E-2</v>
      </c>
      <c r="AJ46" s="286"/>
      <c r="AK46" s="311">
        <v>-31688</v>
      </c>
      <c r="AL46" s="311">
        <v>17370.9877848953</v>
      </c>
      <c r="AM46" s="311">
        <v>-1244.8233627669194</v>
      </c>
      <c r="AN46" s="311">
        <v>-6823.9754236250965</v>
      </c>
      <c r="AO46" s="311">
        <v>9302.1889985032831</v>
      </c>
      <c r="AP46" s="311">
        <v>-22385.811001496717</v>
      </c>
      <c r="AQ46" s="286"/>
      <c r="AR46" s="303">
        <v>1.7711258626227026E-2</v>
      </c>
      <c r="AS46" s="305">
        <v>4.9510055106586792E-2</v>
      </c>
      <c r="AT46" s="305">
        <v>2.2216389767277508E-2</v>
      </c>
      <c r="AU46" s="286"/>
      <c r="AV46" s="305">
        <v>1.1406335434396897E-2</v>
      </c>
      <c r="AW46" s="305">
        <v>2.9384945863627013E-3</v>
      </c>
      <c r="AX46" s="449">
        <v>1.0206644322643649E-2</v>
      </c>
      <c r="AY46" s="286"/>
      <c r="AZ46" s="305">
        <v>2.9117594060623923E-2</v>
      </c>
      <c r="BA46" s="305">
        <v>5.2448549692949493E-2</v>
      </c>
      <c r="BB46" s="305">
        <v>3.2423034089921157E-2</v>
      </c>
    </row>
    <row r="47" spans="7:54" x14ac:dyDescent="0.2">
      <c r="G47" s="267" t="s">
        <v>98</v>
      </c>
      <c r="H47" s="268" t="s">
        <v>99</v>
      </c>
      <c r="I47" s="61" t="s">
        <v>110</v>
      </c>
      <c r="J47" s="61" t="s">
        <v>111</v>
      </c>
      <c r="K47" s="311">
        <v>1063616.2064261124</v>
      </c>
      <c r="L47" s="311">
        <v>209135.47852404614</v>
      </c>
      <c r="M47" s="311">
        <v>1272751.6849501585</v>
      </c>
      <c r="N47" s="311">
        <v>29773.774593339534</v>
      </c>
      <c r="O47" s="311">
        <v>8181.9798770261114</v>
      </c>
      <c r="P47" s="309">
        <v>37955.754470365646</v>
      </c>
      <c r="Q47" s="305">
        <v>2.9821806499397415E-2</v>
      </c>
      <c r="S47" s="311">
        <v>1780.0771994407496</v>
      </c>
      <c r="T47" s="311">
        <v>0</v>
      </c>
      <c r="U47" s="311">
        <v>2491.3807595632989</v>
      </c>
      <c r="V47" s="311">
        <v>6671.8852641986568</v>
      </c>
      <c r="W47" s="311"/>
      <c r="X47" s="311"/>
      <c r="Y47" s="311">
        <v>0</v>
      </c>
      <c r="Z47" s="311">
        <v>0.22298999998020008</v>
      </c>
      <c r="AA47" s="311"/>
      <c r="AB47" s="311">
        <v>81.898140087160456</v>
      </c>
      <c r="AC47" s="311">
        <v>0</v>
      </c>
      <c r="AD47" s="311">
        <v>11025.464353289844</v>
      </c>
      <c r="AE47" s="286"/>
      <c r="AF47" s="311">
        <v>40717.117816542239</v>
      </c>
      <c r="AG47" s="311">
        <v>8182.2028670260916</v>
      </c>
      <c r="AH47" s="311">
        <v>48899.32068356833</v>
      </c>
      <c r="AI47" s="305">
        <v>3.8420157884515589E-2</v>
      </c>
      <c r="AJ47" s="286"/>
      <c r="AK47" s="311">
        <v>0</v>
      </c>
      <c r="AL47" s="311">
        <v>11025.464353289844</v>
      </c>
      <c r="AM47" s="311">
        <v>-916.3266023761953</v>
      </c>
      <c r="AN47" s="311">
        <v>-5136.0604294314362</v>
      </c>
      <c r="AO47" s="311">
        <v>4973.0773214822129</v>
      </c>
      <c r="AP47" s="311">
        <v>4973.0773214822129</v>
      </c>
      <c r="AQ47" s="286"/>
      <c r="AR47" s="303">
        <v>2.7992968152848342E-2</v>
      </c>
      <c r="AS47" s="305">
        <v>3.9122868748859167E-2</v>
      </c>
      <c r="AT47" s="305">
        <v>2.9821806499397415E-2</v>
      </c>
      <c r="AU47" s="286"/>
      <c r="AV47" s="305">
        <v>1.0288808272274966E-2</v>
      </c>
      <c r="AW47" s="305">
        <v>1.0662466337768572E-6</v>
      </c>
      <c r="AX47" s="449">
        <v>8.5983513851181741E-3</v>
      </c>
      <c r="AY47" s="286"/>
      <c r="AZ47" s="305">
        <v>3.8281776425123308E-2</v>
      </c>
      <c r="BA47" s="305">
        <v>3.9123934995492944E-2</v>
      </c>
      <c r="BB47" s="305">
        <v>3.8420157884515589E-2</v>
      </c>
    </row>
    <row r="48" spans="7:54" x14ac:dyDescent="0.2">
      <c r="G48" s="267" t="s">
        <v>98</v>
      </c>
      <c r="H48" s="268" t="s">
        <v>99</v>
      </c>
      <c r="I48" s="61" t="s">
        <v>112</v>
      </c>
      <c r="J48" s="61" t="s">
        <v>113</v>
      </c>
      <c r="K48" s="311">
        <v>1057708.859525884</v>
      </c>
      <c r="L48" s="311">
        <v>174234.92301504573</v>
      </c>
      <c r="M48" s="311">
        <v>1231943.7825409297</v>
      </c>
      <c r="N48" s="311">
        <v>23519.691868205555</v>
      </c>
      <c r="O48" s="311">
        <v>9338.0769849542703</v>
      </c>
      <c r="P48" s="309">
        <v>32857.768853159825</v>
      </c>
      <c r="Q48" s="305">
        <v>2.6671483974203318E-2</v>
      </c>
      <c r="S48" s="311">
        <v>3006.43538777104</v>
      </c>
      <c r="T48" s="311">
        <v>0</v>
      </c>
      <c r="U48" s="311">
        <v>2466.3885464596274</v>
      </c>
      <c r="V48" s="311">
        <v>6604.9564426261077</v>
      </c>
      <c r="W48" s="311"/>
      <c r="X48" s="311"/>
      <c r="Y48" s="311">
        <v>0</v>
      </c>
      <c r="Z48" s="311">
        <v>514</v>
      </c>
      <c r="AA48" s="311"/>
      <c r="AB48" s="311">
        <v>81.076581294111321</v>
      </c>
      <c r="AC48" s="311">
        <v>0</v>
      </c>
      <c r="AD48" s="311">
        <v>12672.856958150887</v>
      </c>
      <c r="AE48" s="286"/>
      <c r="AF48" s="311">
        <v>35597.47224506233</v>
      </c>
      <c r="AG48" s="311">
        <v>9852.0769849542703</v>
      </c>
      <c r="AH48" s="311">
        <v>45449.549230016601</v>
      </c>
      <c r="AI48" s="305">
        <v>3.6892551327525044E-2</v>
      </c>
      <c r="AJ48" s="286"/>
      <c r="AK48" s="311">
        <v>0</v>
      </c>
      <c r="AL48" s="311">
        <v>12672.856958150887</v>
      </c>
      <c r="AM48" s="311">
        <v>-907.13449890857328</v>
      </c>
      <c r="AN48" s="311">
        <v>-4971.384275197669</v>
      </c>
      <c r="AO48" s="311">
        <v>6794.3381840446445</v>
      </c>
      <c r="AP48" s="311">
        <v>6794.3381840446445</v>
      </c>
      <c r="AQ48" s="286"/>
      <c r="AR48" s="303">
        <v>2.2236451606114191E-2</v>
      </c>
      <c r="AS48" s="305">
        <v>5.3594749108638214E-2</v>
      </c>
      <c r="AT48" s="305">
        <v>2.6671483974203318E-2</v>
      </c>
      <c r="AU48" s="286"/>
      <c r="AV48" s="305">
        <v>1.1418813663214109E-2</v>
      </c>
      <c r="AW48" s="305">
        <v>2.9500400442431102E-3</v>
      </c>
      <c r="AX48" s="449">
        <v>1.0221067353321726E-2</v>
      </c>
      <c r="AY48" s="286"/>
      <c r="AZ48" s="305">
        <v>3.3655265269328299E-2</v>
      </c>
      <c r="BA48" s="305">
        <v>5.6544789152881324E-2</v>
      </c>
      <c r="BB48" s="305">
        <v>3.6892551327525044E-2</v>
      </c>
    </row>
    <row r="49" spans="7:54" x14ac:dyDescent="0.2">
      <c r="AE49" s="286"/>
      <c r="AJ49" s="286"/>
      <c r="AQ49" s="286"/>
      <c r="AU49" s="286"/>
      <c r="AY49" s="286"/>
    </row>
    <row r="50" spans="7:54" hidden="1" outlineLevel="1" x14ac:dyDescent="0.2">
      <c r="AE50" s="286"/>
      <c r="AJ50" s="286"/>
      <c r="AQ50" s="286"/>
      <c r="AU50" s="286"/>
      <c r="AY50" s="286"/>
    </row>
    <row r="51" spans="7:54" hidden="1" outlineLevel="1" x14ac:dyDescent="0.2">
      <c r="H51" s="272" t="s">
        <v>114</v>
      </c>
      <c r="I51" s="272" t="s">
        <v>13</v>
      </c>
      <c r="J51" s="272" t="s">
        <v>14</v>
      </c>
      <c r="AE51" s="286"/>
      <c r="AJ51" s="286"/>
      <c r="AQ51" s="286"/>
      <c r="AU51" s="286"/>
      <c r="AY51" s="286"/>
    </row>
    <row r="52" spans="7:54" hidden="1" outlineLevel="1" x14ac:dyDescent="0.2">
      <c r="H52" s="273">
        <v>1</v>
      </c>
      <c r="I52" s="274" t="s">
        <v>17</v>
      </c>
      <c r="J52" s="274" t="s">
        <v>18</v>
      </c>
      <c r="K52" s="276">
        <v>16096781.708368989</v>
      </c>
      <c r="L52" s="276">
        <v>2645278.6028940454</v>
      </c>
      <c r="M52" s="276">
        <v>18742060.311263032</v>
      </c>
      <c r="N52" s="276">
        <v>275233.53203718131</v>
      </c>
      <c r="O52" s="276">
        <v>119974.19282469805</v>
      </c>
      <c r="P52" s="276">
        <v>395207.72486187937</v>
      </c>
      <c r="Q52" s="281"/>
      <c r="S52" s="276">
        <v>42997.63679014449</v>
      </c>
      <c r="T52" s="276">
        <v>0</v>
      </c>
      <c r="U52" s="276">
        <v>37557.455439965379</v>
      </c>
      <c r="V52" s="276">
        <v>100578.37709023067</v>
      </c>
      <c r="W52" s="276">
        <v>0</v>
      </c>
      <c r="X52" s="276">
        <v>0</v>
      </c>
      <c r="Y52" s="276"/>
      <c r="Z52" s="276">
        <v>6334.1300109600415</v>
      </c>
      <c r="AA52" s="276"/>
      <c r="AB52" s="276"/>
      <c r="AC52" s="276"/>
      <c r="AD52" s="276">
        <v>188702.21019322227</v>
      </c>
      <c r="AE52" s="286"/>
      <c r="AF52" s="276">
        <v>456367.00135752186</v>
      </c>
      <c r="AG52" s="276">
        <v>126308.32283565809</v>
      </c>
      <c r="AH52" s="276">
        <v>582675.32419317996</v>
      </c>
      <c r="AI52" s="281"/>
      <c r="AJ52" s="286"/>
      <c r="AK52" s="276">
        <v>-119138</v>
      </c>
      <c r="AL52" s="276">
        <v>188702.21019322227</v>
      </c>
      <c r="AM52" s="276"/>
      <c r="AN52" s="276"/>
      <c r="AO52" s="276"/>
      <c r="AP52" s="276">
        <v>-19881.057911556236</v>
      </c>
      <c r="AQ52" s="286"/>
      <c r="AR52" s="281">
        <v>1.709866835642573E-2</v>
      </c>
      <c r="AS52" s="281">
        <v>4.5354085839367266E-2</v>
      </c>
      <c r="AT52" s="281">
        <v>2.1086674479666435E-2</v>
      </c>
      <c r="AU52" s="286"/>
      <c r="AV52" s="281">
        <v>1.1252775405792215E-2</v>
      </c>
      <c r="AW52" s="281">
        <v>2.394503930145675E-3</v>
      </c>
      <c r="AX52" s="281">
        <v>1.0002507526808143E-2</v>
      </c>
      <c r="AY52" s="286"/>
      <c r="AZ52" s="281">
        <v>2.8351443762217945E-2</v>
      </c>
      <c r="BA52" s="281">
        <v>4.774858976951294E-2</v>
      </c>
      <c r="BB52" s="281">
        <v>3.1089182006474578E-2</v>
      </c>
    </row>
    <row r="53" spans="7:54" hidden="1" outlineLevel="1" x14ac:dyDescent="0.2">
      <c r="H53" s="273">
        <v>2</v>
      </c>
      <c r="I53" s="274" t="s">
        <v>27</v>
      </c>
      <c r="J53" s="274" t="s">
        <v>28</v>
      </c>
      <c r="K53" s="276">
        <v>14441904.722663989</v>
      </c>
      <c r="L53" s="276">
        <v>2660474.209257625</v>
      </c>
      <c r="M53" s="276">
        <v>17102378.931921616</v>
      </c>
      <c r="N53" s="276">
        <v>241177.87742367107</v>
      </c>
      <c r="O53" s="276">
        <v>99542.765392588568</v>
      </c>
      <c r="P53" s="276">
        <v>340720.64281625964</v>
      </c>
      <c r="Q53" s="281"/>
      <c r="S53" s="276">
        <v>40829.234192851582</v>
      </c>
      <c r="T53" s="276">
        <v>0</v>
      </c>
      <c r="U53" s="276">
        <v>33675.947852990452</v>
      </c>
      <c r="V53" s="276">
        <v>90183.750266126619</v>
      </c>
      <c r="W53" s="276">
        <v>0</v>
      </c>
      <c r="X53" s="276">
        <v>0</v>
      </c>
      <c r="Y53" s="276"/>
      <c r="Z53" s="276">
        <v>1764.0162849454209</v>
      </c>
      <c r="AA53" s="276"/>
      <c r="AB53" s="276"/>
      <c r="AC53" s="276"/>
      <c r="AD53" s="276">
        <v>167559.96424847411</v>
      </c>
      <c r="AE53" s="286"/>
      <c r="AF53" s="276">
        <v>405866.80973563972</v>
      </c>
      <c r="AG53" s="276">
        <v>101306.78167753399</v>
      </c>
      <c r="AH53" s="276">
        <v>507173.59141317371</v>
      </c>
      <c r="AI53" s="281"/>
      <c r="AJ53" s="286"/>
      <c r="AK53" s="276">
        <v>-398912</v>
      </c>
      <c r="AL53" s="276">
        <v>167559.96424847411</v>
      </c>
      <c r="AM53" s="276"/>
      <c r="AN53" s="276"/>
      <c r="AO53" s="276"/>
      <c r="AP53" s="276">
        <v>-312752.922392893</v>
      </c>
      <c r="AQ53" s="286"/>
      <c r="AR53" s="281">
        <v>1.6699866261074656E-2</v>
      </c>
      <c r="AS53" s="281">
        <v>3.7415422050028006E-2</v>
      </c>
      <c r="AT53" s="281">
        <v>1.9922412207830576E-2</v>
      </c>
      <c r="AU53" s="286"/>
      <c r="AV53" s="281">
        <v>1.1403546517899318E-2</v>
      </c>
      <c r="AW53" s="281">
        <v>6.6304581296341286E-4</v>
      </c>
      <c r="AX53" s="281">
        <v>9.7327365543415333E-3</v>
      </c>
      <c r="AY53" s="286"/>
      <c r="AZ53" s="281">
        <v>2.8103412778973973E-2</v>
      </c>
      <c r="BA53" s="281">
        <v>3.8078467862991419E-2</v>
      </c>
      <c r="BB53" s="281">
        <v>2.9655148762172109E-2</v>
      </c>
    </row>
    <row r="54" spans="7:54" hidden="1" outlineLevel="1" x14ac:dyDescent="0.2">
      <c r="H54" s="273">
        <v>3</v>
      </c>
      <c r="I54" s="274" t="s">
        <v>34</v>
      </c>
      <c r="J54" s="274" t="s">
        <v>35</v>
      </c>
      <c r="K54" s="276">
        <v>19523808.607861694</v>
      </c>
      <c r="L54" s="276">
        <v>3629650.2502132724</v>
      </c>
      <c r="M54" s="276">
        <v>23153458.858074967</v>
      </c>
      <c r="N54" s="276">
        <v>444319.43500089494</v>
      </c>
      <c r="O54" s="276">
        <v>149657.89919714822</v>
      </c>
      <c r="P54" s="276">
        <v>593977.33419804322</v>
      </c>
      <c r="Q54" s="281"/>
      <c r="S54" s="276">
        <v>42055.634976013433</v>
      </c>
      <c r="T54" s="276">
        <v>0</v>
      </c>
      <c r="U54" s="276">
        <v>45658.500855178718</v>
      </c>
      <c r="V54" s="276">
        <v>122272.87132716939</v>
      </c>
      <c r="W54" s="276">
        <v>0</v>
      </c>
      <c r="X54" s="276">
        <v>0</v>
      </c>
      <c r="Y54" s="276"/>
      <c r="Z54" s="276">
        <v>4456.2331011185888</v>
      </c>
      <c r="AA54" s="276"/>
      <c r="AB54" s="276"/>
      <c r="AC54" s="276"/>
      <c r="AD54" s="276">
        <v>215944.15347190396</v>
      </c>
      <c r="AE54" s="286"/>
      <c r="AF54" s="276">
        <v>654306.44215925643</v>
      </c>
      <c r="AG54" s="276">
        <v>154114.13229826681</v>
      </c>
      <c r="AH54" s="276">
        <v>808420.5744575233</v>
      </c>
      <c r="AI54" s="281"/>
      <c r="AJ54" s="286"/>
      <c r="AK54" s="276">
        <v>-645444</v>
      </c>
      <c r="AL54" s="276">
        <v>215944.15347190396</v>
      </c>
      <c r="AM54" s="276"/>
      <c r="AN54" s="276"/>
      <c r="AO54" s="276"/>
      <c r="AP54" s="276">
        <v>-539726.42033226194</v>
      </c>
      <c r="AQ54" s="286"/>
      <c r="AR54" s="281">
        <v>2.2757825787227799E-2</v>
      </c>
      <c r="AS54" s="281">
        <v>4.1232044103520597E-2</v>
      </c>
      <c r="AT54" s="281">
        <v>2.5653935243065792E-2</v>
      </c>
      <c r="AU54" s="286"/>
      <c r="AV54" s="281">
        <v>1.0755432578549537E-2</v>
      </c>
      <c r="AW54" s="281">
        <v>1.2277307161638329E-3</v>
      </c>
      <c r="AX54" s="281">
        <v>9.261823107034009E-3</v>
      </c>
      <c r="AY54" s="286"/>
      <c r="AZ54" s="281">
        <v>3.3513258365777336E-2</v>
      </c>
      <c r="BA54" s="281">
        <v>4.245977481968443E-2</v>
      </c>
      <c r="BB54" s="281">
        <v>3.4915758350099801E-2</v>
      </c>
    </row>
    <row r="55" spans="7:54" hidden="1" outlineLevel="1" x14ac:dyDescent="0.2">
      <c r="H55" s="273">
        <v>4</v>
      </c>
      <c r="I55" s="274" t="s">
        <v>58</v>
      </c>
      <c r="J55" s="274" t="s">
        <v>59</v>
      </c>
      <c r="K55" s="276">
        <v>11552653.156449243</v>
      </c>
      <c r="L55" s="276">
        <v>2191775.2460433934</v>
      </c>
      <c r="M55" s="276">
        <v>13744428.402492635</v>
      </c>
      <c r="N55" s="276">
        <v>253065.06663922197</v>
      </c>
      <c r="O55" s="276">
        <v>103425.0977043318</v>
      </c>
      <c r="P55" s="276">
        <v>356490.16434355377</v>
      </c>
      <c r="Q55" s="281"/>
      <c r="S55" s="276">
        <v>24610.073738398896</v>
      </c>
      <c r="T55" s="276">
        <v>0</v>
      </c>
      <c r="U55" s="276">
        <v>27012.131182854646</v>
      </c>
      <c r="V55" s="276">
        <v>72338.135911862424</v>
      </c>
      <c r="W55" s="276">
        <v>0</v>
      </c>
      <c r="X55" s="276">
        <v>0</v>
      </c>
      <c r="Y55" s="276"/>
      <c r="Z55" s="276">
        <v>5490.0314996287925</v>
      </c>
      <c r="AA55" s="276"/>
      <c r="AB55" s="276"/>
      <c r="AC55" s="276"/>
      <c r="AD55" s="276">
        <v>130338.33106613962</v>
      </c>
      <c r="AE55" s="286"/>
      <c r="AF55" s="276">
        <v>377025.40747233789</v>
      </c>
      <c r="AG55" s="276">
        <v>108915.12920396059</v>
      </c>
      <c r="AH55" s="276">
        <v>485940.53667629854</v>
      </c>
      <c r="AI55" s="281"/>
      <c r="AJ55" s="286"/>
      <c r="AK55" s="276">
        <v>-56614</v>
      </c>
      <c r="AL55" s="276">
        <v>130338.33106613962</v>
      </c>
      <c r="AM55" s="276"/>
      <c r="AN55" s="276"/>
      <c r="AO55" s="276"/>
      <c r="AP55" s="276">
        <v>8325.0565556835754</v>
      </c>
      <c r="AQ55" s="286"/>
      <c r="AR55" s="281">
        <v>2.1905363487689317E-2</v>
      </c>
      <c r="AS55" s="281">
        <v>4.71878208730733E-2</v>
      </c>
      <c r="AT55" s="281">
        <v>2.593706729040126E-2</v>
      </c>
      <c r="AU55" s="286"/>
      <c r="AV55" s="281">
        <v>1.0730032240595343E-2</v>
      </c>
      <c r="AW55" s="281">
        <v>2.5048332439831233E-3</v>
      </c>
      <c r="AX55" s="281">
        <v>9.4183889312754662E-3</v>
      </c>
      <c r="AY55" s="286"/>
      <c r="AZ55" s="281">
        <v>3.2635395728284659E-2</v>
      </c>
      <c r="BA55" s="281">
        <v>4.9692654117056423E-2</v>
      </c>
      <c r="BB55" s="281">
        <v>3.5355456221676726E-2</v>
      </c>
    </row>
    <row r="56" spans="7:54" hidden="1" outlineLevel="1" x14ac:dyDescent="0.2">
      <c r="H56" s="273">
        <v>5</v>
      </c>
      <c r="I56" s="274" t="s">
        <v>72</v>
      </c>
      <c r="J56" s="274" t="s">
        <v>73</v>
      </c>
      <c r="K56" s="276">
        <v>16786726.48762054</v>
      </c>
      <c r="L56" s="276">
        <v>3741662.583626274</v>
      </c>
      <c r="M56" s="276">
        <v>20528389.071246818</v>
      </c>
      <c r="N56" s="276">
        <v>371894.00792052131</v>
      </c>
      <c r="O56" s="276">
        <v>137199.45013834757</v>
      </c>
      <c r="P56" s="276">
        <v>509093.45805886888</v>
      </c>
      <c r="Q56" s="281"/>
      <c r="S56" s="276">
        <v>33915.930470370062</v>
      </c>
      <c r="T56" s="276">
        <v>0</v>
      </c>
      <c r="U56" s="276">
        <v>39267.145522949409</v>
      </c>
      <c r="V56" s="276">
        <v>105156.90489141957</v>
      </c>
      <c r="W56" s="276">
        <v>0</v>
      </c>
      <c r="X56" s="276">
        <v>0</v>
      </c>
      <c r="Y56" s="276"/>
      <c r="Z56" s="276">
        <v>2470.7623250097968</v>
      </c>
      <c r="AA56" s="276"/>
      <c r="AB56" s="276"/>
      <c r="AC56" s="276"/>
      <c r="AD56" s="276">
        <v>182101.55601406106</v>
      </c>
      <c r="AE56" s="286"/>
      <c r="AF56" s="276">
        <v>550233.98880526039</v>
      </c>
      <c r="AG56" s="276">
        <v>139670.21246335737</v>
      </c>
      <c r="AH56" s="276">
        <v>689904.20126861776</v>
      </c>
      <c r="AI56" s="281"/>
      <c r="AJ56" s="286"/>
      <c r="AK56" s="276">
        <v>-112785</v>
      </c>
      <c r="AL56" s="276">
        <v>182101.55601406106</v>
      </c>
      <c r="AM56" s="276"/>
      <c r="AN56" s="276"/>
      <c r="AO56" s="276"/>
      <c r="AP56" s="276">
        <v>-27966.082543100769</v>
      </c>
      <c r="AQ56" s="286"/>
      <c r="AR56" s="281">
        <v>2.215405178578304E-2</v>
      </c>
      <c r="AS56" s="281">
        <v>3.6668044504798505E-2</v>
      </c>
      <c r="AT56" s="281">
        <v>2.4799484084795185E-2</v>
      </c>
      <c r="AU56" s="286"/>
      <c r="AV56" s="281">
        <v>1.0623868865454907E-2</v>
      </c>
      <c r="AW56" s="281">
        <v>6.6033809029761303E-4</v>
      </c>
      <c r="AX56" s="281">
        <v>8.8078388704646259E-3</v>
      </c>
      <c r="AY56" s="286"/>
      <c r="AZ56" s="281">
        <v>3.2777920651237948E-2</v>
      </c>
      <c r="BA56" s="281">
        <v>3.7328382595096118E-2</v>
      </c>
      <c r="BB56" s="281">
        <v>3.3607322955259811E-2</v>
      </c>
    </row>
    <row r="57" spans="7:54" hidden="1" outlineLevel="1" x14ac:dyDescent="0.2">
      <c r="H57" s="273">
        <v>6</v>
      </c>
      <c r="I57" s="274" t="s">
        <v>84</v>
      </c>
      <c r="J57" s="274" t="s">
        <v>85</v>
      </c>
      <c r="K57" s="276">
        <v>15575614.864090832</v>
      </c>
      <c r="L57" s="276">
        <v>2977566.3767320681</v>
      </c>
      <c r="M57" s="276">
        <v>18553181.2408229</v>
      </c>
      <c r="N57" s="276">
        <v>332632.81770790252</v>
      </c>
      <c r="O57" s="276">
        <v>124274.88130601402</v>
      </c>
      <c r="P57" s="276">
        <v>456907.69901391654</v>
      </c>
      <c r="Q57" s="281"/>
      <c r="S57" s="276">
        <v>36273.205459106219</v>
      </c>
      <c r="T57" s="276">
        <v>0</v>
      </c>
      <c r="U57" s="276">
        <v>36403.258777221257</v>
      </c>
      <c r="V57" s="276">
        <v>97487.453442132974</v>
      </c>
      <c r="W57" s="276">
        <v>0</v>
      </c>
      <c r="X57" s="276">
        <v>0</v>
      </c>
      <c r="Y57" s="276"/>
      <c r="Z57" s="276">
        <v>3491.7753455752973</v>
      </c>
      <c r="AA57" s="276"/>
      <c r="AB57" s="276"/>
      <c r="AC57" s="276"/>
      <c r="AD57" s="276">
        <v>174852.3624514293</v>
      </c>
      <c r="AE57" s="286"/>
      <c r="AF57" s="276">
        <v>502796.735386363</v>
      </c>
      <c r="AG57" s="276">
        <v>127766.65665158932</v>
      </c>
      <c r="AH57" s="276">
        <v>630563.39203795232</v>
      </c>
      <c r="AI57" s="281"/>
      <c r="AJ57" s="286"/>
      <c r="AK57" s="276">
        <v>-368681</v>
      </c>
      <c r="AL57" s="276">
        <v>174852.3624514293</v>
      </c>
      <c r="AM57" s="276"/>
      <c r="AN57" s="276"/>
      <c r="AO57" s="276"/>
      <c r="AP57" s="276">
        <v>-282087.19127666502</v>
      </c>
      <c r="AQ57" s="286"/>
      <c r="AR57" s="281">
        <v>2.1355999144199351E-2</v>
      </c>
      <c r="AS57" s="281">
        <v>4.1737064965922915E-2</v>
      </c>
      <c r="AT57" s="281">
        <v>2.4626919399061024E-2</v>
      </c>
      <c r="AU57" s="286"/>
      <c r="AV57" s="281">
        <v>1.0925020884457595E-2</v>
      </c>
      <c r="AW57" s="281">
        <v>1.1726943764751863E-3</v>
      </c>
      <c r="AX57" s="281">
        <v>9.3598877071247519E-3</v>
      </c>
      <c r="AY57" s="286"/>
      <c r="AZ57" s="281">
        <v>3.2281020028656945E-2</v>
      </c>
      <c r="BA57" s="281">
        <v>4.2909759342398102E-2</v>
      </c>
      <c r="BB57" s="281">
        <v>3.3986807106185776E-2</v>
      </c>
    </row>
    <row r="58" spans="7:54" hidden="1" outlineLevel="1" x14ac:dyDescent="0.2">
      <c r="H58" s="273">
        <v>7</v>
      </c>
      <c r="I58" s="274" t="s">
        <v>98</v>
      </c>
      <c r="J58" s="274" t="s">
        <v>99</v>
      </c>
      <c r="K58" s="276">
        <v>10159525.973123128</v>
      </c>
      <c r="L58" s="276">
        <v>1920073.1334201174</v>
      </c>
      <c r="M58" s="276">
        <v>12079599.106543245</v>
      </c>
      <c r="N58" s="276">
        <v>260739.56261716341</v>
      </c>
      <c r="O58" s="276">
        <v>84156.328344673268</v>
      </c>
      <c r="P58" s="276">
        <v>344895.89096183667</v>
      </c>
      <c r="Q58" s="281"/>
      <c r="S58" s="276">
        <v>18437.366146405337</v>
      </c>
      <c r="T58" s="276">
        <v>0</v>
      </c>
      <c r="U58" s="276">
        <v>23789.403006715478</v>
      </c>
      <c r="V58" s="276">
        <v>63707.711780036974</v>
      </c>
      <c r="W58" s="276">
        <v>0</v>
      </c>
      <c r="X58" s="276">
        <v>0</v>
      </c>
      <c r="Y58" s="276"/>
      <c r="Z58" s="276">
        <v>2655.9096102339099</v>
      </c>
      <c r="AA58" s="276"/>
      <c r="AB58" s="276"/>
      <c r="AC58" s="276"/>
      <c r="AD58" s="276">
        <v>109372.4098523854</v>
      </c>
      <c r="AE58" s="286"/>
      <c r="AF58" s="276">
        <v>366674.04355032119</v>
      </c>
      <c r="AG58" s="276">
        <v>86812.237954907177</v>
      </c>
      <c r="AH58" s="276">
        <v>453486.28150522831</v>
      </c>
      <c r="AI58" s="281"/>
      <c r="AJ58" s="286"/>
      <c r="AK58" s="276">
        <v>-131011</v>
      </c>
      <c r="AL58" s="276">
        <v>109372.4098523854</v>
      </c>
      <c r="AM58" s="276"/>
      <c r="AN58" s="276"/>
      <c r="AO58" s="276"/>
      <c r="AP58" s="276">
        <v>-79134.29953627623</v>
      </c>
      <c r="AQ58" s="286"/>
      <c r="AR58" s="281">
        <v>2.5664540186908915E-2</v>
      </c>
      <c r="AS58" s="281">
        <v>4.3829751523459096E-2</v>
      </c>
      <c r="AT58" s="281">
        <v>2.8551931891101782E-2</v>
      </c>
      <c r="AU58" s="286"/>
      <c r="AV58" s="281">
        <v>1.0427108628237761E-2</v>
      </c>
      <c r="AW58" s="281">
        <v>1.3832335675168159E-3</v>
      </c>
      <c r="AX58" s="281">
        <v>8.9895690730804716E-3</v>
      </c>
      <c r="AY58" s="286"/>
      <c r="AZ58" s="281">
        <v>3.6091648815146676E-2</v>
      </c>
      <c r="BA58" s="281">
        <v>4.5212985090975912E-2</v>
      </c>
      <c r="BB58" s="281">
        <v>3.7541500964182253E-2</v>
      </c>
    </row>
    <row r="59" spans="7:54" s="82" customFormat="1" ht="15" hidden="1" outlineLevel="1" x14ac:dyDescent="0.25">
      <c r="G59" s="277"/>
      <c r="H59" s="278"/>
      <c r="I59" s="279" t="s">
        <v>115</v>
      </c>
      <c r="J59" s="279" t="s">
        <v>116</v>
      </c>
      <c r="K59" s="280">
        <v>104137015.52017841</v>
      </c>
      <c r="L59" s="280">
        <v>19766480.402186796</v>
      </c>
      <c r="M59" s="280">
        <v>123903495.92236522</v>
      </c>
      <c r="N59" s="282">
        <v>2179062.2993465564</v>
      </c>
      <c r="O59" s="282">
        <v>818230.6149078015</v>
      </c>
      <c r="P59" s="282">
        <v>2997292.9142543576</v>
      </c>
      <c r="Q59" s="283"/>
      <c r="S59" s="282">
        <v>239119.08177329003</v>
      </c>
      <c r="T59" s="282">
        <v>0</v>
      </c>
      <c r="U59" s="282">
        <v>243363.84263787532</v>
      </c>
      <c r="V59" s="282">
        <v>651725.20470897853</v>
      </c>
      <c r="W59" s="282">
        <v>0</v>
      </c>
      <c r="X59" s="282">
        <v>0</v>
      </c>
      <c r="Y59" s="282"/>
      <c r="Z59" s="282">
        <v>26662.858177471848</v>
      </c>
      <c r="AA59" s="282"/>
      <c r="AB59" s="282"/>
      <c r="AC59" s="282"/>
      <c r="AD59" s="282">
        <v>1168870.987297616</v>
      </c>
      <c r="AE59" s="287"/>
      <c r="AF59" s="282">
        <v>3313270.4284667005</v>
      </c>
      <c r="AG59" s="282">
        <v>844893.47308527329</v>
      </c>
      <c r="AH59" s="282">
        <v>4158163.9015519735</v>
      </c>
      <c r="AI59" s="283"/>
      <c r="AJ59" s="287"/>
      <c r="AK59" s="282">
        <v>-1832585</v>
      </c>
      <c r="AL59" s="282">
        <v>1168870.987297616</v>
      </c>
      <c r="AM59" s="282"/>
      <c r="AN59" s="282"/>
      <c r="AO59" s="282"/>
      <c r="AP59" s="282">
        <v>-1253222.9174370696</v>
      </c>
      <c r="AQ59" s="287"/>
      <c r="AR59" s="283">
        <v>2.0924954383048592E-2</v>
      </c>
      <c r="AS59" s="283">
        <v>4.1394856254595498E-2</v>
      </c>
      <c r="AT59" s="283">
        <v>2.419054355118749E-2</v>
      </c>
      <c r="AU59" s="287"/>
      <c r="AV59" s="283">
        <v>1.0891498315508872E-2</v>
      </c>
      <c r="AW59" s="283">
        <v>1.3488925511757829E-3</v>
      </c>
      <c r="AX59" s="283">
        <v>9.3691544266433675E-3</v>
      </c>
      <c r="AY59" s="287"/>
      <c r="AZ59" s="283">
        <v>3.1816452698557464E-2</v>
      </c>
      <c r="BA59" s="283">
        <v>4.2743748805771281E-2</v>
      </c>
      <c r="BB59" s="283">
        <v>3.3559697977830857E-2</v>
      </c>
    </row>
    <row r="60" spans="7:54" hidden="1" outlineLevel="1" x14ac:dyDescent="0.2"/>
    <row r="61" spans="7:54" ht="15" collapsed="1" x14ac:dyDescent="0.25">
      <c r="J61" s="318" t="s">
        <v>115</v>
      </c>
      <c r="K61" s="319">
        <v>104137015.52017842</v>
      </c>
      <c r="L61" s="319">
        <v>19766480.402186796</v>
      </c>
      <c r="M61" s="319">
        <v>123903495.9223652</v>
      </c>
      <c r="N61" s="319">
        <v>2179062.299346556</v>
      </c>
      <c r="O61" s="319">
        <v>818230.61490780138</v>
      </c>
      <c r="P61" s="319">
        <v>2997292.9142543576</v>
      </c>
      <c r="Q61" s="416">
        <v>2.4190543551187493E-2</v>
      </c>
      <c r="R61" s="318"/>
      <c r="S61" s="319">
        <v>239119.08177329003</v>
      </c>
      <c r="T61" s="319">
        <v>0</v>
      </c>
      <c r="U61" s="319">
        <v>243363.84263787538</v>
      </c>
      <c r="V61" s="319">
        <v>651725.20470897842</v>
      </c>
      <c r="W61" s="319">
        <v>0</v>
      </c>
      <c r="X61" s="319">
        <v>0</v>
      </c>
      <c r="Y61" s="319">
        <v>0</v>
      </c>
      <c r="Z61" s="319">
        <v>26662.858177471848</v>
      </c>
      <c r="AA61" s="319">
        <v>0</v>
      </c>
      <c r="AB61" s="319">
        <v>7999.9999999999982</v>
      </c>
      <c r="AC61" s="319">
        <v>0</v>
      </c>
      <c r="AD61" s="319">
        <v>1168870.9872976157</v>
      </c>
      <c r="AE61" s="313"/>
      <c r="AF61" s="319">
        <v>3313270.4284667005</v>
      </c>
      <c r="AG61" s="319">
        <v>844893.47308527341</v>
      </c>
      <c r="AH61" s="319">
        <v>4158163.9015519731</v>
      </c>
      <c r="AI61" s="416">
        <v>3.3559697977830857E-2</v>
      </c>
      <c r="AJ61" s="313" t="s">
        <v>115</v>
      </c>
      <c r="AK61" s="317">
        <v>-1832585</v>
      </c>
      <c r="AL61" s="317">
        <v>1168870.9872976157</v>
      </c>
      <c r="AM61" s="317">
        <v>-89508.904734685377</v>
      </c>
      <c r="AN61" s="317">
        <v>-500000.00000000012</v>
      </c>
      <c r="AO61" s="317">
        <v>579362.08256293088</v>
      </c>
      <c r="AP61" s="317">
        <v>-1253222.9174370691</v>
      </c>
      <c r="AQ61" s="287"/>
      <c r="AR61" s="307">
        <v>2.0924954383048585E-2</v>
      </c>
      <c r="AS61" s="307">
        <v>4.1394856254595498E-2</v>
      </c>
      <c r="AT61" s="307">
        <v>2.4190543551187493E-2</v>
      </c>
      <c r="AU61" s="308"/>
      <c r="AV61" s="307">
        <v>1.0891498315508872E-2</v>
      </c>
      <c r="AW61" s="307">
        <v>1.3488925511757899E-3</v>
      </c>
      <c r="AX61" s="307">
        <v>9.3691544266433641E-3</v>
      </c>
      <c r="AY61" s="308"/>
      <c r="AZ61" s="307">
        <v>3.1816452698557457E-2</v>
      </c>
      <c r="BA61" s="307">
        <v>4.2743748805771288E-2</v>
      </c>
      <c r="BB61" s="307">
        <v>3.3559697977830857E-2</v>
      </c>
    </row>
    <row r="62" spans="7:54" ht="15" x14ac:dyDescent="0.25">
      <c r="J62" s="313" t="s">
        <v>252</v>
      </c>
      <c r="K62" s="314"/>
      <c r="L62" s="314"/>
      <c r="M62" s="314"/>
      <c r="N62" s="314"/>
      <c r="O62" s="315"/>
      <c r="P62" s="314"/>
      <c r="Q62" s="314"/>
      <c r="R62" s="314"/>
      <c r="S62" s="314" t="s">
        <v>7</v>
      </c>
      <c r="T62" s="314" t="s">
        <v>7</v>
      </c>
      <c r="U62" s="314" t="s">
        <v>7</v>
      </c>
      <c r="V62" s="314" t="s">
        <v>7</v>
      </c>
      <c r="W62" s="314" t="s">
        <v>333</v>
      </c>
      <c r="X62" s="314" t="s">
        <v>333</v>
      </c>
      <c r="Y62" s="314"/>
      <c r="Z62" s="314" t="s">
        <v>333</v>
      </c>
      <c r="AA62" s="314"/>
      <c r="AB62" s="314"/>
      <c r="AC62" s="314" t="s">
        <v>7</v>
      </c>
      <c r="AD62" s="314" t="s">
        <v>334</v>
      </c>
      <c r="AE62" s="316"/>
      <c r="AF62" s="314"/>
      <c r="AG62" s="314"/>
      <c r="AH62" s="314"/>
      <c r="AI62" s="314"/>
      <c r="AJ62" s="316" t="s">
        <v>252</v>
      </c>
      <c r="AK62" s="317">
        <v>-1832593</v>
      </c>
      <c r="AL62" s="317"/>
      <c r="AM62" s="317"/>
      <c r="AN62" s="317"/>
      <c r="AO62" s="317">
        <v>372680.60978319007</v>
      </c>
      <c r="AP62" s="317">
        <v>-1459912.3902168099</v>
      </c>
      <c r="AQ62" s="286"/>
      <c r="AR62" s="61">
        <v>0.64326027021747512</v>
      </c>
      <c r="AU62" s="286"/>
      <c r="AY62" s="286"/>
    </row>
    <row r="63" spans="7:54" ht="15" x14ac:dyDescent="0.25">
      <c r="G63" s="82"/>
      <c r="H63" s="82"/>
      <c r="I63" s="82"/>
      <c r="J63" s="313" t="s">
        <v>384</v>
      </c>
      <c r="K63" s="314"/>
      <c r="L63" s="314"/>
      <c r="M63" s="314"/>
      <c r="N63" s="314"/>
      <c r="O63" s="314"/>
      <c r="P63" s="314"/>
      <c r="Q63" s="415"/>
      <c r="R63" s="314"/>
      <c r="S63" s="314"/>
      <c r="T63" s="314"/>
      <c r="U63" s="314"/>
      <c r="V63" s="314"/>
      <c r="W63" s="314"/>
      <c r="X63" s="314"/>
      <c r="Y63" s="314"/>
      <c r="Z63" s="314"/>
      <c r="AA63" s="314"/>
      <c r="AB63" s="314"/>
      <c r="AC63" s="314"/>
      <c r="AD63" s="314"/>
      <c r="AE63" s="316"/>
      <c r="AF63" s="315"/>
      <c r="AG63" s="315"/>
      <c r="AH63" s="314"/>
      <c r="AI63" s="415"/>
      <c r="AJ63" s="316" t="s">
        <v>384</v>
      </c>
      <c r="AK63" s="317">
        <v>8</v>
      </c>
      <c r="AL63" s="317"/>
      <c r="AM63" s="317"/>
      <c r="AN63" s="317"/>
      <c r="AO63" s="317">
        <v>206681.47277974055</v>
      </c>
      <c r="AP63" s="317">
        <v>206689.47277974055</v>
      </c>
      <c r="AQ63" s="286"/>
      <c r="AR63" s="262"/>
      <c r="AS63" s="262"/>
      <c r="AT63" s="262"/>
      <c r="AU63" s="286"/>
      <c r="AV63" s="262"/>
      <c r="AW63" s="262"/>
      <c r="AX63" s="262"/>
      <c r="AY63" s="286"/>
      <c r="AZ63" s="262"/>
      <c r="BA63" s="262"/>
      <c r="BB63" s="262"/>
    </row>
    <row r="64" spans="7:54" x14ac:dyDescent="0.2">
      <c r="U64" s="71"/>
    </row>
    <row r="65" spans="19:30" ht="15" x14ac:dyDescent="0.25">
      <c r="S65" s="319">
        <v>0</v>
      </c>
      <c r="T65" s="319">
        <v>0</v>
      </c>
      <c r="U65" s="319">
        <v>424938.9574869959</v>
      </c>
      <c r="V65" s="319">
        <v>667637.58231881796</v>
      </c>
      <c r="W65" s="319">
        <v>85653.646234962784</v>
      </c>
      <c r="X65" s="319">
        <v>-30396.135887500772</v>
      </c>
      <c r="Y65" s="319">
        <v>55257.510347461997</v>
      </c>
      <c r="Z65" s="319">
        <v>47067.469229091606</v>
      </c>
      <c r="AA65" s="319"/>
      <c r="AB65" s="319"/>
      <c r="AC65" s="319"/>
      <c r="AD65" s="319">
        <v>1194901.5193823671</v>
      </c>
    </row>
    <row r="66" spans="19:30" ht="15" x14ac:dyDescent="0.25">
      <c r="S66" s="319">
        <v>-239119.08177329003</v>
      </c>
      <c r="T66" s="319">
        <v>0</v>
      </c>
      <c r="U66" s="319">
        <v>181575.11484912052</v>
      </c>
      <c r="V66" s="319">
        <v>15912.377609839546</v>
      </c>
      <c r="W66" s="319">
        <v>85653.646234962784</v>
      </c>
      <c r="X66" s="319">
        <v>-30396.135887500772</v>
      </c>
      <c r="Y66" s="319">
        <v>55257.510347461997</v>
      </c>
      <c r="Z66" s="319">
        <v>20404.611051619759</v>
      </c>
      <c r="AA66" s="319"/>
      <c r="AB66" s="319"/>
      <c r="AC66" s="319"/>
      <c r="AD66" s="319">
        <v>26030.532084751409</v>
      </c>
    </row>
    <row r="71" spans="19:30" x14ac:dyDescent="0.2">
      <c r="T71" s="61">
        <v>675</v>
      </c>
      <c r="U71" s="61">
        <v>667.57500000000005</v>
      </c>
    </row>
    <row r="72" spans="19:30" x14ac:dyDescent="0.2">
      <c r="T72" s="61">
        <v>675</v>
      </c>
      <c r="U72" s="61">
        <v>667.57500000000005</v>
      </c>
      <c r="V72" s="61">
        <v>0</v>
      </c>
    </row>
  </sheetData>
  <conditionalFormatting sqref="AX7:AX48">
    <cfRule type="colorScale" priority="1">
      <colorScale>
        <cfvo type="min"/>
        <cfvo type="max"/>
        <color rgb="FFFCFCFF"/>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D4BB-F243-42A3-8962-68B2502300F9}">
  <sheetPr codeName="Sheet33">
    <tabColor rgb="FF002060"/>
  </sheetPr>
  <dimension ref="B1:BD72"/>
  <sheetViews>
    <sheetView topLeftCell="J19" workbookViewId="0">
      <selection activeCell="J5" sqref="J4:BB61"/>
    </sheetView>
  </sheetViews>
  <sheetFormatPr defaultColWidth="8.7109375" defaultRowHeight="14.25" outlineLevelRow="1" outlineLevelCol="1" x14ac:dyDescent="0.2"/>
  <cols>
    <col min="1" max="1" width="8.7109375" style="61"/>
    <col min="2" max="2" width="24.42578125" style="61" bestFit="1" customWidth="1"/>
    <col min="3" max="3" width="8.7109375" style="61"/>
    <col min="4" max="4" width="16.7109375" style="61" customWidth="1"/>
    <col min="5" max="5" width="13" style="61" bestFit="1" customWidth="1"/>
    <col min="6" max="7" width="8.7109375" style="61"/>
    <col min="8" max="8" width="27.7109375" style="61" customWidth="1"/>
    <col min="9" max="9" width="8.7109375" style="61"/>
    <col min="10" max="10" width="60" style="61" customWidth="1"/>
    <col min="11" max="11" width="13.5703125" style="61" customWidth="1" outlineLevel="1"/>
    <col min="12" max="12" width="12.28515625" style="61" customWidth="1" outlineLevel="1"/>
    <col min="13" max="13" width="13.5703125" style="61" customWidth="1" outlineLevel="1"/>
    <col min="14" max="15" width="12" style="61" customWidth="1" outlineLevel="1"/>
    <col min="16" max="16" width="12" style="61" customWidth="1"/>
    <col min="17" max="17" width="9.28515625" style="61" customWidth="1"/>
    <col min="18" max="18" width="2.42578125" style="61" customWidth="1"/>
    <col min="19" max="19" width="10.28515625" style="61" customWidth="1"/>
    <col min="20" max="20" width="10.28515625" style="61" customWidth="1" outlineLevel="1"/>
    <col min="21" max="22" width="10.28515625" style="61" customWidth="1"/>
    <col min="23" max="25" width="10.28515625" style="61" customWidth="1" outlineLevel="1"/>
    <col min="26" max="26" width="10.28515625" style="61" customWidth="1"/>
    <col min="27" max="27" width="10.28515625" style="61" customWidth="1" outlineLevel="1"/>
    <col min="28" max="29" width="10.28515625" style="61" customWidth="1"/>
    <col min="30" max="30" width="11.28515625" style="61" customWidth="1"/>
    <col min="31" max="31" width="2.42578125" style="61" customWidth="1"/>
    <col min="32" max="33" width="11.42578125" style="61" customWidth="1" outlineLevel="1"/>
    <col min="34" max="34" width="11.42578125" style="61" customWidth="1"/>
    <col min="35" max="35" width="9.28515625" style="61" customWidth="1"/>
    <col min="36" max="36" width="2.42578125" style="61" customWidth="1"/>
    <col min="37" max="42" width="12.5703125" style="61" customWidth="1"/>
    <col min="43" max="43" width="2.42578125" style="61" customWidth="1"/>
    <col min="44" max="46" width="9.28515625" style="61" bestFit="1" customWidth="1"/>
    <col min="47" max="47" width="2.42578125" style="61" customWidth="1"/>
    <col min="48" max="50" width="9.28515625" style="61" bestFit="1" customWidth="1"/>
    <col min="51" max="51" width="2.42578125" style="61" customWidth="1"/>
    <col min="52" max="54" width="9.28515625" style="61" bestFit="1" customWidth="1"/>
    <col min="55" max="16384" width="8.7109375" style="61"/>
  </cols>
  <sheetData>
    <row r="1" spans="2:56" x14ac:dyDescent="0.2">
      <c r="J1" s="314"/>
      <c r="K1" s="314"/>
      <c r="L1" s="314"/>
      <c r="M1" s="314"/>
      <c r="N1" s="314"/>
      <c r="O1" s="314"/>
      <c r="P1" s="314"/>
      <c r="Q1" s="314"/>
      <c r="R1" s="314"/>
      <c r="S1" s="414">
        <v>1</v>
      </c>
      <c r="T1" s="414">
        <v>0.9</v>
      </c>
      <c r="U1" s="414">
        <v>0.9</v>
      </c>
      <c r="V1" s="414">
        <v>0.9</v>
      </c>
      <c r="W1" s="414">
        <v>1</v>
      </c>
      <c r="X1" s="414">
        <v>1</v>
      </c>
      <c r="Y1" s="414">
        <v>1</v>
      </c>
      <c r="Z1" s="414">
        <v>1</v>
      </c>
      <c r="AA1" s="414">
        <v>1</v>
      </c>
      <c r="AB1" s="414">
        <v>1</v>
      </c>
      <c r="AC1" s="414">
        <v>0.9</v>
      </c>
      <c r="AD1" s="314" t="s">
        <v>332</v>
      </c>
      <c r="AE1" s="316"/>
      <c r="AF1" s="314"/>
      <c r="AG1" s="314"/>
      <c r="AH1" s="314"/>
      <c r="AI1" s="314"/>
      <c r="AJ1" s="316"/>
      <c r="AK1" s="314"/>
      <c r="AL1" s="314"/>
      <c r="AM1" s="314"/>
      <c r="AQ1" s="286"/>
      <c r="AU1" s="286"/>
      <c r="AY1" s="286"/>
    </row>
    <row r="3" spans="2:56" x14ac:dyDescent="0.2">
      <c r="W3" s="61">
        <v>4696.5478476744056</v>
      </c>
      <c r="X3" s="61">
        <v>-7.5149613432586193E-2</v>
      </c>
      <c r="AA3" s="61" t="e">
        <v>#DIV/0!</v>
      </c>
    </row>
    <row r="4" spans="2:56" s="82" customFormat="1" ht="15" x14ac:dyDescent="0.25">
      <c r="B4" s="56" t="s">
        <v>335</v>
      </c>
    </row>
    <row r="5" spans="2:56" ht="13.9" customHeight="1" x14ac:dyDescent="0.2">
      <c r="K5" s="284" t="s">
        <v>336</v>
      </c>
      <c r="L5" s="284"/>
      <c r="M5" s="284"/>
      <c r="N5" s="284" t="s">
        <v>337</v>
      </c>
      <c r="O5" s="284"/>
      <c r="P5" s="476" t="s">
        <v>1082</v>
      </c>
      <c r="Q5" s="476"/>
      <c r="S5" s="476" t="s">
        <v>338</v>
      </c>
      <c r="T5" s="476"/>
      <c r="U5" s="476"/>
      <c r="V5" s="476"/>
      <c r="W5" s="476"/>
      <c r="X5" s="476"/>
      <c r="Y5" s="476"/>
      <c r="Z5" s="476"/>
      <c r="AA5" s="476"/>
      <c r="AB5" s="476"/>
      <c r="AC5" s="476"/>
      <c r="AD5" s="476"/>
      <c r="AE5" s="286"/>
      <c r="AF5" s="284"/>
      <c r="AG5" s="284"/>
      <c r="AH5" s="476" t="s">
        <v>1085</v>
      </c>
      <c r="AI5" s="476"/>
      <c r="AJ5" s="286"/>
      <c r="AK5" s="476" t="s">
        <v>252</v>
      </c>
      <c r="AL5" s="476"/>
      <c r="AM5" s="476"/>
      <c r="AN5" s="476"/>
      <c r="AO5" s="476"/>
      <c r="AP5" s="476"/>
      <c r="AQ5" s="286"/>
      <c r="AR5" s="476" t="s">
        <v>339</v>
      </c>
      <c r="AS5" s="476"/>
      <c r="AT5" s="476"/>
      <c r="AU5" s="286"/>
      <c r="AV5" s="476" t="s">
        <v>340</v>
      </c>
      <c r="AW5" s="476"/>
      <c r="AX5" s="476"/>
      <c r="AY5" s="286"/>
      <c r="AZ5" s="476" t="s">
        <v>341</v>
      </c>
      <c r="BA5" s="476"/>
      <c r="BB5" s="476"/>
    </row>
    <row r="6" spans="2:56" ht="60" x14ac:dyDescent="0.25">
      <c r="C6" s="239" t="s">
        <v>342</v>
      </c>
      <c r="D6" s="239" t="s">
        <v>343</v>
      </c>
      <c r="E6" s="239" t="s">
        <v>344</v>
      </c>
      <c r="G6" s="263" t="s">
        <v>13</v>
      </c>
      <c r="H6" s="264" t="s">
        <v>14</v>
      </c>
      <c r="I6" s="264" t="s">
        <v>15</v>
      </c>
      <c r="J6" s="264" t="s">
        <v>16</v>
      </c>
      <c r="K6" s="265" t="s">
        <v>7</v>
      </c>
      <c r="L6" s="265" t="s">
        <v>333</v>
      </c>
      <c r="M6" s="265" t="s">
        <v>115</v>
      </c>
      <c r="N6" s="265" t="s">
        <v>7</v>
      </c>
      <c r="O6" s="265" t="s">
        <v>333</v>
      </c>
      <c r="P6" s="265" t="s">
        <v>1110</v>
      </c>
      <c r="Q6" s="265" t="s">
        <v>1084</v>
      </c>
      <c r="S6" s="265" t="s">
        <v>345</v>
      </c>
      <c r="T6" s="265" t="s">
        <v>295</v>
      </c>
      <c r="U6" s="265" t="s">
        <v>346</v>
      </c>
      <c r="V6" s="265" t="s">
        <v>280</v>
      </c>
      <c r="W6" s="265" t="s">
        <v>347</v>
      </c>
      <c r="X6" s="265" t="s">
        <v>348</v>
      </c>
      <c r="Y6" s="265" t="s">
        <v>1073</v>
      </c>
      <c r="Z6" s="265" t="s">
        <v>212</v>
      </c>
      <c r="AA6" s="265" t="s">
        <v>1131</v>
      </c>
      <c r="AB6" s="265" t="s">
        <v>1130</v>
      </c>
      <c r="AC6" s="265" t="s">
        <v>1129</v>
      </c>
      <c r="AD6" s="265" t="s">
        <v>115</v>
      </c>
      <c r="AE6" s="286"/>
      <c r="AF6" s="265" t="s">
        <v>7</v>
      </c>
      <c r="AG6" s="265" t="s">
        <v>333</v>
      </c>
      <c r="AH6" s="265" t="s">
        <v>1110</v>
      </c>
      <c r="AI6" s="265" t="s">
        <v>1084</v>
      </c>
      <c r="AJ6" s="286"/>
      <c r="AK6" s="265" t="s">
        <v>1081</v>
      </c>
      <c r="AL6" s="265" t="s">
        <v>1069</v>
      </c>
      <c r="AM6" s="285" t="s">
        <v>288</v>
      </c>
      <c r="AN6" s="265" t="s">
        <v>1070</v>
      </c>
      <c r="AO6" s="265" t="s">
        <v>1071</v>
      </c>
      <c r="AP6" s="265" t="s">
        <v>349</v>
      </c>
      <c r="AQ6" s="286"/>
      <c r="AR6" s="265" t="s">
        <v>7</v>
      </c>
      <c r="AS6" s="265" t="s">
        <v>333</v>
      </c>
      <c r="AT6" s="265" t="s">
        <v>115</v>
      </c>
      <c r="AU6" s="286"/>
      <c r="AV6" s="265" t="s">
        <v>7</v>
      </c>
      <c r="AW6" s="265" t="s">
        <v>333</v>
      </c>
      <c r="AX6" s="265" t="s">
        <v>115</v>
      </c>
      <c r="AZ6" s="265" t="s">
        <v>7</v>
      </c>
      <c r="BA6" s="265" t="s">
        <v>333</v>
      </c>
      <c r="BB6" s="265" t="s">
        <v>115</v>
      </c>
    </row>
    <row r="7" spans="2:56" x14ac:dyDescent="0.2">
      <c r="B7" s="98" t="s">
        <v>189</v>
      </c>
      <c r="C7" s="242" t="s">
        <v>194</v>
      </c>
      <c r="D7" s="240"/>
      <c r="E7" s="240" t="s">
        <v>194</v>
      </c>
      <c r="G7" s="266" t="s">
        <v>17</v>
      </c>
      <c r="H7" s="61" t="s">
        <v>18</v>
      </c>
      <c r="I7" s="61" t="s">
        <v>19</v>
      </c>
      <c r="J7" s="61" t="s">
        <v>20</v>
      </c>
      <c r="K7" s="311">
        <v>3048260.3937388603</v>
      </c>
      <c r="L7" s="311">
        <v>518473.07957153779</v>
      </c>
      <c r="M7" s="311">
        <v>3566733.4733103979</v>
      </c>
      <c r="N7" s="311">
        <v>57197.467761613894</v>
      </c>
      <c r="O7" s="311">
        <v>24835.92042846221</v>
      </c>
      <c r="P7" s="309">
        <v>82033.388190076104</v>
      </c>
      <c r="Q7" s="305">
        <v>2.2999584578978459E-2</v>
      </c>
      <c r="S7" s="311">
        <v>0</v>
      </c>
      <c r="T7" s="311">
        <v>0</v>
      </c>
      <c r="U7" s="311">
        <v>14201.55374579813</v>
      </c>
      <c r="V7" s="311">
        <v>17919.479032852163</v>
      </c>
      <c r="W7" s="311"/>
      <c r="X7" s="311"/>
      <c r="Y7" s="311">
        <v>0</v>
      </c>
      <c r="Z7" s="311">
        <v>3041</v>
      </c>
      <c r="AA7" s="311"/>
      <c r="AB7" s="311">
        <v>467.88308988417049</v>
      </c>
      <c r="AC7" s="311">
        <v>0</v>
      </c>
      <c r="AD7" s="311">
        <v>35629.915868534459</v>
      </c>
      <c r="AE7" s="286"/>
      <c r="AF7" s="311">
        <v>89318.500540264184</v>
      </c>
      <c r="AG7" s="311">
        <v>27876.92042846221</v>
      </c>
      <c r="AH7" s="311">
        <v>117195.42096872639</v>
      </c>
      <c r="AI7" s="305">
        <v>3.2857913787416704E-2</v>
      </c>
      <c r="AJ7" s="286"/>
      <c r="AK7" s="311">
        <v>-30000</v>
      </c>
      <c r="AL7" s="311">
        <v>35629.915868534459</v>
      </c>
      <c r="AM7" s="311">
        <v>-3212.1032778650288</v>
      </c>
      <c r="AN7" s="311">
        <v>-14393.19143805766</v>
      </c>
      <c r="AO7" s="311">
        <v>18024.62115261177</v>
      </c>
      <c r="AP7" s="311">
        <v>-11975.37884738823</v>
      </c>
      <c r="AQ7" s="286"/>
      <c r="AR7" s="303">
        <v>1.8763970387535703E-2</v>
      </c>
      <c r="AS7" s="305">
        <v>4.7902044304762026E-2</v>
      </c>
      <c r="AT7" s="305">
        <v>2.2999584578978459E-2</v>
      </c>
      <c r="AU7" s="286"/>
      <c r="AV7" s="305">
        <v>1.053749635189534E-2</v>
      </c>
      <c r="AW7" s="305">
        <v>5.8652997037243679E-3</v>
      </c>
      <c r="AX7" s="449">
        <v>9.8583292084382448E-3</v>
      </c>
      <c r="AY7" s="286"/>
      <c r="AZ7" s="305">
        <v>2.9301466739431042E-2</v>
      </c>
      <c r="BA7" s="305">
        <v>5.3767344008486394E-2</v>
      </c>
      <c r="BB7" s="305">
        <v>3.2857913787416704E-2</v>
      </c>
      <c r="BD7" s="449">
        <f>SUMIFS('SC1'!AX:AX,'SC1'!I:I,I7)</f>
        <v>9.8781596801314139E-3</v>
      </c>
    </row>
    <row r="8" spans="2:56" x14ac:dyDescent="0.2">
      <c r="B8" s="98" t="s">
        <v>350</v>
      </c>
      <c r="C8" s="242" t="s">
        <v>194</v>
      </c>
      <c r="D8" s="240"/>
      <c r="E8" s="240" t="s">
        <v>194</v>
      </c>
      <c r="G8" s="267" t="s">
        <v>17</v>
      </c>
      <c r="H8" s="268" t="s">
        <v>18</v>
      </c>
      <c r="I8" s="61" t="s">
        <v>21</v>
      </c>
      <c r="J8" s="61" t="s">
        <v>22</v>
      </c>
      <c r="K8" s="311">
        <v>6013766.1069202833</v>
      </c>
      <c r="L8" s="311">
        <v>944926.6747170426</v>
      </c>
      <c r="M8" s="311">
        <v>6958692.7816373259</v>
      </c>
      <c r="N8" s="311">
        <v>95468.032513257116</v>
      </c>
      <c r="O8" s="311">
        <v>44212.325282957405</v>
      </c>
      <c r="P8" s="309">
        <v>139680.35779621452</v>
      </c>
      <c r="Q8" s="305">
        <v>2.0072786970105155E-2</v>
      </c>
      <c r="S8" s="311">
        <v>0</v>
      </c>
      <c r="T8" s="311">
        <v>0</v>
      </c>
      <c r="U8" s="311">
        <v>27968.937071928278</v>
      </c>
      <c r="V8" s="311">
        <v>35291.123098405282</v>
      </c>
      <c r="W8" s="311"/>
      <c r="X8" s="311"/>
      <c r="Y8" s="311">
        <v>0</v>
      </c>
      <c r="Z8" s="311">
        <v>5537</v>
      </c>
      <c r="AA8" s="311"/>
      <c r="AB8" s="311">
        <v>921.46204086025386</v>
      </c>
      <c r="AC8" s="311">
        <v>0</v>
      </c>
      <c r="AD8" s="311">
        <v>69718.522211193806</v>
      </c>
      <c r="AE8" s="286"/>
      <c r="AF8" s="311">
        <v>158728.09268359066</v>
      </c>
      <c r="AG8" s="311">
        <v>49749.325282957405</v>
      </c>
      <c r="AH8" s="311">
        <v>208477.41796654806</v>
      </c>
      <c r="AI8" s="305">
        <v>2.9959278920414556E-2</v>
      </c>
      <c r="AJ8" s="286"/>
      <c r="AK8" s="311">
        <v>-34638</v>
      </c>
      <c r="AL8" s="311">
        <v>69718.522211193806</v>
      </c>
      <c r="AM8" s="311">
        <v>-6326.0060170333545</v>
      </c>
      <c r="AN8" s="311">
        <v>-28081.099446933553</v>
      </c>
      <c r="AO8" s="311">
        <v>35311.416747226904</v>
      </c>
      <c r="AP8" s="311">
        <v>673.41674722690368</v>
      </c>
      <c r="AQ8" s="286"/>
      <c r="AR8" s="303">
        <v>1.5874916120099551E-2</v>
      </c>
      <c r="AS8" s="305">
        <v>4.6789159906187157E-2</v>
      </c>
      <c r="AT8" s="305">
        <v>2.0072786970105155E-2</v>
      </c>
      <c r="AU8" s="286"/>
      <c r="AV8" s="305">
        <v>1.0519208603330554E-2</v>
      </c>
      <c r="AW8" s="305">
        <v>5.8597139314095978E-3</v>
      </c>
      <c r="AX8" s="449">
        <v>9.8864919503094013E-3</v>
      </c>
      <c r="AY8" s="286"/>
      <c r="AZ8" s="305">
        <v>2.6394124723430105E-2</v>
      </c>
      <c r="BA8" s="305">
        <v>5.2648873837596755E-2</v>
      </c>
      <c r="BB8" s="305">
        <v>2.9959278920414556E-2</v>
      </c>
      <c r="BD8" s="449">
        <f>SUMIFS('SC1'!AX:AX,'SC1'!I:I,I8)</f>
        <v>1.0251003121015203E-2</v>
      </c>
    </row>
    <row r="9" spans="2:56" x14ac:dyDescent="0.2">
      <c r="B9" s="98" t="s">
        <v>198</v>
      </c>
      <c r="C9" s="242" t="s">
        <v>200</v>
      </c>
      <c r="D9" s="242">
        <v>230</v>
      </c>
      <c r="E9" s="253">
        <v>1</v>
      </c>
      <c r="G9" s="267" t="s">
        <v>17</v>
      </c>
      <c r="H9" s="268" t="s">
        <v>18</v>
      </c>
      <c r="I9" s="61" t="s">
        <v>23</v>
      </c>
      <c r="J9" s="61" t="s">
        <v>24</v>
      </c>
      <c r="K9" s="311">
        <v>2624831.9901583381</v>
      </c>
      <c r="L9" s="311">
        <v>484846.53629568382</v>
      </c>
      <c r="M9" s="311">
        <v>3109678.5264540222</v>
      </c>
      <c r="N9" s="311">
        <v>44595.050029436126</v>
      </c>
      <c r="O9" s="311">
        <v>17472.259423059877</v>
      </c>
      <c r="P9" s="309">
        <v>62067.309452496003</v>
      </c>
      <c r="Q9" s="305">
        <v>1.9959397386093019E-2</v>
      </c>
      <c r="S9" s="311">
        <v>0</v>
      </c>
      <c r="T9" s="311">
        <v>0</v>
      </c>
      <c r="U9" s="311">
        <v>12207.61822988803</v>
      </c>
      <c r="V9" s="311">
        <v>15403.537023282828</v>
      </c>
      <c r="W9" s="311"/>
      <c r="X9" s="311"/>
      <c r="Y9" s="311">
        <v>0</v>
      </c>
      <c r="Z9" s="311">
        <v>1.9526824238710105E-2</v>
      </c>
      <c r="AA9" s="311"/>
      <c r="AB9" s="311">
        <v>402.19107287583194</v>
      </c>
      <c r="AC9" s="311">
        <v>0</v>
      </c>
      <c r="AD9" s="311">
        <v>28013.365852870927</v>
      </c>
      <c r="AE9" s="286"/>
      <c r="AF9" s="311">
        <v>72206.205282606985</v>
      </c>
      <c r="AG9" s="311">
        <v>17472.278949884116</v>
      </c>
      <c r="AH9" s="311">
        <v>89678.484232491101</v>
      </c>
      <c r="AI9" s="305">
        <v>2.8838506446758599E-2</v>
      </c>
      <c r="AJ9" s="286"/>
      <c r="AK9" s="311">
        <v>-54500</v>
      </c>
      <c r="AL9" s="311">
        <v>28013.365852870927</v>
      </c>
      <c r="AM9" s="311">
        <v>-2761.1155253170855</v>
      </c>
      <c r="AN9" s="311">
        <v>-12548.792523184607</v>
      </c>
      <c r="AO9" s="311">
        <v>12703.457804369233</v>
      </c>
      <c r="AP9" s="311">
        <v>-41796.542195630769</v>
      </c>
      <c r="AQ9" s="286"/>
      <c r="AR9" s="303">
        <v>1.6989677890487009E-2</v>
      </c>
      <c r="AS9" s="305">
        <v>3.6036679887518915E-2</v>
      </c>
      <c r="AT9" s="305">
        <v>1.9959397386093019E-2</v>
      </c>
      <c r="AU9" s="286"/>
      <c r="AV9" s="305">
        <v>1.0519208603330554E-2</v>
      </c>
      <c r="AW9" s="305">
        <v>4.0274236848270029E-8</v>
      </c>
      <c r="AX9" s="449">
        <v>8.8791090606655798E-3</v>
      </c>
      <c r="AY9" s="286"/>
      <c r="AZ9" s="305">
        <v>2.7508886493817563E-2</v>
      </c>
      <c r="BA9" s="305">
        <v>3.6036720161755763E-2</v>
      </c>
      <c r="BB9" s="305">
        <v>2.8838506446758599E-2</v>
      </c>
      <c r="BD9" s="449">
        <f>SUMIFS('SC1'!AX:AX,'SC1'!I:I,I9)</f>
        <v>9.6262752269695578E-3</v>
      </c>
    </row>
    <row r="10" spans="2:56" x14ac:dyDescent="0.2">
      <c r="B10" s="98" t="s">
        <v>203</v>
      </c>
      <c r="C10" s="242" t="s">
        <v>200</v>
      </c>
      <c r="D10" s="240"/>
      <c r="E10" s="253">
        <v>0</v>
      </c>
      <c r="G10" s="269" t="s">
        <v>17</v>
      </c>
      <c r="H10" s="270" t="s">
        <v>18</v>
      </c>
      <c r="I10" s="271" t="s">
        <v>25</v>
      </c>
      <c r="J10" s="271" t="s">
        <v>26</v>
      </c>
      <c r="K10" s="312">
        <v>4409923.2175515071</v>
      </c>
      <c r="L10" s="312">
        <v>697032.31230978144</v>
      </c>
      <c r="M10" s="312">
        <v>5106955.5298612881</v>
      </c>
      <c r="N10" s="312">
        <v>77972.981732874177</v>
      </c>
      <c r="O10" s="312">
        <v>33453.687690218561</v>
      </c>
      <c r="P10" s="310">
        <v>111426.66942309274</v>
      </c>
      <c r="Q10" s="306">
        <v>2.1818609692518556E-2</v>
      </c>
      <c r="S10" s="312">
        <v>0</v>
      </c>
      <c r="T10" s="312">
        <v>0</v>
      </c>
      <c r="U10" s="312">
        <v>20541.681062091124</v>
      </c>
      <c r="V10" s="312">
        <v>25919.43316065599</v>
      </c>
      <c r="W10" s="312"/>
      <c r="X10" s="312"/>
      <c r="Y10" s="312">
        <v>0</v>
      </c>
      <c r="Z10" s="312">
        <v>4089</v>
      </c>
      <c r="AA10" s="312"/>
      <c r="AB10" s="312">
        <v>676.7643441542458</v>
      </c>
      <c r="AC10" s="312">
        <v>0</v>
      </c>
      <c r="AD10" s="312">
        <v>51226.87856690136</v>
      </c>
      <c r="AE10" s="286"/>
      <c r="AF10" s="312">
        <v>124434.09595562129</v>
      </c>
      <c r="AG10" s="312">
        <v>37542.687690218561</v>
      </c>
      <c r="AH10" s="312">
        <v>161976.78364583984</v>
      </c>
      <c r="AI10" s="306">
        <v>3.1716897219631626E-2</v>
      </c>
      <c r="AJ10" s="286"/>
      <c r="AK10" s="312">
        <v>0</v>
      </c>
      <c r="AL10" s="312">
        <v>51226.87856690136</v>
      </c>
      <c r="AM10" s="312">
        <v>-4646.111422274711</v>
      </c>
      <c r="AN10" s="312">
        <v>-20608.601443583066</v>
      </c>
      <c r="AO10" s="312">
        <v>25972.165701043581</v>
      </c>
      <c r="AP10" s="312">
        <v>25972.165701043581</v>
      </c>
      <c r="AQ10" s="286"/>
      <c r="AR10" s="304">
        <v>1.7681256086850103E-2</v>
      </c>
      <c r="AS10" s="306">
        <v>4.799445750134862E-2</v>
      </c>
      <c r="AT10" s="306">
        <v>2.1818609692518556E-2</v>
      </c>
      <c r="AU10" s="286"/>
      <c r="AV10" s="306">
        <v>1.0535583485406674E-2</v>
      </c>
      <c r="AW10" s="306">
        <v>5.8662990621627387E-3</v>
      </c>
      <c r="AX10" s="449">
        <v>9.8982875271130706E-3</v>
      </c>
      <c r="AY10" s="286"/>
      <c r="AZ10" s="306">
        <v>2.8216839572256777E-2</v>
      </c>
      <c r="BA10" s="306">
        <v>5.3860756563511358E-2</v>
      </c>
      <c r="BB10" s="306">
        <v>3.1716897219631626E-2</v>
      </c>
      <c r="BD10" s="449">
        <f>SUMIFS('SC1'!AX:AX,'SC1'!I:I,I10)</f>
        <v>9.9798467916287735E-3</v>
      </c>
    </row>
    <row r="11" spans="2:56" x14ac:dyDescent="0.2">
      <c r="B11" s="98" t="s">
        <v>208</v>
      </c>
      <c r="C11" s="242" t="s">
        <v>194</v>
      </c>
      <c r="D11" s="413" t="s">
        <v>1080</v>
      </c>
      <c r="E11" s="253">
        <v>4.7149421130170564E-3</v>
      </c>
      <c r="G11" s="266" t="s">
        <v>27</v>
      </c>
      <c r="H11" s="61" t="s">
        <v>28</v>
      </c>
      <c r="I11" s="61" t="s">
        <v>29</v>
      </c>
      <c r="J11" s="61" t="s">
        <v>30</v>
      </c>
      <c r="K11" s="311">
        <v>5279034.5227323426</v>
      </c>
      <c r="L11" s="311">
        <v>941747.05148924538</v>
      </c>
      <c r="M11" s="311">
        <v>6220781.5742215877</v>
      </c>
      <c r="N11" s="311">
        <v>90830.688755045645</v>
      </c>
      <c r="O11" s="311">
        <v>34142.767536125844</v>
      </c>
      <c r="P11" s="309">
        <v>124973.45629117149</v>
      </c>
      <c r="Q11" s="305">
        <v>2.0089671177179941E-2</v>
      </c>
      <c r="S11" s="311">
        <v>0</v>
      </c>
      <c r="T11" s="311">
        <v>0</v>
      </c>
      <c r="U11" s="311">
        <v>24551.83353355432</v>
      </c>
      <c r="V11" s="311">
        <v>30979.431835250765</v>
      </c>
      <c r="W11" s="311"/>
      <c r="X11" s="311"/>
      <c r="Y11" s="311">
        <v>0</v>
      </c>
      <c r="Z11" s="311">
        <v>0.18209192273207009</v>
      </c>
      <c r="AA11" s="311"/>
      <c r="AB11" s="311">
        <v>808.88246044204891</v>
      </c>
      <c r="AC11" s="311">
        <v>0</v>
      </c>
      <c r="AD11" s="311">
        <v>56340.329921169869</v>
      </c>
      <c r="AE11" s="286"/>
      <c r="AF11" s="311">
        <v>146361.95412385074</v>
      </c>
      <c r="AG11" s="311">
        <v>34142.949628048576</v>
      </c>
      <c r="AH11" s="311">
        <v>180504.90375189931</v>
      </c>
      <c r="AI11" s="305">
        <v>2.9016434928353204E-2</v>
      </c>
      <c r="AJ11" s="286"/>
      <c r="AK11" s="311">
        <v>0</v>
      </c>
      <c r="AL11" s="311">
        <v>56340.329921169869</v>
      </c>
      <c r="AM11" s="311">
        <v>-5553.126536880507</v>
      </c>
      <c r="AN11" s="311">
        <v>-25103.333557752769</v>
      </c>
      <c r="AO11" s="311">
        <v>25683.869826536589</v>
      </c>
      <c r="AP11" s="311">
        <v>25683.869826536589</v>
      </c>
      <c r="AQ11" s="286"/>
      <c r="AR11" s="303">
        <v>1.7205928160521512E-2</v>
      </c>
      <c r="AS11" s="305">
        <v>3.6254711370886358E-2</v>
      </c>
      <c r="AT11" s="305">
        <v>2.0089671177179941E-2</v>
      </c>
      <c r="AU11" s="286"/>
      <c r="AV11" s="305">
        <v>1.0519208603330558E-2</v>
      </c>
      <c r="AW11" s="305">
        <v>1.933554476668542E-7</v>
      </c>
      <c r="AX11" s="449">
        <v>8.9267637511732632E-3</v>
      </c>
      <c r="AY11" s="286"/>
      <c r="AZ11" s="305">
        <v>2.7725136763852069E-2</v>
      </c>
      <c r="BA11" s="305">
        <v>3.6254904726334025E-2</v>
      </c>
      <c r="BB11" s="305">
        <v>2.9016434928353204E-2</v>
      </c>
      <c r="BD11" s="449">
        <f>SUMIFS('SC1'!AX:AX,'SC1'!I:I,I11)</f>
        <v>9.678407645341728E-3</v>
      </c>
    </row>
    <row r="12" spans="2:56" x14ac:dyDescent="0.2">
      <c r="B12" s="98" t="s">
        <v>212</v>
      </c>
      <c r="C12" s="242" t="s">
        <v>194</v>
      </c>
      <c r="D12" s="240" t="s">
        <v>1106</v>
      </c>
      <c r="E12" s="253">
        <v>5.9191114259803234E-3</v>
      </c>
      <c r="G12" s="267" t="s">
        <v>27</v>
      </c>
      <c r="H12" s="268" t="s">
        <v>28</v>
      </c>
      <c r="I12" s="61" t="s">
        <v>31</v>
      </c>
      <c r="J12" s="61" t="s">
        <v>8</v>
      </c>
      <c r="K12" s="311">
        <v>5656247.185408433</v>
      </c>
      <c r="L12" s="311">
        <v>1116891.9456620421</v>
      </c>
      <c r="M12" s="311">
        <v>6773139.1310704751</v>
      </c>
      <c r="N12" s="311">
        <v>92163.31825776957</v>
      </c>
      <c r="O12" s="311">
        <v>36940.209962800378</v>
      </c>
      <c r="P12" s="309">
        <v>129103.52822056995</v>
      </c>
      <c r="Q12" s="305">
        <v>1.906110678109834E-2</v>
      </c>
      <c r="S12" s="311">
        <v>0</v>
      </c>
      <c r="T12" s="311">
        <v>0</v>
      </c>
      <c r="U12" s="311">
        <v>26306.181314553236</v>
      </c>
      <c r="V12" s="311">
        <v>33193.062740759407</v>
      </c>
      <c r="W12" s="311"/>
      <c r="X12" s="311"/>
      <c r="Y12" s="311">
        <v>0</v>
      </c>
      <c r="Z12" s="311">
        <v>-0.18081156653352082</v>
      </c>
      <c r="AA12" s="311"/>
      <c r="AB12" s="311">
        <v>866.68104186473818</v>
      </c>
      <c r="AC12" s="311">
        <v>0</v>
      </c>
      <c r="AD12" s="311">
        <v>60365.744285610846</v>
      </c>
      <c r="AE12" s="286"/>
      <c r="AF12" s="311">
        <v>151662.56231308222</v>
      </c>
      <c r="AG12" s="311">
        <v>36940.029151233844</v>
      </c>
      <c r="AH12" s="311">
        <v>188602.59146431606</v>
      </c>
      <c r="AI12" s="305">
        <v>2.7845669166773484E-2</v>
      </c>
      <c r="AJ12" s="286"/>
      <c r="AK12" s="311">
        <v>-200422</v>
      </c>
      <c r="AL12" s="311">
        <v>60365.744285610846</v>
      </c>
      <c r="AM12" s="311">
        <v>-5949.9244055312629</v>
      </c>
      <c r="AN12" s="311">
        <v>-27332.31649619617</v>
      </c>
      <c r="AO12" s="311">
        <v>27083.50338388341</v>
      </c>
      <c r="AP12" s="311">
        <v>-173338.49661611658</v>
      </c>
      <c r="AQ12" s="286"/>
      <c r="AR12" s="303">
        <v>1.6294075424342427E-2</v>
      </c>
      <c r="AS12" s="305">
        <v>3.307411259099368E-2</v>
      </c>
      <c r="AT12" s="305">
        <v>1.906110678109834E-2</v>
      </c>
      <c r="AU12" s="286"/>
      <c r="AV12" s="305">
        <v>1.0519208603330558E-2</v>
      </c>
      <c r="AW12" s="305">
        <v>-1.6188814615236691E-7</v>
      </c>
      <c r="AX12" s="449">
        <v>8.7845623856751438E-3</v>
      </c>
      <c r="AY12" s="286"/>
      <c r="AZ12" s="305">
        <v>2.6813284027672985E-2</v>
      </c>
      <c r="BA12" s="305">
        <v>3.3073950702847528E-2</v>
      </c>
      <c r="BB12" s="305">
        <v>2.7845669166773484E-2</v>
      </c>
      <c r="BD12" s="449">
        <f>SUMIFS('SC1'!AX:AX,'SC1'!I:I,I12)</f>
        <v>9.522141253181543E-3</v>
      </c>
    </row>
    <row r="13" spans="2:56" x14ac:dyDescent="0.2">
      <c r="B13" s="98" t="s">
        <v>216</v>
      </c>
      <c r="C13" s="242" t="s">
        <v>194</v>
      </c>
      <c r="D13" s="240"/>
      <c r="E13" s="254" t="s">
        <v>352</v>
      </c>
      <c r="G13" s="269" t="s">
        <v>27</v>
      </c>
      <c r="H13" s="270" t="s">
        <v>28</v>
      </c>
      <c r="I13" s="271" t="s">
        <v>32</v>
      </c>
      <c r="J13" s="271" t="s">
        <v>33</v>
      </c>
      <c r="K13" s="312">
        <v>3506623.0145232137</v>
      </c>
      <c r="L13" s="312">
        <v>601835.21210633765</v>
      </c>
      <c r="M13" s="312">
        <v>4108458.2266295515</v>
      </c>
      <c r="N13" s="312">
        <v>58183.87041085586</v>
      </c>
      <c r="O13" s="312">
        <v>28459.787893662346</v>
      </c>
      <c r="P13" s="310">
        <v>86643.658304518205</v>
      </c>
      <c r="Q13" s="306">
        <v>2.1089093164663356E-2</v>
      </c>
      <c r="S13" s="312">
        <v>0</v>
      </c>
      <c r="T13" s="312">
        <v>0</v>
      </c>
      <c r="U13" s="312">
        <v>16308.66859210148</v>
      </c>
      <c r="V13" s="312">
        <v>20578.230390908044</v>
      </c>
      <c r="W13" s="312"/>
      <c r="X13" s="312"/>
      <c r="Y13" s="312">
        <v>0</v>
      </c>
      <c r="Z13" s="312">
        <v>3528</v>
      </c>
      <c r="AA13" s="312"/>
      <c r="AB13" s="312">
        <v>537.30390275268621</v>
      </c>
      <c r="AC13" s="312">
        <v>0</v>
      </c>
      <c r="AD13" s="312">
        <v>40952.202885762206</v>
      </c>
      <c r="AE13" s="286"/>
      <c r="AF13" s="312">
        <v>95070.769393865383</v>
      </c>
      <c r="AG13" s="312">
        <v>31987.787893662346</v>
      </c>
      <c r="AH13" s="312">
        <v>127058.55728752773</v>
      </c>
      <c r="AI13" s="306">
        <v>3.0926092046885074E-2</v>
      </c>
      <c r="AJ13" s="286"/>
      <c r="AK13" s="312">
        <v>-198490</v>
      </c>
      <c r="AL13" s="312">
        <v>40952.202885762206</v>
      </c>
      <c r="AM13" s="312">
        <v>-3688.6898983009514</v>
      </c>
      <c r="AN13" s="312">
        <v>-16579.266775506509</v>
      </c>
      <c r="AO13" s="312">
        <v>20684.246211954745</v>
      </c>
      <c r="AP13" s="312">
        <v>-177805.75378804526</v>
      </c>
      <c r="AQ13" s="286"/>
      <c r="AR13" s="304">
        <v>1.6592565031906335E-2</v>
      </c>
      <c r="AS13" s="306">
        <v>4.7288339600564638E-2</v>
      </c>
      <c r="AT13" s="306">
        <v>2.1089093164663356E-2</v>
      </c>
      <c r="AU13" s="286"/>
      <c r="AV13" s="306">
        <v>1.0519208603330558E-2</v>
      </c>
      <c r="AW13" s="306">
        <v>5.8620697643338299E-3</v>
      </c>
      <c r="AX13" s="449">
        <v>9.8369988822217189E-3</v>
      </c>
      <c r="AY13" s="286"/>
      <c r="AZ13" s="306">
        <v>2.7111773635236893E-2</v>
      </c>
      <c r="BA13" s="306">
        <v>5.3150409364898468E-2</v>
      </c>
      <c r="BB13" s="306">
        <v>3.0926092046885074E-2</v>
      </c>
      <c r="BD13" s="449">
        <f>SUMIFS('SC1'!AX:AX,'SC1'!I:I,I13)</f>
        <v>1.0162182213475653E-2</v>
      </c>
    </row>
    <row r="14" spans="2:56" x14ac:dyDescent="0.2">
      <c r="B14" s="98" t="s">
        <v>218</v>
      </c>
      <c r="C14" s="242" t="s">
        <v>194</v>
      </c>
      <c r="D14" s="242">
        <v>675</v>
      </c>
      <c r="E14" s="253">
        <v>5.9493001855743435E-3</v>
      </c>
      <c r="F14" s="445">
        <v>0.91784054186571218</v>
      </c>
      <c r="G14" s="266" t="s">
        <v>34</v>
      </c>
      <c r="H14" s="61" t="s">
        <v>35</v>
      </c>
      <c r="I14" s="61" t="s">
        <v>36</v>
      </c>
      <c r="J14" s="61" t="s">
        <v>37</v>
      </c>
      <c r="K14" s="311">
        <v>2574908.3183812057</v>
      </c>
      <c r="L14" s="311">
        <v>544962.09035921283</v>
      </c>
      <c r="M14" s="311">
        <v>3119870.4087404185</v>
      </c>
      <c r="N14" s="311">
        <v>79377.315752677619</v>
      </c>
      <c r="O14" s="311">
        <v>17523.556946943398</v>
      </c>
      <c r="P14" s="309">
        <v>96900.872699621017</v>
      </c>
      <c r="Q14" s="305">
        <v>3.1059262086062956E-2</v>
      </c>
      <c r="S14" s="311">
        <v>0</v>
      </c>
      <c r="T14" s="311">
        <v>0</v>
      </c>
      <c r="U14" s="311">
        <v>12164.824754828463</v>
      </c>
      <c r="V14" s="311">
        <v>15349.540341454993</v>
      </c>
      <c r="W14" s="311"/>
      <c r="X14" s="311"/>
      <c r="Y14" s="311">
        <v>0</v>
      </c>
      <c r="Z14" s="311">
        <v>0.12263175600674003</v>
      </c>
      <c r="AA14" s="311"/>
      <c r="AB14" s="311">
        <v>400.78120296327575</v>
      </c>
      <c r="AC14" s="311">
        <v>0</v>
      </c>
      <c r="AD14" s="311">
        <v>27915.268931002742</v>
      </c>
      <c r="AE14" s="286"/>
      <c r="AF14" s="311">
        <v>106891.68084896108</v>
      </c>
      <c r="AG14" s="311">
        <v>17523.679578699404</v>
      </c>
      <c r="AH14" s="311">
        <v>124415.36042766049</v>
      </c>
      <c r="AI14" s="305">
        <v>3.9878374460396437E-2</v>
      </c>
      <c r="AJ14" s="286"/>
      <c r="AK14" s="311">
        <v>0</v>
      </c>
      <c r="AL14" s="311">
        <v>27915.268931002742</v>
      </c>
      <c r="AM14" s="311">
        <v>-2751.436509628345</v>
      </c>
      <c r="AN14" s="311">
        <v>-12589.920831189664</v>
      </c>
      <c r="AO14" s="311">
        <v>12573.911590184734</v>
      </c>
      <c r="AP14" s="311">
        <v>12573.911590184734</v>
      </c>
      <c r="AQ14" s="286"/>
      <c r="AR14" s="303">
        <v>3.0827239628702811E-2</v>
      </c>
      <c r="AS14" s="305">
        <v>3.215555220619605E-2</v>
      </c>
      <c r="AT14" s="305">
        <v>3.1059262086062956E-2</v>
      </c>
      <c r="AU14" s="286"/>
      <c r="AV14" s="305">
        <v>1.0685570783188589E-2</v>
      </c>
      <c r="AW14" s="305">
        <v>2.2502804906260332E-7</v>
      </c>
      <c r="AX14" s="449">
        <v>8.8191123743334814E-3</v>
      </c>
      <c r="AY14" s="286"/>
      <c r="AZ14" s="305">
        <v>4.15128104118914E-2</v>
      </c>
      <c r="BA14" s="305">
        <v>3.2155777234245113E-2</v>
      </c>
      <c r="BB14" s="305">
        <v>3.9878374460396437E-2</v>
      </c>
      <c r="BD14" s="449">
        <f>SUMIFS('SC1'!AX:AX,'SC1'!I:I,I14)</f>
        <v>7.170468946115293E-3</v>
      </c>
    </row>
    <row r="15" spans="2:56" x14ac:dyDescent="0.2">
      <c r="B15" s="98" t="s">
        <v>1105</v>
      </c>
      <c r="C15" s="242" t="s">
        <v>200</v>
      </c>
      <c r="D15" s="240"/>
      <c r="E15" s="254">
        <v>0</v>
      </c>
      <c r="G15" s="267" t="s">
        <v>34</v>
      </c>
      <c r="H15" s="268" t="s">
        <v>35</v>
      </c>
      <c r="I15" s="61" t="s">
        <v>38</v>
      </c>
      <c r="J15" s="61" t="s">
        <v>39</v>
      </c>
      <c r="K15" s="311">
        <v>2278092.835673023</v>
      </c>
      <c r="L15" s="311">
        <v>412828.24853130744</v>
      </c>
      <c r="M15" s="311">
        <v>2690921.0842043306</v>
      </c>
      <c r="N15" s="311">
        <v>36573.871690907516</v>
      </c>
      <c r="O15" s="311">
        <v>14952.869283407053</v>
      </c>
      <c r="P15" s="309">
        <v>51526.740974314569</v>
      </c>
      <c r="Q15" s="305">
        <v>1.9148365694102224E-2</v>
      </c>
      <c r="S15" s="311">
        <v>0</v>
      </c>
      <c r="T15" s="311">
        <v>0</v>
      </c>
      <c r="U15" s="311">
        <v>10594.997216740612</v>
      </c>
      <c r="V15" s="311">
        <v>13368.736539456757</v>
      </c>
      <c r="W15" s="311"/>
      <c r="X15" s="311"/>
      <c r="Y15" s="311">
        <v>0</v>
      </c>
      <c r="Z15" s="311">
        <v>-0.14100423658965155</v>
      </c>
      <c r="AA15" s="311"/>
      <c r="AB15" s="311">
        <v>349.0618085749594</v>
      </c>
      <c r="AC15" s="311">
        <v>0</v>
      </c>
      <c r="AD15" s="311">
        <v>24312.654560535739</v>
      </c>
      <c r="AE15" s="286"/>
      <c r="AF15" s="311">
        <v>60537.605447104885</v>
      </c>
      <c r="AG15" s="311">
        <v>14952.728279170464</v>
      </c>
      <c r="AH15" s="311">
        <v>75490.333726275348</v>
      </c>
      <c r="AI15" s="305">
        <v>2.8053715201609798E-2</v>
      </c>
      <c r="AJ15" s="286"/>
      <c r="AK15" s="311">
        <v>-78751</v>
      </c>
      <c r="AL15" s="311">
        <v>24312.654560535739</v>
      </c>
      <c r="AM15" s="311">
        <v>-2396.3733756197362</v>
      </c>
      <c r="AN15" s="311">
        <v>-10858.939306645527</v>
      </c>
      <c r="AO15" s="311">
        <v>11057.341878270476</v>
      </c>
      <c r="AP15" s="311">
        <v>-67693.658121729532</v>
      </c>
      <c r="AQ15" s="286"/>
      <c r="AR15" s="303">
        <v>1.6054601076036658E-2</v>
      </c>
      <c r="AS15" s="305">
        <v>3.622055742697821E-2</v>
      </c>
      <c r="AT15" s="305">
        <v>1.9148365694102224E-2</v>
      </c>
      <c r="AU15" s="286"/>
      <c r="AV15" s="305">
        <v>1.0519208603330558E-2</v>
      </c>
      <c r="AW15" s="305">
        <v>-3.4155665725593698E-7</v>
      </c>
      <c r="AX15" s="449">
        <v>8.9053495075075741E-3</v>
      </c>
      <c r="AY15" s="286"/>
      <c r="AZ15" s="305">
        <v>2.6573809679367216E-2</v>
      </c>
      <c r="BA15" s="305">
        <v>3.6220215870320954E-2</v>
      </c>
      <c r="BB15" s="305">
        <v>2.8053715201609798E-2</v>
      </c>
      <c r="BD15" s="449">
        <f>SUMIFS('SC1'!AX:AX,'SC1'!I:I,I15)</f>
        <v>9.6525835653978875E-3</v>
      </c>
    </row>
    <row r="16" spans="2:56" x14ac:dyDescent="0.2">
      <c r="B16" s="98" t="s">
        <v>1128</v>
      </c>
      <c r="C16" s="242" t="s">
        <v>200</v>
      </c>
      <c r="D16" s="240"/>
      <c r="E16" s="254">
        <v>0</v>
      </c>
      <c r="G16" s="267" t="s">
        <v>34</v>
      </c>
      <c r="H16" s="268" t="s">
        <v>35</v>
      </c>
      <c r="I16" s="61" t="s">
        <v>40</v>
      </c>
      <c r="J16" s="61" t="s">
        <v>41</v>
      </c>
      <c r="K16" s="311">
        <v>1685365.9442301078</v>
      </c>
      <c r="L16" s="311">
        <v>313055.19999377243</v>
      </c>
      <c r="M16" s="311">
        <v>1998421.1442238803</v>
      </c>
      <c r="N16" s="311">
        <v>47353.865951861953</v>
      </c>
      <c r="O16" s="311">
        <v>14146.800006227568</v>
      </c>
      <c r="P16" s="309">
        <v>61500.665958089521</v>
      </c>
      <c r="Q16" s="305">
        <v>3.0774627328102214E-2</v>
      </c>
      <c r="S16" s="311">
        <v>0</v>
      </c>
      <c r="T16" s="311">
        <v>0</v>
      </c>
      <c r="U16" s="311">
        <v>7894.3233389080851</v>
      </c>
      <c r="V16" s="311">
        <v>9961.0341292391258</v>
      </c>
      <c r="W16" s="311"/>
      <c r="X16" s="311"/>
      <c r="Y16" s="311">
        <v>0</v>
      </c>
      <c r="Z16" s="311">
        <v>1832</v>
      </c>
      <c r="AA16" s="311"/>
      <c r="AB16" s="311">
        <v>260.08565418033101</v>
      </c>
      <c r="AC16" s="311">
        <v>0</v>
      </c>
      <c r="AD16" s="311">
        <v>19947.443122327539</v>
      </c>
      <c r="AE16" s="286"/>
      <c r="AF16" s="311">
        <v>65209.223420009163</v>
      </c>
      <c r="AG16" s="311">
        <v>15978.800006227568</v>
      </c>
      <c r="AH16" s="311">
        <v>81188.02342623673</v>
      </c>
      <c r="AI16" s="305">
        <v>4.062608307608126E-2</v>
      </c>
      <c r="AJ16" s="286"/>
      <c r="AK16" s="311">
        <v>0</v>
      </c>
      <c r="AL16" s="311">
        <v>19947.443122327539</v>
      </c>
      <c r="AM16" s="311">
        <v>-1785.5357468147208</v>
      </c>
      <c r="AN16" s="311">
        <v>-8064.4259847036137</v>
      </c>
      <c r="AO16" s="311">
        <v>10097.481390809206</v>
      </c>
      <c r="AP16" s="311">
        <v>10097.481390809206</v>
      </c>
      <c r="AQ16" s="286"/>
      <c r="AR16" s="303">
        <v>2.8097082484655093E-2</v>
      </c>
      <c r="AS16" s="305">
        <v>4.5189474592688406E-2</v>
      </c>
      <c r="AT16" s="305">
        <v>3.0774627328102214E-2</v>
      </c>
      <c r="AU16" s="286"/>
      <c r="AV16" s="305">
        <v>1.059435046096396E-2</v>
      </c>
      <c r="AW16" s="305">
        <v>5.8520030973337744E-3</v>
      </c>
      <c r="AX16" s="449">
        <v>9.8514557479790453E-3</v>
      </c>
      <c r="AY16" s="286"/>
      <c r="AZ16" s="305">
        <v>3.8691432945619053E-2</v>
      </c>
      <c r="BA16" s="305">
        <v>5.104147769002218E-2</v>
      </c>
      <c r="BB16" s="305">
        <v>4.062608307608126E-2</v>
      </c>
      <c r="BD16" s="449">
        <f>SUMIFS('SC1'!AX:AX,'SC1'!I:I,I16)</f>
        <v>8.8860644289661152E-3</v>
      </c>
    </row>
    <row r="17" spans="7:56" x14ac:dyDescent="0.2">
      <c r="G17" s="267" t="s">
        <v>34</v>
      </c>
      <c r="H17" s="268" t="s">
        <v>35</v>
      </c>
      <c r="I17" s="61" t="s">
        <v>42</v>
      </c>
      <c r="J17" s="61" t="s">
        <v>43</v>
      </c>
      <c r="K17" s="311">
        <v>1962581.0752503697</v>
      </c>
      <c r="L17" s="311">
        <v>322102.10294092807</v>
      </c>
      <c r="M17" s="311">
        <v>2284683.1781912977</v>
      </c>
      <c r="N17" s="311">
        <v>37295.525835746434</v>
      </c>
      <c r="O17" s="311">
        <v>15912.897059071925</v>
      </c>
      <c r="P17" s="309">
        <v>53208.422894818359</v>
      </c>
      <c r="Q17" s="305">
        <v>2.328919099274919E-2</v>
      </c>
      <c r="S17" s="311">
        <v>0</v>
      </c>
      <c r="T17" s="311">
        <v>0</v>
      </c>
      <c r="U17" s="311">
        <v>9127.6091581063138</v>
      </c>
      <c r="V17" s="311">
        <v>11517.190573401112</v>
      </c>
      <c r="W17" s="311"/>
      <c r="X17" s="311"/>
      <c r="Y17" s="311">
        <v>0</v>
      </c>
      <c r="Z17" s="311">
        <v>1892</v>
      </c>
      <c r="AA17" s="311"/>
      <c r="AB17" s="311">
        <v>300.71737590074679</v>
      </c>
      <c r="AC17" s="311">
        <v>0</v>
      </c>
      <c r="AD17" s="311">
        <v>22837.51710740817</v>
      </c>
      <c r="AE17" s="286"/>
      <c r="AF17" s="311">
        <v>57940.325567253858</v>
      </c>
      <c r="AG17" s="311">
        <v>17804.897059071925</v>
      </c>
      <c r="AH17" s="311">
        <v>75745.222626325791</v>
      </c>
      <c r="AI17" s="305">
        <v>3.3153490755024766E-2</v>
      </c>
      <c r="AJ17" s="286"/>
      <c r="AK17" s="311">
        <v>-62500</v>
      </c>
      <c r="AL17" s="311">
        <v>22837.51710740817</v>
      </c>
      <c r="AM17" s="311">
        <v>-2064.4799731507424</v>
      </c>
      <c r="AN17" s="311">
        <v>-9219.607409716762</v>
      </c>
      <c r="AO17" s="311">
        <v>11553.429724540667</v>
      </c>
      <c r="AP17" s="311">
        <v>-50946.570275459337</v>
      </c>
      <c r="AQ17" s="286"/>
      <c r="AR17" s="303">
        <v>1.9003304528954851E-2</v>
      </c>
      <c r="AS17" s="305">
        <v>4.9403269689270772E-2</v>
      </c>
      <c r="AT17" s="305">
        <v>2.328919099274919E-2</v>
      </c>
      <c r="AU17" s="286"/>
      <c r="AV17" s="305">
        <v>1.0519208603330558E-2</v>
      </c>
      <c r="AW17" s="305">
        <v>5.8739138388890985E-3</v>
      </c>
      <c r="AX17" s="449">
        <v>9.864299762275576E-3</v>
      </c>
      <c r="AY17" s="286"/>
      <c r="AZ17" s="305">
        <v>2.9522513132285409E-2</v>
      </c>
      <c r="BA17" s="305">
        <v>5.5277183528159871E-2</v>
      </c>
      <c r="BB17" s="305">
        <v>3.3153490755024766E-2</v>
      </c>
      <c r="BD17" s="449">
        <f>SUMIFS('SC1'!AX:AX,'SC1'!I:I,I17)</f>
        <v>1.0215355286815379E-2</v>
      </c>
    </row>
    <row r="18" spans="7:56" x14ac:dyDescent="0.2">
      <c r="G18" s="267" t="s">
        <v>34</v>
      </c>
      <c r="H18" s="268" t="s">
        <v>35</v>
      </c>
      <c r="I18" s="61" t="s">
        <v>44</v>
      </c>
      <c r="J18" s="61" t="s">
        <v>45</v>
      </c>
      <c r="K18" s="311">
        <v>1398930.5188933569</v>
      </c>
      <c r="L18" s="311">
        <v>254797.12308630819</v>
      </c>
      <c r="M18" s="311">
        <v>1653727.641979665</v>
      </c>
      <c r="N18" s="311">
        <v>29740.031029047677</v>
      </c>
      <c r="O18" s="311">
        <v>12680.876913691813</v>
      </c>
      <c r="P18" s="309">
        <v>42420.90794273949</v>
      </c>
      <c r="Q18" s="305">
        <v>2.5651689471645849E-2</v>
      </c>
      <c r="S18" s="311">
        <v>0</v>
      </c>
      <c r="T18" s="311">
        <v>0</v>
      </c>
      <c r="U18" s="311">
        <v>6506.1724974477665</v>
      </c>
      <c r="V18" s="311">
        <v>8209.4694523569142</v>
      </c>
      <c r="W18" s="311"/>
      <c r="X18" s="311"/>
      <c r="Y18" s="311">
        <v>0</v>
      </c>
      <c r="Z18" s="311">
        <v>1497</v>
      </c>
      <c r="AA18" s="311"/>
      <c r="AB18" s="311">
        <v>214.35176361079152</v>
      </c>
      <c r="AC18" s="311">
        <v>0</v>
      </c>
      <c r="AD18" s="311">
        <v>16426.993713415472</v>
      </c>
      <c r="AE18" s="286"/>
      <c r="AF18" s="311">
        <v>44455.672978852359</v>
      </c>
      <c r="AG18" s="311">
        <v>14177.876913691813</v>
      </c>
      <c r="AH18" s="311">
        <v>58633.549892544172</v>
      </c>
      <c r="AI18" s="305">
        <v>3.545538479501642E-2</v>
      </c>
      <c r="AJ18" s="286"/>
      <c r="AK18" s="311">
        <v>-65655</v>
      </c>
      <c r="AL18" s="311">
        <v>16426.993713415472</v>
      </c>
      <c r="AM18" s="311">
        <v>-1471.5641949804676</v>
      </c>
      <c r="AN18" s="311">
        <v>-6673.4502915714702</v>
      </c>
      <c r="AO18" s="311">
        <v>8281.9792268635356</v>
      </c>
      <c r="AP18" s="311">
        <v>-57373.020773136464</v>
      </c>
      <c r="AQ18" s="286"/>
      <c r="AR18" s="303">
        <v>2.1259119468330662E-2</v>
      </c>
      <c r="AS18" s="305">
        <v>4.9768524699536666E-2</v>
      </c>
      <c r="AT18" s="305">
        <v>2.5651689471645849E-2</v>
      </c>
      <c r="AU18" s="286"/>
      <c r="AV18" s="305">
        <v>1.0519208603330558E-2</v>
      </c>
      <c r="AW18" s="305">
        <v>5.875262569165339E-3</v>
      </c>
      <c r="AX18" s="449">
        <v>9.8036953233705711E-3</v>
      </c>
      <c r="AY18" s="286"/>
      <c r="AZ18" s="305">
        <v>3.177832807166122E-2</v>
      </c>
      <c r="BA18" s="305">
        <v>5.5643787268702005E-2</v>
      </c>
      <c r="BB18" s="305">
        <v>3.545538479501642E-2</v>
      </c>
      <c r="BD18" s="449">
        <f>SUMIFS('SC1'!AX:AX,'SC1'!I:I,I18)</f>
        <v>1.0110103010533517E-2</v>
      </c>
    </row>
    <row r="19" spans="7:56" x14ac:dyDescent="0.2">
      <c r="G19" s="267" t="s">
        <v>34</v>
      </c>
      <c r="H19" s="268" t="s">
        <v>35</v>
      </c>
      <c r="I19" s="61" t="s">
        <v>46</v>
      </c>
      <c r="J19" s="61" t="s">
        <v>47</v>
      </c>
      <c r="K19" s="311">
        <v>1777648.0142066516</v>
      </c>
      <c r="L19" s="311">
        <v>359790.82190727431</v>
      </c>
      <c r="M19" s="311">
        <v>2137438.836113926</v>
      </c>
      <c r="N19" s="311">
        <v>48676.413719905075</v>
      </c>
      <c r="O19" s="311">
        <v>12537.156591430306</v>
      </c>
      <c r="P19" s="309">
        <v>61213.570311335381</v>
      </c>
      <c r="Q19" s="305">
        <v>2.8638747119720007E-2</v>
      </c>
      <c r="S19" s="311">
        <v>0</v>
      </c>
      <c r="T19" s="311">
        <v>0</v>
      </c>
      <c r="U19" s="311">
        <v>8317.6119861538591</v>
      </c>
      <c r="V19" s="311">
        <v>10495.138507882149</v>
      </c>
      <c r="W19" s="311"/>
      <c r="X19" s="311"/>
      <c r="Y19" s="311">
        <v>0</v>
      </c>
      <c r="Z19" s="311">
        <v>-0.11254197993548587</v>
      </c>
      <c r="AA19" s="311"/>
      <c r="AB19" s="311">
        <v>274.03128321017152</v>
      </c>
      <c r="AC19" s="311">
        <v>0</v>
      </c>
      <c r="AD19" s="311">
        <v>19086.669235266243</v>
      </c>
      <c r="AE19" s="286"/>
      <c r="AF19" s="311">
        <v>67489.164213941083</v>
      </c>
      <c r="AG19" s="311">
        <v>12537.044049450371</v>
      </c>
      <c r="AH19" s="311">
        <v>80026.208263391454</v>
      </c>
      <c r="AI19" s="305">
        <v>3.7440233101072952E-2</v>
      </c>
      <c r="AJ19" s="286"/>
      <c r="AK19" s="311">
        <v>-61072</v>
      </c>
      <c r="AL19" s="311">
        <v>19086.669235266243</v>
      </c>
      <c r="AM19" s="311">
        <v>-1881.2750494036004</v>
      </c>
      <c r="AN19" s="311">
        <v>-8625.4177906860314</v>
      </c>
      <c r="AO19" s="311">
        <v>8579.9763951766108</v>
      </c>
      <c r="AP19" s="311">
        <v>-52492.023604823393</v>
      </c>
      <c r="AQ19" s="286"/>
      <c r="AR19" s="303">
        <v>2.7382481419770226E-2</v>
      </c>
      <c r="AS19" s="305">
        <v>3.4845682068736582E-2</v>
      </c>
      <c r="AT19" s="305">
        <v>2.8638747119720007E-2</v>
      </c>
      <c r="AU19" s="286"/>
      <c r="AV19" s="305">
        <v>1.0582944623281888E-2</v>
      </c>
      <c r="AW19" s="305">
        <v>-3.127983624964803E-7</v>
      </c>
      <c r="AX19" s="449">
        <v>8.8014859813529446E-3</v>
      </c>
      <c r="AY19" s="286"/>
      <c r="AZ19" s="305">
        <v>3.7965426043052114E-2</v>
      </c>
      <c r="BA19" s="305">
        <v>3.4845369270374085E-2</v>
      </c>
      <c r="BB19" s="305">
        <v>3.7440233101072952E-2</v>
      </c>
      <c r="BD19" s="449">
        <f>SUMIFS('SC1'!AX:AX,'SC1'!I:I,I19)</f>
        <v>8.490957804072146E-3</v>
      </c>
    </row>
    <row r="20" spans="7:56" x14ac:dyDescent="0.2">
      <c r="G20" s="267" t="s">
        <v>34</v>
      </c>
      <c r="H20" s="268" t="s">
        <v>35</v>
      </c>
      <c r="I20" s="61" t="s">
        <v>48</v>
      </c>
      <c r="J20" s="61" t="s">
        <v>49</v>
      </c>
      <c r="K20" s="311">
        <v>1430540.2336945874</v>
      </c>
      <c r="L20" s="311">
        <v>244617.26023720729</v>
      </c>
      <c r="M20" s="311">
        <v>1675157.4939317945</v>
      </c>
      <c r="N20" s="311">
        <v>29031.516430947464</v>
      </c>
      <c r="O20" s="311">
        <v>12182.739762792713</v>
      </c>
      <c r="P20" s="309">
        <v>41214.256193740177</v>
      </c>
      <c r="Q20" s="305">
        <v>2.4603212738526094E-2</v>
      </c>
      <c r="S20" s="311">
        <v>0</v>
      </c>
      <c r="T20" s="311">
        <v>0</v>
      </c>
      <c r="U20" s="311">
        <v>6653.1835564777903</v>
      </c>
      <c r="V20" s="311">
        <v>8394.9675772128194</v>
      </c>
      <c r="W20" s="311"/>
      <c r="X20" s="311"/>
      <c r="Y20" s="311">
        <v>0</v>
      </c>
      <c r="Z20" s="311">
        <v>1438</v>
      </c>
      <c r="AA20" s="311"/>
      <c r="AB20" s="311">
        <v>219.1951765061209</v>
      </c>
      <c r="AC20" s="311">
        <v>0</v>
      </c>
      <c r="AD20" s="311">
        <v>16705.346310196732</v>
      </c>
      <c r="AE20" s="286"/>
      <c r="AF20" s="311">
        <v>44079.667564638075</v>
      </c>
      <c r="AG20" s="311">
        <v>13620.739762792713</v>
      </c>
      <c r="AH20" s="311">
        <v>57700.407327430788</v>
      </c>
      <c r="AI20" s="305">
        <v>3.4444765663198061E-2</v>
      </c>
      <c r="AJ20" s="286"/>
      <c r="AK20" s="311">
        <v>-28894</v>
      </c>
      <c r="AL20" s="311">
        <v>16705.346310196732</v>
      </c>
      <c r="AM20" s="311">
        <v>-1504.8151133690606</v>
      </c>
      <c r="AN20" s="311">
        <v>-6759.928287178458</v>
      </c>
      <c r="AO20" s="311">
        <v>8440.602909649213</v>
      </c>
      <c r="AP20" s="311">
        <v>-20453.397090350787</v>
      </c>
      <c r="AQ20" s="286"/>
      <c r="AR20" s="303">
        <v>2.0294092921783236E-2</v>
      </c>
      <c r="AS20" s="305">
        <v>4.9803271244960451E-2</v>
      </c>
      <c r="AT20" s="305">
        <v>2.4603212738526094E-2</v>
      </c>
      <c r="AU20" s="286"/>
      <c r="AV20" s="305">
        <v>1.0519208603330561E-2</v>
      </c>
      <c r="AW20" s="305">
        <v>5.8785712774542531E-3</v>
      </c>
      <c r="AX20" s="449">
        <v>9.8415529246719674E-3</v>
      </c>
      <c r="AY20" s="286"/>
      <c r="AZ20" s="305">
        <v>3.0813301525113797E-2</v>
      </c>
      <c r="BA20" s="305">
        <v>5.5681842522414704E-2</v>
      </c>
      <c r="BB20" s="305">
        <v>3.4444765663198061E-2</v>
      </c>
      <c r="BD20" s="449">
        <f>SUMIFS('SC1'!AX:AX,'SC1'!I:I,I20)</f>
        <v>1.0176004567666964E-2</v>
      </c>
    </row>
    <row r="21" spans="7:56" x14ac:dyDescent="0.2">
      <c r="G21" s="267" t="s">
        <v>34</v>
      </c>
      <c r="H21" s="268" t="s">
        <v>35</v>
      </c>
      <c r="I21" s="61" t="s">
        <v>50</v>
      </c>
      <c r="J21" s="61" t="s">
        <v>51</v>
      </c>
      <c r="K21" s="311">
        <v>1308776.6234172874</v>
      </c>
      <c r="L21" s="311">
        <v>227386.69840213092</v>
      </c>
      <c r="M21" s="311">
        <v>1536163.3218194183</v>
      </c>
      <c r="N21" s="311">
        <v>29060.265408934793</v>
      </c>
      <c r="O21" s="311">
        <v>12118.301597869082</v>
      </c>
      <c r="P21" s="309">
        <v>41178.567006803874</v>
      </c>
      <c r="Q21" s="305">
        <v>2.6806112619608923E-2</v>
      </c>
      <c r="S21" s="311">
        <v>0</v>
      </c>
      <c r="T21" s="311">
        <v>0</v>
      </c>
      <c r="U21" s="311">
        <v>6086.8830564337923</v>
      </c>
      <c r="V21" s="311">
        <v>7680.4112604552538</v>
      </c>
      <c r="W21" s="311"/>
      <c r="X21" s="311"/>
      <c r="Y21" s="311">
        <v>0</v>
      </c>
      <c r="Z21" s="311">
        <v>1340</v>
      </c>
      <c r="AA21" s="311"/>
      <c r="AB21" s="311">
        <v>200.53789206342867</v>
      </c>
      <c r="AC21" s="311">
        <v>0</v>
      </c>
      <c r="AD21" s="311">
        <v>15307.832208952474</v>
      </c>
      <c r="AE21" s="286"/>
      <c r="AF21" s="311">
        <v>42827.559725823841</v>
      </c>
      <c r="AG21" s="311">
        <v>13458.301597869082</v>
      </c>
      <c r="AH21" s="311">
        <v>56285.861323692923</v>
      </c>
      <c r="AI21" s="305">
        <v>3.6640545002095508E-2</v>
      </c>
      <c r="AJ21" s="286"/>
      <c r="AK21" s="311">
        <v>-34826</v>
      </c>
      <c r="AL21" s="311">
        <v>15307.832208952474</v>
      </c>
      <c r="AM21" s="311">
        <v>-1376.7294316889042</v>
      </c>
      <c r="AN21" s="311">
        <v>-6199.0313928750629</v>
      </c>
      <c r="AO21" s="311">
        <v>7732.0713843885069</v>
      </c>
      <c r="AP21" s="311">
        <v>-27093.928615611494</v>
      </c>
      <c r="AQ21" s="286"/>
      <c r="AR21" s="303">
        <v>2.2204144610297859E-2</v>
      </c>
      <c r="AS21" s="305">
        <v>5.3293801629671393E-2</v>
      </c>
      <c r="AT21" s="305">
        <v>2.6806112619608923E-2</v>
      </c>
      <c r="AU21" s="286"/>
      <c r="AV21" s="305">
        <v>1.0519208603330558E-2</v>
      </c>
      <c r="AW21" s="305">
        <v>5.8930447973268157E-3</v>
      </c>
      <c r="AX21" s="449">
        <v>9.8344323824865847E-3</v>
      </c>
      <c r="AY21" s="286"/>
      <c r="AZ21" s="305">
        <v>3.2723353213628417E-2</v>
      </c>
      <c r="BA21" s="305">
        <v>5.9186846426998209E-2</v>
      </c>
      <c r="BB21" s="305">
        <v>3.6640545002095508E-2</v>
      </c>
      <c r="BD21" s="449">
        <f>SUMIFS('SC1'!AX:AX,'SC1'!I:I,I21)</f>
        <v>1.0164648233243059E-2</v>
      </c>
    </row>
    <row r="22" spans="7:56" x14ac:dyDescent="0.2">
      <c r="G22" s="267" t="s">
        <v>34</v>
      </c>
      <c r="H22" s="268" t="s">
        <v>35</v>
      </c>
      <c r="I22" s="61" t="s">
        <v>52</v>
      </c>
      <c r="J22" s="61" t="s">
        <v>53</v>
      </c>
      <c r="K22" s="311">
        <v>2105020.7165497779</v>
      </c>
      <c r="L22" s="311">
        <v>405681.49977994605</v>
      </c>
      <c r="M22" s="311">
        <v>2510702.2163297241</v>
      </c>
      <c r="N22" s="311">
        <v>46880.141031249426</v>
      </c>
      <c r="O22" s="311">
        <v>14810.223440669535</v>
      </c>
      <c r="P22" s="309">
        <v>61690.364471918961</v>
      </c>
      <c r="Q22" s="305">
        <v>2.4570960295761862E-2</v>
      </c>
      <c r="S22" s="311">
        <v>0</v>
      </c>
      <c r="T22" s="311">
        <v>0</v>
      </c>
      <c r="U22" s="311">
        <v>9819.6700318641469</v>
      </c>
      <c r="V22" s="311">
        <v>12390.430962357152</v>
      </c>
      <c r="W22" s="311"/>
      <c r="X22" s="311"/>
      <c r="Y22" s="311">
        <v>0</v>
      </c>
      <c r="Z22" s="311">
        <v>1.2327281932812184E-2</v>
      </c>
      <c r="AA22" s="311"/>
      <c r="AB22" s="311">
        <v>323.51795010535159</v>
      </c>
      <c r="AC22" s="311">
        <v>0</v>
      </c>
      <c r="AD22" s="311">
        <v>22533.631271608581</v>
      </c>
      <c r="AE22" s="286"/>
      <c r="AF22" s="311">
        <v>69090.242025470725</v>
      </c>
      <c r="AG22" s="311">
        <v>14810.235767951468</v>
      </c>
      <c r="AH22" s="311">
        <v>83900.477793422193</v>
      </c>
      <c r="AI22" s="305">
        <v>3.3417136149293043E-2</v>
      </c>
      <c r="AJ22" s="286"/>
      <c r="AK22" s="311">
        <v>-91486</v>
      </c>
      <c r="AL22" s="311">
        <v>22533.631271608581</v>
      </c>
      <c r="AM22" s="311">
        <v>-2221.0100994221293</v>
      </c>
      <c r="AN22" s="311">
        <v>-10131.684330774922</v>
      </c>
      <c r="AO22" s="311">
        <v>10180.936841411531</v>
      </c>
      <c r="AP22" s="311">
        <v>-81305.063158588469</v>
      </c>
      <c r="AQ22" s="286"/>
      <c r="AR22" s="303">
        <v>2.2270631667743419E-2</v>
      </c>
      <c r="AS22" s="305">
        <v>3.6507022007912733E-2</v>
      </c>
      <c r="AT22" s="305">
        <v>2.4570960295761862E-2</v>
      </c>
      <c r="AU22" s="286"/>
      <c r="AV22" s="305">
        <v>1.0551013023104416E-2</v>
      </c>
      <c r="AW22" s="305">
        <v>3.0386601165832694E-8</v>
      </c>
      <c r="AX22" s="449">
        <v>8.846175853531181E-3</v>
      </c>
      <c r="AY22" s="286"/>
      <c r="AZ22" s="305">
        <v>3.2821644690847834E-2</v>
      </c>
      <c r="BA22" s="305">
        <v>3.6507052394513899E-2</v>
      </c>
      <c r="BB22" s="305">
        <v>3.3417136149293043E-2</v>
      </c>
      <c r="BD22" s="449">
        <f>SUMIFS('SC1'!AX:AX,'SC1'!I:I,I22)</f>
        <v>9.0630529388268793E-3</v>
      </c>
    </row>
    <row r="23" spans="7:56" x14ac:dyDescent="0.2">
      <c r="G23" s="267" t="s">
        <v>34</v>
      </c>
      <c r="H23" s="268" t="s">
        <v>35</v>
      </c>
      <c r="I23" s="61" t="s">
        <v>54</v>
      </c>
      <c r="J23" s="61" t="s">
        <v>55</v>
      </c>
      <c r="K23" s="311">
        <v>916403.00407981756</v>
      </c>
      <c r="L23" s="311">
        <v>154471.73507291987</v>
      </c>
      <c r="M23" s="311">
        <v>1070874.7391527374</v>
      </c>
      <c r="N23" s="311">
        <v>22832.387407506933</v>
      </c>
      <c r="O23" s="311">
        <v>8481.2649270801339</v>
      </c>
      <c r="P23" s="309">
        <v>31313.652334587066</v>
      </c>
      <c r="Q23" s="305">
        <v>2.9241190579733008E-2</v>
      </c>
      <c r="S23" s="311">
        <v>0</v>
      </c>
      <c r="T23" s="311">
        <v>0</v>
      </c>
      <c r="U23" s="311">
        <v>4262.0244116478079</v>
      </c>
      <c r="V23" s="311">
        <v>5377.8099529865767</v>
      </c>
      <c r="W23" s="311"/>
      <c r="X23" s="311"/>
      <c r="Y23" s="311">
        <v>0</v>
      </c>
      <c r="Z23" s="311">
        <v>912</v>
      </c>
      <c r="AA23" s="311"/>
      <c r="AB23" s="311">
        <v>140.41626617605493</v>
      </c>
      <c r="AC23" s="311">
        <v>0</v>
      </c>
      <c r="AD23" s="311">
        <v>10692.25063081044</v>
      </c>
      <c r="AE23" s="286"/>
      <c r="AF23" s="311">
        <v>32472.221772141318</v>
      </c>
      <c r="AG23" s="311">
        <v>9393.2649270801339</v>
      </c>
      <c r="AH23" s="311">
        <v>41865.486699221452</v>
      </c>
      <c r="AI23" s="305">
        <v>3.9094662679544478E-2</v>
      </c>
      <c r="AJ23" s="286"/>
      <c r="AK23" s="311">
        <v>-130814</v>
      </c>
      <c r="AL23" s="311">
        <v>10692.25063081044</v>
      </c>
      <c r="AM23" s="311">
        <v>-963.98343646343824</v>
      </c>
      <c r="AN23" s="311">
        <v>-4321.4064751801698</v>
      </c>
      <c r="AO23" s="311">
        <v>5406.8607191668316</v>
      </c>
      <c r="AP23" s="311">
        <v>-125407.13928083317</v>
      </c>
      <c r="AQ23" s="286"/>
      <c r="AR23" s="303">
        <v>2.4915225403951489E-2</v>
      </c>
      <c r="AS23" s="305">
        <v>5.49049631835654E-2</v>
      </c>
      <c r="AT23" s="305">
        <v>2.9241190579733008E-2</v>
      </c>
      <c r="AU23" s="286"/>
      <c r="AV23" s="305">
        <v>1.0519208603330561E-2</v>
      </c>
      <c r="AW23" s="305">
        <v>5.9039927244261339E-3</v>
      </c>
      <c r="AX23" s="449">
        <v>9.8534720998114701E-3</v>
      </c>
      <c r="AY23" s="286"/>
      <c r="AZ23" s="305">
        <v>3.5434434007282051E-2</v>
      </c>
      <c r="BA23" s="305">
        <v>6.0808955907991534E-2</v>
      </c>
      <c r="BB23" s="305">
        <v>3.9094662679544478E-2</v>
      </c>
      <c r="BD23" s="449">
        <f>SUMIFS('SC1'!AX:AX,'SC1'!I:I,I23)</f>
        <v>1.0203811856529816E-2</v>
      </c>
    </row>
    <row r="24" spans="7:56" x14ac:dyDescent="0.2">
      <c r="G24" s="269" t="s">
        <v>34</v>
      </c>
      <c r="H24" s="270" t="s">
        <v>35</v>
      </c>
      <c r="I24" s="271" t="s">
        <v>56</v>
      </c>
      <c r="J24" s="271" t="s">
        <v>57</v>
      </c>
      <c r="K24" s="312">
        <v>2085541.323485509</v>
      </c>
      <c r="L24" s="312">
        <v>389957.46990226448</v>
      </c>
      <c r="M24" s="312">
        <v>2475498.7933877734</v>
      </c>
      <c r="N24" s="312">
        <v>37498.100742110051</v>
      </c>
      <c r="O24" s="312">
        <v>14311.21266796469</v>
      </c>
      <c r="P24" s="310">
        <v>51809.313410074741</v>
      </c>
      <c r="Q24" s="306">
        <v>2.0928838078394931E-2</v>
      </c>
      <c r="S24" s="312">
        <v>0</v>
      </c>
      <c r="T24" s="312">
        <v>0</v>
      </c>
      <c r="U24" s="312">
        <v>9699.4750045814217</v>
      </c>
      <c r="V24" s="312">
        <v>12238.769228028741</v>
      </c>
      <c r="W24" s="312"/>
      <c r="X24" s="312"/>
      <c r="Y24" s="312">
        <v>0</v>
      </c>
      <c r="Z24" s="312">
        <v>0.18454753851983696</v>
      </c>
      <c r="AA24" s="312"/>
      <c r="AB24" s="312">
        <v>319.55801573757913</v>
      </c>
      <c r="AC24" s="312">
        <v>0</v>
      </c>
      <c r="AD24" s="312">
        <v>22257.986795886263</v>
      </c>
      <c r="AE24" s="286"/>
      <c r="AF24" s="312">
        <v>59436.34497472021</v>
      </c>
      <c r="AG24" s="312">
        <v>14311.39721550321</v>
      </c>
      <c r="AH24" s="312">
        <v>73747.74219022342</v>
      </c>
      <c r="AI24" s="306">
        <v>2.9791063678644758E-2</v>
      </c>
      <c r="AJ24" s="286"/>
      <c r="AK24" s="312">
        <v>-91446</v>
      </c>
      <c r="AL24" s="312">
        <v>22257.986795886263</v>
      </c>
      <c r="AM24" s="312">
        <v>-2193.8244232610159</v>
      </c>
      <c r="AN24" s="312">
        <v>-9989.6244854094293</v>
      </c>
      <c r="AO24" s="312">
        <v>10074.537887215818</v>
      </c>
      <c r="AP24" s="312">
        <v>-81371.462112784182</v>
      </c>
      <c r="AQ24" s="286"/>
      <c r="AR24" s="304">
        <v>1.7980032483576248E-2</v>
      </c>
      <c r="AS24" s="306">
        <v>3.6699419225259426E-2</v>
      </c>
      <c r="AT24" s="306">
        <v>2.0928838078394931E-2</v>
      </c>
      <c r="AU24" s="286"/>
      <c r="AV24" s="306">
        <v>1.0519208603330554E-2</v>
      </c>
      <c r="AW24" s="306">
        <v>4.7325042540347084E-7</v>
      </c>
      <c r="AX24" s="449">
        <v>8.8622256002498269E-3</v>
      </c>
      <c r="AY24" s="286"/>
      <c r="AZ24" s="306">
        <v>2.8499241086906803E-2</v>
      </c>
      <c r="BA24" s="306">
        <v>3.669989247568483E-2</v>
      </c>
      <c r="BB24" s="306">
        <v>2.9791063678644758E-2</v>
      </c>
      <c r="BD24" s="449">
        <f>SUMIFS('SC1'!AX:AX,'SC1'!I:I,I24)</f>
        <v>9.610247049152941E-3</v>
      </c>
    </row>
    <row r="25" spans="7:56" x14ac:dyDescent="0.2">
      <c r="G25" s="266" t="s">
        <v>58</v>
      </c>
      <c r="H25" s="61" t="s">
        <v>59</v>
      </c>
      <c r="I25" s="61" t="s">
        <v>60</v>
      </c>
      <c r="J25" s="61" t="s">
        <v>61</v>
      </c>
      <c r="K25" s="311">
        <v>1641208.6855702072</v>
      </c>
      <c r="L25" s="311">
        <v>313058.37890935689</v>
      </c>
      <c r="M25" s="311">
        <v>1954267.0644795641</v>
      </c>
      <c r="N25" s="311">
        <v>45656.703329878161</v>
      </c>
      <c r="O25" s="311">
        <v>15444.621090643108</v>
      </c>
      <c r="P25" s="309">
        <v>61101.324420521269</v>
      </c>
      <c r="Q25" s="305">
        <v>3.126559595210341E-2</v>
      </c>
      <c r="S25" s="311">
        <v>0</v>
      </c>
      <c r="T25" s="311">
        <v>0</v>
      </c>
      <c r="U25" s="311">
        <v>7703.2538751304546</v>
      </c>
      <c r="V25" s="311">
        <v>9719.943237969952</v>
      </c>
      <c r="W25" s="311"/>
      <c r="X25" s="311"/>
      <c r="Y25" s="311">
        <v>0</v>
      </c>
      <c r="Z25" s="311">
        <v>1838</v>
      </c>
      <c r="AA25" s="311"/>
      <c r="AB25" s="311">
        <v>253.7906971147184</v>
      </c>
      <c r="AC25" s="311">
        <v>0</v>
      </c>
      <c r="AD25" s="311">
        <v>19514.987810215123</v>
      </c>
      <c r="AE25" s="286"/>
      <c r="AF25" s="311">
        <v>63079.900442978571</v>
      </c>
      <c r="AG25" s="311">
        <v>17282.621090643108</v>
      </c>
      <c r="AH25" s="311">
        <v>80362.521533621679</v>
      </c>
      <c r="AI25" s="305">
        <v>4.1121565723681079E-2</v>
      </c>
      <c r="AJ25" s="286"/>
      <c r="AK25" s="311">
        <v>0</v>
      </c>
      <c r="AL25" s="311">
        <v>19514.987810215123</v>
      </c>
      <c r="AM25" s="311">
        <v>-1742.3197113100402</v>
      </c>
      <c r="AN25" s="311">
        <v>-7886.2466709739101</v>
      </c>
      <c r="AO25" s="311">
        <v>9886.4214279311745</v>
      </c>
      <c r="AP25" s="311">
        <v>9886.4214279311745</v>
      </c>
      <c r="AQ25" s="286"/>
      <c r="AR25" s="303">
        <v>2.781895058885555E-2</v>
      </c>
      <c r="AS25" s="305">
        <v>4.9334635745734032E-2</v>
      </c>
      <c r="AT25" s="305">
        <v>3.126559595210341E-2</v>
      </c>
      <c r="AU25" s="286"/>
      <c r="AV25" s="305">
        <v>1.0616076594212667E-2</v>
      </c>
      <c r="AW25" s="305">
        <v>5.8711094282264051E-3</v>
      </c>
      <c r="AX25" s="449">
        <v>9.855969771577669E-3</v>
      </c>
      <c r="AY25" s="286"/>
      <c r="AZ25" s="305">
        <v>3.8435027183068217E-2</v>
      </c>
      <c r="BA25" s="305">
        <v>5.5205745173960437E-2</v>
      </c>
      <c r="BB25" s="305">
        <v>4.1121565723681079E-2</v>
      </c>
      <c r="BD25" s="449">
        <f>SUMIFS('SC1'!AX:AX,'SC1'!I:I,I25)</f>
        <v>8.5155314038009786E-3</v>
      </c>
    </row>
    <row r="26" spans="7:56" x14ac:dyDescent="0.2">
      <c r="G26" s="267" t="s">
        <v>58</v>
      </c>
      <c r="H26" s="268" t="s">
        <v>59</v>
      </c>
      <c r="I26" s="61" t="s">
        <v>62</v>
      </c>
      <c r="J26" s="61" t="s">
        <v>63</v>
      </c>
      <c r="K26" s="311">
        <v>1518436.8136209415</v>
      </c>
      <c r="L26" s="311">
        <v>321815.61586934631</v>
      </c>
      <c r="M26" s="311">
        <v>1840252.4294902878</v>
      </c>
      <c r="N26" s="311">
        <v>28424.497750137933</v>
      </c>
      <c r="O26" s="311">
        <v>11742.727878378937</v>
      </c>
      <c r="P26" s="309">
        <v>40167.22562851687</v>
      </c>
      <c r="Q26" s="305">
        <v>2.1827019481040634E-2</v>
      </c>
      <c r="S26" s="311">
        <v>0</v>
      </c>
      <c r="T26" s="311">
        <v>0</v>
      </c>
      <c r="U26" s="311">
        <v>7061.9746316692517</v>
      </c>
      <c r="V26" s="311">
        <v>8910.7789617859944</v>
      </c>
      <c r="W26" s="311"/>
      <c r="X26" s="311"/>
      <c r="Y26" s="311">
        <v>0</v>
      </c>
      <c r="Z26" s="311">
        <v>0.11087417241651565</v>
      </c>
      <c r="AA26" s="311"/>
      <c r="AB26" s="311">
        <v>232.66316985397862</v>
      </c>
      <c r="AC26" s="311">
        <v>0</v>
      </c>
      <c r="AD26" s="311">
        <v>16205.527637481642</v>
      </c>
      <c r="AE26" s="286"/>
      <c r="AF26" s="311">
        <v>44397.251343593176</v>
      </c>
      <c r="AG26" s="311">
        <v>11742.838752551354</v>
      </c>
      <c r="AH26" s="311">
        <v>56140.09009614453</v>
      </c>
      <c r="AI26" s="305">
        <v>3.0506733313589041E-2</v>
      </c>
      <c r="AJ26" s="286"/>
      <c r="AK26" s="311">
        <v>0</v>
      </c>
      <c r="AL26" s="311">
        <v>16205.527637481642</v>
      </c>
      <c r="AM26" s="311">
        <v>-1597.2753593455241</v>
      </c>
      <c r="AN26" s="311">
        <v>-7426.152167019337</v>
      </c>
      <c r="AO26" s="311">
        <v>7182.1001111167816</v>
      </c>
      <c r="AP26" s="311">
        <v>7182.1001111167816</v>
      </c>
      <c r="AQ26" s="286"/>
      <c r="AR26" s="303">
        <v>1.8719578908493028E-2</v>
      </c>
      <c r="AS26" s="305">
        <v>3.648899338416927E-2</v>
      </c>
      <c r="AT26" s="305">
        <v>2.1827019481040634E-2</v>
      </c>
      <c r="AU26" s="286"/>
      <c r="AV26" s="305">
        <v>1.0519208603330554E-2</v>
      </c>
      <c r="AW26" s="305">
        <v>3.445270115864929E-7</v>
      </c>
      <c r="AX26" s="449">
        <v>8.6797138325484073E-3</v>
      </c>
      <c r="AY26" s="286"/>
      <c r="AZ26" s="305">
        <v>2.9238787511823582E-2</v>
      </c>
      <c r="BA26" s="305">
        <v>3.6489337911180857E-2</v>
      </c>
      <c r="BB26" s="305">
        <v>3.0506733313589041E-2</v>
      </c>
      <c r="BD26" s="449">
        <f>SUMIFS('SC1'!AX:AX,'SC1'!I:I,I26)</f>
        <v>9.4139547295199119E-3</v>
      </c>
    </row>
    <row r="27" spans="7:56" x14ac:dyDescent="0.2">
      <c r="G27" s="267" t="s">
        <v>58</v>
      </c>
      <c r="H27" s="268" t="s">
        <v>59</v>
      </c>
      <c r="I27" s="61" t="s">
        <v>64</v>
      </c>
      <c r="J27" s="61" t="s">
        <v>65</v>
      </c>
      <c r="K27" s="311">
        <v>2594304.3550825687</v>
      </c>
      <c r="L27" s="311">
        <v>509326.00412967935</v>
      </c>
      <c r="M27" s="311">
        <v>3103630.3592122481</v>
      </c>
      <c r="N27" s="311">
        <v>42932.365503720008</v>
      </c>
      <c r="O27" s="311">
        <v>24088.99587032065</v>
      </c>
      <c r="P27" s="309">
        <v>67021.361374040658</v>
      </c>
      <c r="Q27" s="305">
        <v>2.1594505020582338E-2</v>
      </c>
      <c r="S27" s="311">
        <v>0</v>
      </c>
      <c r="T27" s="311">
        <v>0</v>
      </c>
      <c r="U27" s="311">
        <v>12065.639727696791</v>
      </c>
      <c r="V27" s="311">
        <v>15224.388963945699</v>
      </c>
      <c r="W27" s="311"/>
      <c r="X27" s="311"/>
      <c r="Y27" s="311">
        <v>0</v>
      </c>
      <c r="Z27" s="311">
        <v>2985</v>
      </c>
      <c r="AA27" s="311"/>
      <c r="AB27" s="311">
        <v>397.51346213749861</v>
      </c>
      <c r="AC27" s="311">
        <v>0</v>
      </c>
      <c r="AD27" s="311">
        <v>30672.542153779988</v>
      </c>
      <c r="AE27" s="286"/>
      <c r="AF27" s="311">
        <v>70222.394195362489</v>
      </c>
      <c r="AG27" s="311">
        <v>27073.99587032065</v>
      </c>
      <c r="AH27" s="311">
        <v>97296.390065683139</v>
      </c>
      <c r="AI27" s="305">
        <v>3.1349219721635457E-2</v>
      </c>
      <c r="AJ27" s="286"/>
      <c r="AK27" s="311">
        <v>0</v>
      </c>
      <c r="AL27" s="311">
        <v>30672.542153779988</v>
      </c>
      <c r="AM27" s="311">
        <v>-2729.0028691642483</v>
      </c>
      <c r="AN27" s="311">
        <v>-12524.38575727074</v>
      </c>
      <c r="AO27" s="311">
        <v>15419.153527345001</v>
      </c>
      <c r="AP27" s="311">
        <v>15419.153527345001</v>
      </c>
      <c r="AQ27" s="286"/>
      <c r="AR27" s="303">
        <v>1.6548700394234818E-2</v>
      </c>
      <c r="AS27" s="305">
        <v>4.7295829537475097E-2</v>
      </c>
      <c r="AT27" s="305">
        <v>2.1594505020582338E-2</v>
      </c>
      <c r="AU27" s="286"/>
      <c r="AV27" s="305">
        <v>1.0519208603330554E-2</v>
      </c>
      <c r="AW27" s="305">
        <v>5.860686428333213E-3</v>
      </c>
      <c r="AX27" s="449">
        <v>9.7547147010531195E-3</v>
      </c>
      <c r="AY27" s="286"/>
      <c r="AZ27" s="305">
        <v>2.7067908997565372E-2</v>
      </c>
      <c r="BA27" s="305">
        <v>5.315651596580831E-2</v>
      </c>
      <c r="BB27" s="305">
        <v>3.1349219721635457E-2</v>
      </c>
      <c r="BD27" s="449">
        <f>SUMIFS('SC1'!AX:AX,'SC1'!I:I,I27)</f>
        <v>1.001285120575859E-2</v>
      </c>
    </row>
    <row r="28" spans="7:56" x14ac:dyDescent="0.2">
      <c r="G28" s="267" t="s">
        <v>58</v>
      </c>
      <c r="H28" s="268" t="s">
        <v>59</v>
      </c>
      <c r="I28" s="61" t="s">
        <v>66</v>
      </c>
      <c r="J28" s="61" t="s">
        <v>67</v>
      </c>
      <c r="K28" s="311">
        <v>2106982.2441266733</v>
      </c>
      <c r="L28" s="311">
        <v>391887.59398342425</v>
      </c>
      <c r="M28" s="311">
        <v>2498869.8381100977</v>
      </c>
      <c r="N28" s="311">
        <v>38212.650159172248</v>
      </c>
      <c r="O28" s="311">
        <v>19090.406016575755</v>
      </c>
      <c r="P28" s="309">
        <v>57303.056175748003</v>
      </c>
      <c r="Q28" s="305">
        <v>2.2931589033499428E-2</v>
      </c>
      <c r="S28" s="311">
        <v>0</v>
      </c>
      <c r="T28" s="311">
        <v>0</v>
      </c>
      <c r="U28" s="311">
        <v>9799.1928435387526</v>
      </c>
      <c r="V28" s="311">
        <v>12364.592905943273</v>
      </c>
      <c r="W28" s="311"/>
      <c r="X28" s="311"/>
      <c r="Y28" s="311">
        <v>0</v>
      </c>
      <c r="Z28" s="311">
        <v>2301</v>
      </c>
      <c r="AA28" s="311"/>
      <c r="AB28" s="311">
        <v>322.84331053299769</v>
      </c>
      <c r="AC28" s="311">
        <v>0</v>
      </c>
      <c r="AD28" s="311">
        <v>24787.629060015024</v>
      </c>
      <c r="AE28" s="286"/>
      <c r="AF28" s="311">
        <v>60376.435908654275</v>
      </c>
      <c r="AG28" s="311">
        <v>21391.406016575755</v>
      </c>
      <c r="AH28" s="311">
        <v>81767.841925230023</v>
      </c>
      <c r="AI28" s="305">
        <v>3.2721929201030842E-2</v>
      </c>
      <c r="AJ28" s="286"/>
      <c r="AK28" s="311">
        <v>-56614</v>
      </c>
      <c r="AL28" s="311">
        <v>24787.629060015024</v>
      </c>
      <c r="AM28" s="311">
        <v>-2216.3785749482022</v>
      </c>
      <c r="AN28" s="311">
        <v>-10083.935967697902</v>
      </c>
      <c r="AO28" s="311">
        <v>12487.314517368921</v>
      </c>
      <c r="AP28" s="311">
        <v>-44126.685482631081</v>
      </c>
      <c r="AQ28" s="286"/>
      <c r="AR28" s="303">
        <v>1.8136199422511542E-2</v>
      </c>
      <c r="AS28" s="305">
        <v>4.8713984085403901E-2</v>
      </c>
      <c r="AT28" s="305">
        <v>2.2931589033499428E-2</v>
      </c>
      <c r="AU28" s="286"/>
      <c r="AV28" s="305">
        <v>1.0519208603330558E-2</v>
      </c>
      <c r="AW28" s="305">
        <v>5.8715816354659237E-3</v>
      </c>
      <c r="AX28" s="449">
        <v>9.7903401675314139E-3</v>
      </c>
      <c r="AY28" s="286"/>
      <c r="AZ28" s="305">
        <v>2.86554080258421E-2</v>
      </c>
      <c r="BA28" s="305">
        <v>5.4585565720869825E-2</v>
      </c>
      <c r="BB28" s="305">
        <v>3.2721929201030842E-2</v>
      </c>
      <c r="BD28" s="449">
        <f>SUMIFS('SC1'!AX:AX,'SC1'!I:I,I28)</f>
        <v>1.0078722291201964E-2</v>
      </c>
    </row>
    <row r="29" spans="7:56" x14ac:dyDescent="0.2">
      <c r="G29" s="267" t="s">
        <v>58</v>
      </c>
      <c r="H29" s="268" t="s">
        <v>59</v>
      </c>
      <c r="I29" s="61" t="s">
        <v>68</v>
      </c>
      <c r="J29" s="61" t="s">
        <v>69</v>
      </c>
      <c r="K29" s="311">
        <v>1927866.3541545926</v>
      </c>
      <c r="L29" s="311">
        <v>329792.60057968274</v>
      </c>
      <c r="M29" s="311">
        <v>2257658.9547342751</v>
      </c>
      <c r="N29" s="311">
        <v>38168.526519314153</v>
      </c>
      <c r="O29" s="311">
        <v>16887.399420317262</v>
      </c>
      <c r="P29" s="309">
        <v>55055.925939631416</v>
      </c>
      <c r="Q29" s="305">
        <v>2.4386289977137605E-2</v>
      </c>
      <c r="S29" s="311">
        <v>0</v>
      </c>
      <c r="T29" s="311">
        <v>0</v>
      </c>
      <c r="U29" s="311">
        <v>8966.1572771161227</v>
      </c>
      <c r="V29" s="311">
        <v>11313.471061578382</v>
      </c>
      <c r="W29" s="311"/>
      <c r="X29" s="311"/>
      <c r="Y29" s="311">
        <v>0</v>
      </c>
      <c r="Z29" s="311">
        <v>1941</v>
      </c>
      <c r="AA29" s="311"/>
      <c r="AB29" s="311">
        <v>295.39819700684211</v>
      </c>
      <c r="AC29" s="311">
        <v>0</v>
      </c>
      <c r="AD29" s="311">
        <v>22516.026535701349</v>
      </c>
      <c r="AE29" s="286"/>
      <c r="AF29" s="311">
        <v>58448.15485800866</v>
      </c>
      <c r="AG29" s="311">
        <v>18828.399420317262</v>
      </c>
      <c r="AH29" s="311">
        <v>77276.55427832593</v>
      </c>
      <c r="AI29" s="305">
        <v>3.422862169517598E-2</v>
      </c>
      <c r="AJ29" s="286"/>
      <c r="AK29" s="311">
        <v>0</v>
      </c>
      <c r="AL29" s="311">
        <v>22516.026535701349</v>
      </c>
      <c r="AM29" s="311">
        <v>-2027.9628338694502</v>
      </c>
      <c r="AN29" s="311">
        <v>-9110.5538948992489</v>
      </c>
      <c r="AO29" s="311">
        <v>11377.50980693265</v>
      </c>
      <c r="AP29" s="311">
        <v>11377.50980693265</v>
      </c>
      <c r="AQ29" s="286"/>
      <c r="AR29" s="303">
        <v>1.9798325976829345E-2</v>
      </c>
      <c r="AS29" s="305">
        <v>5.1206119817830839E-2</v>
      </c>
      <c r="AT29" s="305">
        <v>2.4386289977137605E-2</v>
      </c>
      <c r="AU29" s="286"/>
      <c r="AV29" s="305">
        <v>1.0519208603330558E-2</v>
      </c>
      <c r="AW29" s="305">
        <v>5.8855171298211884E-3</v>
      </c>
      <c r="AX29" s="449">
        <v>9.8423317180383746E-3</v>
      </c>
      <c r="AY29" s="286"/>
      <c r="AZ29" s="305">
        <v>3.0317534580159903E-2</v>
      </c>
      <c r="BA29" s="305">
        <v>5.7091636947652027E-2</v>
      </c>
      <c r="BB29" s="305">
        <v>3.422862169517598E-2</v>
      </c>
      <c r="BD29" s="449">
        <f>SUMIFS('SC1'!AX:AX,'SC1'!I:I,I29)</f>
        <v>1.0174692377299316E-2</v>
      </c>
    </row>
    <row r="30" spans="7:56" x14ac:dyDescent="0.2">
      <c r="G30" s="269" t="s">
        <v>58</v>
      </c>
      <c r="H30" s="270" t="s">
        <v>59</v>
      </c>
      <c r="I30" s="271" t="s">
        <v>70</v>
      </c>
      <c r="J30" s="271" t="s">
        <v>71</v>
      </c>
      <c r="K30" s="312">
        <v>1763854.7038942592</v>
      </c>
      <c r="L30" s="312">
        <v>325895.05257190391</v>
      </c>
      <c r="M30" s="312">
        <v>2089749.7564661631</v>
      </c>
      <c r="N30" s="312">
        <v>59670.323376999469</v>
      </c>
      <c r="O30" s="312">
        <v>16170.947428096086</v>
      </c>
      <c r="P30" s="310">
        <v>75841.270805095555</v>
      </c>
      <c r="Q30" s="306">
        <v>3.6292034761782048E-2</v>
      </c>
      <c r="S30" s="312">
        <v>0</v>
      </c>
      <c r="T30" s="312">
        <v>0</v>
      </c>
      <c r="U30" s="312">
        <v>8316.5640696306564</v>
      </c>
      <c r="V30" s="312">
        <v>10493.8162498742</v>
      </c>
      <c r="W30" s="312"/>
      <c r="X30" s="312"/>
      <c r="Y30" s="312">
        <v>0</v>
      </c>
      <c r="Z30" s="312">
        <v>1915</v>
      </c>
      <c r="AA30" s="312"/>
      <c r="AB30" s="312">
        <v>273.99675864831073</v>
      </c>
      <c r="AC30" s="312">
        <v>0</v>
      </c>
      <c r="AD30" s="312">
        <v>20999.377078153168</v>
      </c>
      <c r="AE30" s="286"/>
      <c r="AF30" s="312">
        <v>78480.703696504323</v>
      </c>
      <c r="AG30" s="312">
        <v>18085.947428096086</v>
      </c>
      <c r="AH30" s="312">
        <v>96566.651124600408</v>
      </c>
      <c r="AI30" s="306">
        <v>4.6209672151319138E-2</v>
      </c>
      <c r="AJ30" s="286"/>
      <c r="AK30" s="312">
        <v>0</v>
      </c>
      <c r="AL30" s="312">
        <v>20999.377078153168</v>
      </c>
      <c r="AM30" s="312">
        <v>-1881.0380319504852</v>
      </c>
      <c r="AN30" s="312">
        <v>-8432.9733431232144</v>
      </c>
      <c r="AO30" s="312">
        <v>10685.365703079469</v>
      </c>
      <c r="AP30" s="312">
        <v>10685.365703079469</v>
      </c>
      <c r="AQ30" s="286"/>
      <c r="AR30" s="304">
        <v>3.3829500380761879E-2</v>
      </c>
      <c r="AS30" s="306">
        <v>4.9620107149457894E-2</v>
      </c>
      <c r="AT30" s="306">
        <v>3.6292034761782048E-2</v>
      </c>
      <c r="AU30" s="286"/>
      <c r="AV30" s="306">
        <v>1.0664359302370585E-2</v>
      </c>
      <c r="AW30" s="306">
        <v>5.8761247981126766E-3</v>
      </c>
      <c r="AX30" s="449">
        <v>9.9176373895370901E-3</v>
      </c>
      <c r="AY30" s="286"/>
      <c r="AZ30" s="306">
        <v>4.4493859683132464E-2</v>
      </c>
      <c r="BA30" s="306">
        <v>5.5496231947570571E-2</v>
      </c>
      <c r="BB30" s="306">
        <v>4.6209672151319138E-2</v>
      </c>
      <c r="BD30" s="449">
        <f>SUMIFS('SC1'!AX:AX,'SC1'!I:I,I30)</f>
        <v>7.777059037542923E-3</v>
      </c>
    </row>
    <row r="31" spans="7:56" x14ac:dyDescent="0.2">
      <c r="G31" s="266" t="s">
        <v>72</v>
      </c>
      <c r="H31" s="61" t="s">
        <v>73</v>
      </c>
      <c r="I31" s="61" t="s">
        <v>74</v>
      </c>
      <c r="J31" s="61" t="s">
        <v>75</v>
      </c>
      <c r="K31" s="311">
        <v>2833391.4954447062</v>
      </c>
      <c r="L31" s="311">
        <v>694548.92659571301</v>
      </c>
      <c r="M31" s="311">
        <v>3527940.4220404192</v>
      </c>
      <c r="N31" s="311">
        <v>53949.913990910631</v>
      </c>
      <c r="O31" s="311">
        <v>23417.078822379932</v>
      </c>
      <c r="P31" s="309">
        <v>77366.992813290562</v>
      </c>
      <c r="Q31" s="305">
        <v>2.1929790063899265E-2</v>
      </c>
      <c r="S31" s="311">
        <v>0</v>
      </c>
      <c r="T31" s="311">
        <v>0</v>
      </c>
      <c r="U31" s="311">
        <v>13177.590718906924</v>
      </c>
      <c r="V31" s="311">
        <v>16627.445476578661</v>
      </c>
      <c r="W31" s="311"/>
      <c r="X31" s="311"/>
      <c r="Y31" s="311">
        <v>0</v>
      </c>
      <c r="Z31" s="311">
        <v>1.0594993596896529E-2</v>
      </c>
      <c r="AA31" s="311"/>
      <c r="AB31" s="311">
        <v>434.14769772042524</v>
      </c>
      <c r="AC31" s="311">
        <v>0</v>
      </c>
      <c r="AD31" s="311">
        <v>30239.194488199606</v>
      </c>
      <c r="AE31" s="286"/>
      <c r="AF31" s="311">
        <v>83754.950186396221</v>
      </c>
      <c r="AG31" s="311">
        <v>23417.089417373529</v>
      </c>
      <c r="AH31" s="311">
        <v>107172.03960376975</v>
      </c>
      <c r="AI31" s="305">
        <v>3.0378075245892543E-2</v>
      </c>
      <c r="AJ31" s="286"/>
      <c r="AK31" s="311">
        <v>1</v>
      </c>
      <c r="AL31" s="311">
        <v>30239.194488199606</v>
      </c>
      <c r="AM31" s="311">
        <v>-2980.5036195485582</v>
      </c>
      <c r="AN31" s="311">
        <v>-14236.646011388319</v>
      </c>
      <c r="AO31" s="311">
        <v>13022.044857262728</v>
      </c>
      <c r="AP31" s="311">
        <v>13023.044857262728</v>
      </c>
      <c r="AQ31" s="286"/>
      <c r="AR31" s="303">
        <v>1.9040755249547008E-2</v>
      </c>
      <c r="AS31" s="305">
        <v>3.3715520859210368E-2</v>
      </c>
      <c r="AT31" s="305">
        <v>2.1929790063899265E-2</v>
      </c>
      <c r="AU31" s="286"/>
      <c r="AV31" s="305">
        <v>1.0519208603330558E-2</v>
      </c>
      <c r="AW31" s="305">
        <v>1.5254495673577839E-8</v>
      </c>
      <c r="AX31" s="449">
        <v>8.4482851819932779E-3</v>
      </c>
      <c r="AY31" s="286"/>
      <c r="AZ31" s="305">
        <v>2.9559963852877565E-2</v>
      </c>
      <c r="BA31" s="305">
        <v>3.3715536113706042E-2</v>
      </c>
      <c r="BB31" s="305">
        <v>3.0378075245892543E-2</v>
      </c>
      <c r="BD31" s="449">
        <f>SUMIFS('SC1'!AX:AX,'SC1'!I:I,I31)</f>
        <v>9.1636557799980416E-3</v>
      </c>
    </row>
    <row r="32" spans="7:56" x14ac:dyDescent="0.2">
      <c r="G32" s="267" t="s">
        <v>72</v>
      </c>
      <c r="H32" s="268" t="s">
        <v>73</v>
      </c>
      <c r="I32" s="61" t="s">
        <v>76</v>
      </c>
      <c r="J32" s="61" t="s">
        <v>77</v>
      </c>
      <c r="K32" s="311">
        <v>3667968.0023028343</v>
      </c>
      <c r="L32" s="311">
        <v>777476.70508266648</v>
      </c>
      <c r="M32" s="311">
        <v>4445444.7073855009</v>
      </c>
      <c r="N32" s="311">
        <v>79512.902489951346</v>
      </c>
      <c r="O32" s="311">
        <v>26323.760043796501</v>
      </c>
      <c r="P32" s="309">
        <v>105836.66253374785</v>
      </c>
      <c r="Q32" s="305">
        <v>2.380789088612769E-2</v>
      </c>
      <c r="S32" s="311">
        <v>0</v>
      </c>
      <c r="T32" s="311">
        <v>0</v>
      </c>
      <c r="U32" s="311">
        <v>17104.624742142467</v>
      </c>
      <c r="V32" s="311">
        <v>21582.565535993795</v>
      </c>
      <c r="W32" s="311"/>
      <c r="X32" s="311"/>
      <c r="Y32" s="311">
        <v>0</v>
      </c>
      <c r="Z32" s="311">
        <v>-2.581419690977782E-2</v>
      </c>
      <c r="AA32" s="311"/>
      <c r="AB32" s="311">
        <v>563.52740122049818</v>
      </c>
      <c r="AC32" s="311">
        <v>0</v>
      </c>
      <c r="AD32" s="311">
        <v>39250.691865159846</v>
      </c>
      <c r="AE32" s="286"/>
      <c r="AF32" s="311">
        <v>118200.0927680876</v>
      </c>
      <c r="AG32" s="311">
        <v>26323.734229599591</v>
      </c>
      <c r="AH32" s="311">
        <v>144523.8269976872</v>
      </c>
      <c r="AI32" s="305">
        <v>3.251054427863663E-2</v>
      </c>
      <c r="AJ32" s="286"/>
      <c r="AK32" s="311">
        <v>-31213</v>
      </c>
      <c r="AL32" s="311">
        <v>39250.691865159846</v>
      </c>
      <c r="AM32" s="311">
        <v>-3868.7190278136254</v>
      </c>
      <c r="AN32" s="311">
        <v>-17939.141564540296</v>
      </c>
      <c r="AO32" s="311">
        <v>17442.831272805925</v>
      </c>
      <c r="AP32" s="311">
        <v>-13770.168727194075</v>
      </c>
      <c r="AQ32" s="286"/>
      <c r="AR32" s="303">
        <v>2.1677643436374398E-2</v>
      </c>
      <c r="AS32" s="305">
        <v>3.3857940529546264E-2</v>
      </c>
      <c r="AT32" s="305">
        <v>2.380789088612769E-2</v>
      </c>
      <c r="AU32" s="286"/>
      <c r="AV32" s="305">
        <v>1.0547308551723339E-2</v>
      </c>
      <c r="AW32" s="305">
        <v>-3.3202534222009916E-8</v>
      </c>
      <c r="AX32" s="449">
        <v>8.7026533925089397E-3</v>
      </c>
      <c r="AY32" s="286"/>
      <c r="AZ32" s="305">
        <v>3.2224951988097737E-2</v>
      </c>
      <c r="BA32" s="305">
        <v>3.3857907327012042E-2</v>
      </c>
      <c r="BB32" s="305">
        <v>3.251054427863663E-2</v>
      </c>
      <c r="BD32" s="449">
        <f>SUMIFS('SC1'!AX:AX,'SC1'!I:I,I32)</f>
        <v>8.97642798358083E-3</v>
      </c>
    </row>
    <row r="33" spans="7:56" x14ac:dyDescent="0.2">
      <c r="G33" s="267" t="s">
        <v>72</v>
      </c>
      <c r="H33" s="268" t="s">
        <v>73</v>
      </c>
      <c r="I33" s="61" t="s">
        <v>78</v>
      </c>
      <c r="J33" s="61" t="s">
        <v>79</v>
      </c>
      <c r="K33" s="311">
        <v>4100650.4519983563</v>
      </c>
      <c r="L33" s="311">
        <v>841569.45282937237</v>
      </c>
      <c r="M33" s="311">
        <v>4942219.9048277289</v>
      </c>
      <c r="N33" s="311">
        <v>126765.75742776645</v>
      </c>
      <c r="O33" s="311">
        <v>41036.547170627629</v>
      </c>
      <c r="P33" s="309">
        <v>167802.30459839408</v>
      </c>
      <c r="Q33" s="305">
        <v>3.3952820358009381E-2</v>
      </c>
      <c r="S33" s="311">
        <v>0</v>
      </c>
      <c r="T33" s="311">
        <v>0</v>
      </c>
      <c r="U33" s="311">
        <v>19334.498593423545</v>
      </c>
      <c r="V33" s="311">
        <v>24396.213847944109</v>
      </c>
      <c r="W33" s="311"/>
      <c r="X33" s="311"/>
      <c r="Y33" s="311">
        <v>0</v>
      </c>
      <c r="Z33" s="311">
        <v>4940.9999999998836</v>
      </c>
      <c r="AA33" s="311"/>
      <c r="AB33" s="311">
        <v>636.99262103125284</v>
      </c>
      <c r="AC33" s="311">
        <v>0</v>
      </c>
      <c r="AD33" s="311">
        <v>49308.705062398789</v>
      </c>
      <c r="AE33" s="286"/>
      <c r="AF33" s="311">
        <v>170496.4698691341</v>
      </c>
      <c r="AG33" s="311">
        <v>45977.547170627513</v>
      </c>
      <c r="AH33" s="311">
        <v>216474.01703976162</v>
      </c>
      <c r="AI33" s="305">
        <v>4.3800968230552108E-2</v>
      </c>
      <c r="AJ33" s="286"/>
      <c r="AK33" s="311">
        <v>0</v>
      </c>
      <c r="AL33" s="311">
        <v>49308.705062398789</v>
      </c>
      <c r="AM33" s="311">
        <v>-4373.071244136765</v>
      </c>
      <c r="AN33" s="311">
        <v>-19943.827524948927</v>
      </c>
      <c r="AO33" s="311">
        <v>24991.806293313097</v>
      </c>
      <c r="AP33" s="311">
        <v>24991.806293313097</v>
      </c>
      <c r="AQ33" s="286"/>
      <c r="AR33" s="303">
        <v>3.091357308106818E-2</v>
      </c>
      <c r="AS33" s="305">
        <v>4.8761925747972418E-2</v>
      </c>
      <c r="AT33" s="305">
        <v>3.3952820358009381E-2</v>
      </c>
      <c r="AU33" s="286"/>
      <c r="AV33" s="305">
        <v>1.0664335561704978E-2</v>
      </c>
      <c r="AW33" s="305">
        <v>5.871173179335519E-3</v>
      </c>
      <c r="AX33" s="449">
        <v>9.8481478725427271E-3</v>
      </c>
      <c r="AY33" s="286"/>
      <c r="AZ33" s="305">
        <v>4.1577908642773158E-2</v>
      </c>
      <c r="BA33" s="305">
        <v>5.4633098927307937E-2</v>
      </c>
      <c r="BB33" s="305">
        <v>4.3800968230552108E-2</v>
      </c>
      <c r="BD33" s="449">
        <f>SUMIFS('SC1'!AX:AX,'SC1'!I:I,I33)</f>
        <v>7.694319129082125E-3</v>
      </c>
    </row>
    <row r="34" spans="7:56" x14ac:dyDescent="0.2">
      <c r="G34" s="267" t="s">
        <v>72</v>
      </c>
      <c r="H34" s="268" t="s">
        <v>73</v>
      </c>
      <c r="I34" s="61" t="s">
        <v>80</v>
      </c>
      <c r="J34" s="61" t="s">
        <v>81</v>
      </c>
      <c r="K34" s="311">
        <v>3537577.9285025978</v>
      </c>
      <c r="L34" s="311">
        <v>862816.27392937022</v>
      </c>
      <c r="M34" s="311">
        <v>4400394.2024319684</v>
      </c>
      <c r="N34" s="311">
        <v>64456.829455873929</v>
      </c>
      <c r="O34" s="311">
        <v>27881.036935875774</v>
      </c>
      <c r="P34" s="309">
        <v>92337.866391749703</v>
      </c>
      <c r="Q34" s="305">
        <v>2.0983998738276059E-2</v>
      </c>
      <c r="S34" s="311">
        <v>0</v>
      </c>
      <c r="T34" s="311">
        <v>0</v>
      </c>
      <c r="U34" s="311">
        <v>16452.634291093338</v>
      </c>
      <c r="V34" s="311">
        <v>20759.885889363479</v>
      </c>
      <c r="W34" s="311"/>
      <c r="X34" s="311"/>
      <c r="Y34" s="311">
        <v>0</v>
      </c>
      <c r="Z34" s="311">
        <v>1.3395145069807768E-2</v>
      </c>
      <c r="AA34" s="311"/>
      <c r="AB34" s="311">
        <v>542.04698349493071</v>
      </c>
      <c r="AC34" s="311">
        <v>0</v>
      </c>
      <c r="AD34" s="311">
        <v>37754.580559096823</v>
      </c>
      <c r="AE34" s="286"/>
      <c r="AF34" s="311">
        <v>101669.34963633075</v>
      </c>
      <c r="AG34" s="311">
        <v>27881.050331020844</v>
      </c>
      <c r="AH34" s="311">
        <v>129550.39996735159</v>
      </c>
      <c r="AI34" s="305">
        <v>2.9440635090318249E-2</v>
      </c>
      <c r="AJ34" s="286"/>
      <c r="AK34" s="311">
        <v>7</v>
      </c>
      <c r="AL34" s="311">
        <v>37754.580559096823</v>
      </c>
      <c r="AM34" s="311">
        <v>-3721.2520180456804</v>
      </c>
      <c r="AN34" s="311">
        <v>-17757.344817732763</v>
      </c>
      <c r="AO34" s="311">
        <v>16275.983723318383</v>
      </c>
      <c r="AP34" s="311">
        <v>16282.983723318383</v>
      </c>
      <c r="AQ34" s="286"/>
      <c r="AR34" s="303">
        <v>1.8220610473776194E-2</v>
      </c>
      <c r="AS34" s="305">
        <v>3.231399056591984E-2</v>
      </c>
      <c r="AT34" s="305">
        <v>2.0983998738276059E-2</v>
      </c>
      <c r="AU34" s="286"/>
      <c r="AV34" s="305">
        <v>1.0519208603330558E-2</v>
      </c>
      <c r="AW34" s="305">
        <v>1.5524910079722787E-8</v>
      </c>
      <c r="AX34" s="449">
        <v>8.4566363520421906E-3</v>
      </c>
      <c r="AY34" s="286"/>
      <c r="AZ34" s="305">
        <v>2.8739819077106751E-2</v>
      </c>
      <c r="BA34" s="305">
        <v>3.2314006090829919E-2</v>
      </c>
      <c r="BB34" s="305">
        <v>2.9440635090318249E-2</v>
      </c>
      <c r="BD34" s="449">
        <f>SUMIFS('SC1'!AX:AX,'SC1'!I:I,I34)</f>
        <v>9.17096166196767E-3</v>
      </c>
    </row>
    <row r="35" spans="7:56" x14ac:dyDescent="0.2">
      <c r="G35" s="269" t="s">
        <v>72</v>
      </c>
      <c r="H35" s="270" t="s">
        <v>73</v>
      </c>
      <c r="I35" s="271" t="s">
        <v>82</v>
      </c>
      <c r="J35" s="271" t="s">
        <v>83</v>
      </c>
      <c r="K35" s="312">
        <v>2647138.6093720454</v>
      </c>
      <c r="L35" s="312">
        <v>565251.22518915194</v>
      </c>
      <c r="M35" s="312">
        <v>3212389.8345611971</v>
      </c>
      <c r="N35" s="312">
        <v>47208.604556018952</v>
      </c>
      <c r="O35" s="312">
        <v>18541.027165667736</v>
      </c>
      <c r="P35" s="310">
        <v>65749.631721686688</v>
      </c>
      <c r="Q35" s="306">
        <v>2.0467513318061504E-2</v>
      </c>
      <c r="S35" s="312">
        <v>0</v>
      </c>
      <c r="T35" s="312">
        <v>0</v>
      </c>
      <c r="U35" s="312">
        <v>12311.362276128491</v>
      </c>
      <c r="V35" s="312">
        <v>15534.440957786417</v>
      </c>
      <c r="W35" s="312"/>
      <c r="X35" s="312"/>
      <c r="Y35" s="312">
        <v>0</v>
      </c>
      <c r="Z35" s="312">
        <v>-0.10821777489036322</v>
      </c>
      <c r="AA35" s="312"/>
      <c r="AB35" s="312">
        <v>405.60901472789408</v>
      </c>
      <c r="AC35" s="312">
        <v>0</v>
      </c>
      <c r="AD35" s="312">
        <v>28251.304030867912</v>
      </c>
      <c r="AE35" s="286"/>
      <c r="AF35" s="312">
        <v>75054.407789933859</v>
      </c>
      <c r="AG35" s="312">
        <v>18540.918947892846</v>
      </c>
      <c r="AH35" s="312">
        <v>93595.326737826705</v>
      </c>
      <c r="AI35" s="306">
        <v>2.9135731202627076E-2</v>
      </c>
      <c r="AJ35" s="286"/>
      <c r="AK35" s="312">
        <v>-81580</v>
      </c>
      <c r="AL35" s="312">
        <v>28251.304030867912</v>
      </c>
      <c r="AM35" s="312">
        <v>-2784.5803233914903</v>
      </c>
      <c r="AN35" s="312">
        <v>-12963.273597114643</v>
      </c>
      <c r="AO35" s="312">
        <v>12503.450110361777</v>
      </c>
      <c r="AP35" s="312">
        <v>-69076.54988963822</v>
      </c>
      <c r="AQ35" s="286"/>
      <c r="AR35" s="304">
        <v>1.7833824186190908E-2</v>
      </c>
      <c r="AS35" s="306">
        <v>3.2801392264940762E-2</v>
      </c>
      <c r="AT35" s="306">
        <v>2.0467513318061504E-2</v>
      </c>
      <c r="AU35" s="286"/>
      <c r="AV35" s="306">
        <v>1.0519208603330558E-2</v>
      </c>
      <c r="AW35" s="306">
        <v>-1.9145075688675739E-7</v>
      </c>
      <c r="AX35" s="449">
        <v>8.6682178845655725E-3</v>
      </c>
      <c r="AY35" s="286"/>
      <c r="AZ35" s="306">
        <v>2.8353032789521466E-2</v>
      </c>
      <c r="BA35" s="306">
        <v>3.2801200814183876E-2</v>
      </c>
      <c r="BB35" s="306">
        <v>2.9135731202627076E-2</v>
      </c>
      <c r="BD35" s="449">
        <f>SUMIFS('SC1'!AX:AX,'SC1'!I:I,I35)</f>
        <v>9.3994923319207328E-3</v>
      </c>
    </row>
    <row r="36" spans="7:56" x14ac:dyDescent="0.2">
      <c r="G36" s="266" t="s">
        <v>84</v>
      </c>
      <c r="H36" s="61" t="s">
        <v>85</v>
      </c>
      <c r="I36" s="61" t="s">
        <v>86</v>
      </c>
      <c r="J36" s="61" t="s">
        <v>87</v>
      </c>
      <c r="K36" s="311">
        <v>2768970.5640742062</v>
      </c>
      <c r="L36" s="311">
        <v>577098.58919338009</v>
      </c>
      <c r="M36" s="311">
        <v>3346069.1532675861</v>
      </c>
      <c r="N36" s="311">
        <v>94438.840464997105</v>
      </c>
      <c r="O36" s="311">
        <v>20521.945768809412</v>
      </c>
      <c r="P36" s="309">
        <v>114960.78623380652</v>
      </c>
      <c r="Q36" s="305">
        <v>3.4356966628003541E-2</v>
      </c>
      <c r="S36" s="311">
        <v>0</v>
      </c>
      <c r="T36" s="311">
        <v>0</v>
      </c>
      <c r="U36" s="311">
        <v>13080.893559382257</v>
      </c>
      <c r="V36" s="311">
        <v>16505.433283148683</v>
      </c>
      <c r="W36" s="311"/>
      <c r="X36" s="311"/>
      <c r="Y36" s="311">
        <v>0</v>
      </c>
      <c r="Z36" s="311">
        <v>-0.2054837194737047</v>
      </c>
      <c r="AA36" s="311"/>
      <c r="AB36" s="311">
        <v>430.96192195312165</v>
      </c>
      <c r="AC36" s="311">
        <v>0</v>
      </c>
      <c r="AD36" s="311">
        <v>30017.083280764589</v>
      </c>
      <c r="AE36" s="286"/>
      <c r="AF36" s="311">
        <v>124025.16730752804</v>
      </c>
      <c r="AG36" s="311">
        <v>20521.740285089938</v>
      </c>
      <c r="AH36" s="311">
        <v>144546.90759261796</v>
      </c>
      <c r="AI36" s="305">
        <v>4.3199019796545883E-2</v>
      </c>
      <c r="AJ36" s="286"/>
      <c r="AK36" s="311">
        <v>-47550</v>
      </c>
      <c r="AL36" s="311">
        <v>30017.083280764589</v>
      </c>
      <c r="AM36" s="311">
        <v>-2958.6326842530934</v>
      </c>
      <c r="AN36" s="311">
        <v>-13502.722939166091</v>
      </c>
      <c r="AO36" s="311">
        <v>13555.727657345404</v>
      </c>
      <c r="AP36" s="311">
        <v>-33994.2723426546</v>
      </c>
      <c r="AQ36" s="286"/>
      <c r="AR36" s="303">
        <v>3.4106119324736242E-2</v>
      </c>
      <c r="AS36" s="305">
        <v>3.5560554388970635E-2</v>
      </c>
      <c r="AT36" s="305">
        <v>3.4356966628003541E-2</v>
      </c>
      <c r="AU36" s="286"/>
      <c r="AV36" s="305">
        <v>1.0684955349976072E-2</v>
      </c>
      <c r="AW36" s="305">
        <v>-3.5606345834965358E-7</v>
      </c>
      <c r="AX36" s="449">
        <v>8.8420531685423423E-3</v>
      </c>
      <c r="AY36" s="286"/>
      <c r="AZ36" s="305">
        <v>4.4791074674712314E-2</v>
      </c>
      <c r="BA36" s="305">
        <v>3.5560198325512285E-2</v>
      </c>
      <c r="BB36" s="305">
        <v>4.3199019796545883E-2</v>
      </c>
      <c r="BD36" s="449">
        <f>SUMIFS('SC1'!AX:AX,'SC1'!I:I,I36)</f>
        <v>7.1891918780105091E-3</v>
      </c>
    </row>
    <row r="37" spans="7:56" x14ac:dyDescent="0.2">
      <c r="G37" s="267" t="s">
        <v>84</v>
      </c>
      <c r="H37" s="268" t="s">
        <v>85</v>
      </c>
      <c r="I37" s="61" t="s">
        <v>88</v>
      </c>
      <c r="J37" s="61" t="s">
        <v>89</v>
      </c>
      <c r="K37" s="311">
        <v>1226725.49919287</v>
      </c>
      <c r="L37" s="311">
        <v>223162.47777478211</v>
      </c>
      <c r="M37" s="311">
        <v>1449887.9769676521</v>
      </c>
      <c r="N37" s="311">
        <v>20688.383990344359</v>
      </c>
      <c r="O37" s="311">
        <v>10630.522225217894</v>
      </c>
      <c r="P37" s="309">
        <v>31318.906215562252</v>
      </c>
      <c r="Q37" s="305">
        <v>2.1600914493451927E-2</v>
      </c>
      <c r="S37" s="311">
        <v>0</v>
      </c>
      <c r="T37" s="311">
        <v>0</v>
      </c>
      <c r="U37" s="311">
        <v>5705.2781371016481</v>
      </c>
      <c r="V37" s="311">
        <v>7198.9032879329625</v>
      </c>
      <c r="W37" s="311"/>
      <c r="X37" s="311"/>
      <c r="Y37" s="311">
        <v>0</v>
      </c>
      <c r="Z37" s="311">
        <v>1309.0000000000291</v>
      </c>
      <c r="AA37" s="311"/>
      <c r="AB37" s="311">
        <v>187.96557131824611</v>
      </c>
      <c r="AC37" s="311">
        <v>0</v>
      </c>
      <c r="AD37" s="311">
        <v>14401.146996352885</v>
      </c>
      <c r="AE37" s="286"/>
      <c r="AF37" s="311">
        <v>33592.565415378966</v>
      </c>
      <c r="AG37" s="311">
        <v>11939.522225217923</v>
      </c>
      <c r="AH37" s="311">
        <v>45532.087640596888</v>
      </c>
      <c r="AI37" s="305">
        <v>3.1403865928886679E-2</v>
      </c>
      <c r="AJ37" s="286"/>
      <c r="AK37" s="311">
        <v>-25000</v>
      </c>
      <c r="AL37" s="311">
        <v>14401.146996352885</v>
      </c>
      <c r="AM37" s="311">
        <v>-1290.4181425034608</v>
      </c>
      <c r="AN37" s="311">
        <v>-5850.8759828540888</v>
      </c>
      <c r="AO37" s="311">
        <v>7259.8528709953362</v>
      </c>
      <c r="AP37" s="311">
        <v>-17740.147129004665</v>
      </c>
      <c r="AQ37" s="286"/>
      <c r="AR37" s="303">
        <v>1.6864721572965084E-2</v>
      </c>
      <c r="AS37" s="305">
        <v>4.7635795816653045E-2</v>
      </c>
      <c r="AT37" s="305">
        <v>2.1600914493451927E-2</v>
      </c>
      <c r="AU37" s="286"/>
      <c r="AV37" s="305">
        <v>1.0519208603330554E-2</v>
      </c>
      <c r="AW37" s="305">
        <v>5.8656814221299605E-3</v>
      </c>
      <c r="AX37" s="449">
        <v>9.8029514354347515E-3</v>
      </c>
      <c r="AY37" s="286"/>
      <c r="AZ37" s="305">
        <v>2.7383930176295639E-2</v>
      </c>
      <c r="BA37" s="305">
        <v>5.3501477238783006E-2</v>
      </c>
      <c r="BB37" s="305">
        <v>3.1403865928886679E-2</v>
      </c>
      <c r="BD37" s="449">
        <f>SUMIFS('SC1'!AX:AX,'SC1'!I:I,I37)</f>
        <v>1.0100489957237686E-2</v>
      </c>
    </row>
    <row r="38" spans="7:56" x14ac:dyDescent="0.2">
      <c r="G38" s="267" t="s">
        <v>84</v>
      </c>
      <c r="H38" s="268" t="s">
        <v>85</v>
      </c>
      <c r="I38" s="61" t="s">
        <v>90</v>
      </c>
      <c r="J38" s="61" t="s">
        <v>91</v>
      </c>
      <c r="K38" s="311">
        <v>3204352.7652876237</v>
      </c>
      <c r="L38" s="311">
        <v>619994.00625621236</v>
      </c>
      <c r="M38" s="311">
        <v>3824346.7715438362</v>
      </c>
      <c r="N38" s="311">
        <v>58687.39198427368</v>
      </c>
      <c r="O38" s="311">
        <v>22992.902881181333</v>
      </c>
      <c r="P38" s="309">
        <v>81680.294865455013</v>
      </c>
      <c r="Q38" s="305">
        <v>2.1357972941476174E-2</v>
      </c>
      <c r="S38" s="311">
        <v>0</v>
      </c>
      <c r="T38" s="311">
        <v>0</v>
      </c>
      <c r="U38" s="311">
        <v>14902.864403964242</v>
      </c>
      <c r="V38" s="311">
        <v>18804.390772755392</v>
      </c>
      <c r="W38" s="311"/>
      <c r="X38" s="311"/>
      <c r="Y38" s="311">
        <v>0</v>
      </c>
      <c r="Z38" s="311">
        <v>0.12454206624533981</v>
      </c>
      <c r="AA38" s="311"/>
      <c r="AB38" s="311">
        <v>490.98840663928593</v>
      </c>
      <c r="AC38" s="311">
        <v>0</v>
      </c>
      <c r="AD38" s="311">
        <v>34198.368125425164</v>
      </c>
      <c r="AE38" s="286"/>
      <c r="AF38" s="311">
        <v>92394.647160993307</v>
      </c>
      <c r="AG38" s="311">
        <v>22993.027423247579</v>
      </c>
      <c r="AH38" s="311">
        <v>115387.67458424089</v>
      </c>
      <c r="AI38" s="305">
        <v>3.0171865020927606E-2</v>
      </c>
      <c r="AJ38" s="286"/>
      <c r="AK38" s="311">
        <v>-139903</v>
      </c>
      <c r="AL38" s="311">
        <v>34198.368125425164</v>
      </c>
      <c r="AM38" s="311">
        <v>-3370.7255176719627</v>
      </c>
      <c r="AN38" s="311">
        <v>-15432.763793606257</v>
      </c>
      <c r="AO38" s="311">
        <v>15394.878814146945</v>
      </c>
      <c r="AP38" s="311">
        <v>-124508.12118585306</v>
      </c>
      <c r="AQ38" s="286"/>
      <c r="AR38" s="303">
        <v>1.831489735463189E-2</v>
      </c>
      <c r="AS38" s="305">
        <v>3.7085685747225629E-2</v>
      </c>
      <c r="AT38" s="305">
        <v>2.1357972941476174E-2</v>
      </c>
      <c r="AU38" s="286"/>
      <c r="AV38" s="305">
        <v>1.0519208603330554E-2</v>
      </c>
      <c r="AW38" s="305">
        <v>2.0087624233444679E-7</v>
      </c>
      <c r="AX38" s="449">
        <v>8.8138920794514318E-3</v>
      </c>
      <c r="AY38" s="286"/>
      <c r="AZ38" s="305">
        <v>2.8834105957962444E-2</v>
      </c>
      <c r="BA38" s="305">
        <v>3.7085886623467963E-2</v>
      </c>
      <c r="BB38" s="305">
        <v>3.0171865020927606E-2</v>
      </c>
      <c r="BD38" s="449">
        <f>SUMIFS('SC1'!AX:AX,'SC1'!I:I,I38)</f>
        <v>9.5585656727841389E-3</v>
      </c>
    </row>
    <row r="39" spans="7:56" x14ac:dyDescent="0.2">
      <c r="G39" s="267" t="s">
        <v>84</v>
      </c>
      <c r="H39" s="268" t="s">
        <v>85</v>
      </c>
      <c r="I39" s="61" t="s">
        <v>92</v>
      </c>
      <c r="J39" s="61" t="s">
        <v>93</v>
      </c>
      <c r="K39" s="311">
        <v>3319652.3421270251</v>
      </c>
      <c r="L39" s="311">
        <v>613945.57198142598</v>
      </c>
      <c r="M39" s="311">
        <v>3933597.914108451</v>
      </c>
      <c r="N39" s="311">
        <v>66348.518629152328</v>
      </c>
      <c r="O39" s="311">
        <v>30804.428018574021</v>
      </c>
      <c r="P39" s="309">
        <v>97152.946647726349</v>
      </c>
      <c r="Q39" s="305">
        <v>2.4698240330887009E-2</v>
      </c>
      <c r="S39" s="311">
        <v>0</v>
      </c>
      <c r="T39" s="311">
        <v>0</v>
      </c>
      <c r="U39" s="311">
        <v>15439.101855123219</v>
      </c>
      <c r="V39" s="311">
        <v>19481.013622245817</v>
      </c>
      <c r="W39" s="311"/>
      <c r="X39" s="311"/>
      <c r="Y39" s="311">
        <v>0</v>
      </c>
      <c r="Z39" s="311">
        <v>3609</v>
      </c>
      <c r="AA39" s="311"/>
      <c r="AB39" s="311">
        <v>508.65523662499146</v>
      </c>
      <c r="AC39" s="311">
        <v>0</v>
      </c>
      <c r="AD39" s="311">
        <v>39037.770713994025</v>
      </c>
      <c r="AE39" s="286"/>
      <c r="AF39" s="311">
        <v>101268.63410652136</v>
      </c>
      <c r="AG39" s="311">
        <v>34413.428018574021</v>
      </c>
      <c r="AH39" s="311">
        <v>135682.0621250954</v>
      </c>
      <c r="AI39" s="305">
        <v>3.4493119298861459E-2</v>
      </c>
      <c r="AJ39" s="286"/>
      <c r="AK39" s="311">
        <v>-117340</v>
      </c>
      <c r="AL39" s="311">
        <v>39037.770713994025</v>
      </c>
      <c r="AM39" s="311">
        <v>-3492.0115477369027</v>
      </c>
      <c r="AN39" s="311">
        <v>-15873.635706667808</v>
      </c>
      <c r="AO39" s="311">
        <v>19672.123459589311</v>
      </c>
      <c r="AP39" s="311">
        <v>-97667.876540410682</v>
      </c>
      <c r="AQ39" s="286"/>
      <c r="AR39" s="303">
        <v>1.9986586482920787E-2</v>
      </c>
      <c r="AS39" s="305">
        <v>5.0174525926063626E-2</v>
      </c>
      <c r="AT39" s="305">
        <v>2.4698240330887009E-2</v>
      </c>
      <c r="AU39" s="286"/>
      <c r="AV39" s="305">
        <v>1.0519208603330554E-2</v>
      </c>
      <c r="AW39" s="305">
        <v>5.8783712509766009E-3</v>
      </c>
      <c r="AX39" s="449">
        <v>9.7948789679744505E-3</v>
      </c>
      <c r="AY39" s="286"/>
      <c r="AZ39" s="305">
        <v>3.0505795086251342E-2</v>
      </c>
      <c r="BA39" s="305">
        <v>5.6052897177040227E-2</v>
      </c>
      <c r="BB39" s="305">
        <v>3.4493119298861459E-2</v>
      </c>
      <c r="BD39" s="449">
        <f>SUMIFS('SC1'!AX:AX,'SC1'!I:I,I39)</f>
        <v>1.0090227125287517E-2</v>
      </c>
    </row>
    <row r="40" spans="7:56" x14ac:dyDescent="0.2">
      <c r="G40" s="267" t="s">
        <v>84</v>
      </c>
      <c r="H40" s="268" t="s">
        <v>85</v>
      </c>
      <c r="I40" s="61" t="s">
        <v>94</v>
      </c>
      <c r="J40" s="61" t="s">
        <v>95</v>
      </c>
      <c r="K40" s="311">
        <v>1830327.3385640713</v>
      </c>
      <c r="L40" s="311">
        <v>352386.33337149769</v>
      </c>
      <c r="M40" s="311">
        <v>2182713.671935569</v>
      </c>
      <c r="N40" s="311">
        <v>29827.162801235449</v>
      </c>
      <c r="O40" s="311">
        <v>16167.666628502309</v>
      </c>
      <c r="P40" s="309">
        <v>45994.829429737758</v>
      </c>
      <c r="Q40" s="305">
        <v>2.1072314715906294E-2</v>
      </c>
      <c r="S40" s="311">
        <v>0</v>
      </c>
      <c r="T40" s="311">
        <v>0</v>
      </c>
      <c r="U40" s="311">
        <v>8512.5209798930191</v>
      </c>
      <c r="V40" s="311">
        <v>10741.074106841283</v>
      </c>
      <c r="W40" s="311"/>
      <c r="X40" s="311"/>
      <c r="Y40" s="311">
        <v>0</v>
      </c>
      <c r="Z40" s="311">
        <v>2063</v>
      </c>
      <c r="AA40" s="311"/>
      <c r="AB40" s="311">
        <v>280.45273707847628</v>
      </c>
      <c r="AC40" s="311">
        <v>0</v>
      </c>
      <c r="AD40" s="311">
        <v>21597.047823812776</v>
      </c>
      <c r="AE40" s="286"/>
      <c r="AF40" s="311">
        <v>49080.757887969754</v>
      </c>
      <c r="AG40" s="311">
        <v>18230.666628502309</v>
      </c>
      <c r="AH40" s="311">
        <v>67311.424516472063</v>
      </c>
      <c r="AI40" s="305">
        <v>3.0838412468815569E-2</v>
      </c>
      <c r="AJ40" s="286"/>
      <c r="AK40" s="311">
        <v>-22896</v>
      </c>
      <c r="AL40" s="311">
        <v>21597.047823812776</v>
      </c>
      <c r="AM40" s="311">
        <v>-1925.3595086734299</v>
      </c>
      <c r="AN40" s="311">
        <v>-8808.119801975572</v>
      </c>
      <c r="AO40" s="311">
        <v>10863.568513163773</v>
      </c>
      <c r="AP40" s="311">
        <v>-12032.431486836227</v>
      </c>
      <c r="AQ40" s="286"/>
      <c r="AR40" s="303">
        <v>1.6296081128655084E-2</v>
      </c>
      <c r="AS40" s="305">
        <v>4.5880515495071154E-2</v>
      </c>
      <c r="AT40" s="305">
        <v>2.1072314715906294E-2</v>
      </c>
      <c r="AU40" s="286"/>
      <c r="AV40" s="305">
        <v>1.0519208603330561E-2</v>
      </c>
      <c r="AW40" s="305">
        <v>5.8543700610123109E-3</v>
      </c>
      <c r="AX40" s="449">
        <v>9.7660977529092745E-3</v>
      </c>
      <c r="AY40" s="286"/>
      <c r="AZ40" s="305">
        <v>2.6815289731985645E-2</v>
      </c>
      <c r="BA40" s="305">
        <v>5.1734885556083465E-2</v>
      </c>
      <c r="BB40" s="305">
        <v>3.0838412468815569E-2</v>
      </c>
      <c r="BD40" s="449">
        <f>SUMIFS('SC1'!AX:AX,'SC1'!I:I,I40)</f>
        <v>1.003438301290184E-2</v>
      </c>
    </row>
    <row r="41" spans="7:56" x14ac:dyDescent="0.2">
      <c r="G41" s="269" t="s">
        <v>84</v>
      </c>
      <c r="H41" s="270" t="s">
        <v>85</v>
      </c>
      <c r="I41" s="271" t="s">
        <v>96</v>
      </c>
      <c r="J41" s="271" t="s">
        <v>97</v>
      </c>
      <c r="K41" s="312">
        <v>3225586.3548450344</v>
      </c>
      <c r="L41" s="312">
        <v>590979.39815476979</v>
      </c>
      <c r="M41" s="312">
        <v>3816565.752999804</v>
      </c>
      <c r="N41" s="312">
        <v>62642.519837899599</v>
      </c>
      <c r="O41" s="312">
        <v>23157.415783729055</v>
      </c>
      <c r="P41" s="310">
        <v>85799.935621628654</v>
      </c>
      <c r="Q41" s="306">
        <v>2.2480926878880647E-2</v>
      </c>
      <c r="S41" s="312">
        <v>0</v>
      </c>
      <c r="T41" s="312">
        <v>0</v>
      </c>
      <c r="U41" s="312">
        <v>15001.617983598637</v>
      </c>
      <c r="V41" s="312">
        <v>18928.9977510729</v>
      </c>
      <c r="W41" s="312"/>
      <c r="X41" s="312"/>
      <c r="Y41" s="312">
        <v>0</v>
      </c>
      <c r="Z41" s="312">
        <v>-8.5958369891159236E-2</v>
      </c>
      <c r="AA41" s="312"/>
      <c r="AB41" s="312">
        <v>494.24193303530677</v>
      </c>
      <c r="AC41" s="312">
        <v>0</v>
      </c>
      <c r="AD41" s="312">
        <v>34424.77170933695</v>
      </c>
      <c r="AE41" s="286"/>
      <c r="AF41" s="312">
        <v>96573.135572571133</v>
      </c>
      <c r="AG41" s="312">
        <v>23157.329825359164</v>
      </c>
      <c r="AH41" s="312">
        <v>119730.4653979303</v>
      </c>
      <c r="AI41" s="306">
        <v>3.1371257079436582E-2</v>
      </c>
      <c r="AJ41" s="286"/>
      <c r="AK41" s="312">
        <v>-15992</v>
      </c>
      <c r="AL41" s="312">
        <v>34424.77170933695</v>
      </c>
      <c r="AM41" s="312">
        <v>-3393.0615734671528</v>
      </c>
      <c r="AN41" s="312">
        <v>-15401.364281889058</v>
      </c>
      <c r="AO41" s="312">
        <v>15630.34585398074</v>
      </c>
      <c r="AP41" s="312">
        <v>-361.65414601926022</v>
      </c>
      <c r="AQ41" s="286"/>
      <c r="AR41" s="304">
        <v>1.9420506210849564E-2</v>
      </c>
      <c r="AS41" s="306">
        <v>3.9184810597516682E-2</v>
      </c>
      <c r="AT41" s="306">
        <v>2.2480926878880647E-2</v>
      </c>
      <c r="AU41" s="286"/>
      <c r="AV41" s="306">
        <v>1.0519208603330558E-2</v>
      </c>
      <c r="AW41" s="306">
        <v>-1.4545070464028198E-7</v>
      </c>
      <c r="AX41" s="449">
        <v>8.8903302005559348E-3</v>
      </c>
      <c r="AY41" s="286"/>
      <c r="AZ41" s="306">
        <v>2.9939714814180122E-2</v>
      </c>
      <c r="BA41" s="306">
        <v>3.9184665146812042E-2</v>
      </c>
      <c r="BB41" s="306">
        <v>3.1371257079436582E-2</v>
      </c>
      <c r="BD41" s="449">
        <f>SUMIFS('SC1'!AX:AX,'SC1'!I:I,I41)</f>
        <v>9.6440706487970276E-3</v>
      </c>
    </row>
    <row r="42" spans="7:56" x14ac:dyDescent="0.2">
      <c r="G42" s="266" t="s">
        <v>98</v>
      </c>
      <c r="H42" s="61" t="s">
        <v>99</v>
      </c>
      <c r="I42" s="61" t="s">
        <v>100</v>
      </c>
      <c r="J42" s="61" t="s">
        <v>101</v>
      </c>
      <c r="K42" s="311">
        <v>1531592.4457872827</v>
      </c>
      <c r="L42" s="311">
        <v>284657.1505706599</v>
      </c>
      <c r="M42" s="311">
        <v>1816249.5963579426</v>
      </c>
      <c r="N42" s="311">
        <v>53694.83965016529</v>
      </c>
      <c r="O42" s="311">
        <v>14461.849429340102</v>
      </c>
      <c r="P42" s="309">
        <v>68156.689079505391</v>
      </c>
      <c r="Q42" s="305">
        <v>3.7526058762065224E-2</v>
      </c>
      <c r="S42" s="311">
        <v>0</v>
      </c>
      <c r="T42" s="311">
        <v>0</v>
      </c>
      <c r="U42" s="311">
        <v>7223.5622745548371</v>
      </c>
      <c r="V42" s="311">
        <v>9114.6697775717639</v>
      </c>
      <c r="W42" s="311"/>
      <c r="X42" s="311"/>
      <c r="Y42" s="311">
        <v>0</v>
      </c>
      <c r="Z42" s="311">
        <v>1674</v>
      </c>
      <c r="AA42" s="311"/>
      <c r="AB42" s="311">
        <v>237.98682154686307</v>
      </c>
      <c r="AC42" s="311">
        <v>0</v>
      </c>
      <c r="AD42" s="311">
        <v>18250.218873673464</v>
      </c>
      <c r="AE42" s="286"/>
      <c r="AF42" s="311">
        <v>70033.071702291898</v>
      </c>
      <c r="AG42" s="311">
        <v>16135.849429340102</v>
      </c>
      <c r="AH42" s="311">
        <v>86168.921131632</v>
      </c>
      <c r="AI42" s="305">
        <v>4.7443325688508516E-2</v>
      </c>
      <c r="AJ42" s="286"/>
      <c r="AK42" s="311">
        <v>-9984</v>
      </c>
      <c r="AL42" s="311">
        <v>18250.218873673464</v>
      </c>
      <c r="AM42" s="311">
        <v>-1633.8232052126598</v>
      </c>
      <c r="AN42" s="311">
        <v>-7329.2911666348728</v>
      </c>
      <c r="AO42" s="311">
        <v>9287.1045018259319</v>
      </c>
      <c r="AP42" s="311">
        <v>-696.89549817406805</v>
      </c>
      <c r="AQ42" s="286"/>
      <c r="AR42" s="303">
        <v>3.5058177387761007E-2</v>
      </c>
      <c r="AS42" s="305">
        <v>5.0804448089036378E-2</v>
      </c>
      <c r="AT42" s="305">
        <v>3.7526058762065224E-2</v>
      </c>
      <c r="AU42" s="286"/>
      <c r="AV42" s="305">
        <v>1.0667480175333643E-2</v>
      </c>
      <c r="AW42" s="305">
        <v>5.8807586482337998E-3</v>
      </c>
      <c r="AX42" s="449">
        <v>9.9172669264432911E-3</v>
      </c>
      <c r="AY42" s="286"/>
      <c r="AZ42" s="305">
        <v>4.572565756309465E-2</v>
      </c>
      <c r="BA42" s="305">
        <v>5.6685206737270177E-2</v>
      </c>
      <c r="BB42" s="305">
        <v>4.7443325688508516E-2</v>
      </c>
      <c r="BD42" s="449">
        <f>SUMIFS('SC1'!AX:AX,'SC1'!I:I,I42)</f>
        <v>7.7748587343003453E-3</v>
      </c>
    </row>
    <row r="43" spans="7:56" x14ac:dyDescent="0.2">
      <c r="G43" s="267" t="s">
        <v>98</v>
      </c>
      <c r="H43" s="268" t="s">
        <v>99</v>
      </c>
      <c r="I43" s="61" t="s">
        <v>102</v>
      </c>
      <c r="J43" s="61" t="s">
        <v>103</v>
      </c>
      <c r="K43" s="311">
        <v>1695158.1333267344</v>
      </c>
      <c r="L43" s="311">
        <v>376179.76938088128</v>
      </c>
      <c r="M43" s="311">
        <v>2071337.9027076156</v>
      </c>
      <c r="N43" s="311">
        <v>55911.186943079578</v>
      </c>
      <c r="O43" s="311">
        <v>12420.515921132464</v>
      </c>
      <c r="P43" s="309">
        <v>68331.702864212042</v>
      </c>
      <c r="Q43" s="305">
        <v>3.2989162596257261E-2</v>
      </c>
      <c r="S43" s="311">
        <v>0</v>
      </c>
      <c r="T43" s="311">
        <v>0</v>
      </c>
      <c r="U43" s="311">
        <v>8000.815872751783</v>
      </c>
      <c r="V43" s="311">
        <v>10095.406097371982</v>
      </c>
      <c r="W43" s="311"/>
      <c r="X43" s="311"/>
      <c r="Y43" s="311">
        <v>0</v>
      </c>
      <c r="Z43" s="311">
        <v>-7.9404944845009595E-2</v>
      </c>
      <c r="AA43" s="311"/>
      <c r="AB43" s="311">
        <v>263.59414745340865</v>
      </c>
      <c r="AC43" s="311">
        <v>0</v>
      </c>
      <c r="AD43" s="311">
        <v>18359.73671263233</v>
      </c>
      <c r="AE43" s="286"/>
      <c r="AF43" s="311">
        <v>74007.40891320334</v>
      </c>
      <c r="AG43" s="311">
        <v>12420.436516187619</v>
      </c>
      <c r="AH43" s="311">
        <v>86427.84542939096</v>
      </c>
      <c r="AI43" s="305">
        <v>4.1725613824965029E-2</v>
      </c>
      <c r="AJ43" s="286"/>
      <c r="AK43" s="311">
        <v>0</v>
      </c>
      <c r="AL43" s="311">
        <v>18359.73671263233</v>
      </c>
      <c r="AM43" s="311">
        <v>-1809.6221970123761</v>
      </c>
      <c r="AN43" s="311">
        <v>-8358.6741733480376</v>
      </c>
      <c r="AO43" s="311">
        <v>8191.4403422719151</v>
      </c>
      <c r="AP43" s="311">
        <v>8191.4403422719151</v>
      </c>
      <c r="AQ43" s="286"/>
      <c r="AR43" s="303">
        <v>3.2982873894693419E-2</v>
      </c>
      <c r="AS43" s="305">
        <v>3.3017501025039753E-2</v>
      </c>
      <c r="AT43" s="305">
        <v>3.2989162596257261E-2</v>
      </c>
      <c r="AU43" s="286"/>
      <c r="AV43" s="305">
        <v>1.0675241214582187E-2</v>
      </c>
      <c r="AW43" s="305">
        <v>-2.110824433160241E-7</v>
      </c>
      <c r="AX43" s="449">
        <v>8.7364512287077672E-3</v>
      </c>
      <c r="AY43" s="286"/>
      <c r="AZ43" s="305">
        <v>4.3658115109275607E-2</v>
      </c>
      <c r="BA43" s="305">
        <v>3.3017289942596437E-2</v>
      </c>
      <c r="BB43" s="305">
        <v>4.1725613824965029E-2</v>
      </c>
      <c r="BD43" s="449">
        <f>SUMIFS('SC1'!AX:AX,'SC1'!I:I,I43)</f>
        <v>7.1032613419826987E-3</v>
      </c>
    </row>
    <row r="44" spans="7:56" x14ac:dyDescent="0.2">
      <c r="G44" s="267" t="s">
        <v>98</v>
      </c>
      <c r="H44" s="268" t="s">
        <v>99</v>
      </c>
      <c r="I44" s="61" t="s">
        <v>104</v>
      </c>
      <c r="J44" s="61" t="s">
        <v>105</v>
      </c>
      <c r="K44" s="311">
        <v>1099157.4527298571</v>
      </c>
      <c r="L44" s="311">
        <v>203799.89655329022</v>
      </c>
      <c r="M44" s="311">
        <v>1302957.3492831474</v>
      </c>
      <c r="N44" s="311">
        <v>25560.513579056598</v>
      </c>
      <c r="O44" s="311">
        <v>11022.103446709778</v>
      </c>
      <c r="P44" s="309">
        <v>36582.617025766376</v>
      </c>
      <c r="Q44" s="305">
        <v>2.8076603617066334E-2</v>
      </c>
      <c r="S44" s="311">
        <v>0</v>
      </c>
      <c r="T44" s="311">
        <v>0</v>
      </c>
      <c r="U44" s="311">
        <v>5111.9822555396668</v>
      </c>
      <c r="V44" s="311">
        <v>6450.2842776311463</v>
      </c>
      <c r="W44" s="311"/>
      <c r="X44" s="311"/>
      <c r="Y44" s="311">
        <v>0</v>
      </c>
      <c r="Z44" s="311">
        <v>1203</v>
      </c>
      <c r="AA44" s="311"/>
      <c r="AB44" s="311">
        <v>168.41889950686735</v>
      </c>
      <c r="AC44" s="311">
        <v>0</v>
      </c>
      <c r="AD44" s="311">
        <v>12933.685432677679</v>
      </c>
      <c r="AE44" s="286"/>
      <c r="AF44" s="311">
        <v>37122.78011222741</v>
      </c>
      <c r="AG44" s="311">
        <v>12225.103446709778</v>
      </c>
      <c r="AH44" s="311">
        <v>49347.883558937188</v>
      </c>
      <c r="AI44" s="305">
        <v>3.7873752035004898E-2</v>
      </c>
      <c r="AJ44" s="286"/>
      <c r="AK44" s="311">
        <v>0</v>
      </c>
      <c r="AL44" s="311">
        <v>12933.685432677679</v>
      </c>
      <c r="AM44" s="311">
        <v>-1156.2266533170809</v>
      </c>
      <c r="AN44" s="311">
        <v>-5257.9523264603749</v>
      </c>
      <c r="AO44" s="311">
        <v>6519.5064529002238</v>
      </c>
      <c r="AP44" s="311">
        <v>6519.5064529002238</v>
      </c>
      <c r="AQ44" s="286"/>
      <c r="AR44" s="303">
        <v>2.3254642467805453E-2</v>
      </c>
      <c r="AS44" s="305">
        <v>5.4082968799877111E-2</v>
      </c>
      <c r="AT44" s="305">
        <v>2.8076603617066334E-2</v>
      </c>
      <c r="AU44" s="286"/>
      <c r="AV44" s="305">
        <v>1.0519208603330554E-2</v>
      </c>
      <c r="AW44" s="305">
        <v>5.9028489236030365E-3</v>
      </c>
      <c r="AX44" s="449">
        <v>9.7971484179385643E-3</v>
      </c>
      <c r="AY44" s="286"/>
      <c r="AZ44" s="305">
        <v>3.3773851071136007E-2</v>
      </c>
      <c r="BA44" s="305">
        <v>5.9985817723480148E-2</v>
      </c>
      <c r="BB44" s="305">
        <v>3.7873752035004898E-2</v>
      </c>
      <c r="BD44" s="449">
        <f>SUMIFS('SC1'!AX:AX,'SC1'!I:I,I44)</f>
        <v>1.0096385895214416E-2</v>
      </c>
    </row>
    <row r="45" spans="7:56" x14ac:dyDescent="0.2">
      <c r="G45" s="267" t="s">
        <v>98</v>
      </c>
      <c r="H45" s="268" t="s">
        <v>99</v>
      </c>
      <c r="I45" s="61" t="s">
        <v>106</v>
      </c>
      <c r="J45" s="61" t="s">
        <v>107</v>
      </c>
      <c r="K45" s="311">
        <v>2260842.5105494577</v>
      </c>
      <c r="L45" s="311">
        <v>432487.4580030879</v>
      </c>
      <c r="M45" s="311">
        <v>2693329.9685525456</v>
      </c>
      <c r="N45" s="311">
        <v>46572.543189605698</v>
      </c>
      <c r="O45" s="311">
        <v>16870.260058616986</v>
      </c>
      <c r="P45" s="309">
        <v>63442.803248222684</v>
      </c>
      <c r="Q45" s="305">
        <v>2.3555525683441689E-2</v>
      </c>
      <c r="S45" s="311">
        <v>0</v>
      </c>
      <c r="T45" s="311">
        <v>0</v>
      </c>
      <c r="U45" s="311">
        <v>10514.76907861996</v>
      </c>
      <c r="V45" s="311">
        <v>13267.504909127352</v>
      </c>
      <c r="W45" s="311"/>
      <c r="X45" s="311"/>
      <c r="Y45" s="311">
        <v>0</v>
      </c>
      <c r="Z45" s="311">
        <v>0.17498543323017657</v>
      </c>
      <c r="AA45" s="311"/>
      <c r="AB45" s="311">
        <v>346.41861967947318</v>
      </c>
      <c r="AC45" s="311">
        <v>0</v>
      </c>
      <c r="AD45" s="311">
        <v>24128.867592860017</v>
      </c>
      <c r="AE45" s="286"/>
      <c r="AF45" s="311">
        <v>70354.817177353019</v>
      </c>
      <c r="AG45" s="311">
        <v>16870.435044050217</v>
      </c>
      <c r="AH45" s="311">
        <v>87225.252221403236</v>
      </c>
      <c r="AI45" s="305">
        <v>3.2385653907931675E-2</v>
      </c>
      <c r="AJ45" s="286"/>
      <c r="AK45" s="311">
        <v>-89339</v>
      </c>
      <c r="AL45" s="311">
        <v>24128.867592860017</v>
      </c>
      <c r="AM45" s="311">
        <v>-2378.2273987747308</v>
      </c>
      <c r="AN45" s="311">
        <v>-10868.660115288909</v>
      </c>
      <c r="AO45" s="311">
        <v>10881.980078796376</v>
      </c>
      <c r="AP45" s="311">
        <v>-78457.019921203624</v>
      </c>
      <c r="AQ45" s="286"/>
      <c r="AR45" s="303">
        <v>2.0599640608441615E-2</v>
      </c>
      <c r="AS45" s="305">
        <v>3.9007512810918403E-2</v>
      </c>
      <c r="AT45" s="305">
        <v>2.3555525683441689E-2</v>
      </c>
      <c r="AU45" s="286"/>
      <c r="AV45" s="305">
        <v>1.0519208603330561E-2</v>
      </c>
      <c r="AW45" s="305">
        <v>4.0460233006328616E-7</v>
      </c>
      <c r="AX45" s="449">
        <v>8.8301282244899852E-3</v>
      </c>
      <c r="AY45" s="286"/>
      <c r="AZ45" s="305">
        <v>3.1118849211772177E-2</v>
      </c>
      <c r="BA45" s="305">
        <v>3.9007917413248466E-2</v>
      </c>
      <c r="BB45" s="305">
        <v>3.2385653907931675E-2</v>
      </c>
      <c r="BD45" s="449">
        <f>SUMIFS('SC1'!AX:AX,'SC1'!I:I,I45)</f>
        <v>9.5813791239250344E-3</v>
      </c>
    </row>
    <row r="46" spans="7:56" x14ac:dyDescent="0.2">
      <c r="G46" s="267" t="s">
        <v>98</v>
      </c>
      <c r="H46" s="268" t="s">
        <v>99</v>
      </c>
      <c r="I46" s="61" t="s">
        <v>108</v>
      </c>
      <c r="J46" s="61" t="s">
        <v>109</v>
      </c>
      <c r="K46" s="311">
        <v>1451450.3647777988</v>
      </c>
      <c r="L46" s="311">
        <v>239578.45737310644</v>
      </c>
      <c r="M46" s="311">
        <v>1691028.8221509052</v>
      </c>
      <c r="N46" s="311">
        <v>25707.012793711154</v>
      </c>
      <c r="O46" s="311">
        <v>11861.542626893555</v>
      </c>
      <c r="P46" s="309">
        <v>37568.555420604709</v>
      </c>
      <c r="Q46" s="305">
        <v>2.2216389767277508E-2</v>
      </c>
      <c r="S46" s="311">
        <v>0</v>
      </c>
      <c r="T46" s="311">
        <v>0</v>
      </c>
      <c r="U46" s="311">
        <v>6750.4327893269228</v>
      </c>
      <c r="V46" s="311">
        <v>8517.6763751509734</v>
      </c>
      <c r="W46" s="311"/>
      <c r="X46" s="311"/>
      <c r="Y46" s="311">
        <v>0</v>
      </c>
      <c r="Z46" s="311">
        <v>1408</v>
      </c>
      <c r="AA46" s="311"/>
      <c r="AB46" s="311">
        <v>222.39914083064278</v>
      </c>
      <c r="AC46" s="311">
        <v>0</v>
      </c>
      <c r="AD46" s="311">
        <v>16898.50830530854</v>
      </c>
      <c r="AE46" s="286"/>
      <c r="AF46" s="311">
        <v>40975.121958189047</v>
      </c>
      <c r="AG46" s="311">
        <v>13269.542626893555</v>
      </c>
      <c r="AH46" s="311">
        <v>54244.664585082603</v>
      </c>
      <c r="AI46" s="305">
        <v>3.2077906582388148E-2</v>
      </c>
      <c r="AJ46" s="286"/>
      <c r="AK46" s="311">
        <v>-31688</v>
      </c>
      <c r="AL46" s="311">
        <v>16898.50830530854</v>
      </c>
      <c r="AM46" s="311">
        <v>-1526.8109164477892</v>
      </c>
      <c r="AN46" s="311">
        <v>-6823.9754236250965</v>
      </c>
      <c r="AO46" s="311">
        <v>8547.7219652356544</v>
      </c>
      <c r="AP46" s="311">
        <v>-23140.278034764346</v>
      </c>
      <c r="AQ46" s="286"/>
      <c r="AR46" s="303">
        <v>1.7711258626227026E-2</v>
      </c>
      <c r="AS46" s="305">
        <v>4.9510055106586792E-2</v>
      </c>
      <c r="AT46" s="305">
        <v>2.2216389767277508E-2</v>
      </c>
      <c r="AU46" s="286"/>
      <c r="AV46" s="305">
        <v>1.0519208603330558E-2</v>
      </c>
      <c r="AW46" s="305">
        <v>5.8769891727254026E-3</v>
      </c>
      <c r="AX46" s="449">
        <v>9.8615168151106394E-3</v>
      </c>
      <c r="AY46" s="286"/>
      <c r="AZ46" s="305">
        <v>2.8230467229557583E-2</v>
      </c>
      <c r="BA46" s="305">
        <v>5.5387044279312195E-2</v>
      </c>
      <c r="BB46" s="305">
        <v>3.2077906582388148E-2</v>
      </c>
      <c r="BD46" s="449">
        <f>SUMIFS('SC1'!AX:AX,'SC1'!I:I,I46)</f>
        <v>1.0206644322643649E-2</v>
      </c>
    </row>
    <row r="47" spans="7:56" x14ac:dyDescent="0.2">
      <c r="G47" s="267" t="s">
        <v>98</v>
      </c>
      <c r="H47" s="268" t="s">
        <v>99</v>
      </c>
      <c r="I47" s="61" t="s">
        <v>110</v>
      </c>
      <c r="J47" s="61" t="s">
        <v>111</v>
      </c>
      <c r="K47" s="311">
        <v>1063616.2064261124</v>
      </c>
      <c r="L47" s="311">
        <v>209135.47852404614</v>
      </c>
      <c r="M47" s="311">
        <v>1272751.6849501585</v>
      </c>
      <c r="N47" s="311">
        <v>29773.774593339534</v>
      </c>
      <c r="O47" s="311">
        <v>8181.9798770261114</v>
      </c>
      <c r="P47" s="309">
        <v>37955.754470365646</v>
      </c>
      <c r="Q47" s="305">
        <v>2.9821806499397415E-2</v>
      </c>
      <c r="S47" s="311">
        <v>0</v>
      </c>
      <c r="T47" s="311">
        <v>0</v>
      </c>
      <c r="U47" s="311">
        <v>4974.7296879667665</v>
      </c>
      <c r="V47" s="311">
        <v>6277.0993887906961</v>
      </c>
      <c r="W47" s="311"/>
      <c r="X47" s="311"/>
      <c r="Y47" s="311">
        <v>0</v>
      </c>
      <c r="Z47" s="311">
        <v>0.13836921262554824</v>
      </c>
      <c r="AA47" s="311"/>
      <c r="AB47" s="311">
        <v>163.89698897791942</v>
      </c>
      <c r="AC47" s="311">
        <v>0</v>
      </c>
      <c r="AD47" s="311">
        <v>11415.864434948007</v>
      </c>
      <c r="AE47" s="286"/>
      <c r="AF47" s="311">
        <v>41025.603670097</v>
      </c>
      <c r="AG47" s="311">
        <v>8182.1182462387369</v>
      </c>
      <c r="AH47" s="311">
        <v>49207.721916335737</v>
      </c>
      <c r="AI47" s="305">
        <v>3.866246849106527E-2</v>
      </c>
      <c r="AJ47" s="286"/>
      <c r="AK47" s="311">
        <v>0</v>
      </c>
      <c r="AL47" s="311">
        <v>11415.864434948007</v>
      </c>
      <c r="AM47" s="311">
        <v>-1125.182907675746</v>
      </c>
      <c r="AN47" s="311">
        <v>-5136.0604294314362</v>
      </c>
      <c r="AO47" s="311">
        <v>5154.6210978408253</v>
      </c>
      <c r="AP47" s="311">
        <v>5154.6210978408253</v>
      </c>
      <c r="AQ47" s="286"/>
      <c r="AR47" s="303">
        <v>2.7992968152848342E-2</v>
      </c>
      <c r="AS47" s="305">
        <v>3.9122868748859167E-2</v>
      </c>
      <c r="AT47" s="305">
        <v>2.9821806499397415E-2</v>
      </c>
      <c r="AU47" s="286"/>
      <c r="AV47" s="305">
        <v>1.0578843203757741E-2</v>
      </c>
      <c r="AW47" s="305">
        <v>6.6162476879128018E-7</v>
      </c>
      <c r="AX47" s="449">
        <v>8.8406619916678551E-3</v>
      </c>
      <c r="AY47" s="286"/>
      <c r="AZ47" s="305">
        <v>3.8571811356606082E-2</v>
      </c>
      <c r="BA47" s="305">
        <v>3.9123530373627959E-2</v>
      </c>
      <c r="BB47" s="305">
        <v>3.866246849106527E-2</v>
      </c>
      <c r="BD47" s="449">
        <f>SUMIFS('SC1'!AX:AX,'SC1'!I:I,I47)</f>
        <v>8.5983513851181741E-3</v>
      </c>
    </row>
    <row r="48" spans="7:56" x14ac:dyDescent="0.2">
      <c r="G48" s="267" t="s">
        <v>98</v>
      </c>
      <c r="H48" s="268" t="s">
        <v>99</v>
      </c>
      <c r="I48" s="61" t="s">
        <v>112</v>
      </c>
      <c r="J48" s="61" t="s">
        <v>113</v>
      </c>
      <c r="K48" s="311">
        <v>1057708.859525884</v>
      </c>
      <c r="L48" s="311">
        <v>174234.92301504573</v>
      </c>
      <c r="M48" s="311">
        <v>1231943.7825409297</v>
      </c>
      <c r="N48" s="311">
        <v>23519.691868205555</v>
      </c>
      <c r="O48" s="311">
        <v>9338.0769849542703</v>
      </c>
      <c r="P48" s="309">
        <v>32857.768853159825</v>
      </c>
      <c r="Q48" s="305">
        <v>2.6671483974203318E-2</v>
      </c>
      <c r="S48" s="311">
        <v>0</v>
      </c>
      <c r="T48" s="311">
        <v>0</v>
      </c>
      <c r="U48" s="311">
        <v>4919.2123548766112</v>
      </c>
      <c r="V48" s="311">
        <v>6207.0477800670205</v>
      </c>
      <c r="W48" s="311"/>
      <c r="X48" s="311"/>
      <c r="Y48" s="311">
        <v>0</v>
      </c>
      <c r="Z48" s="311">
        <v>1027</v>
      </c>
      <c r="AA48" s="311"/>
      <c r="AB48" s="311">
        <v>162.06792000326331</v>
      </c>
      <c r="AC48" s="311">
        <v>0</v>
      </c>
      <c r="AD48" s="311">
        <v>12315.328054946895</v>
      </c>
      <c r="AE48" s="286"/>
      <c r="AF48" s="311">
        <v>34645.952003149185</v>
      </c>
      <c r="AG48" s="311">
        <v>10365.07698495427</v>
      </c>
      <c r="AH48" s="311">
        <v>45011.028988103455</v>
      </c>
      <c r="AI48" s="305">
        <v>3.6536593329986648E-2</v>
      </c>
      <c r="AJ48" s="286"/>
      <c r="AK48" s="311">
        <v>0</v>
      </c>
      <c r="AL48" s="311">
        <v>12315.328054946895</v>
      </c>
      <c r="AM48" s="311">
        <v>-1112.626013494363</v>
      </c>
      <c r="AN48" s="311">
        <v>-4971.384275197669</v>
      </c>
      <c r="AO48" s="311">
        <v>6231.3177662548633</v>
      </c>
      <c r="AP48" s="311">
        <v>6231.3177662548633</v>
      </c>
      <c r="AQ48" s="286"/>
      <c r="AR48" s="303">
        <v>2.2236451606114191E-2</v>
      </c>
      <c r="AS48" s="305">
        <v>5.3594749108638214E-2</v>
      </c>
      <c r="AT48" s="305">
        <v>2.6671483974203318E-2</v>
      </c>
      <c r="AU48" s="286"/>
      <c r="AV48" s="305">
        <v>1.0519208603330554E-2</v>
      </c>
      <c r="AW48" s="305">
        <v>5.8943407109682336E-3</v>
      </c>
      <c r="AX48" s="449">
        <v>9.8651093557833303E-3</v>
      </c>
      <c r="AY48" s="286"/>
      <c r="AZ48" s="305">
        <v>3.2755660209444745E-2</v>
      </c>
      <c r="BA48" s="305">
        <v>5.9489089819606447E-2</v>
      </c>
      <c r="BB48" s="305">
        <v>3.6536593329986648E-2</v>
      </c>
      <c r="BD48" s="449">
        <f>SUMIFS('SC1'!AX:AX,'SC1'!I:I,I48)</f>
        <v>1.0221067353321726E-2</v>
      </c>
    </row>
    <row r="49" spans="7:54" x14ac:dyDescent="0.2">
      <c r="AE49" s="286"/>
      <c r="AJ49" s="286"/>
      <c r="AQ49" s="286"/>
      <c r="AU49" s="286"/>
      <c r="AY49" s="286"/>
    </row>
    <row r="50" spans="7:54" hidden="1" outlineLevel="1" x14ac:dyDescent="0.2">
      <c r="AE50" s="286"/>
      <c r="AJ50" s="286"/>
      <c r="AQ50" s="286"/>
      <c r="AU50" s="286"/>
      <c r="AY50" s="286"/>
    </row>
    <row r="51" spans="7:54" hidden="1" outlineLevel="1" x14ac:dyDescent="0.2">
      <c r="H51" s="272" t="s">
        <v>114</v>
      </c>
      <c r="I51" s="272" t="s">
        <v>13</v>
      </c>
      <c r="J51" s="272" t="s">
        <v>14</v>
      </c>
      <c r="AE51" s="286"/>
      <c r="AJ51" s="286"/>
      <c r="AQ51" s="286"/>
      <c r="AU51" s="286"/>
      <c r="AY51" s="286"/>
    </row>
    <row r="52" spans="7:54" hidden="1" outlineLevel="1" x14ac:dyDescent="0.2">
      <c r="H52" s="273">
        <v>1</v>
      </c>
      <c r="I52" s="274" t="s">
        <v>17</v>
      </c>
      <c r="J52" s="274" t="s">
        <v>18</v>
      </c>
      <c r="K52" s="276">
        <v>16096781.708368989</v>
      </c>
      <c r="L52" s="276">
        <v>2645278.6028940454</v>
      </c>
      <c r="M52" s="276">
        <v>18742060.311263032</v>
      </c>
      <c r="N52" s="276">
        <v>275233.53203718131</v>
      </c>
      <c r="O52" s="276">
        <v>119974.19282469805</v>
      </c>
      <c r="P52" s="276">
        <v>395207.72486187937</v>
      </c>
      <c r="Q52" s="281"/>
      <c r="S52" s="276">
        <v>0</v>
      </c>
      <c r="T52" s="276">
        <v>0</v>
      </c>
      <c r="U52" s="276">
        <v>74919.790109705558</v>
      </c>
      <c r="V52" s="276">
        <v>94533.572315196259</v>
      </c>
      <c r="W52" s="276">
        <v>0</v>
      </c>
      <c r="X52" s="276">
        <v>0</v>
      </c>
      <c r="Y52" s="276"/>
      <c r="Z52" s="276">
        <v>12667.019526824239</v>
      </c>
      <c r="AA52" s="276"/>
      <c r="AB52" s="276"/>
      <c r="AC52" s="276"/>
      <c r="AD52" s="276">
        <v>184588.68249950057</v>
      </c>
      <c r="AE52" s="286"/>
      <c r="AF52" s="276">
        <v>444686.89446208312</v>
      </c>
      <c r="AG52" s="276">
        <v>132641.21235152229</v>
      </c>
      <c r="AH52" s="276">
        <v>577328.10681360541</v>
      </c>
      <c r="AI52" s="281"/>
      <c r="AJ52" s="286"/>
      <c r="AK52" s="276">
        <v>-119138</v>
      </c>
      <c r="AL52" s="276">
        <v>184588.68249950057</v>
      </c>
      <c r="AM52" s="276"/>
      <c r="AN52" s="276"/>
      <c r="AO52" s="276"/>
      <c r="AP52" s="276">
        <v>-27126.338594748515</v>
      </c>
      <c r="AQ52" s="286"/>
      <c r="AR52" s="281">
        <v>1.709866835642573E-2</v>
      </c>
      <c r="AS52" s="281">
        <v>4.5354085839367266E-2</v>
      </c>
      <c r="AT52" s="281">
        <v>2.1086674479666435E-2</v>
      </c>
      <c r="AU52" s="286"/>
      <c r="AV52" s="281">
        <v>1.0527157881304941E-2</v>
      </c>
      <c r="AW52" s="281">
        <v>4.7885389134308953E-3</v>
      </c>
      <c r="AX52" s="281">
        <v>9.7172017871632252E-3</v>
      </c>
      <c r="AY52" s="286"/>
      <c r="AZ52" s="281">
        <v>3.080387626682966E-2</v>
      </c>
      <c r="BA52" s="281"/>
      <c r="BB52" s="281"/>
    </row>
    <row r="53" spans="7:54" hidden="1" outlineLevel="1" x14ac:dyDescent="0.2">
      <c r="H53" s="273">
        <v>2</v>
      </c>
      <c r="I53" s="274" t="s">
        <v>27</v>
      </c>
      <c r="J53" s="274" t="s">
        <v>28</v>
      </c>
      <c r="K53" s="276">
        <v>14441904.722663989</v>
      </c>
      <c r="L53" s="276">
        <v>2660474.209257625</v>
      </c>
      <c r="M53" s="276">
        <v>17102378.931921616</v>
      </c>
      <c r="N53" s="276">
        <v>241177.87742367107</v>
      </c>
      <c r="O53" s="276">
        <v>99542.765392588568</v>
      </c>
      <c r="P53" s="276">
        <v>340720.64281625964</v>
      </c>
      <c r="Q53" s="281"/>
      <c r="S53" s="276">
        <v>0</v>
      </c>
      <c r="T53" s="276">
        <v>0</v>
      </c>
      <c r="U53" s="276">
        <v>67166.683440209046</v>
      </c>
      <c r="V53" s="276">
        <v>84750.724966918206</v>
      </c>
      <c r="W53" s="276">
        <v>0</v>
      </c>
      <c r="X53" s="276">
        <v>0</v>
      </c>
      <c r="Y53" s="276"/>
      <c r="Z53" s="276">
        <v>3528.0012803561985</v>
      </c>
      <c r="AA53" s="276"/>
      <c r="AB53" s="276"/>
      <c r="AC53" s="276"/>
      <c r="AD53" s="276">
        <v>157658.27709254291</v>
      </c>
      <c r="AE53" s="286"/>
      <c r="AF53" s="276">
        <v>393095.28583079833</v>
      </c>
      <c r="AG53" s="276">
        <v>103070.76667294477</v>
      </c>
      <c r="AH53" s="276">
        <v>496166.05250374309</v>
      </c>
      <c r="AI53" s="281"/>
      <c r="AJ53" s="286"/>
      <c r="AK53" s="276">
        <v>-398912</v>
      </c>
      <c r="AL53" s="276">
        <v>157658.27709254291</v>
      </c>
      <c r="AM53" s="276"/>
      <c r="AN53" s="276"/>
      <c r="AO53" s="276"/>
      <c r="AP53" s="276">
        <v>-325460.38057762524</v>
      </c>
      <c r="AQ53" s="286"/>
      <c r="AR53" s="281">
        <v>1.6699866261074656E-2</v>
      </c>
      <c r="AS53" s="281">
        <v>3.7415422050028006E-2</v>
      </c>
      <c r="AT53" s="281">
        <v>1.9922412207830576E-2</v>
      </c>
      <c r="AU53" s="286"/>
      <c r="AV53" s="281">
        <v>1.0519208603330558E-2</v>
      </c>
      <c r="AW53" s="281">
        <v>1.326079865040547E-3</v>
      </c>
      <c r="AX53" s="281">
        <v>9.0891103691629893E-3</v>
      </c>
      <c r="AY53" s="286"/>
      <c r="AZ53" s="281">
        <v>2.9011522576993565E-2</v>
      </c>
      <c r="BA53" s="281"/>
      <c r="BB53" s="281"/>
    </row>
    <row r="54" spans="7:54" hidden="1" outlineLevel="1" x14ac:dyDescent="0.2">
      <c r="H54" s="273">
        <v>3</v>
      </c>
      <c r="I54" s="274" t="s">
        <v>34</v>
      </c>
      <c r="J54" s="274" t="s">
        <v>35</v>
      </c>
      <c r="K54" s="276">
        <v>19523808.607861694</v>
      </c>
      <c r="L54" s="276">
        <v>3629650.2502132724</v>
      </c>
      <c r="M54" s="276">
        <v>23153458.858074967</v>
      </c>
      <c r="N54" s="276">
        <v>444319.43500089494</v>
      </c>
      <c r="O54" s="276">
        <v>149657.89919714822</v>
      </c>
      <c r="P54" s="276">
        <v>593977.33419804322</v>
      </c>
      <c r="Q54" s="281"/>
      <c r="S54" s="276">
        <v>0</v>
      </c>
      <c r="T54" s="276">
        <v>0</v>
      </c>
      <c r="U54" s="276">
        <v>91126.775013190083</v>
      </c>
      <c r="V54" s="276">
        <v>114983.49852483159</v>
      </c>
      <c r="W54" s="276">
        <v>0</v>
      </c>
      <c r="X54" s="276">
        <v>0</v>
      </c>
      <c r="Y54" s="276"/>
      <c r="Z54" s="276">
        <v>8911.0659603599343</v>
      </c>
      <c r="AA54" s="276"/>
      <c r="AB54" s="276"/>
      <c r="AC54" s="276"/>
      <c r="AD54" s="276">
        <v>218023.59388741045</v>
      </c>
      <c r="AE54" s="286"/>
      <c r="AF54" s="276">
        <v>650429.70853891643</v>
      </c>
      <c r="AG54" s="276">
        <v>158568.96515750815</v>
      </c>
      <c r="AH54" s="276">
        <v>808998.67369642481</v>
      </c>
      <c r="AI54" s="281"/>
      <c r="AJ54" s="286"/>
      <c r="AK54" s="276">
        <v>-645444</v>
      </c>
      <c r="AL54" s="276">
        <v>218023.59388741045</v>
      </c>
      <c r="AM54" s="276"/>
      <c r="AN54" s="276"/>
      <c r="AO54" s="276"/>
      <c r="AP54" s="276">
        <v>-541464.87005232286</v>
      </c>
      <c r="AQ54" s="286"/>
      <c r="AR54" s="281">
        <v>2.2757825787227799E-2</v>
      </c>
      <c r="AS54" s="281">
        <v>4.1232044103520597E-2</v>
      </c>
      <c r="AT54" s="281">
        <v>2.5653935243065792E-2</v>
      </c>
      <c r="AU54" s="286"/>
      <c r="AV54" s="281">
        <v>1.0556868164289759E-2</v>
      </c>
      <c r="AW54" s="281">
        <v>2.4550756535939855E-3</v>
      </c>
      <c r="AX54" s="281">
        <v>9.2867912658929144E-3</v>
      </c>
      <c r="AY54" s="286"/>
      <c r="AZ54" s="281">
        <v>3.4940726508958707E-2</v>
      </c>
      <c r="BA54" s="281"/>
      <c r="BB54" s="281"/>
    </row>
    <row r="55" spans="7:54" hidden="1" outlineLevel="1" x14ac:dyDescent="0.2">
      <c r="H55" s="273">
        <v>4</v>
      </c>
      <c r="I55" s="274" t="s">
        <v>58</v>
      </c>
      <c r="J55" s="274" t="s">
        <v>59</v>
      </c>
      <c r="K55" s="276">
        <v>11552653.156449243</v>
      </c>
      <c r="L55" s="276">
        <v>2191775.2460433934</v>
      </c>
      <c r="M55" s="276">
        <v>13744428.402492635</v>
      </c>
      <c r="N55" s="276">
        <v>253065.06663922197</v>
      </c>
      <c r="O55" s="276">
        <v>103425.0977043318</v>
      </c>
      <c r="P55" s="276">
        <v>356490.16434355377</v>
      </c>
      <c r="Q55" s="281"/>
      <c r="S55" s="276">
        <v>0</v>
      </c>
      <c r="T55" s="276">
        <v>0</v>
      </c>
      <c r="U55" s="276">
        <v>53912.782424782032</v>
      </c>
      <c r="V55" s="276">
        <v>68026.991381097498</v>
      </c>
      <c r="W55" s="276">
        <v>0</v>
      </c>
      <c r="X55" s="276">
        <v>0</v>
      </c>
      <c r="Y55" s="276"/>
      <c r="Z55" s="276">
        <v>10980.110874172417</v>
      </c>
      <c r="AA55" s="276"/>
      <c r="AB55" s="276"/>
      <c r="AC55" s="276"/>
      <c r="AD55" s="276">
        <v>134696.0902753463</v>
      </c>
      <c r="AE55" s="286"/>
      <c r="AF55" s="276">
        <v>375004.84044510149</v>
      </c>
      <c r="AG55" s="276">
        <v>114405.20857850421</v>
      </c>
      <c r="AH55" s="276">
        <v>489410.04902360565</v>
      </c>
      <c r="AI55" s="281"/>
      <c r="AJ55" s="286"/>
      <c r="AK55" s="276">
        <v>-56614</v>
      </c>
      <c r="AL55" s="276">
        <v>134696.0902753463</v>
      </c>
      <c r="AM55" s="276"/>
      <c r="AN55" s="276"/>
      <c r="AO55" s="276"/>
      <c r="AP55" s="276">
        <v>10423.865093773995</v>
      </c>
      <c r="AQ55" s="286"/>
      <c r="AR55" s="281">
        <v>2.1905363487689317E-2</v>
      </c>
      <c r="AS55" s="281">
        <v>4.71878208730733E-2</v>
      </c>
      <c r="AT55" s="281">
        <v>2.593706729040126E-2</v>
      </c>
      <c r="AU55" s="286"/>
      <c r="AV55" s="281">
        <v>1.0555131548964307E-2</v>
      </c>
      <c r="AW55" s="281">
        <v>5.0096883309517157E-3</v>
      </c>
      <c r="AX55" s="281">
        <v>9.6708193886001145E-3</v>
      </c>
      <c r="AY55" s="286"/>
      <c r="AZ55" s="281">
        <v>3.5607886679001374E-2</v>
      </c>
      <c r="BA55" s="281"/>
      <c r="BB55" s="281"/>
    </row>
    <row r="56" spans="7:54" hidden="1" outlineLevel="1" x14ac:dyDescent="0.2">
      <c r="H56" s="273">
        <v>5</v>
      </c>
      <c r="I56" s="274" t="s">
        <v>72</v>
      </c>
      <c r="J56" s="274" t="s">
        <v>73</v>
      </c>
      <c r="K56" s="276">
        <v>16786726.48762054</v>
      </c>
      <c r="L56" s="276">
        <v>3741662.583626274</v>
      </c>
      <c r="M56" s="276">
        <v>20528389.071246818</v>
      </c>
      <c r="N56" s="276">
        <v>371894.00792052131</v>
      </c>
      <c r="O56" s="276">
        <v>137199.45013834757</v>
      </c>
      <c r="P56" s="276">
        <v>509093.45805886888</v>
      </c>
      <c r="Q56" s="281"/>
      <c r="S56" s="276">
        <v>0</v>
      </c>
      <c r="T56" s="276">
        <v>0</v>
      </c>
      <c r="U56" s="276">
        <v>78380.710621694772</v>
      </c>
      <c r="V56" s="276">
        <v>98900.551707666455</v>
      </c>
      <c r="W56" s="276">
        <v>0</v>
      </c>
      <c r="X56" s="276">
        <v>0</v>
      </c>
      <c r="Y56" s="276"/>
      <c r="Z56" s="276">
        <v>4940.8899581667501</v>
      </c>
      <c r="AA56" s="276"/>
      <c r="AB56" s="276"/>
      <c r="AC56" s="276"/>
      <c r="AD56" s="276">
        <v>184804.47600572297</v>
      </c>
      <c r="AE56" s="286"/>
      <c r="AF56" s="276">
        <v>549175.27024988248</v>
      </c>
      <c r="AG56" s="276">
        <v>142140.34009651432</v>
      </c>
      <c r="AH56" s="276">
        <v>691315.6103463968</v>
      </c>
      <c r="AI56" s="281"/>
      <c r="AJ56" s="286"/>
      <c r="AK56" s="276">
        <v>-112785</v>
      </c>
      <c r="AL56" s="276">
        <v>184804.47600572297</v>
      </c>
      <c r="AM56" s="276"/>
      <c r="AN56" s="276"/>
      <c r="AO56" s="276"/>
      <c r="AP56" s="276">
        <v>-28548.883742938087</v>
      </c>
      <c r="AQ56" s="286"/>
      <c r="AR56" s="281">
        <v>2.215405178578304E-2</v>
      </c>
      <c r="AS56" s="281">
        <v>3.6668044504798505E-2</v>
      </c>
      <c r="AT56" s="281">
        <v>2.4799484084795185E-2</v>
      </c>
      <c r="AU56" s="286"/>
      <c r="AV56" s="281">
        <v>1.0560800073802248E-2</v>
      </c>
      <c r="AW56" s="281">
        <v>1.3205065522979981E-3</v>
      </c>
      <c r="AX56" s="281">
        <v>8.8765928809659105E-3</v>
      </c>
      <c r="AY56" s="286"/>
      <c r="AZ56" s="281">
        <v>3.3676076965761095E-2</v>
      </c>
      <c r="BA56" s="281"/>
      <c r="BB56" s="281"/>
    </row>
    <row r="57" spans="7:54" hidden="1" outlineLevel="1" x14ac:dyDescent="0.2">
      <c r="H57" s="273">
        <v>6</v>
      </c>
      <c r="I57" s="274" t="s">
        <v>84</v>
      </c>
      <c r="J57" s="274" t="s">
        <v>85</v>
      </c>
      <c r="K57" s="276">
        <v>15575614.864090832</v>
      </c>
      <c r="L57" s="276">
        <v>2977566.3767320681</v>
      </c>
      <c r="M57" s="276">
        <v>18553181.2408229</v>
      </c>
      <c r="N57" s="276">
        <v>332632.81770790252</v>
      </c>
      <c r="O57" s="276">
        <v>124274.88130601402</v>
      </c>
      <c r="P57" s="276">
        <v>456907.69901391654</v>
      </c>
      <c r="Q57" s="281"/>
      <c r="S57" s="276">
        <v>0</v>
      </c>
      <c r="T57" s="276">
        <v>0</v>
      </c>
      <c r="U57" s="276">
        <v>72642.276919063035</v>
      </c>
      <c r="V57" s="276">
        <v>91659.812823997025</v>
      </c>
      <c r="W57" s="276">
        <v>0</v>
      </c>
      <c r="X57" s="276">
        <v>0</v>
      </c>
      <c r="Y57" s="276"/>
      <c r="Z57" s="276">
        <v>6980.8330999769096</v>
      </c>
      <c r="AA57" s="276"/>
      <c r="AB57" s="276"/>
      <c r="AC57" s="276"/>
      <c r="AD57" s="276">
        <v>173676.1886496864</v>
      </c>
      <c r="AE57" s="286"/>
      <c r="AF57" s="276">
        <v>496934.90745096252</v>
      </c>
      <c r="AG57" s="276">
        <v>131255.71440599093</v>
      </c>
      <c r="AH57" s="276">
        <v>628190.62185695348</v>
      </c>
      <c r="AI57" s="281"/>
      <c r="AJ57" s="286"/>
      <c r="AK57" s="276">
        <v>-368681</v>
      </c>
      <c r="AL57" s="276">
        <v>173676.1886496864</v>
      </c>
      <c r="AM57" s="276"/>
      <c r="AN57" s="276"/>
      <c r="AO57" s="276"/>
      <c r="AP57" s="276">
        <v>-286304.50283077848</v>
      </c>
      <c r="AQ57" s="286"/>
      <c r="AR57" s="281">
        <v>2.1355999144199351E-2</v>
      </c>
      <c r="AS57" s="281">
        <v>4.1737064965922915E-2</v>
      </c>
      <c r="AT57" s="281">
        <v>2.4626919399061024E-2</v>
      </c>
      <c r="AU57" s="286"/>
      <c r="AV57" s="281">
        <v>1.0548674397558081E-2</v>
      </c>
      <c r="AW57" s="281">
        <v>2.3444760642543569E-3</v>
      </c>
      <c r="AX57" s="281">
        <v>9.2319975005774185E-3</v>
      </c>
      <c r="AY57" s="286"/>
      <c r="AZ57" s="281">
        <v>3.3858916899638443E-2</v>
      </c>
      <c r="BA57" s="281"/>
      <c r="BB57" s="281"/>
    </row>
    <row r="58" spans="7:54" hidden="1" outlineLevel="1" x14ac:dyDescent="0.2">
      <c r="H58" s="273">
        <v>7</v>
      </c>
      <c r="I58" s="274" t="s">
        <v>98</v>
      </c>
      <c r="J58" s="274" t="s">
        <v>99</v>
      </c>
      <c r="K58" s="276">
        <v>10159525.973123128</v>
      </c>
      <c r="L58" s="276">
        <v>1920073.1334201174</v>
      </c>
      <c r="M58" s="276">
        <v>12079599.106543245</v>
      </c>
      <c r="N58" s="276">
        <v>260739.56261716341</v>
      </c>
      <c r="O58" s="276">
        <v>84156.328344673268</v>
      </c>
      <c r="P58" s="276">
        <v>344895.89096183667</v>
      </c>
      <c r="Q58" s="281"/>
      <c r="S58" s="276">
        <v>0</v>
      </c>
      <c r="T58" s="276">
        <v>0</v>
      </c>
      <c r="U58" s="276">
        <v>47495.504313636542</v>
      </c>
      <c r="V58" s="276">
        <v>59929.68860571093</v>
      </c>
      <c r="W58" s="276">
        <v>0</v>
      </c>
      <c r="X58" s="276">
        <v>0</v>
      </c>
      <c r="Y58" s="276"/>
      <c r="Z58" s="276">
        <v>5312.2339497010107</v>
      </c>
      <c r="AA58" s="276"/>
      <c r="AB58" s="276"/>
      <c r="AC58" s="276"/>
      <c r="AD58" s="276">
        <v>114302.20940704692</v>
      </c>
      <c r="AE58" s="286"/>
      <c r="AF58" s="276">
        <v>368164.75553651096</v>
      </c>
      <c r="AG58" s="276">
        <v>89468.562294374278</v>
      </c>
      <c r="AH58" s="276">
        <v>457633.31783088518</v>
      </c>
      <c r="AI58" s="281"/>
      <c r="AJ58" s="286"/>
      <c r="AK58" s="276">
        <v>-131011</v>
      </c>
      <c r="AL58" s="276">
        <v>114302.20940704692</v>
      </c>
      <c r="AM58" s="276"/>
      <c r="AN58" s="276"/>
      <c r="AO58" s="276"/>
      <c r="AP58" s="276">
        <v>-76197.307794874214</v>
      </c>
      <c r="AQ58" s="286"/>
      <c r="AR58" s="281">
        <v>2.5664540186908915E-2</v>
      </c>
      <c r="AS58" s="281">
        <v>4.3829751523459096E-2</v>
      </c>
      <c r="AT58" s="281">
        <v>2.8551931891101782E-2</v>
      </c>
      <c r="AU58" s="286"/>
      <c r="AV58" s="281">
        <v>1.0573839094810061E-2</v>
      </c>
      <c r="AW58" s="281">
        <v>2.7666831316152107E-3</v>
      </c>
      <c r="AX58" s="281">
        <v>9.3328781754008043E-3</v>
      </c>
      <c r="AY58" s="286"/>
      <c r="AZ58" s="281">
        <v>3.7884810066502586E-2</v>
      </c>
      <c r="BA58" s="281"/>
      <c r="BB58" s="281"/>
    </row>
    <row r="59" spans="7:54" s="82" customFormat="1" ht="15" hidden="1" outlineLevel="1" x14ac:dyDescent="0.25">
      <c r="G59" s="277"/>
      <c r="H59" s="278"/>
      <c r="I59" s="279" t="s">
        <v>115</v>
      </c>
      <c r="J59" s="279" t="s">
        <v>116</v>
      </c>
      <c r="K59" s="280">
        <v>104137015.52017841</v>
      </c>
      <c r="L59" s="280">
        <v>19766480.402186796</v>
      </c>
      <c r="M59" s="280">
        <v>123903495.92236522</v>
      </c>
      <c r="N59" s="282">
        <v>2179062.2993465564</v>
      </c>
      <c r="O59" s="282">
        <v>818230.6149078015</v>
      </c>
      <c r="P59" s="282">
        <v>2997292.9142543576</v>
      </c>
      <c r="Q59" s="283"/>
      <c r="S59" s="282">
        <v>0</v>
      </c>
      <c r="T59" s="282">
        <v>0</v>
      </c>
      <c r="U59" s="282">
        <v>485644.52284228115</v>
      </c>
      <c r="V59" s="282">
        <v>612784.84032541804</v>
      </c>
      <c r="W59" s="282">
        <v>0</v>
      </c>
      <c r="X59" s="282">
        <v>0</v>
      </c>
      <c r="Y59" s="282"/>
      <c r="Z59" s="282">
        <v>53320.154649557458</v>
      </c>
      <c r="AA59" s="282"/>
      <c r="AB59" s="282"/>
      <c r="AC59" s="282"/>
      <c r="AD59" s="282">
        <v>1167749.5178172565</v>
      </c>
      <c r="AE59" s="287"/>
      <c r="AF59" s="282">
        <v>3277491.6625142554</v>
      </c>
      <c r="AG59" s="282">
        <v>871550.76955735893</v>
      </c>
      <c r="AH59" s="282">
        <v>4149042.4320716145</v>
      </c>
      <c r="AI59" s="283"/>
      <c r="AJ59" s="287"/>
      <c r="AK59" s="282">
        <v>-1832585</v>
      </c>
      <c r="AL59" s="282">
        <v>1167749.5178172565</v>
      </c>
      <c r="AM59" s="282"/>
      <c r="AN59" s="282"/>
      <c r="AO59" s="282"/>
      <c r="AP59" s="282">
        <v>-1274678.4184995133</v>
      </c>
      <c r="AQ59" s="287"/>
      <c r="AR59" s="283">
        <v>2.0924954383048592E-2</v>
      </c>
      <c r="AS59" s="283">
        <v>4.1394856254595498E-2</v>
      </c>
      <c r="AT59" s="283">
        <v>2.419054355118749E-2</v>
      </c>
      <c r="AU59" s="287"/>
      <c r="AV59" s="283">
        <v>1.054792436369428E-2</v>
      </c>
      <c r="AW59" s="283">
        <v>2.6975037318054187E-3</v>
      </c>
      <c r="AX59" s="283">
        <v>9.295536895415072E-3</v>
      </c>
      <c r="AY59" s="287"/>
      <c r="AZ59" s="283">
        <v>3.3486080446602562E-2</v>
      </c>
      <c r="BA59" s="283"/>
      <c r="BB59" s="283"/>
    </row>
    <row r="60" spans="7:54" hidden="1" outlineLevel="1" x14ac:dyDescent="0.2"/>
    <row r="61" spans="7:54" ht="15" collapsed="1" x14ac:dyDescent="0.25">
      <c r="J61" s="318" t="s">
        <v>115</v>
      </c>
      <c r="K61" s="319">
        <v>104137015.52017842</v>
      </c>
      <c r="L61" s="319">
        <v>19766480.402186796</v>
      </c>
      <c r="M61" s="319">
        <v>123903495.9223652</v>
      </c>
      <c r="N61" s="319">
        <v>2179062.299346556</v>
      </c>
      <c r="O61" s="319">
        <v>818230.61490780138</v>
      </c>
      <c r="P61" s="319">
        <v>2997292.9142543576</v>
      </c>
      <c r="Q61" s="416">
        <v>2.4190543551187493E-2</v>
      </c>
      <c r="R61" s="318"/>
      <c r="S61" s="319">
        <v>0</v>
      </c>
      <c r="T61" s="319">
        <v>0</v>
      </c>
      <c r="U61" s="319">
        <v>485644.52284228103</v>
      </c>
      <c r="V61" s="319">
        <v>612784.84032541804</v>
      </c>
      <c r="W61" s="319">
        <v>0</v>
      </c>
      <c r="X61" s="319">
        <v>0</v>
      </c>
      <c r="Y61" s="319">
        <v>0</v>
      </c>
      <c r="Z61" s="319">
        <v>53320.154649557458</v>
      </c>
      <c r="AA61" s="319">
        <v>0</v>
      </c>
      <c r="AB61" s="319">
        <v>15999.999999999996</v>
      </c>
      <c r="AC61" s="319">
        <v>0</v>
      </c>
      <c r="AD61" s="319">
        <v>1167749.5178172565</v>
      </c>
      <c r="AE61" s="313"/>
      <c r="AF61" s="319">
        <v>3277491.6625142568</v>
      </c>
      <c r="AG61" s="319">
        <v>871550.76955735893</v>
      </c>
      <c r="AH61" s="319">
        <v>4149042.4320716131</v>
      </c>
      <c r="AI61" s="416">
        <v>3.3486080446602555E-2</v>
      </c>
      <c r="AJ61" s="313" t="s">
        <v>115</v>
      </c>
      <c r="AK61" s="317">
        <v>-1832585</v>
      </c>
      <c r="AL61" s="317">
        <v>1167749.5178172565</v>
      </c>
      <c r="AM61" s="317">
        <v>-109842.93631676988</v>
      </c>
      <c r="AN61" s="317">
        <v>-500000.00000000012</v>
      </c>
      <c r="AO61" s="317">
        <v>557906.58150048624</v>
      </c>
      <c r="AP61" s="317">
        <v>-1274678.4184995138</v>
      </c>
      <c r="AQ61" s="287"/>
      <c r="AR61" s="307">
        <v>2.0924954383048585E-2</v>
      </c>
      <c r="AS61" s="307">
        <v>4.1394856254595498E-2</v>
      </c>
      <c r="AT61" s="307">
        <v>2.4190543551187493E-2</v>
      </c>
      <c r="AU61" s="308"/>
      <c r="AV61" s="307">
        <v>1.0547924363694294E-2</v>
      </c>
      <c r="AW61" s="307">
        <v>2.6975037318054187E-3</v>
      </c>
      <c r="AX61" s="307">
        <v>9.2955368954150616E-3</v>
      </c>
      <c r="AY61" s="308"/>
      <c r="AZ61" s="307">
        <v>3.1472878746742879E-2</v>
      </c>
      <c r="BA61" s="307">
        <v>4.4092359986400917E-2</v>
      </c>
      <c r="BB61" s="307">
        <v>3.3486080446602555E-2</v>
      </c>
    </row>
    <row r="62" spans="7:54" ht="15" x14ac:dyDescent="0.25">
      <c r="J62" s="313" t="s">
        <v>252</v>
      </c>
      <c r="K62" s="314"/>
      <c r="L62" s="314"/>
      <c r="M62" s="314"/>
      <c r="N62" s="314"/>
      <c r="O62" s="315"/>
      <c r="P62" s="314"/>
      <c r="Q62" s="314"/>
      <c r="R62" s="314"/>
      <c r="S62" s="314" t="s">
        <v>7</v>
      </c>
      <c r="T62" s="314" t="s">
        <v>7</v>
      </c>
      <c r="U62" s="314" t="s">
        <v>7</v>
      </c>
      <c r="V62" s="314" t="s">
        <v>7</v>
      </c>
      <c r="W62" s="314" t="s">
        <v>333</v>
      </c>
      <c r="X62" s="314" t="s">
        <v>333</v>
      </c>
      <c r="Y62" s="314"/>
      <c r="Z62" s="314" t="s">
        <v>333</v>
      </c>
      <c r="AA62" s="314"/>
      <c r="AB62" s="314"/>
      <c r="AC62" s="314" t="s">
        <v>7</v>
      </c>
      <c r="AD62" s="314" t="s">
        <v>334</v>
      </c>
      <c r="AE62" s="316"/>
      <c r="AF62" s="314"/>
      <c r="AG62" s="314"/>
      <c r="AH62" s="314"/>
      <c r="AI62" s="314"/>
      <c r="AJ62" s="316" t="s">
        <v>252</v>
      </c>
      <c r="AK62" s="317">
        <v>-1832593</v>
      </c>
      <c r="AL62" s="317"/>
      <c r="AM62" s="317"/>
      <c r="AN62" s="317"/>
      <c r="AO62" s="317">
        <v>347968.46513511823</v>
      </c>
      <c r="AP62" s="317">
        <v>-1484624.5348648818</v>
      </c>
      <c r="AQ62" s="286"/>
      <c r="AR62" s="61">
        <v>0.6237038182974276</v>
      </c>
      <c r="AU62" s="286"/>
      <c r="AY62" s="286"/>
    </row>
    <row r="63" spans="7:54" ht="15" x14ac:dyDescent="0.25">
      <c r="G63" s="82"/>
      <c r="H63" s="82"/>
      <c r="I63" s="82"/>
      <c r="J63" s="313" t="s">
        <v>384</v>
      </c>
      <c r="K63" s="314"/>
      <c r="L63" s="314"/>
      <c r="M63" s="314"/>
      <c r="N63" s="314"/>
      <c r="O63" s="314"/>
      <c r="P63" s="314"/>
      <c r="Q63" s="415"/>
      <c r="R63" s="314"/>
      <c r="S63" s="314"/>
      <c r="T63" s="314"/>
      <c r="U63" s="314"/>
      <c r="V63" s="314"/>
      <c r="W63" s="314"/>
      <c r="X63" s="314"/>
      <c r="Y63" s="314"/>
      <c r="Z63" s="314"/>
      <c r="AA63" s="314"/>
      <c r="AB63" s="314"/>
      <c r="AC63" s="314"/>
      <c r="AD63" s="314"/>
      <c r="AE63" s="316"/>
      <c r="AF63" s="315"/>
      <c r="AG63" s="315"/>
      <c r="AH63" s="314"/>
      <c r="AI63" s="415"/>
      <c r="AJ63" s="316" t="s">
        <v>384</v>
      </c>
      <c r="AK63" s="317">
        <v>8</v>
      </c>
      <c r="AL63" s="317"/>
      <c r="AM63" s="317"/>
      <c r="AN63" s="317"/>
      <c r="AO63" s="317">
        <v>209938.1163653681</v>
      </c>
      <c r="AP63" s="317">
        <v>209946.1163653681</v>
      </c>
      <c r="AQ63" s="286"/>
      <c r="AR63" s="262"/>
      <c r="AS63" s="262"/>
      <c r="AT63" s="262"/>
      <c r="AU63" s="286"/>
      <c r="AV63" s="262"/>
      <c r="AW63" s="262"/>
      <c r="AX63" s="262"/>
      <c r="AY63" s="286"/>
      <c r="AZ63" s="262"/>
      <c r="BA63" s="262"/>
      <c r="BB63" s="262"/>
    </row>
    <row r="64" spans="7:54" x14ac:dyDescent="0.2">
      <c r="U64" s="71"/>
    </row>
    <row r="65" spans="19:30" ht="15" x14ac:dyDescent="0.25">
      <c r="S65" s="319">
        <v>0</v>
      </c>
      <c r="T65" s="319">
        <v>0</v>
      </c>
      <c r="U65" s="319">
        <v>424938.9574869959</v>
      </c>
      <c r="V65" s="319">
        <v>667637.58231881796</v>
      </c>
      <c r="W65" s="319">
        <v>85895.055435629634</v>
      </c>
      <c r="X65" s="319">
        <v>-30396.135887500772</v>
      </c>
      <c r="Y65" s="319">
        <v>55498.91954812887</v>
      </c>
      <c r="Z65" s="319">
        <v>47067.469229091606</v>
      </c>
      <c r="AA65" s="319"/>
      <c r="AB65" s="319"/>
      <c r="AC65" s="319"/>
      <c r="AD65" s="319">
        <v>1195142.9285830345</v>
      </c>
    </row>
    <row r="66" spans="19:30" ht="15" x14ac:dyDescent="0.25">
      <c r="S66" s="319">
        <v>0</v>
      </c>
      <c r="T66" s="319">
        <v>0</v>
      </c>
      <c r="U66" s="319">
        <v>-60705.565355285129</v>
      </c>
      <c r="V66" s="319">
        <v>54852.741993399919</v>
      </c>
      <c r="W66" s="319">
        <v>85895.055435629634</v>
      </c>
      <c r="X66" s="319">
        <v>-30396.135887500772</v>
      </c>
      <c r="Y66" s="319">
        <v>55498.91954812887</v>
      </c>
      <c r="Z66" s="319">
        <v>-6252.6854204658521</v>
      </c>
      <c r="AA66" s="319"/>
      <c r="AB66" s="319"/>
      <c r="AC66" s="319"/>
      <c r="AD66" s="319">
        <v>27393.410765778041</v>
      </c>
    </row>
    <row r="71" spans="19:30" x14ac:dyDescent="0.2">
      <c r="T71" s="61">
        <v>675</v>
      </c>
      <c r="U71" s="61">
        <v>667.57500000000005</v>
      </c>
    </row>
    <row r="72" spans="19:30" x14ac:dyDescent="0.2">
      <c r="T72" s="61">
        <v>675</v>
      </c>
      <c r="U72" s="61">
        <v>667.57500000000005</v>
      </c>
      <c r="V72" s="61">
        <v>0</v>
      </c>
    </row>
  </sheetData>
  <conditionalFormatting sqref="AX7:AX48 BD7:BD48">
    <cfRule type="colorScale" priority="1">
      <colorScale>
        <cfvo type="min"/>
        <cfvo type="max"/>
        <color rgb="FFFCFCFF"/>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4E25-4617-46FF-9935-E7F280376642}">
  <sheetPr codeName="Sheet34">
    <tabColor rgb="FF002060"/>
  </sheetPr>
  <dimension ref="B1:BE72"/>
  <sheetViews>
    <sheetView topLeftCell="C1" workbookViewId="0">
      <selection activeCell="J5" sqref="J4:BB61"/>
    </sheetView>
  </sheetViews>
  <sheetFormatPr defaultColWidth="8.7109375" defaultRowHeight="14.25" outlineLevelRow="1" outlineLevelCol="1" x14ac:dyDescent="0.2"/>
  <cols>
    <col min="1" max="1" width="8.7109375" style="61"/>
    <col min="2" max="2" width="24.42578125" style="61" bestFit="1" customWidth="1"/>
    <col min="3" max="3" width="8.7109375" style="61"/>
    <col min="4" max="4" width="16.7109375" style="61" customWidth="1"/>
    <col min="5" max="5" width="13" style="61" bestFit="1" customWidth="1"/>
    <col min="6" max="7" width="8.7109375" style="61"/>
    <col min="8" max="8" width="27.7109375" style="61" customWidth="1"/>
    <col min="9" max="9" width="8.7109375" style="61"/>
    <col min="10" max="10" width="60" style="61" customWidth="1"/>
    <col min="11" max="11" width="13.5703125" style="61" hidden="1" customWidth="1" outlineLevel="1"/>
    <col min="12" max="12" width="12.28515625" style="61" hidden="1" customWidth="1" outlineLevel="1"/>
    <col min="13" max="13" width="13.5703125" style="61" hidden="1" customWidth="1" outlineLevel="1"/>
    <col min="14" max="14" width="12" style="61" hidden="1" customWidth="1" collapsed="1"/>
    <col min="15" max="16" width="12" style="61" hidden="1" customWidth="1"/>
    <col min="17" max="17" width="9.28515625" style="61" hidden="1" customWidth="1"/>
    <col min="18" max="18" width="2.42578125" style="61" hidden="1" customWidth="1"/>
    <col min="19" max="19" width="10.28515625" style="61" hidden="1" customWidth="1"/>
    <col min="20" max="20" width="10.28515625" style="61" hidden="1" customWidth="1" outlineLevel="1"/>
    <col min="21" max="21" width="10.28515625" style="61" hidden="1" customWidth="1" collapsed="1"/>
    <col min="22" max="22" width="10.28515625" style="61" hidden="1" customWidth="1"/>
    <col min="23" max="24" width="10.28515625" style="61" hidden="1" customWidth="1" outlineLevel="1"/>
    <col min="25" max="25" width="10.28515625" style="61" hidden="1" customWidth="1" collapsed="1"/>
    <col min="26" max="29" width="10.28515625" style="61" hidden="1" customWidth="1"/>
    <col min="30" max="30" width="11.28515625" style="61" hidden="1" customWidth="1"/>
    <col min="31" max="31" width="2.42578125" style="61" hidden="1" customWidth="1"/>
    <col min="32" max="34" width="11.42578125" style="61" hidden="1" customWidth="1"/>
    <col min="35" max="35" width="9.28515625" style="61" hidden="1" customWidth="1"/>
    <col min="36" max="36" width="2.42578125" style="61" hidden="1" customWidth="1"/>
    <col min="37" max="42" width="12.5703125" style="61" customWidth="1"/>
    <col min="43" max="43" width="2.42578125" style="61" customWidth="1"/>
    <col min="44" max="46" width="9.28515625" style="61" bestFit="1" customWidth="1"/>
    <col min="47" max="47" width="2.42578125" style="61" customWidth="1"/>
    <col min="48" max="50" width="9.28515625" style="61" bestFit="1" customWidth="1"/>
    <col min="51" max="51" width="2.42578125" style="61" customWidth="1"/>
    <col min="52" max="54" width="9.28515625" style="61" bestFit="1" customWidth="1"/>
    <col min="55" max="55" width="8.7109375" style="61"/>
    <col min="56" max="57" width="9.28515625" style="61" customWidth="1"/>
    <col min="58" max="16384" width="8.7109375" style="61"/>
  </cols>
  <sheetData>
    <row r="1" spans="2:57" x14ac:dyDescent="0.2">
      <c r="J1" s="314"/>
      <c r="K1" s="314"/>
      <c r="L1" s="314"/>
      <c r="M1" s="314"/>
      <c r="N1" s="314"/>
      <c r="O1" s="314"/>
      <c r="P1" s="314"/>
      <c r="Q1" s="314"/>
      <c r="R1" s="314"/>
      <c r="S1" s="414">
        <v>1</v>
      </c>
      <c r="T1" s="414">
        <v>0.9</v>
      </c>
      <c r="U1" s="414">
        <v>0.9</v>
      </c>
      <c r="V1" s="414">
        <v>0.9</v>
      </c>
      <c r="W1" s="414">
        <v>1</v>
      </c>
      <c r="X1" s="414">
        <v>1</v>
      </c>
      <c r="Y1" s="414">
        <v>1</v>
      </c>
      <c r="Z1" s="414">
        <v>1</v>
      </c>
      <c r="AA1" s="414">
        <v>1</v>
      </c>
      <c r="AB1" s="414">
        <v>1</v>
      </c>
      <c r="AC1" s="414">
        <v>0.75</v>
      </c>
      <c r="AD1" s="314" t="s">
        <v>332</v>
      </c>
      <c r="AE1" s="316"/>
      <c r="AF1" s="314"/>
      <c r="AG1" s="314"/>
      <c r="AH1" s="314"/>
      <c r="AI1" s="314"/>
      <c r="AJ1" s="316"/>
      <c r="AK1" s="314"/>
      <c r="AL1" s="314"/>
      <c r="AM1" s="314"/>
      <c r="AQ1" s="286"/>
      <c r="AU1" s="286"/>
      <c r="AY1" s="286"/>
    </row>
    <row r="3" spans="2:57" x14ac:dyDescent="0.2">
      <c r="W3" s="61">
        <v>4670.11657323496</v>
      </c>
      <c r="X3" s="61">
        <v>-7.5149613432586193E-2</v>
      </c>
      <c r="AA3" s="61" t="e">
        <v>#DIV/0!</v>
      </c>
    </row>
    <row r="4" spans="2:57" s="82" customFormat="1" ht="15" x14ac:dyDescent="0.25">
      <c r="B4" s="56" t="s">
        <v>335</v>
      </c>
    </row>
    <row r="5" spans="2:57" ht="13.9" customHeight="1" x14ac:dyDescent="0.2">
      <c r="K5" s="284" t="s">
        <v>336</v>
      </c>
      <c r="L5" s="284"/>
      <c r="M5" s="284"/>
      <c r="N5" s="284" t="s">
        <v>337</v>
      </c>
      <c r="O5" s="284"/>
      <c r="P5" s="477" t="s">
        <v>1082</v>
      </c>
      <c r="Q5" s="477"/>
      <c r="S5" s="477" t="s">
        <v>338</v>
      </c>
      <c r="T5" s="477"/>
      <c r="U5" s="477"/>
      <c r="V5" s="477"/>
      <c r="W5" s="477"/>
      <c r="X5" s="477"/>
      <c r="Y5" s="477"/>
      <c r="Z5" s="477"/>
      <c r="AA5" s="477"/>
      <c r="AB5" s="477"/>
      <c r="AC5" s="477"/>
      <c r="AD5" s="477"/>
      <c r="AE5" s="286"/>
      <c r="AF5" s="284"/>
      <c r="AG5" s="284"/>
      <c r="AH5" s="477" t="s">
        <v>1085</v>
      </c>
      <c r="AI5" s="477"/>
      <c r="AJ5" s="286"/>
      <c r="AK5" s="477" t="s">
        <v>252</v>
      </c>
      <c r="AL5" s="477"/>
      <c r="AM5" s="477"/>
      <c r="AN5" s="477"/>
      <c r="AO5" s="477"/>
      <c r="AP5" s="477"/>
      <c r="AQ5" s="286"/>
      <c r="AR5" s="477" t="s">
        <v>339</v>
      </c>
      <c r="AS5" s="477"/>
      <c r="AT5" s="477"/>
      <c r="AU5" s="286"/>
      <c r="AV5" s="477" t="s">
        <v>340</v>
      </c>
      <c r="AW5" s="477"/>
      <c r="AX5" s="477"/>
      <c r="AY5" s="286"/>
      <c r="AZ5" s="477" t="s">
        <v>341</v>
      </c>
      <c r="BA5" s="477"/>
      <c r="BB5" s="477"/>
      <c r="BD5" s="510"/>
      <c r="BE5" s="510"/>
    </row>
    <row r="6" spans="2:57" ht="60" x14ac:dyDescent="0.25">
      <c r="C6" s="239" t="s">
        <v>342</v>
      </c>
      <c r="D6" s="239" t="s">
        <v>343</v>
      </c>
      <c r="E6" s="239" t="s">
        <v>344</v>
      </c>
      <c r="G6" s="263" t="s">
        <v>13</v>
      </c>
      <c r="H6" s="264" t="s">
        <v>14</v>
      </c>
      <c r="I6" s="264" t="s">
        <v>15</v>
      </c>
      <c r="J6" s="264" t="s">
        <v>16</v>
      </c>
      <c r="K6" s="265" t="s">
        <v>7</v>
      </c>
      <c r="L6" s="265" t="s">
        <v>333</v>
      </c>
      <c r="M6" s="265" t="s">
        <v>115</v>
      </c>
      <c r="N6" s="265" t="s">
        <v>7</v>
      </c>
      <c r="O6" s="265" t="s">
        <v>333</v>
      </c>
      <c r="P6" s="265" t="s">
        <v>1110</v>
      </c>
      <c r="Q6" s="265" t="s">
        <v>1084</v>
      </c>
      <c r="S6" s="265" t="s">
        <v>345</v>
      </c>
      <c r="T6" s="265" t="s">
        <v>295</v>
      </c>
      <c r="U6" s="265" t="s">
        <v>346</v>
      </c>
      <c r="V6" s="265" t="s">
        <v>280</v>
      </c>
      <c r="W6" s="265" t="s">
        <v>347</v>
      </c>
      <c r="X6" s="265" t="s">
        <v>348</v>
      </c>
      <c r="Y6" s="265" t="s">
        <v>1073</v>
      </c>
      <c r="Z6" s="265" t="s">
        <v>212</v>
      </c>
      <c r="AA6" s="265" t="s">
        <v>1131</v>
      </c>
      <c r="AB6" s="265" t="s">
        <v>1130</v>
      </c>
      <c r="AC6" s="265" t="s">
        <v>1129</v>
      </c>
      <c r="AD6" s="265" t="s">
        <v>115</v>
      </c>
      <c r="AE6" s="286"/>
      <c r="AF6" s="265" t="s">
        <v>7</v>
      </c>
      <c r="AG6" s="265" t="s">
        <v>333</v>
      </c>
      <c r="AH6" s="265" t="s">
        <v>1110</v>
      </c>
      <c r="AI6" s="265" t="s">
        <v>1084</v>
      </c>
      <c r="AJ6" s="286"/>
      <c r="AK6" s="265" t="s">
        <v>1081</v>
      </c>
      <c r="AL6" s="265" t="s">
        <v>1069</v>
      </c>
      <c r="AM6" s="285" t="s">
        <v>1194</v>
      </c>
      <c r="AN6" s="265" t="s">
        <v>1070</v>
      </c>
      <c r="AO6" s="265" t="s">
        <v>1071</v>
      </c>
      <c r="AP6" s="265" t="s">
        <v>349</v>
      </c>
      <c r="AQ6" s="286"/>
      <c r="AR6" s="265" t="s">
        <v>7</v>
      </c>
      <c r="AS6" s="265" t="s">
        <v>333</v>
      </c>
      <c r="AT6" s="265" t="s">
        <v>115</v>
      </c>
      <c r="AU6" s="286"/>
      <c r="AV6" s="265" t="s">
        <v>7</v>
      </c>
      <c r="AW6" s="265" t="s">
        <v>333</v>
      </c>
      <c r="AX6" s="265" t="s">
        <v>115</v>
      </c>
      <c r="AY6" s="286"/>
      <c r="AZ6" s="265" t="s">
        <v>7</v>
      </c>
      <c r="BA6" s="265" t="s">
        <v>333</v>
      </c>
      <c r="BB6" s="265" t="s">
        <v>115</v>
      </c>
      <c r="BD6" s="265"/>
      <c r="BE6" s="265"/>
    </row>
    <row r="7" spans="2:57" x14ac:dyDescent="0.2">
      <c r="B7" s="98" t="s">
        <v>189</v>
      </c>
      <c r="C7" s="242" t="s">
        <v>194</v>
      </c>
      <c r="D7" s="240"/>
      <c r="E7" s="240" t="s">
        <v>194</v>
      </c>
      <c r="G7" s="266" t="s">
        <v>17</v>
      </c>
      <c r="H7" s="61" t="s">
        <v>18</v>
      </c>
      <c r="I7" s="61" t="s">
        <v>19</v>
      </c>
      <c r="J7" s="61" t="s">
        <v>20</v>
      </c>
      <c r="K7" s="311">
        <v>3048260.3937388603</v>
      </c>
      <c r="L7" s="311">
        <v>518473.07957153779</v>
      </c>
      <c r="M7" s="311">
        <v>3566733.4733103979</v>
      </c>
      <c r="N7" s="311">
        <v>57197.467761613894</v>
      </c>
      <c r="O7" s="311">
        <v>24835.92042846221</v>
      </c>
      <c r="P7" s="309">
        <v>82033.388190076104</v>
      </c>
      <c r="Q7" s="305">
        <v>2.2999584578978459E-2</v>
      </c>
      <c r="S7" s="311">
        <v>0</v>
      </c>
      <c r="T7" s="311">
        <v>0</v>
      </c>
      <c r="U7" s="311">
        <v>0</v>
      </c>
      <c r="V7" s="311">
        <v>15583.79697841547</v>
      </c>
      <c r="W7" s="311"/>
      <c r="X7" s="311"/>
      <c r="Y7" s="311">
        <v>0</v>
      </c>
      <c r="Z7" s="311">
        <v>0</v>
      </c>
      <c r="AA7" s="311"/>
      <c r="AB7" s="311">
        <v>0</v>
      </c>
      <c r="AC7" s="311">
        <v>17469.935768761854</v>
      </c>
      <c r="AD7" s="311">
        <v>33053.732747177324</v>
      </c>
      <c r="AE7" s="286"/>
      <c r="AF7" s="311">
        <v>90251.200508791226</v>
      </c>
      <c r="AG7" s="311">
        <v>24835.92042846221</v>
      </c>
      <c r="AH7" s="311">
        <v>115087.12093725344</v>
      </c>
      <c r="AI7" s="305">
        <v>3.2266812700876536E-2</v>
      </c>
      <c r="AJ7" s="286"/>
      <c r="AK7" s="311">
        <v>-30000</v>
      </c>
      <c r="AL7" s="311">
        <v>33053.732747177324</v>
      </c>
      <c r="AM7" s="311">
        <v>-5925.8636400320102</v>
      </c>
      <c r="AN7" s="311">
        <v>-14393.19143805766</v>
      </c>
      <c r="AO7" s="311">
        <v>12734.677669087654</v>
      </c>
      <c r="AP7" s="311">
        <v>-17265.322330912346</v>
      </c>
      <c r="AQ7" s="286"/>
      <c r="AR7" s="303">
        <v>1.8763970387535703E-2</v>
      </c>
      <c r="AS7" s="305">
        <v>4.7902044304762026E-2</v>
      </c>
      <c r="AT7" s="305">
        <v>2.2999584578978459E-2</v>
      </c>
      <c r="AU7" s="286"/>
      <c r="AV7" s="305">
        <v>1.0843474138584039E-2</v>
      </c>
      <c r="AW7" s="305">
        <v>0</v>
      </c>
      <c r="AX7" s="449">
        <v>9.2672281218980773E-3</v>
      </c>
      <c r="AY7" s="286"/>
      <c r="AZ7" s="305">
        <v>2.9607444526119742E-2</v>
      </c>
      <c r="BA7" s="305">
        <v>4.7902044304762026E-2</v>
      </c>
      <c r="BB7" s="305">
        <v>3.2266812700876536E-2</v>
      </c>
      <c r="BD7" s="511">
        <f>SUMIFS('SC1'!AX:AX,'SC1'!I:I,I7)</f>
        <v>9.8781596801314139E-3</v>
      </c>
      <c r="BE7" s="511">
        <f>SUMIFS('SC2'!AX:AX,'SC2'!I:I,I7)</f>
        <v>9.8583292084382448E-3</v>
      </c>
    </row>
    <row r="8" spans="2:57" x14ac:dyDescent="0.2">
      <c r="B8" s="98" t="s">
        <v>350</v>
      </c>
      <c r="C8" s="242" t="s">
        <v>194</v>
      </c>
      <c r="D8" s="240"/>
      <c r="E8" s="240" t="s">
        <v>194</v>
      </c>
      <c r="G8" s="267" t="s">
        <v>17</v>
      </c>
      <c r="H8" s="268" t="s">
        <v>18</v>
      </c>
      <c r="I8" s="61" t="s">
        <v>21</v>
      </c>
      <c r="J8" s="61" t="s">
        <v>22</v>
      </c>
      <c r="K8" s="311">
        <v>6013766.1069202833</v>
      </c>
      <c r="L8" s="311">
        <v>944926.6747170426</v>
      </c>
      <c r="M8" s="311">
        <v>6958692.7816373259</v>
      </c>
      <c r="N8" s="311">
        <v>95468.032513257116</v>
      </c>
      <c r="O8" s="311">
        <v>44212.325282957405</v>
      </c>
      <c r="P8" s="309">
        <v>139680.35779621452</v>
      </c>
      <c r="Q8" s="305">
        <v>2.0072786970105155E-2</v>
      </c>
      <c r="S8" s="311">
        <v>0</v>
      </c>
      <c r="T8" s="311">
        <v>0</v>
      </c>
      <c r="U8" s="311">
        <v>0</v>
      </c>
      <c r="V8" s="311">
        <v>30691.165546584554</v>
      </c>
      <c r="W8" s="311"/>
      <c r="X8" s="311"/>
      <c r="Y8" s="311">
        <v>0</v>
      </c>
      <c r="Z8" s="311">
        <v>0</v>
      </c>
      <c r="AA8" s="311"/>
      <c r="AB8" s="311">
        <v>0</v>
      </c>
      <c r="AC8" s="311">
        <v>34405.780023308922</v>
      </c>
      <c r="AD8" s="311">
        <v>65096.945569893476</v>
      </c>
      <c r="AE8" s="286"/>
      <c r="AF8" s="311">
        <v>160564.97808315058</v>
      </c>
      <c r="AG8" s="311">
        <v>44212.325282957405</v>
      </c>
      <c r="AH8" s="311">
        <v>204777.30336610798</v>
      </c>
      <c r="AI8" s="305">
        <v>2.9427553391418077E-2</v>
      </c>
      <c r="AJ8" s="286"/>
      <c r="AK8" s="311">
        <v>-34638</v>
      </c>
      <c r="AL8" s="311">
        <v>65096.945569893476</v>
      </c>
      <c r="AM8" s="311">
        <v>-11670.561560485685</v>
      </c>
      <c r="AN8" s="311">
        <v>-28081.099446933553</v>
      </c>
      <c r="AO8" s="311">
        <v>25345.284562474237</v>
      </c>
      <c r="AP8" s="311">
        <v>-9292.7154375257633</v>
      </c>
      <c r="AQ8" s="286"/>
      <c r="AR8" s="303">
        <v>1.5874916120099551E-2</v>
      </c>
      <c r="AS8" s="305">
        <v>4.6789159906187157E-2</v>
      </c>
      <c r="AT8" s="305">
        <v>2.0072786970105155E-2</v>
      </c>
      <c r="AU8" s="286"/>
      <c r="AV8" s="305">
        <v>1.0824655367787546E-2</v>
      </c>
      <c r="AW8" s="305">
        <v>0</v>
      </c>
      <c r="AX8" s="449">
        <v>9.3547664213129225E-3</v>
      </c>
      <c r="AY8" s="286"/>
      <c r="AZ8" s="305">
        <v>2.6699571487887097E-2</v>
      </c>
      <c r="BA8" s="305">
        <v>4.6789159906187157E-2</v>
      </c>
      <c r="BB8" s="305">
        <v>2.9427553391418077E-2</v>
      </c>
      <c r="BD8" s="511">
        <f>SUMIFS('SC1'!AX:AX,'SC1'!I:I,I8)</f>
        <v>1.0251003121015203E-2</v>
      </c>
      <c r="BE8" s="511">
        <f>SUMIFS('SC2'!AX:AX,'SC2'!I:I,I8)</f>
        <v>9.8864919503094013E-3</v>
      </c>
    </row>
    <row r="9" spans="2:57" x14ac:dyDescent="0.2">
      <c r="B9" s="98" t="s">
        <v>198</v>
      </c>
      <c r="C9" s="242" t="s">
        <v>200</v>
      </c>
      <c r="D9" s="242">
        <v>230</v>
      </c>
      <c r="E9" s="253">
        <v>1</v>
      </c>
      <c r="G9" s="267" t="s">
        <v>17</v>
      </c>
      <c r="H9" s="268" t="s">
        <v>18</v>
      </c>
      <c r="I9" s="61" t="s">
        <v>23</v>
      </c>
      <c r="J9" s="61" t="s">
        <v>24</v>
      </c>
      <c r="K9" s="311">
        <v>2624831.9901583381</v>
      </c>
      <c r="L9" s="311">
        <v>484846.53629568382</v>
      </c>
      <c r="M9" s="311">
        <v>3109678.5264540222</v>
      </c>
      <c r="N9" s="311">
        <v>44595.050029436126</v>
      </c>
      <c r="O9" s="311">
        <v>17472.259423059877</v>
      </c>
      <c r="P9" s="309">
        <v>62067.309452496003</v>
      </c>
      <c r="Q9" s="305">
        <v>1.9959397386093019E-2</v>
      </c>
      <c r="S9" s="311">
        <v>0</v>
      </c>
      <c r="T9" s="311">
        <v>0</v>
      </c>
      <c r="U9" s="311">
        <v>0</v>
      </c>
      <c r="V9" s="311">
        <v>13395.790875407989</v>
      </c>
      <c r="W9" s="311"/>
      <c r="X9" s="311"/>
      <c r="Y9" s="311">
        <v>0</v>
      </c>
      <c r="Z9" s="311">
        <v>0</v>
      </c>
      <c r="AA9" s="311"/>
      <c r="AB9" s="311">
        <v>0</v>
      </c>
      <c r="AC9" s="311">
        <v>15017.110816399942</v>
      </c>
      <c r="AD9" s="311">
        <v>28412.901691807929</v>
      </c>
      <c r="AE9" s="286"/>
      <c r="AF9" s="311">
        <v>73007.951721244055</v>
      </c>
      <c r="AG9" s="311">
        <v>17472.259423059877</v>
      </c>
      <c r="AH9" s="311">
        <v>90480.211144303932</v>
      </c>
      <c r="AI9" s="305">
        <v>2.9096323100471368E-2</v>
      </c>
      <c r="AJ9" s="286"/>
      <c r="AK9" s="311">
        <v>-54500</v>
      </c>
      <c r="AL9" s="311">
        <v>28412.901691807929</v>
      </c>
      <c r="AM9" s="311">
        <v>-5093.8567916407837</v>
      </c>
      <c r="AN9" s="311">
        <v>-12548.792523184607</v>
      </c>
      <c r="AO9" s="311">
        <v>10770.252376982537</v>
      </c>
      <c r="AP9" s="311">
        <v>-43729.747623017465</v>
      </c>
      <c r="AQ9" s="286"/>
      <c r="AR9" s="303">
        <v>1.6989677890487009E-2</v>
      </c>
      <c r="AS9" s="305">
        <v>3.6036679887518915E-2</v>
      </c>
      <c r="AT9" s="305">
        <v>1.9959397386093019E-2</v>
      </c>
      <c r="AU9" s="286"/>
      <c r="AV9" s="305">
        <v>1.0824655367787546E-2</v>
      </c>
      <c r="AW9" s="305">
        <v>0</v>
      </c>
      <c r="AX9" s="449">
        <v>9.1369257143783487E-3</v>
      </c>
      <c r="AY9" s="286"/>
      <c r="AZ9" s="305">
        <v>2.7814333258274555E-2</v>
      </c>
      <c r="BA9" s="305">
        <v>3.6036679887518915E-2</v>
      </c>
      <c r="BB9" s="305">
        <v>2.9096323100471368E-2</v>
      </c>
      <c r="BD9" s="511">
        <f>SUMIFS('SC1'!AX:AX,'SC1'!I:I,I9)</f>
        <v>9.6262752269695578E-3</v>
      </c>
      <c r="BE9" s="511">
        <f>SUMIFS('SC2'!AX:AX,'SC2'!I:I,I9)</f>
        <v>8.8791090606655798E-3</v>
      </c>
    </row>
    <row r="10" spans="2:57" x14ac:dyDescent="0.2">
      <c r="B10" s="98" t="s">
        <v>203</v>
      </c>
      <c r="C10" s="242" t="s">
        <v>200</v>
      </c>
      <c r="D10" s="240"/>
      <c r="E10" s="253">
        <v>0</v>
      </c>
      <c r="G10" s="269" t="s">
        <v>17</v>
      </c>
      <c r="H10" s="270" t="s">
        <v>18</v>
      </c>
      <c r="I10" s="271" t="s">
        <v>25</v>
      </c>
      <c r="J10" s="271" t="s">
        <v>26</v>
      </c>
      <c r="K10" s="312">
        <v>4409923.2175515071</v>
      </c>
      <c r="L10" s="312">
        <v>697032.31230978144</v>
      </c>
      <c r="M10" s="312">
        <v>5106955.5298612881</v>
      </c>
      <c r="N10" s="312">
        <v>77972.981732874177</v>
      </c>
      <c r="O10" s="312">
        <v>33453.687690218561</v>
      </c>
      <c r="P10" s="310">
        <v>111426.66942309274</v>
      </c>
      <c r="Q10" s="306">
        <v>2.1818609692518556E-2</v>
      </c>
      <c r="S10" s="312">
        <v>0</v>
      </c>
      <c r="T10" s="312">
        <v>0</v>
      </c>
      <c r="U10" s="312">
        <v>0</v>
      </c>
      <c r="V10" s="312">
        <v>22541.011567956386</v>
      </c>
      <c r="W10" s="312"/>
      <c r="X10" s="312"/>
      <c r="Y10" s="312">
        <v>0</v>
      </c>
      <c r="Z10" s="312">
        <v>0</v>
      </c>
      <c r="AA10" s="312"/>
      <c r="AB10" s="312">
        <v>0</v>
      </c>
      <c r="AC10" s="312">
        <v>25269.196255607007</v>
      </c>
      <c r="AD10" s="312">
        <v>47810.207823563396</v>
      </c>
      <c r="AE10" s="286"/>
      <c r="AF10" s="312">
        <v>125783.18955643757</v>
      </c>
      <c r="AG10" s="312">
        <v>33453.687690218561</v>
      </c>
      <c r="AH10" s="312">
        <v>159236.87724665613</v>
      </c>
      <c r="AI10" s="306">
        <v>3.1180392371848442E-2</v>
      </c>
      <c r="AJ10" s="286"/>
      <c r="AK10" s="312">
        <v>0</v>
      </c>
      <c r="AL10" s="312">
        <v>47810.207823563396</v>
      </c>
      <c r="AM10" s="312">
        <v>-8571.4002206973892</v>
      </c>
      <c r="AN10" s="312">
        <v>-20608.601443583066</v>
      </c>
      <c r="AO10" s="312">
        <v>18630.206159282941</v>
      </c>
      <c r="AP10" s="312">
        <v>18630.206159282941</v>
      </c>
      <c r="AQ10" s="286"/>
      <c r="AR10" s="304">
        <v>1.7681256086850103E-2</v>
      </c>
      <c r="AS10" s="306">
        <v>4.799445750134862E-2</v>
      </c>
      <c r="AT10" s="306">
        <v>2.1818609692518556E-2</v>
      </c>
      <c r="AU10" s="286"/>
      <c r="AV10" s="306">
        <v>1.0841505728099447E-2</v>
      </c>
      <c r="AW10" s="306">
        <v>0</v>
      </c>
      <c r="AX10" s="449">
        <v>9.3617826793298865E-3</v>
      </c>
      <c r="AY10" s="286"/>
      <c r="AZ10" s="306">
        <v>2.8522761814949549E-2</v>
      </c>
      <c r="BA10" s="306">
        <v>4.799445750134862E-2</v>
      </c>
      <c r="BB10" s="306">
        <v>3.1180392371848442E-2</v>
      </c>
      <c r="BD10" s="511">
        <f>SUMIFS('SC1'!AX:AX,'SC1'!I:I,I10)</f>
        <v>9.9798467916287735E-3</v>
      </c>
      <c r="BE10" s="511">
        <f>SUMIFS('SC2'!AX:AX,'SC2'!I:I,I10)</f>
        <v>9.8982875271130706E-3</v>
      </c>
    </row>
    <row r="11" spans="2:57" x14ac:dyDescent="0.2">
      <c r="B11" s="98" t="s">
        <v>208</v>
      </c>
      <c r="C11" s="242" t="s">
        <v>200</v>
      </c>
      <c r="D11" s="413" t="s">
        <v>1080</v>
      </c>
      <c r="E11" s="253">
        <v>0</v>
      </c>
      <c r="G11" s="266" t="s">
        <v>27</v>
      </c>
      <c r="H11" s="61" t="s">
        <v>28</v>
      </c>
      <c r="I11" s="61" t="s">
        <v>29</v>
      </c>
      <c r="J11" s="61" t="s">
        <v>30</v>
      </c>
      <c r="K11" s="311">
        <v>5279034.5227323426</v>
      </c>
      <c r="L11" s="311">
        <v>941747.05148924538</v>
      </c>
      <c r="M11" s="311">
        <v>6220781.5742215877</v>
      </c>
      <c r="N11" s="311">
        <v>90830.688755045645</v>
      </c>
      <c r="O11" s="311">
        <v>34142.767536125844</v>
      </c>
      <c r="P11" s="309">
        <v>124973.45629117149</v>
      </c>
      <c r="Q11" s="305">
        <v>2.0089671177179941E-2</v>
      </c>
      <c r="S11" s="311">
        <v>0</v>
      </c>
      <c r="T11" s="311">
        <v>0</v>
      </c>
      <c r="U11" s="311">
        <v>0</v>
      </c>
      <c r="V11" s="311">
        <v>26941.473875558724</v>
      </c>
      <c r="W11" s="311"/>
      <c r="X11" s="311"/>
      <c r="Y11" s="311">
        <v>0</v>
      </c>
      <c r="Z11" s="311">
        <v>0</v>
      </c>
      <c r="AA11" s="311"/>
      <c r="AB11" s="311">
        <v>0</v>
      </c>
      <c r="AC11" s="311">
        <v>30202.255507671711</v>
      </c>
      <c r="AD11" s="311">
        <v>57143.729383230435</v>
      </c>
      <c r="AE11" s="286"/>
      <c r="AF11" s="311">
        <v>147974.41813827609</v>
      </c>
      <c r="AG11" s="311">
        <v>34142.767536125844</v>
      </c>
      <c r="AH11" s="311">
        <v>182117.18567440193</v>
      </c>
      <c r="AI11" s="305">
        <v>2.9275611673793646E-2</v>
      </c>
      <c r="AJ11" s="286"/>
      <c r="AK11" s="311">
        <v>0</v>
      </c>
      <c r="AL11" s="311">
        <v>57143.729383230435</v>
      </c>
      <c r="AM11" s="311">
        <v>-10244.711264473799</v>
      </c>
      <c r="AN11" s="311">
        <v>-25103.333557752769</v>
      </c>
      <c r="AO11" s="311">
        <v>21795.684561003865</v>
      </c>
      <c r="AP11" s="311">
        <v>21795.684561003865</v>
      </c>
      <c r="AQ11" s="286"/>
      <c r="AR11" s="303">
        <v>1.7205928160521512E-2</v>
      </c>
      <c r="AS11" s="305">
        <v>3.6254711370886358E-2</v>
      </c>
      <c r="AT11" s="305">
        <v>2.0089671177179941E-2</v>
      </c>
      <c r="AU11" s="286"/>
      <c r="AV11" s="305">
        <v>1.0824655367787549E-2</v>
      </c>
      <c r="AW11" s="305">
        <v>0</v>
      </c>
      <c r="AX11" s="449">
        <v>9.1859404966137051E-3</v>
      </c>
      <c r="AY11" s="286"/>
      <c r="AZ11" s="305">
        <v>2.8030583528309061E-2</v>
      </c>
      <c r="BA11" s="305">
        <v>3.6254711370886358E-2</v>
      </c>
      <c r="BB11" s="305">
        <v>2.9275611673793646E-2</v>
      </c>
      <c r="BD11" s="511">
        <f>SUMIFS('SC1'!AX:AX,'SC1'!I:I,I11)</f>
        <v>9.678407645341728E-3</v>
      </c>
      <c r="BE11" s="511">
        <f>SUMIFS('SC2'!AX:AX,'SC2'!I:I,I11)</f>
        <v>8.9267637511732632E-3</v>
      </c>
    </row>
    <row r="12" spans="2:57" x14ac:dyDescent="0.2">
      <c r="B12" s="98" t="s">
        <v>212</v>
      </c>
      <c r="C12" s="242" t="s">
        <v>200</v>
      </c>
      <c r="D12" s="240" t="s">
        <v>1106</v>
      </c>
      <c r="E12" s="253">
        <v>0</v>
      </c>
      <c r="G12" s="267" t="s">
        <v>27</v>
      </c>
      <c r="H12" s="268" t="s">
        <v>28</v>
      </c>
      <c r="I12" s="61" t="s">
        <v>31</v>
      </c>
      <c r="J12" s="61" t="s">
        <v>8</v>
      </c>
      <c r="K12" s="311">
        <v>5656247.185408433</v>
      </c>
      <c r="L12" s="311">
        <v>1116891.9456620421</v>
      </c>
      <c r="M12" s="311">
        <v>6773139.1310704751</v>
      </c>
      <c r="N12" s="311">
        <v>92163.31825776957</v>
      </c>
      <c r="O12" s="311">
        <v>36940.209962800378</v>
      </c>
      <c r="P12" s="309">
        <v>129103.52822056995</v>
      </c>
      <c r="Q12" s="305">
        <v>1.906110678109834E-2</v>
      </c>
      <c r="S12" s="311">
        <v>0</v>
      </c>
      <c r="T12" s="311">
        <v>0</v>
      </c>
      <c r="U12" s="311">
        <v>0</v>
      </c>
      <c r="V12" s="311">
        <v>28866.573068082624</v>
      </c>
      <c r="W12" s="311"/>
      <c r="X12" s="311"/>
      <c r="Y12" s="311">
        <v>0</v>
      </c>
      <c r="Z12" s="311">
        <v>0</v>
      </c>
      <c r="AA12" s="311"/>
      <c r="AB12" s="311">
        <v>0</v>
      </c>
      <c r="AC12" s="311">
        <v>32360.353388981981</v>
      </c>
      <c r="AD12" s="311">
        <v>61226.926457064605</v>
      </c>
      <c r="AE12" s="286"/>
      <c r="AF12" s="311">
        <v>153390.24471483417</v>
      </c>
      <c r="AG12" s="311">
        <v>36940.209962800378</v>
      </c>
      <c r="AH12" s="311">
        <v>190330.45467763455</v>
      </c>
      <c r="AI12" s="305">
        <v>2.8100774396399172E-2</v>
      </c>
      <c r="AJ12" s="286"/>
      <c r="AK12" s="311">
        <v>-200422</v>
      </c>
      <c r="AL12" s="311">
        <v>61226.926457064605</v>
      </c>
      <c r="AM12" s="311">
        <v>-10976.745654053757</v>
      </c>
      <c r="AN12" s="311">
        <v>-27332.31649619617</v>
      </c>
      <c r="AO12" s="311">
        <v>22917.864306814681</v>
      </c>
      <c r="AP12" s="311">
        <v>-177504.13569318532</v>
      </c>
      <c r="AQ12" s="286"/>
      <c r="AR12" s="303">
        <v>1.6294075424342427E-2</v>
      </c>
      <c r="AS12" s="305">
        <v>3.307411259099368E-2</v>
      </c>
      <c r="AT12" s="305">
        <v>1.906110678109834E-2</v>
      </c>
      <c r="AU12" s="286"/>
      <c r="AV12" s="305">
        <v>1.0824655367787546E-2</v>
      </c>
      <c r="AW12" s="305">
        <v>0</v>
      </c>
      <c r="AX12" s="449">
        <v>9.0396676153008323E-3</v>
      </c>
      <c r="AY12" s="286"/>
      <c r="AZ12" s="305">
        <v>2.7118730792129973E-2</v>
      </c>
      <c r="BA12" s="305">
        <v>3.307411259099368E-2</v>
      </c>
      <c r="BB12" s="305">
        <v>2.8100774396399172E-2</v>
      </c>
      <c r="BD12" s="511">
        <f>SUMIFS('SC1'!AX:AX,'SC1'!I:I,I12)</f>
        <v>9.522141253181543E-3</v>
      </c>
      <c r="BE12" s="511">
        <f>SUMIFS('SC2'!AX:AX,'SC2'!I:I,I12)</f>
        <v>8.7845623856751438E-3</v>
      </c>
    </row>
    <row r="13" spans="2:57" x14ac:dyDescent="0.2">
      <c r="B13" s="98" t="s">
        <v>216</v>
      </c>
      <c r="C13" s="242" t="s">
        <v>200</v>
      </c>
      <c r="D13" s="240"/>
      <c r="E13" s="254" t="s">
        <v>352</v>
      </c>
      <c r="G13" s="269" t="s">
        <v>27</v>
      </c>
      <c r="H13" s="270" t="s">
        <v>28</v>
      </c>
      <c r="I13" s="271" t="s">
        <v>32</v>
      </c>
      <c r="J13" s="271" t="s">
        <v>33</v>
      </c>
      <c r="K13" s="312">
        <v>3506623.0145232137</v>
      </c>
      <c r="L13" s="312">
        <v>601835.21210633765</v>
      </c>
      <c r="M13" s="312">
        <v>4108458.2266295515</v>
      </c>
      <c r="N13" s="312">
        <v>58183.87041085586</v>
      </c>
      <c r="O13" s="312">
        <v>28459.787893662346</v>
      </c>
      <c r="P13" s="310">
        <v>86643.658304518205</v>
      </c>
      <c r="Q13" s="306">
        <v>2.1089093164663356E-2</v>
      </c>
      <c r="S13" s="312">
        <v>0</v>
      </c>
      <c r="T13" s="312">
        <v>0</v>
      </c>
      <c r="U13" s="312">
        <v>0</v>
      </c>
      <c r="V13" s="312">
        <v>17895.99820391251</v>
      </c>
      <c r="W13" s="312"/>
      <c r="X13" s="312"/>
      <c r="Y13" s="312">
        <v>0</v>
      </c>
      <c r="Z13" s="312">
        <v>0</v>
      </c>
      <c r="AA13" s="312"/>
      <c r="AB13" s="312">
        <v>0</v>
      </c>
      <c r="AC13" s="312">
        <v>20061.987433053549</v>
      </c>
      <c r="AD13" s="312">
        <v>37957.985636966056</v>
      </c>
      <c r="AE13" s="286"/>
      <c r="AF13" s="312">
        <v>96141.856047821915</v>
      </c>
      <c r="AG13" s="312">
        <v>28459.787893662346</v>
      </c>
      <c r="AH13" s="312">
        <v>124601.64394148426</v>
      </c>
      <c r="AI13" s="306">
        <v>3.032807858039328E-2</v>
      </c>
      <c r="AJ13" s="286"/>
      <c r="AK13" s="312">
        <v>-198490</v>
      </c>
      <c r="AL13" s="312">
        <v>37957.985636966056</v>
      </c>
      <c r="AM13" s="312">
        <v>-6805.0966786546378</v>
      </c>
      <c r="AN13" s="312">
        <v>-16579.266775506509</v>
      </c>
      <c r="AO13" s="312">
        <v>14573.622182804909</v>
      </c>
      <c r="AP13" s="312">
        <v>-183916.37781719508</v>
      </c>
      <c r="AQ13" s="286"/>
      <c r="AR13" s="304">
        <v>1.6592565031906335E-2</v>
      </c>
      <c r="AS13" s="306">
        <v>4.7288339600564638E-2</v>
      </c>
      <c r="AT13" s="306">
        <v>2.1089093164663356E-2</v>
      </c>
      <c r="AU13" s="286"/>
      <c r="AV13" s="306">
        <v>1.0824655367787549E-2</v>
      </c>
      <c r="AW13" s="306">
        <v>0</v>
      </c>
      <c r="AX13" s="449">
        <v>9.2389854157299243E-3</v>
      </c>
      <c r="AY13" s="286"/>
      <c r="AZ13" s="306">
        <v>2.7417220399693885E-2</v>
      </c>
      <c r="BA13" s="306">
        <v>4.7288339600564638E-2</v>
      </c>
      <c r="BB13" s="306">
        <v>3.032807858039328E-2</v>
      </c>
      <c r="BD13" s="511">
        <f>SUMIFS('SC1'!AX:AX,'SC1'!I:I,I13)</f>
        <v>1.0162182213475653E-2</v>
      </c>
      <c r="BE13" s="511">
        <f>SUMIFS('SC2'!AX:AX,'SC2'!I:I,I13)</f>
        <v>9.8369988822217189E-3</v>
      </c>
    </row>
    <row r="14" spans="2:57" x14ac:dyDescent="0.2">
      <c r="B14" s="98" t="s">
        <v>218</v>
      </c>
      <c r="C14" s="242" t="s">
        <v>194</v>
      </c>
      <c r="D14" s="242">
        <v>675</v>
      </c>
      <c r="E14" s="253">
        <v>5.1738494230590022E-3</v>
      </c>
      <c r="F14" s="445">
        <v>0.7982062780269058</v>
      </c>
      <c r="G14" s="266" t="s">
        <v>34</v>
      </c>
      <c r="H14" s="61" t="s">
        <v>35</v>
      </c>
      <c r="I14" s="61" t="s">
        <v>36</v>
      </c>
      <c r="J14" s="61" t="s">
        <v>37</v>
      </c>
      <c r="K14" s="311">
        <v>2574908.3183812057</v>
      </c>
      <c r="L14" s="311">
        <v>544962.09035921283</v>
      </c>
      <c r="M14" s="311">
        <v>3119870.4087404185</v>
      </c>
      <c r="N14" s="311">
        <v>79377.315752677619</v>
      </c>
      <c r="O14" s="311">
        <v>17523.556946943398</v>
      </c>
      <c r="P14" s="309">
        <v>96900.872699621017</v>
      </c>
      <c r="Q14" s="305">
        <v>3.1059262086062956E-2</v>
      </c>
      <c r="S14" s="311">
        <v>0</v>
      </c>
      <c r="T14" s="311">
        <v>0</v>
      </c>
      <c r="U14" s="311">
        <v>0</v>
      </c>
      <c r="V14" s="311">
        <v>13348.832293321399</v>
      </c>
      <c r="W14" s="311"/>
      <c r="X14" s="311"/>
      <c r="Y14" s="311">
        <v>0</v>
      </c>
      <c r="Z14" s="311">
        <v>0</v>
      </c>
      <c r="AA14" s="311"/>
      <c r="AB14" s="311">
        <v>0</v>
      </c>
      <c r="AC14" s="311">
        <v>14964.468741173918</v>
      </c>
      <c r="AD14" s="311">
        <v>28313.301034495315</v>
      </c>
      <c r="AE14" s="286"/>
      <c r="AF14" s="311">
        <v>107690.61678717294</v>
      </c>
      <c r="AG14" s="311">
        <v>17523.556946943398</v>
      </c>
      <c r="AH14" s="311">
        <v>125214.17373411634</v>
      </c>
      <c r="AI14" s="305">
        <v>4.0134415001124649E-2</v>
      </c>
      <c r="AJ14" s="286"/>
      <c r="AK14" s="311">
        <v>0</v>
      </c>
      <c r="AL14" s="311">
        <v>28313.301034495315</v>
      </c>
      <c r="AM14" s="311">
        <v>-5076.0004146256188</v>
      </c>
      <c r="AN14" s="311">
        <v>-12589.920831189664</v>
      </c>
      <c r="AO14" s="311">
        <v>10647.379788680033</v>
      </c>
      <c r="AP14" s="311">
        <v>10647.379788680033</v>
      </c>
      <c r="AQ14" s="286"/>
      <c r="AR14" s="303">
        <v>3.0827239628702811E-2</v>
      </c>
      <c r="AS14" s="305">
        <v>3.215555220619605E-2</v>
      </c>
      <c r="AT14" s="305">
        <v>3.1059262086062956E-2</v>
      </c>
      <c r="AU14" s="286"/>
      <c r="AV14" s="305">
        <v>1.0995848214236749E-2</v>
      </c>
      <c r="AW14" s="305">
        <v>0</v>
      </c>
      <c r="AX14" s="449">
        <v>9.0751529150616926E-3</v>
      </c>
      <c r="AY14" s="286"/>
      <c r="AZ14" s="305">
        <v>4.182308784293956E-2</v>
      </c>
      <c r="BA14" s="305">
        <v>3.215555220619605E-2</v>
      </c>
      <c r="BB14" s="305">
        <v>4.0134415001124649E-2</v>
      </c>
      <c r="BD14" s="511">
        <f>SUMIFS('SC1'!AX:AX,'SC1'!I:I,I14)</f>
        <v>7.170468946115293E-3</v>
      </c>
      <c r="BE14" s="511">
        <f>SUMIFS('SC2'!AX:AX,'SC2'!I:I,I14)</f>
        <v>8.8191123743334814E-3</v>
      </c>
    </row>
    <row r="15" spans="2:57" x14ac:dyDescent="0.2">
      <c r="B15" s="98" t="s">
        <v>1105</v>
      </c>
      <c r="C15" s="242" t="s">
        <v>200</v>
      </c>
      <c r="D15" s="240"/>
      <c r="E15" s="254">
        <v>0</v>
      </c>
      <c r="G15" s="267" t="s">
        <v>34</v>
      </c>
      <c r="H15" s="268" t="s">
        <v>35</v>
      </c>
      <c r="I15" s="61" t="s">
        <v>38</v>
      </c>
      <c r="J15" s="61" t="s">
        <v>39</v>
      </c>
      <c r="K15" s="311">
        <v>2278092.835673023</v>
      </c>
      <c r="L15" s="311">
        <v>412828.24853130744</v>
      </c>
      <c r="M15" s="311">
        <v>2690921.0842043306</v>
      </c>
      <c r="N15" s="311">
        <v>36573.871690907516</v>
      </c>
      <c r="O15" s="311">
        <v>14952.869283407053</v>
      </c>
      <c r="P15" s="309">
        <v>51526.740974314569</v>
      </c>
      <c r="Q15" s="305">
        <v>1.9148365694102224E-2</v>
      </c>
      <c r="S15" s="311">
        <v>0</v>
      </c>
      <c r="T15" s="311">
        <v>0</v>
      </c>
      <c r="U15" s="311">
        <v>0</v>
      </c>
      <c r="V15" s="311">
        <v>11626.212776993822</v>
      </c>
      <c r="W15" s="311"/>
      <c r="X15" s="311"/>
      <c r="Y15" s="311">
        <v>0</v>
      </c>
      <c r="Z15" s="311">
        <v>0</v>
      </c>
      <c r="AA15" s="311"/>
      <c r="AB15" s="311">
        <v>0</v>
      </c>
      <c r="AC15" s="311">
        <v>13033.357064992526</v>
      </c>
      <c r="AD15" s="311">
        <v>24659.569841986347</v>
      </c>
      <c r="AE15" s="286"/>
      <c r="AF15" s="311">
        <v>61233.441532893863</v>
      </c>
      <c r="AG15" s="311">
        <v>14952.869283407053</v>
      </c>
      <c r="AH15" s="311">
        <v>76186.310816300916</v>
      </c>
      <c r="AI15" s="305">
        <v>2.8312354183670976E-2</v>
      </c>
      <c r="AJ15" s="286"/>
      <c r="AK15" s="311">
        <v>-78751</v>
      </c>
      <c r="AL15" s="311">
        <v>24659.569841986347</v>
      </c>
      <c r="AM15" s="311">
        <v>-4420.9605439475135</v>
      </c>
      <c r="AN15" s="311">
        <v>-10858.939306645527</v>
      </c>
      <c r="AO15" s="311">
        <v>9379.669991393308</v>
      </c>
      <c r="AP15" s="311">
        <v>-69371.330008606688</v>
      </c>
      <c r="AQ15" s="286"/>
      <c r="AR15" s="303">
        <v>1.6054601076036658E-2</v>
      </c>
      <c r="AS15" s="305">
        <v>3.622055742697821E-2</v>
      </c>
      <c r="AT15" s="305">
        <v>1.9148365694102224E-2</v>
      </c>
      <c r="AU15" s="286"/>
      <c r="AV15" s="305">
        <v>1.0824655367787549E-2</v>
      </c>
      <c r="AW15" s="305">
        <v>0</v>
      </c>
      <c r="AX15" s="449">
        <v>9.1639884895687515E-3</v>
      </c>
      <c r="AY15" s="286"/>
      <c r="AZ15" s="305">
        <v>2.6879256443824207E-2</v>
      </c>
      <c r="BA15" s="305">
        <v>3.622055742697821E-2</v>
      </c>
      <c r="BB15" s="305">
        <v>2.8312354183670976E-2</v>
      </c>
      <c r="BD15" s="511">
        <f>SUMIFS('SC1'!AX:AX,'SC1'!I:I,I15)</f>
        <v>9.6525835653978875E-3</v>
      </c>
      <c r="BE15" s="511">
        <f>SUMIFS('SC2'!AX:AX,'SC2'!I:I,I15)</f>
        <v>8.9053495075075741E-3</v>
      </c>
    </row>
    <row r="16" spans="2:57" x14ac:dyDescent="0.2">
      <c r="B16" s="98" t="s">
        <v>1128</v>
      </c>
      <c r="C16" s="242" t="s">
        <v>194</v>
      </c>
      <c r="D16" s="240"/>
      <c r="E16" s="254">
        <v>5.8000509903509212E-3</v>
      </c>
      <c r="G16" s="267" t="s">
        <v>34</v>
      </c>
      <c r="H16" s="268" t="s">
        <v>35</v>
      </c>
      <c r="I16" s="61" t="s">
        <v>40</v>
      </c>
      <c r="J16" s="61" t="s">
        <v>41</v>
      </c>
      <c r="K16" s="311">
        <v>1685365.9442301078</v>
      </c>
      <c r="L16" s="311">
        <v>313055.19999377243</v>
      </c>
      <c r="M16" s="311">
        <v>1998421.1442238803</v>
      </c>
      <c r="N16" s="311">
        <v>47353.865951861953</v>
      </c>
      <c r="O16" s="311">
        <v>14146.800006227568</v>
      </c>
      <c r="P16" s="309">
        <v>61500.665958089521</v>
      </c>
      <c r="Q16" s="305">
        <v>3.0774627328102214E-2</v>
      </c>
      <c r="S16" s="311">
        <v>0</v>
      </c>
      <c r="T16" s="311">
        <v>0</v>
      </c>
      <c r="U16" s="311">
        <v>0</v>
      </c>
      <c r="V16" s="311">
        <v>8662.6811683834258</v>
      </c>
      <c r="W16" s="311"/>
      <c r="X16" s="311"/>
      <c r="Y16" s="311">
        <v>0</v>
      </c>
      <c r="Z16" s="311">
        <v>0</v>
      </c>
      <c r="AA16" s="311"/>
      <c r="AB16" s="311">
        <v>0</v>
      </c>
      <c r="AC16" s="311">
        <v>9711.1431704694169</v>
      </c>
      <c r="AD16" s="311">
        <v>18373.824338852843</v>
      </c>
      <c r="AE16" s="286"/>
      <c r="AF16" s="311">
        <v>65727.690290714789</v>
      </c>
      <c r="AG16" s="311">
        <v>14146.800006227568</v>
      </c>
      <c r="AH16" s="311">
        <v>79874.490296942357</v>
      </c>
      <c r="AI16" s="305">
        <v>3.9968797631974078E-2</v>
      </c>
      <c r="AJ16" s="286"/>
      <c r="AK16" s="311">
        <v>0</v>
      </c>
      <c r="AL16" s="311">
        <v>18373.824338852843</v>
      </c>
      <c r="AM16" s="311">
        <v>-3294.0539094556966</v>
      </c>
      <c r="AN16" s="311">
        <v>-8064.4259847036137</v>
      </c>
      <c r="AO16" s="311">
        <v>7015.3444446935318</v>
      </c>
      <c r="AP16" s="311">
        <v>7015.3444446935318</v>
      </c>
      <c r="AQ16" s="286"/>
      <c r="AR16" s="303">
        <v>2.8097082484655093E-2</v>
      </c>
      <c r="AS16" s="305">
        <v>4.5189474592688406E-2</v>
      </c>
      <c r="AT16" s="305">
        <v>3.0774627328102214E-2</v>
      </c>
      <c r="AU16" s="286"/>
      <c r="AV16" s="305">
        <v>1.0901979123143005E-2</v>
      </c>
      <c r="AW16" s="305">
        <v>0</v>
      </c>
      <c r="AX16" s="449">
        <v>9.1941703038718632E-3</v>
      </c>
      <c r="AY16" s="286"/>
      <c r="AZ16" s="305">
        <v>3.8999061607798098E-2</v>
      </c>
      <c r="BA16" s="305">
        <v>4.5189474592688406E-2</v>
      </c>
      <c r="BB16" s="305">
        <v>3.9968797631974078E-2</v>
      </c>
      <c r="BD16" s="511">
        <f>SUMIFS('SC1'!AX:AX,'SC1'!I:I,I16)</f>
        <v>8.8860644289661152E-3</v>
      </c>
      <c r="BE16" s="511">
        <f>SUMIFS('SC2'!AX:AX,'SC2'!I:I,I16)</f>
        <v>9.8514557479790453E-3</v>
      </c>
    </row>
    <row r="17" spans="7:57" x14ac:dyDescent="0.2">
      <c r="G17" s="267" t="s">
        <v>34</v>
      </c>
      <c r="H17" s="268" t="s">
        <v>35</v>
      </c>
      <c r="I17" s="61" t="s">
        <v>42</v>
      </c>
      <c r="J17" s="61" t="s">
        <v>43</v>
      </c>
      <c r="K17" s="311">
        <v>1962581.0752503697</v>
      </c>
      <c r="L17" s="311">
        <v>322102.10294092807</v>
      </c>
      <c r="M17" s="311">
        <v>2284683.1781912977</v>
      </c>
      <c r="N17" s="311">
        <v>37295.525835746434</v>
      </c>
      <c r="O17" s="311">
        <v>15912.897059071925</v>
      </c>
      <c r="P17" s="309">
        <v>53208.422894818359</v>
      </c>
      <c r="Q17" s="305">
        <v>2.328919099274919E-2</v>
      </c>
      <c r="S17" s="311">
        <v>0</v>
      </c>
      <c r="T17" s="311">
        <v>0</v>
      </c>
      <c r="U17" s="311">
        <v>0</v>
      </c>
      <c r="V17" s="311">
        <v>10016.00321798173</v>
      </c>
      <c r="W17" s="311"/>
      <c r="X17" s="311"/>
      <c r="Y17" s="311">
        <v>0</v>
      </c>
      <c r="Z17" s="311">
        <v>0</v>
      </c>
      <c r="AA17" s="311"/>
      <c r="AB17" s="311">
        <v>0</v>
      </c>
      <c r="AC17" s="311">
        <v>11228.260552945445</v>
      </c>
      <c r="AD17" s="311">
        <v>21244.263770927173</v>
      </c>
      <c r="AE17" s="286"/>
      <c r="AF17" s="311">
        <v>58539.789606673607</v>
      </c>
      <c r="AG17" s="311">
        <v>15912.897059071925</v>
      </c>
      <c r="AH17" s="311">
        <v>74452.686665745539</v>
      </c>
      <c r="AI17" s="305">
        <v>3.2587751061697354E-2</v>
      </c>
      <c r="AJ17" s="286"/>
      <c r="AK17" s="311">
        <v>-62500</v>
      </c>
      <c r="AL17" s="311">
        <v>21244.263770927173</v>
      </c>
      <c r="AM17" s="311">
        <v>-3808.6654600345341</v>
      </c>
      <c r="AN17" s="311">
        <v>-9219.607409716762</v>
      </c>
      <c r="AO17" s="311">
        <v>8215.9909011758755</v>
      </c>
      <c r="AP17" s="311">
        <v>-54284.009098824128</v>
      </c>
      <c r="AQ17" s="286"/>
      <c r="AR17" s="303">
        <v>1.9003304528954851E-2</v>
      </c>
      <c r="AS17" s="305">
        <v>4.9403269689270772E-2</v>
      </c>
      <c r="AT17" s="305">
        <v>2.328919099274919E-2</v>
      </c>
      <c r="AU17" s="286"/>
      <c r="AV17" s="305">
        <v>1.0824655367787549E-2</v>
      </c>
      <c r="AW17" s="305">
        <v>0</v>
      </c>
      <c r="AX17" s="449">
        <v>9.298560068948164E-3</v>
      </c>
      <c r="AY17" s="286"/>
      <c r="AZ17" s="305">
        <v>2.98279598967424E-2</v>
      </c>
      <c r="BA17" s="305">
        <v>4.9403269689270772E-2</v>
      </c>
      <c r="BB17" s="305">
        <v>3.2587751061697354E-2</v>
      </c>
      <c r="BD17" s="511">
        <f>SUMIFS('SC1'!AX:AX,'SC1'!I:I,I17)</f>
        <v>1.0215355286815379E-2</v>
      </c>
      <c r="BE17" s="511">
        <f>SUMIFS('SC2'!AX:AX,'SC2'!I:I,I17)</f>
        <v>9.864299762275576E-3</v>
      </c>
    </row>
    <row r="18" spans="7:57" x14ac:dyDescent="0.2">
      <c r="G18" s="267" t="s">
        <v>34</v>
      </c>
      <c r="H18" s="268" t="s">
        <v>35</v>
      </c>
      <c r="I18" s="61" t="s">
        <v>44</v>
      </c>
      <c r="J18" s="61" t="s">
        <v>45</v>
      </c>
      <c r="K18" s="311">
        <v>1398930.5188933569</v>
      </c>
      <c r="L18" s="311">
        <v>254797.12308630819</v>
      </c>
      <c r="M18" s="311">
        <v>1653727.641979665</v>
      </c>
      <c r="N18" s="311">
        <v>29740.031029047677</v>
      </c>
      <c r="O18" s="311">
        <v>12680.876913691813</v>
      </c>
      <c r="P18" s="309">
        <v>42420.90794273949</v>
      </c>
      <c r="Q18" s="305">
        <v>2.5651689471645849E-2</v>
      </c>
      <c r="S18" s="311">
        <v>0</v>
      </c>
      <c r="T18" s="311">
        <v>0</v>
      </c>
      <c r="U18" s="311">
        <v>0</v>
      </c>
      <c r="V18" s="311">
        <v>7139.4210184061922</v>
      </c>
      <c r="W18" s="311"/>
      <c r="X18" s="311"/>
      <c r="Y18" s="311">
        <v>0</v>
      </c>
      <c r="Z18" s="311">
        <v>0</v>
      </c>
      <c r="AA18" s="311"/>
      <c r="AB18" s="311">
        <v>0</v>
      </c>
      <c r="AC18" s="311">
        <v>8003.5197320946054</v>
      </c>
      <c r="AD18" s="311">
        <v>15142.940750500798</v>
      </c>
      <c r="AE18" s="286"/>
      <c r="AF18" s="311">
        <v>44882.971779548476</v>
      </c>
      <c r="AG18" s="311">
        <v>12680.876913691813</v>
      </c>
      <c r="AH18" s="311">
        <v>57563.848693240288</v>
      </c>
      <c r="AI18" s="305">
        <v>3.4808542369365633E-2</v>
      </c>
      <c r="AJ18" s="286"/>
      <c r="AK18" s="311">
        <v>-65655</v>
      </c>
      <c r="AL18" s="311">
        <v>15142.940750500798</v>
      </c>
      <c r="AM18" s="311">
        <v>-2714.8220348642703</v>
      </c>
      <c r="AN18" s="311">
        <v>-6673.4502915714702</v>
      </c>
      <c r="AO18" s="311">
        <v>5754.6684240650584</v>
      </c>
      <c r="AP18" s="311">
        <v>-59900.331575934943</v>
      </c>
      <c r="AQ18" s="286"/>
      <c r="AR18" s="303">
        <v>2.1259119468330662E-2</v>
      </c>
      <c r="AS18" s="305">
        <v>4.9768524699536666E-2</v>
      </c>
      <c r="AT18" s="305">
        <v>2.5651689471645849E-2</v>
      </c>
      <c r="AU18" s="286"/>
      <c r="AV18" s="305">
        <v>1.0824655367787549E-2</v>
      </c>
      <c r="AW18" s="305">
        <v>0</v>
      </c>
      <c r="AX18" s="449">
        <v>9.156852897719784E-3</v>
      </c>
      <c r="AY18" s="286"/>
      <c r="AZ18" s="305">
        <v>3.2083774836118212E-2</v>
      </c>
      <c r="BA18" s="305">
        <v>4.9768524699536666E-2</v>
      </c>
      <c r="BB18" s="305">
        <v>3.4808542369365633E-2</v>
      </c>
      <c r="BD18" s="511">
        <f>SUMIFS('SC1'!AX:AX,'SC1'!I:I,I18)</f>
        <v>1.0110103010533517E-2</v>
      </c>
      <c r="BE18" s="511">
        <f>SUMIFS('SC2'!AX:AX,'SC2'!I:I,I18)</f>
        <v>9.8036953233705711E-3</v>
      </c>
    </row>
    <row r="19" spans="7:57" x14ac:dyDescent="0.2">
      <c r="G19" s="267" t="s">
        <v>34</v>
      </c>
      <c r="H19" s="268" t="s">
        <v>35</v>
      </c>
      <c r="I19" s="61" t="s">
        <v>46</v>
      </c>
      <c r="J19" s="61" t="s">
        <v>47</v>
      </c>
      <c r="K19" s="311">
        <v>1777648.0142066516</v>
      </c>
      <c r="L19" s="311">
        <v>359790.82190727431</v>
      </c>
      <c r="M19" s="311">
        <v>2137438.836113926</v>
      </c>
      <c r="N19" s="311">
        <v>48676.413719905075</v>
      </c>
      <c r="O19" s="311">
        <v>12537.156591430306</v>
      </c>
      <c r="P19" s="309">
        <v>61213.570311335381</v>
      </c>
      <c r="Q19" s="305">
        <v>2.8638747119720007E-2</v>
      </c>
      <c r="S19" s="311">
        <v>0</v>
      </c>
      <c r="T19" s="311">
        <v>0</v>
      </c>
      <c r="U19" s="311">
        <v>0</v>
      </c>
      <c r="V19" s="311">
        <v>9127.168678695316</v>
      </c>
      <c r="W19" s="311"/>
      <c r="X19" s="311"/>
      <c r="Y19" s="311">
        <v>0</v>
      </c>
      <c r="Z19" s="311">
        <v>0</v>
      </c>
      <c r="AA19" s="311"/>
      <c r="AB19" s="311">
        <v>0</v>
      </c>
      <c r="AC19" s="311">
        <v>10231.848553232039</v>
      </c>
      <c r="AD19" s="311">
        <v>19359.017231927355</v>
      </c>
      <c r="AE19" s="286"/>
      <c r="AF19" s="311">
        <v>68035.43095183243</v>
      </c>
      <c r="AG19" s="311">
        <v>12537.156591430306</v>
      </c>
      <c r="AH19" s="311">
        <v>80572.587543262736</v>
      </c>
      <c r="AI19" s="305">
        <v>3.7695856453020954E-2</v>
      </c>
      <c r="AJ19" s="286"/>
      <c r="AK19" s="311">
        <v>-61072</v>
      </c>
      <c r="AL19" s="311">
        <v>19359.017231927355</v>
      </c>
      <c r="AM19" s="311">
        <v>-3470.6790061775409</v>
      </c>
      <c r="AN19" s="311">
        <v>-8625.4177906860314</v>
      </c>
      <c r="AO19" s="311">
        <v>7262.9204350637829</v>
      </c>
      <c r="AP19" s="311">
        <v>-53809.079564936219</v>
      </c>
      <c r="AQ19" s="286"/>
      <c r="AR19" s="303">
        <v>2.7382481419770226E-2</v>
      </c>
      <c r="AS19" s="305">
        <v>3.4845682068736582E-2</v>
      </c>
      <c r="AT19" s="305">
        <v>2.8638747119720007E-2</v>
      </c>
      <c r="AU19" s="286"/>
      <c r="AV19" s="305">
        <v>1.0890242093605416E-2</v>
      </c>
      <c r="AW19" s="305">
        <v>0</v>
      </c>
      <c r="AX19" s="449">
        <v>9.0571093333009466E-3</v>
      </c>
      <c r="AY19" s="286"/>
      <c r="AZ19" s="305">
        <v>3.8272723513375642E-2</v>
      </c>
      <c r="BA19" s="305">
        <v>3.4845682068736582E-2</v>
      </c>
      <c r="BB19" s="305">
        <v>3.7695856453020954E-2</v>
      </c>
      <c r="BD19" s="511">
        <f>SUMIFS('SC1'!AX:AX,'SC1'!I:I,I19)</f>
        <v>8.490957804072146E-3</v>
      </c>
      <c r="BE19" s="511">
        <f>SUMIFS('SC2'!AX:AX,'SC2'!I:I,I19)</f>
        <v>8.8014859813529446E-3</v>
      </c>
    </row>
    <row r="20" spans="7:57" x14ac:dyDescent="0.2">
      <c r="G20" s="267" t="s">
        <v>34</v>
      </c>
      <c r="H20" s="268" t="s">
        <v>35</v>
      </c>
      <c r="I20" s="61" t="s">
        <v>48</v>
      </c>
      <c r="J20" s="61" t="s">
        <v>49</v>
      </c>
      <c r="K20" s="311">
        <v>1430540.2336945874</v>
      </c>
      <c r="L20" s="311">
        <v>244617.26023720729</v>
      </c>
      <c r="M20" s="311">
        <v>1675157.4939317945</v>
      </c>
      <c r="N20" s="311">
        <v>29031.516430947464</v>
      </c>
      <c r="O20" s="311">
        <v>12182.739762792713</v>
      </c>
      <c r="P20" s="309">
        <v>41214.256193740177</v>
      </c>
      <c r="Q20" s="305">
        <v>2.4603212738526094E-2</v>
      </c>
      <c r="S20" s="311">
        <v>0</v>
      </c>
      <c r="T20" s="311">
        <v>0</v>
      </c>
      <c r="U20" s="311">
        <v>0</v>
      </c>
      <c r="V20" s="311">
        <v>7300.7407259898482</v>
      </c>
      <c r="W20" s="311"/>
      <c r="X20" s="311"/>
      <c r="Y20" s="311">
        <v>0</v>
      </c>
      <c r="Z20" s="311">
        <v>0</v>
      </c>
      <c r="AA20" s="311"/>
      <c r="AB20" s="311">
        <v>0</v>
      </c>
      <c r="AC20" s="311">
        <v>8184.3642935083208</v>
      </c>
      <c r="AD20" s="311">
        <v>15485.105019498169</v>
      </c>
      <c r="AE20" s="286"/>
      <c r="AF20" s="311">
        <v>44516.621450445629</v>
      </c>
      <c r="AG20" s="311">
        <v>12182.739762792713</v>
      </c>
      <c r="AH20" s="311">
        <v>56699.361213238342</v>
      </c>
      <c r="AI20" s="305">
        <v>3.3847182380540339E-2</v>
      </c>
      <c r="AJ20" s="286"/>
      <c r="AK20" s="311">
        <v>-28894</v>
      </c>
      <c r="AL20" s="311">
        <v>15485.105019498169</v>
      </c>
      <c r="AM20" s="311">
        <v>-2776.1651459760651</v>
      </c>
      <c r="AN20" s="311">
        <v>-6759.928287178458</v>
      </c>
      <c r="AO20" s="311">
        <v>5949.0115863436458</v>
      </c>
      <c r="AP20" s="311">
        <v>-22944.988413656356</v>
      </c>
      <c r="AQ20" s="286"/>
      <c r="AR20" s="303">
        <v>2.0294092921783236E-2</v>
      </c>
      <c r="AS20" s="305">
        <v>4.9803271244960451E-2</v>
      </c>
      <c r="AT20" s="305">
        <v>2.4603212738526094E-2</v>
      </c>
      <c r="AU20" s="286"/>
      <c r="AV20" s="305">
        <v>1.0824655367787546E-2</v>
      </c>
      <c r="AW20" s="305">
        <v>0</v>
      </c>
      <c r="AX20" s="449">
        <v>9.243969642014245E-3</v>
      </c>
      <c r="AY20" s="286"/>
      <c r="AZ20" s="305">
        <v>3.1118748289570782E-2</v>
      </c>
      <c r="BA20" s="305">
        <v>4.9803271244960451E-2</v>
      </c>
      <c r="BB20" s="305">
        <v>3.3847182380540339E-2</v>
      </c>
      <c r="BD20" s="511">
        <f>SUMIFS('SC1'!AX:AX,'SC1'!I:I,I20)</f>
        <v>1.0176004567666964E-2</v>
      </c>
      <c r="BE20" s="511">
        <f>SUMIFS('SC2'!AX:AX,'SC2'!I:I,I20)</f>
        <v>9.8415529246719674E-3</v>
      </c>
    </row>
    <row r="21" spans="7:57" x14ac:dyDescent="0.2">
      <c r="G21" s="267" t="s">
        <v>34</v>
      </c>
      <c r="H21" s="268" t="s">
        <v>35</v>
      </c>
      <c r="I21" s="61" t="s">
        <v>50</v>
      </c>
      <c r="J21" s="61" t="s">
        <v>51</v>
      </c>
      <c r="K21" s="311">
        <v>1308776.6234172874</v>
      </c>
      <c r="L21" s="311">
        <v>227386.69840213092</v>
      </c>
      <c r="M21" s="311">
        <v>1536163.3218194183</v>
      </c>
      <c r="N21" s="311">
        <v>29060.265408934793</v>
      </c>
      <c r="O21" s="311">
        <v>12118.301597869082</v>
      </c>
      <c r="P21" s="309">
        <v>41178.567006803874</v>
      </c>
      <c r="Q21" s="305">
        <v>2.6806112619608923E-2</v>
      </c>
      <c r="S21" s="311">
        <v>0</v>
      </c>
      <c r="T21" s="311">
        <v>0</v>
      </c>
      <c r="U21" s="311">
        <v>0</v>
      </c>
      <c r="V21" s="311">
        <v>6679.3219587601052</v>
      </c>
      <c r="W21" s="311"/>
      <c r="X21" s="311"/>
      <c r="Y21" s="311">
        <v>0</v>
      </c>
      <c r="Z21" s="311">
        <v>0</v>
      </c>
      <c r="AA21" s="311"/>
      <c r="AB21" s="311">
        <v>0</v>
      </c>
      <c r="AC21" s="311">
        <v>7487.7339431486989</v>
      </c>
      <c r="AD21" s="311">
        <v>14167.055901908803</v>
      </c>
      <c r="AE21" s="286"/>
      <c r="AF21" s="311">
        <v>43227.321310843596</v>
      </c>
      <c r="AG21" s="311">
        <v>12118.301597869082</v>
      </c>
      <c r="AH21" s="311">
        <v>55345.622908712678</v>
      </c>
      <c r="AI21" s="305">
        <v>3.6028475698249199E-2</v>
      </c>
      <c r="AJ21" s="286"/>
      <c r="AK21" s="311">
        <v>-34826</v>
      </c>
      <c r="AL21" s="311">
        <v>14167.055901908803</v>
      </c>
      <c r="AM21" s="311">
        <v>-2539.8656816631851</v>
      </c>
      <c r="AN21" s="311">
        <v>-6199.0313928750629</v>
      </c>
      <c r="AO21" s="311">
        <v>5428.1588273705556</v>
      </c>
      <c r="AP21" s="311">
        <v>-29397.841172629443</v>
      </c>
      <c r="AQ21" s="286"/>
      <c r="AR21" s="303">
        <v>2.2204144610297859E-2</v>
      </c>
      <c r="AS21" s="305">
        <v>5.3293801629671393E-2</v>
      </c>
      <c r="AT21" s="305">
        <v>2.6806112619608923E-2</v>
      </c>
      <c r="AU21" s="286"/>
      <c r="AV21" s="305">
        <v>1.0824655367787549E-2</v>
      </c>
      <c r="AW21" s="305">
        <v>0</v>
      </c>
      <c r="AX21" s="449">
        <v>9.2223630786402756E-3</v>
      </c>
      <c r="AY21" s="286"/>
      <c r="AZ21" s="305">
        <v>3.3028799978085409E-2</v>
      </c>
      <c r="BA21" s="305">
        <v>5.3293801629671393E-2</v>
      </c>
      <c r="BB21" s="305">
        <v>3.6028475698249199E-2</v>
      </c>
      <c r="BD21" s="511">
        <f>SUMIFS('SC1'!AX:AX,'SC1'!I:I,I21)</f>
        <v>1.0164648233243059E-2</v>
      </c>
      <c r="BE21" s="511">
        <f>SUMIFS('SC2'!AX:AX,'SC2'!I:I,I21)</f>
        <v>9.8344323824865847E-3</v>
      </c>
    </row>
    <row r="22" spans="7:57" x14ac:dyDescent="0.2">
      <c r="G22" s="267" t="s">
        <v>34</v>
      </c>
      <c r="H22" s="268" t="s">
        <v>35</v>
      </c>
      <c r="I22" s="61" t="s">
        <v>52</v>
      </c>
      <c r="J22" s="61" t="s">
        <v>53</v>
      </c>
      <c r="K22" s="311">
        <v>2105020.7165497779</v>
      </c>
      <c r="L22" s="311">
        <v>405681.49977994605</v>
      </c>
      <c r="M22" s="311">
        <v>2510702.2163297241</v>
      </c>
      <c r="N22" s="311">
        <v>46880.141031249426</v>
      </c>
      <c r="O22" s="311">
        <v>14810.223440669535</v>
      </c>
      <c r="P22" s="309">
        <v>61690.364471918961</v>
      </c>
      <c r="Q22" s="305">
        <v>2.4570960295761862E-2</v>
      </c>
      <c r="S22" s="311">
        <v>0</v>
      </c>
      <c r="T22" s="311">
        <v>0</v>
      </c>
      <c r="U22" s="311">
        <v>0</v>
      </c>
      <c r="V22" s="311">
        <v>10775.422669289153</v>
      </c>
      <c r="W22" s="311"/>
      <c r="X22" s="311"/>
      <c r="Y22" s="311">
        <v>0</v>
      </c>
      <c r="Z22" s="311">
        <v>0</v>
      </c>
      <c r="AA22" s="311"/>
      <c r="AB22" s="311">
        <v>0</v>
      </c>
      <c r="AC22" s="311">
        <v>12079.594092150603</v>
      </c>
      <c r="AD22" s="311">
        <v>22855.016761439758</v>
      </c>
      <c r="AE22" s="286"/>
      <c r="AF22" s="311">
        <v>69735.157792689191</v>
      </c>
      <c r="AG22" s="311">
        <v>14810.223440669535</v>
      </c>
      <c r="AH22" s="311">
        <v>84545.381233358727</v>
      </c>
      <c r="AI22" s="305">
        <v>3.3673997929133781E-2</v>
      </c>
      <c r="AJ22" s="286"/>
      <c r="AK22" s="311">
        <v>-91486</v>
      </c>
      <c r="AL22" s="311">
        <v>22855.016761439758</v>
      </c>
      <c r="AM22" s="311">
        <v>-4097.4407899665657</v>
      </c>
      <c r="AN22" s="311">
        <v>-10131.684330774922</v>
      </c>
      <c r="AO22" s="311">
        <v>8625.891640698268</v>
      </c>
      <c r="AP22" s="311">
        <v>-82860.108359301725</v>
      </c>
      <c r="AQ22" s="286"/>
      <c r="AR22" s="303">
        <v>2.2270631667743419E-2</v>
      </c>
      <c r="AS22" s="305">
        <v>3.6507022007912733E-2</v>
      </c>
      <c r="AT22" s="305">
        <v>2.4570960295761862E-2</v>
      </c>
      <c r="AU22" s="286"/>
      <c r="AV22" s="305">
        <v>1.0857383294022947E-2</v>
      </c>
      <c r="AW22" s="305">
        <v>0</v>
      </c>
      <c r="AX22" s="449">
        <v>9.1030376333719187E-3</v>
      </c>
      <c r="AY22" s="286"/>
      <c r="AZ22" s="305">
        <v>3.3128014961766365E-2</v>
      </c>
      <c r="BA22" s="305">
        <v>3.6507022007912733E-2</v>
      </c>
      <c r="BB22" s="305">
        <v>3.3673997929133781E-2</v>
      </c>
      <c r="BD22" s="511">
        <f>SUMIFS('SC1'!AX:AX,'SC1'!I:I,I22)</f>
        <v>9.0630529388268793E-3</v>
      </c>
      <c r="BE22" s="511">
        <f>SUMIFS('SC2'!AX:AX,'SC2'!I:I,I22)</f>
        <v>8.846175853531181E-3</v>
      </c>
    </row>
    <row r="23" spans="7:57" x14ac:dyDescent="0.2">
      <c r="G23" s="267" t="s">
        <v>34</v>
      </c>
      <c r="H23" s="268" t="s">
        <v>35</v>
      </c>
      <c r="I23" s="61" t="s">
        <v>54</v>
      </c>
      <c r="J23" s="61" t="s">
        <v>55</v>
      </c>
      <c r="K23" s="311">
        <v>916403.00407981756</v>
      </c>
      <c r="L23" s="311">
        <v>154471.73507291987</v>
      </c>
      <c r="M23" s="311">
        <v>1070874.7391527374</v>
      </c>
      <c r="N23" s="311">
        <v>22832.387407506933</v>
      </c>
      <c r="O23" s="311">
        <v>8481.2649270801339</v>
      </c>
      <c r="P23" s="309">
        <v>31313.652334587066</v>
      </c>
      <c r="Q23" s="305">
        <v>2.9241190579733008E-2</v>
      </c>
      <c r="S23" s="311">
        <v>0</v>
      </c>
      <c r="T23" s="311">
        <v>0</v>
      </c>
      <c r="U23" s="311">
        <v>0</v>
      </c>
      <c r="V23" s="311">
        <v>4676.8490502542099</v>
      </c>
      <c r="W23" s="311"/>
      <c r="X23" s="311"/>
      <c r="Y23" s="311">
        <v>0</v>
      </c>
      <c r="Z23" s="311">
        <v>0</v>
      </c>
      <c r="AA23" s="311"/>
      <c r="AB23" s="311">
        <v>0</v>
      </c>
      <c r="AC23" s="311">
        <v>5242.897646915023</v>
      </c>
      <c r="AD23" s="311">
        <v>9919.7466971692338</v>
      </c>
      <c r="AE23" s="286"/>
      <c r="AF23" s="311">
        <v>32752.134104676166</v>
      </c>
      <c r="AG23" s="311">
        <v>8481.2649270801339</v>
      </c>
      <c r="AH23" s="311">
        <v>41233.3990317563</v>
      </c>
      <c r="AI23" s="305">
        <v>3.8504409081849898E-2</v>
      </c>
      <c r="AJ23" s="286"/>
      <c r="AK23" s="311">
        <v>-130814</v>
      </c>
      <c r="AL23" s="311">
        <v>9919.7466971692338</v>
      </c>
      <c r="AM23" s="311">
        <v>-1778.4093167541766</v>
      </c>
      <c r="AN23" s="311">
        <v>-4321.4064751801698</v>
      </c>
      <c r="AO23" s="311">
        <v>3819.9309052348872</v>
      </c>
      <c r="AP23" s="311">
        <v>-126994.06909476512</v>
      </c>
      <c r="AQ23" s="286"/>
      <c r="AR23" s="303">
        <v>2.4915225403951489E-2</v>
      </c>
      <c r="AS23" s="305">
        <v>5.49049631835654E-2</v>
      </c>
      <c r="AT23" s="305">
        <v>2.9241190579733008E-2</v>
      </c>
      <c r="AU23" s="286"/>
      <c r="AV23" s="305">
        <v>1.0824655367787553E-2</v>
      </c>
      <c r="AW23" s="305">
        <v>0</v>
      </c>
      <c r="AX23" s="449">
        <v>9.2632185021168899E-3</v>
      </c>
      <c r="AY23" s="286"/>
      <c r="AZ23" s="305">
        <v>3.5739880771739042E-2</v>
      </c>
      <c r="BA23" s="305">
        <v>5.49049631835654E-2</v>
      </c>
      <c r="BB23" s="305">
        <v>3.8504409081849898E-2</v>
      </c>
      <c r="BD23" s="511">
        <f>SUMIFS('SC1'!AX:AX,'SC1'!I:I,I23)</f>
        <v>1.0203811856529816E-2</v>
      </c>
      <c r="BE23" s="511">
        <f>SUMIFS('SC2'!AX:AX,'SC2'!I:I,I23)</f>
        <v>9.8534720998114701E-3</v>
      </c>
    </row>
    <row r="24" spans="7:57" x14ac:dyDescent="0.2">
      <c r="G24" s="269" t="s">
        <v>34</v>
      </c>
      <c r="H24" s="270" t="s">
        <v>35</v>
      </c>
      <c r="I24" s="271" t="s">
        <v>56</v>
      </c>
      <c r="J24" s="271" t="s">
        <v>57</v>
      </c>
      <c r="K24" s="312">
        <v>2085541.323485509</v>
      </c>
      <c r="L24" s="312">
        <v>389957.46990226448</v>
      </c>
      <c r="M24" s="312">
        <v>2475498.7933877734</v>
      </c>
      <c r="N24" s="312">
        <v>37498.100742110051</v>
      </c>
      <c r="O24" s="312">
        <v>14311.21266796469</v>
      </c>
      <c r="P24" s="310">
        <v>51809.313410074741</v>
      </c>
      <c r="Q24" s="306">
        <v>2.0928838078394931E-2</v>
      </c>
      <c r="S24" s="312">
        <v>0</v>
      </c>
      <c r="T24" s="312">
        <v>0</v>
      </c>
      <c r="U24" s="312">
        <v>0</v>
      </c>
      <c r="V24" s="312">
        <v>10643.529009164584</v>
      </c>
      <c r="W24" s="312"/>
      <c r="X24" s="312"/>
      <c r="Y24" s="312">
        <v>0</v>
      </c>
      <c r="Z24" s="312">
        <v>0</v>
      </c>
      <c r="AA24" s="312"/>
      <c r="AB24" s="312">
        <v>0</v>
      </c>
      <c r="AC24" s="312">
        <v>11931.737072845581</v>
      </c>
      <c r="AD24" s="312">
        <v>22575.266082010166</v>
      </c>
      <c r="AE24" s="286"/>
      <c r="AF24" s="312">
        <v>60073.366824120218</v>
      </c>
      <c r="AG24" s="312">
        <v>14311.21266796469</v>
      </c>
      <c r="AH24" s="312">
        <v>74384.579492084915</v>
      </c>
      <c r="AI24" s="306">
        <v>3.004831983387397E-2</v>
      </c>
      <c r="AJ24" s="286"/>
      <c r="AK24" s="312">
        <v>-91446</v>
      </c>
      <c r="AL24" s="312">
        <v>22575.266082010166</v>
      </c>
      <c r="AM24" s="312">
        <v>-4047.2871691278533</v>
      </c>
      <c r="AN24" s="312">
        <v>-9989.6244854094293</v>
      </c>
      <c r="AO24" s="312">
        <v>8538.3544274728847</v>
      </c>
      <c r="AP24" s="312">
        <v>-82907.645572527108</v>
      </c>
      <c r="AQ24" s="286"/>
      <c r="AR24" s="304">
        <v>1.7980032483576248E-2</v>
      </c>
      <c r="AS24" s="306">
        <v>3.6699419225259426E-2</v>
      </c>
      <c r="AT24" s="306">
        <v>2.0928838078394931E-2</v>
      </c>
      <c r="AU24" s="286"/>
      <c r="AV24" s="306">
        <v>1.0824655367787549E-2</v>
      </c>
      <c r="AW24" s="306">
        <v>0</v>
      </c>
      <c r="AX24" s="449">
        <v>9.1194817554790392E-3</v>
      </c>
      <c r="AY24" s="286"/>
      <c r="AZ24" s="306">
        <v>2.8804687851363798E-2</v>
      </c>
      <c r="BA24" s="306">
        <v>3.6699419225259426E-2</v>
      </c>
      <c r="BB24" s="306">
        <v>3.004831983387397E-2</v>
      </c>
      <c r="BD24" s="511">
        <f>SUMIFS('SC1'!AX:AX,'SC1'!I:I,I24)</f>
        <v>9.610247049152941E-3</v>
      </c>
      <c r="BE24" s="511">
        <f>SUMIFS('SC2'!AX:AX,'SC2'!I:I,I24)</f>
        <v>8.8622256002498269E-3</v>
      </c>
    </row>
    <row r="25" spans="7:57" x14ac:dyDescent="0.2">
      <c r="G25" s="266" t="s">
        <v>58</v>
      </c>
      <c r="H25" s="61" t="s">
        <v>59</v>
      </c>
      <c r="I25" s="61" t="s">
        <v>60</v>
      </c>
      <c r="J25" s="61" t="s">
        <v>61</v>
      </c>
      <c r="K25" s="311">
        <v>1641208.6855702072</v>
      </c>
      <c r="L25" s="311">
        <v>313058.37890935689</v>
      </c>
      <c r="M25" s="311">
        <v>1954267.0644795641</v>
      </c>
      <c r="N25" s="311">
        <v>45656.703329878161</v>
      </c>
      <c r="O25" s="311">
        <v>15444.621090643108</v>
      </c>
      <c r="P25" s="309">
        <v>61101.324420521269</v>
      </c>
      <c r="Q25" s="305">
        <v>3.126559595210341E-2</v>
      </c>
      <c r="S25" s="311">
        <v>0</v>
      </c>
      <c r="T25" s="311">
        <v>0</v>
      </c>
      <c r="U25" s="311">
        <v>0</v>
      </c>
      <c r="V25" s="311">
        <v>8453.0148328836021</v>
      </c>
      <c r="W25" s="311"/>
      <c r="X25" s="311"/>
      <c r="Y25" s="311">
        <v>0</v>
      </c>
      <c r="Z25" s="311">
        <v>0</v>
      </c>
      <c r="AA25" s="311"/>
      <c r="AB25" s="311">
        <v>0</v>
      </c>
      <c r="AC25" s="311">
        <v>9476.1004899771797</v>
      </c>
      <c r="AD25" s="311">
        <v>17929.11532286078</v>
      </c>
      <c r="AE25" s="286"/>
      <c r="AF25" s="311">
        <v>63585.818652738941</v>
      </c>
      <c r="AG25" s="311">
        <v>15444.621090643108</v>
      </c>
      <c r="AH25" s="311">
        <v>79030.439743382041</v>
      </c>
      <c r="AI25" s="305">
        <v>4.0439938419792404E-2</v>
      </c>
      <c r="AJ25" s="286"/>
      <c r="AK25" s="311">
        <v>0</v>
      </c>
      <c r="AL25" s="311">
        <v>17929.11532286078</v>
      </c>
      <c r="AM25" s="311">
        <v>-3214.326605782655</v>
      </c>
      <c r="AN25" s="311">
        <v>-7886.2466709739101</v>
      </c>
      <c r="AO25" s="311">
        <v>6828.5420461042149</v>
      </c>
      <c r="AP25" s="311">
        <v>6828.5420461042149</v>
      </c>
      <c r="AQ25" s="286"/>
      <c r="AR25" s="303">
        <v>2.781895058885555E-2</v>
      </c>
      <c r="AS25" s="305">
        <v>4.9334635745734032E-2</v>
      </c>
      <c r="AT25" s="305">
        <v>3.126559595210341E-2</v>
      </c>
      <c r="AU25" s="286"/>
      <c r="AV25" s="305">
        <v>1.0924336119164303E-2</v>
      </c>
      <c r="AW25" s="305">
        <v>0</v>
      </c>
      <c r="AX25" s="449">
        <v>9.1743424676889937E-3</v>
      </c>
      <c r="AY25" s="286"/>
      <c r="AZ25" s="305">
        <v>3.8743286708019853E-2</v>
      </c>
      <c r="BA25" s="305">
        <v>4.9334635745734032E-2</v>
      </c>
      <c r="BB25" s="305">
        <v>4.0439938419792404E-2</v>
      </c>
      <c r="BD25" s="511">
        <f>SUMIFS('SC1'!AX:AX,'SC1'!I:I,I25)</f>
        <v>8.5155314038009786E-3</v>
      </c>
      <c r="BE25" s="511">
        <f>SUMIFS('SC2'!AX:AX,'SC2'!I:I,I25)</f>
        <v>9.855969771577669E-3</v>
      </c>
    </row>
    <row r="26" spans="7:57" x14ac:dyDescent="0.2">
      <c r="G26" s="267" t="s">
        <v>58</v>
      </c>
      <c r="H26" s="268" t="s">
        <v>59</v>
      </c>
      <c r="I26" s="61" t="s">
        <v>62</v>
      </c>
      <c r="J26" s="61" t="s">
        <v>63</v>
      </c>
      <c r="K26" s="311">
        <v>1518436.8136209415</v>
      </c>
      <c r="L26" s="311">
        <v>321815.61586934631</v>
      </c>
      <c r="M26" s="311">
        <v>1840252.4294902878</v>
      </c>
      <c r="N26" s="311">
        <v>28424.497750137933</v>
      </c>
      <c r="O26" s="311">
        <v>11742.727878378937</v>
      </c>
      <c r="P26" s="309">
        <v>40167.22562851687</v>
      </c>
      <c r="Q26" s="305">
        <v>2.1827019481040634E-2</v>
      </c>
      <c r="S26" s="311">
        <v>0</v>
      </c>
      <c r="T26" s="311">
        <v>0</v>
      </c>
      <c r="U26" s="311">
        <v>0</v>
      </c>
      <c r="V26" s="311">
        <v>7749.31960942764</v>
      </c>
      <c r="W26" s="311"/>
      <c r="X26" s="311"/>
      <c r="Y26" s="311">
        <v>0</v>
      </c>
      <c r="Z26" s="311">
        <v>0</v>
      </c>
      <c r="AA26" s="311"/>
      <c r="AB26" s="311">
        <v>0</v>
      </c>
      <c r="AC26" s="311">
        <v>8687.2355957805048</v>
      </c>
      <c r="AD26" s="311">
        <v>16436.555205208144</v>
      </c>
      <c r="AE26" s="286"/>
      <c r="AF26" s="311">
        <v>44861.05295534608</v>
      </c>
      <c r="AG26" s="311">
        <v>11742.727878378937</v>
      </c>
      <c r="AH26" s="311">
        <v>56603.780833725017</v>
      </c>
      <c r="AI26" s="305">
        <v>3.0758704581307417E-2</v>
      </c>
      <c r="AJ26" s="286"/>
      <c r="AK26" s="311">
        <v>0</v>
      </c>
      <c r="AL26" s="311">
        <v>16436.555205208144</v>
      </c>
      <c r="AM26" s="311">
        <v>-2946.7408598878901</v>
      </c>
      <c r="AN26" s="311">
        <v>-7426.152167019337</v>
      </c>
      <c r="AO26" s="311">
        <v>6063.6621783009168</v>
      </c>
      <c r="AP26" s="311">
        <v>6063.6621783009168</v>
      </c>
      <c r="AQ26" s="286"/>
      <c r="AR26" s="303">
        <v>1.8719578908493028E-2</v>
      </c>
      <c r="AS26" s="305">
        <v>3.648899338416927E-2</v>
      </c>
      <c r="AT26" s="305">
        <v>2.1827019481040634E-2</v>
      </c>
      <c r="AU26" s="286"/>
      <c r="AV26" s="305">
        <v>1.0824655367787549E-2</v>
      </c>
      <c r="AW26" s="305">
        <v>0</v>
      </c>
      <c r="AX26" s="449">
        <v>8.9316851002667827E-3</v>
      </c>
      <c r="AY26" s="286"/>
      <c r="AZ26" s="305">
        <v>2.9544234276280577E-2</v>
      </c>
      <c r="BA26" s="305">
        <v>3.648899338416927E-2</v>
      </c>
      <c r="BB26" s="305">
        <v>3.0758704581307417E-2</v>
      </c>
      <c r="BD26" s="511">
        <f>SUMIFS('SC1'!AX:AX,'SC1'!I:I,I26)</f>
        <v>9.4139547295199119E-3</v>
      </c>
      <c r="BE26" s="511">
        <f>SUMIFS('SC2'!AX:AX,'SC2'!I:I,I26)</f>
        <v>8.6797138325484073E-3</v>
      </c>
    </row>
    <row r="27" spans="7:57" x14ac:dyDescent="0.2">
      <c r="G27" s="267" t="s">
        <v>58</v>
      </c>
      <c r="H27" s="268" t="s">
        <v>59</v>
      </c>
      <c r="I27" s="61" t="s">
        <v>64</v>
      </c>
      <c r="J27" s="61" t="s">
        <v>65</v>
      </c>
      <c r="K27" s="311">
        <v>2594304.3550825687</v>
      </c>
      <c r="L27" s="311">
        <v>509326.00412967935</v>
      </c>
      <c r="M27" s="311">
        <v>3103630.3592122481</v>
      </c>
      <c r="N27" s="311">
        <v>42932.365503720008</v>
      </c>
      <c r="O27" s="311">
        <v>24088.99587032065</v>
      </c>
      <c r="P27" s="309">
        <v>67021.361374040658</v>
      </c>
      <c r="Q27" s="305">
        <v>2.1594505020582338E-2</v>
      </c>
      <c r="S27" s="311">
        <v>0</v>
      </c>
      <c r="T27" s="311">
        <v>0</v>
      </c>
      <c r="U27" s="311">
        <v>0</v>
      </c>
      <c r="V27" s="311">
        <v>13239.99354554875</v>
      </c>
      <c r="W27" s="311"/>
      <c r="X27" s="311"/>
      <c r="Y27" s="311">
        <v>0</v>
      </c>
      <c r="Z27" s="311">
        <v>0</v>
      </c>
      <c r="AA27" s="311"/>
      <c r="AB27" s="311">
        <v>0</v>
      </c>
      <c r="AC27" s="311">
        <v>14842.457017370392</v>
      </c>
      <c r="AD27" s="311">
        <v>28082.450562919141</v>
      </c>
      <c r="AE27" s="286"/>
      <c r="AF27" s="311">
        <v>71014.816066639149</v>
      </c>
      <c r="AG27" s="311">
        <v>24088.99587032065</v>
      </c>
      <c r="AH27" s="311">
        <v>95103.811936959799</v>
      </c>
      <c r="AI27" s="305">
        <v>3.0642763773292479E-2</v>
      </c>
      <c r="AJ27" s="286"/>
      <c r="AK27" s="311">
        <v>0</v>
      </c>
      <c r="AL27" s="311">
        <v>28082.450562919141</v>
      </c>
      <c r="AM27" s="311">
        <v>-5034.6136088974727</v>
      </c>
      <c r="AN27" s="311">
        <v>-12524.38575727074</v>
      </c>
      <c r="AO27" s="311">
        <v>10523.451196750926</v>
      </c>
      <c r="AP27" s="311">
        <v>10523.451196750926</v>
      </c>
      <c r="AQ27" s="286"/>
      <c r="AR27" s="303">
        <v>1.6548700394234818E-2</v>
      </c>
      <c r="AS27" s="305">
        <v>4.7295829537475097E-2</v>
      </c>
      <c r="AT27" s="305">
        <v>2.1594505020582338E-2</v>
      </c>
      <c r="AU27" s="286"/>
      <c r="AV27" s="305">
        <v>1.0824655367787546E-2</v>
      </c>
      <c r="AW27" s="305">
        <v>0</v>
      </c>
      <c r="AX27" s="449">
        <v>9.0482587527101407E-3</v>
      </c>
      <c r="AY27" s="286"/>
      <c r="AZ27" s="305">
        <v>2.7373355762022364E-2</v>
      </c>
      <c r="BA27" s="305">
        <v>4.7295829537475097E-2</v>
      </c>
      <c r="BB27" s="305">
        <v>3.0642763773292479E-2</v>
      </c>
      <c r="BD27" s="511">
        <f>SUMIFS('SC1'!AX:AX,'SC1'!I:I,I27)</f>
        <v>1.001285120575859E-2</v>
      </c>
      <c r="BE27" s="511">
        <f>SUMIFS('SC2'!AX:AX,'SC2'!I:I,I27)</f>
        <v>9.7547147010531195E-3</v>
      </c>
    </row>
    <row r="28" spans="7:57" x14ac:dyDescent="0.2">
      <c r="G28" s="267" t="s">
        <v>58</v>
      </c>
      <c r="H28" s="268" t="s">
        <v>59</v>
      </c>
      <c r="I28" s="61" t="s">
        <v>66</v>
      </c>
      <c r="J28" s="61" t="s">
        <v>67</v>
      </c>
      <c r="K28" s="311">
        <v>2106982.2441266733</v>
      </c>
      <c r="L28" s="311">
        <v>391887.59398342425</v>
      </c>
      <c r="M28" s="311">
        <v>2498869.8381100977</v>
      </c>
      <c r="N28" s="311">
        <v>38212.650159172248</v>
      </c>
      <c r="O28" s="311">
        <v>19090.406016575755</v>
      </c>
      <c r="P28" s="309">
        <v>57303.056175748003</v>
      </c>
      <c r="Q28" s="305">
        <v>2.2931589033499428E-2</v>
      </c>
      <c r="S28" s="311">
        <v>0</v>
      </c>
      <c r="T28" s="311">
        <v>0</v>
      </c>
      <c r="U28" s="311">
        <v>0</v>
      </c>
      <c r="V28" s="311">
        <v>10752.952427563234</v>
      </c>
      <c r="W28" s="311"/>
      <c r="X28" s="311"/>
      <c r="Y28" s="311">
        <v>0</v>
      </c>
      <c r="Z28" s="311">
        <v>0</v>
      </c>
      <c r="AA28" s="311"/>
      <c r="AB28" s="311">
        <v>0</v>
      </c>
      <c r="AC28" s="311">
        <v>12054.404231155617</v>
      </c>
      <c r="AD28" s="311">
        <v>22807.356658718851</v>
      </c>
      <c r="AE28" s="286"/>
      <c r="AF28" s="311">
        <v>61020.006817891102</v>
      </c>
      <c r="AG28" s="311">
        <v>19090.406016575755</v>
      </c>
      <c r="AH28" s="311">
        <v>80110.412834466857</v>
      </c>
      <c r="AI28" s="305">
        <v>3.2058657723066757E-2</v>
      </c>
      <c r="AJ28" s="286"/>
      <c r="AK28" s="311">
        <v>-56614</v>
      </c>
      <c r="AL28" s="311">
        <v>22807.356658718851</v>
      </c>
      <c r="AM28" s="311">
        <v>-4088.8963005452274</v>
      </c>
      <c r="AN28" s="311">
        <v>-10083.935967697902</v>
      </c>
      <c r="AO28" s="311">
        <v>8634.5243904757208</v>
      </c>
      <c r="AP28" s="311">
        <v>-47979.475609524277</v>
      </c>
      <c r="AQ28" s="286"/>
      <c r="AR28" s="303">
        <v>1.8136199422511542E-2</v>
      </c>
      <c r="AS28" s="305">
        <v>4.8713984085403901E-2</v>
      </c>
      <c r="AT28" s="305">
        <v>2.2931589033499428E-2</v>
      </c>
      <c r="AU28" s="286"/>
      <c r="AV28" s="305">
        <v>1.0824655367787553E-2</v>
      </c>
      <c r="AW28" s="305">
        <v>0</v>
      </c>
      <c r="AX28" s="449">
        <v>9.1270686895673289E-3</v>
      </c>
      <c r="AY28" s="286"/>
      <c r="AZ28" s="305">
        <v>2.8960854790299095E-2</v>
      </c>
      <c r="BA28" s="305">
        <v>4.8713984085403901E-2</v>
      </c>
      <c r="BB28" s="305">
        <v>3.2058657723066757E-2</v>
      </c>
      <c r="BD28" s="511">
        <f>SUMIFS('SC1'!AX:AX,'SC1'!I:I,I28)</f>
        <v>1.0078722291201964E-2</v>
      </c>
      <c r="BE28" s="511">
        <f>SUMIFS('SC2'!AX:AX,'SC2'!I:I,I28)</f>
        <v>9.7903401675314139E-3</v>
      </c>
    </row>
    <row r="29" spans="7:57" x14ac:dyDescent="0.2">
      <c r="G29" s="267" t="s">
        <v>58</v>
      </c>
      <c r="H29" s="268" t="s">
        <v>59</v>
      </c>
      <c r="I29" s="61" t="s">
        <v>68</v>
      </c>
      <c r="J29" s="61" t="s">
        <v>69</v>
      </c>
      <c r="K29" s="311">
        <v>1927866.3541545926</v>
      </c>
      <c r="L29" s="311">
        <v>329792.60057968274</v>
      </c>
      <c r="M29" s="311">
        <v>2257658.9547342751</v>
      </c>
      <c r="N29" s="311">
        <v>38168.526519314153</v>
      </c>
      <c r="O29" s="311">
        <v>16887.399420317262</v>
      </c>
      <c r="P29" s="309">
        <v>55055.925939631416</v>
      </c>
      <c r="Q29" s="305">
        <v>2.4386289977137605E-2</v>
      </c>
      <c r="S29" s="311">
        <v>0</v>
      </c>
      <c r="T29" s="311">
        <v>0</v>
      </c>
      <c r="U29" s="311">
        <v>0</v>
      </c>
      <c r="V29" s="311">
        <v>9838.8371571287862</v>
      </c>
      <c r="W29" s="311"/>
      <c r="X29" s="311"/>
      <c r="Y29" s="311">
        <v>0</v>
      </c>
      <c r="Z29" s="311">
        <v>0</v>
      </c>
      <c r="AA29" s="311"/>
      <c r="AB29" s="311">
        <v>0</v>
      </c>
      <c r="AC29" s="311">
        <v>11029.651721747738</v>
      </c>
      <c r="AD29" s="311">
        <v>20868.488878876524</v>
      </c>
      <c r="AE29" s="286"/>
      <c r="AF29" s="311">
        <v>59037.015398190677</v>
      </c>
      <c r="AG29" s="311">
        <v>16887.399420317262</v>
      </c>
      <c r="AH29" s="311">
        <v>75924.414818507939</v>
      </c>
      <c r="AI29" s="305">
        <v>3.3629709509177923E-2</v>
      </c>
      <c r="AJ29" s="286"/>
      <c r="AK29" s="311">
        <v>0</v>
      </c>
      <c r="AL29" s="311">
        <v>20868.488878876524</v>
      </c>
      <c r="AM29" s="311">
        <v>-3741.2966461498127</v>
      </c>
      <c r="AN29" s="311">
        <v>-9110.5538948992489</v>
      </c>
      <c r="AO29" s="311">
        <v>8016.6383378274604</v>
      </c>
      <c r="AP29" s="311">
        <v>8016.6383378274604</v>
      </c>
      <c r="AQ29" s="286"/>
      <c r="AR29" s="303">
        <v>1.9798325976829345E-2</v>
      </c>
      <c r="AS29" s="305">
        <v>5.1206119817830839E-2</v>
      </c>
      <c r="AT29" s="305">
        <v>2.4386289977137605E-2</v>
      </c>
      <c r="AU29" s="286"/>
      <c r="AV29" s="305">
        <v>1.0824655367787549E-2</v>
      </c>
      <c r="AW29" s="305">
        <v>0</v>
      </c>
      <c r="AX29" s="449">
        <v>9.2434195320403173E-3</v>
      </c>
      <c r="AY29" s="286"/>
      <c r="AZ29" s="305">
        <v>3.0622981344616895E-2</v>
      </c>
      <c r="BA29" s="305">
        <v>5.1206119817830839E-2</v>
      </c>
      <c r="BB29" s="305">
        <v>3.3629709509177923E-2</v>
      </c>
      <c r="BD29" s="511">
        <f>SUMIFS('SC1'!AX:AX,'SC1'!I:I,I29)</f>
        <v>1.0174692377299316E-2</v>
      </c>
      <c r="BE29" s="511">
        <f>SUMIFS('SC2'!AX:AX,'SC2'!I:I,I29)</f>
        <v>9.8423317180383746E-3</v>
      </c>
    </row>
    <row r="30" spans="7:57" x14ac:dyDescent="0.2">
      <c r="G30" s="269" t="s">
        <v>58</v>
      </c>
      <c r="H30" s="270" t="s">
        <v>59</v>
      </c>
      <c r="I30" s="271" t="s">
        <v>70</v>
      </c>
      <c r="J30" s="271" t="s">
        <v>71</v>
      </c>
      <c r="K30" s="312">
        <v>1763854.7038942592</v>
      </c>
      <c r="L30" s="312">
        <v>325895.05257190391</v>
      </c>
      <c r="M30" s="312">
        <v>2089749.7564661631</v>
      </c>
      <c r="N30" s="312">
        <v>59670.323376999469</v>
      </c>
      <c r="O30" s="312">
        <v>16170.947428096086</v>
      </c>
      <c r="P30" s="310">
        <v>75841.270805095555</v>
      </c>
      <c r="Q30" s="306">
        <v>3.6292034761782048E-2</v>
      </c>
      <c r="S30" s="312">
        <v>0</v>
      </c>
      <c r="T30" s="312">
        <v>0</v>
      </c>
      <c r="U30" s="312">
        <v>0</v>
      </c>
      <c r="V30" s="312">
        <v>9126.0187680136951</v>
      </c>
      <c r="W30" s="312"/>
      <c r="X30" s="312"/>
      <c r="Y30" s="312">
        <v>0</v>
      </c>
      <c r="Z30" s="312">
        <v>0</v>
      </c>
      <c r="AA30" s="312"/>
      <c r="AB30" s="312">
        <v>0</v>
      </c>
      <c r="AC30" s="312">
        <v>10230.559466511033</v>
      </c>
      <c r="AD30" s="312">
        <v>19356.578234524728</v>
      </c>
      <c r="AE30" s="286"/>
      <c r="AF30" s="312">
        <v>79026.901611524198</v>
      </c>
      <c r="AG30" s="312">
        <v>16170.947428096086</v>
      </c>
      <c r="AH30" s="312">
        <v>95197.849039620283</v>
      </c>
      <c r="AI30" s="306">
        <v>4.5554664497534404E-2</v>
      </c>
      <c r="AJ30" s="286"/>
      <c r="AK30" s="312">
        <v>0</v>
      </c>
      <c r="AL30" s="312">
        <v>19356.578234524728</v>
      </c>
      <c r="AM30" s="312">
        <v>-3470.2417434291274</v>
      </c>
      <c r="AN30" s="312">
        <v>-8432.9733431232144</v>
      </c>
      <c r="AO30" s="312">
        <v>7453.3631479723863</v>
      </c>
      <c r="AP30" s="312">
        <v>7453.3631479723863</v>
      </c>
      <c r="AQ30" s="286"/>
      <c r="AR30" s="304">
        <v>3.3829500380761879E-2</v>
      </c>
      <c r="AS30" s="306">
        <v>4.9620107149457894E-2</v>
      </c>
      <c r="AT30" s="306">
        <v>3.6292034761782048E-2</v>
      </c>
      <c r="AU30" s="286"/>
      <c r="AV30" s="306">
        <v>1.0974020814633452E-2</v>
      </c>
      <c r="AW30" s="306">
        <v>0</v>
      </c>
      <c r="AX30" s="449">
        <v>9.2626297357523563E-3</v>
      </c>
      <c r="AY30" s="286"/>
      <c r="AZ30" s="306">
        <v>4.4803521195395331E-2</v>
      </c>
      <c r="BA30" s="306">
        <v>4.9620107149457894E-2</v>
      </c>
      <c r="BB30" s="306">
        <v>4.5554664497534404E-2</v>
      </c>
      <c r="BD30" s="511">
        <f>SUMIFS('SC1'!AX:AX,'SC1'!I:I,I30)</f>
        <v>7.777059037542923E-3</v>
      </c>
      <c r="BE30" s="511">
        <f>SUMIFS('SC2'!AX:AX,'SC2'!I:I,I30)</f>
        <v>9.9176373895370901E-3</v>
      </c>
    </row>
    <row r="31" spans="7:57" x14ac:dyDescent="0.2">
      <c r="G31" s="266" t="s">
        <v>72</v>
      </c>
      <c r="H31" s="61" t="s">
        <v>73</v>
      </c>
      <c r="I31" s="61" t="s">
        <v>74</v>
      </c>
      <c r="J31" s="61" t="s">
        <v>75</v>
      </c>
      <c r="K31" s="311">
        <v>2833391.4954447062</v>
      </c>
      <c r="L31" s="311">
        <v>694548.92659571301</v>
      </c>
      <c r="M31" s="311">
        <v>3527940.4220404192</v>
      </c>
      <c r="N31" s="311">
        <v>53949.913990910631</v>
      </c>
      <c r="O31" s="311">
        <v>23417.078822379932</v>
      </c>
      <c r="P31" s="309">
        <v>77366.992813290562</v>
      </c>
      <c r="Q31" s="305">
        <v>2.1929790063899265E-2</v>
      </c>
      <c r="S31" s="311">
        <v>0</v>
      </c>
      <c r="T31" s="311">
        <v>0</v>
      </c>
      <c r="U31" s="311">
        <v>0</v>
      </c>
      <c r="V31" s="311">
        <v>14460.171197032383</v>
      </c>
      <c r="W31" s="311"/>
      <c r="X31" s="311"/>
      <c r="Y31" s="311">
        <v>0</v>
      </c>
      <c r="Z31" s="311">
        <v>0</v>
      </c>
      <c r="AA31" s="311"/>
      <c r="AB31" s="311">
        <v>0</v>
      </c>
      <c r="AC31" s="311">
        <v>16210.315263176744</v>
      </c>
      <c r="AD31" s="311">
        <v>30670.486460209126</v>
      </c>
      <c r="AE31" s="286"/>
      <c r="AF31" s="311">
        <v>84620.400451119756</v>
      </c>
      <c r="AG31" s="311">
        <v>23417.078822379932</v>
      </c>
      <c r="AH31" s="311">
        <v>108037.47927349969</v>
      </c>
      <c r="AI31" s="305">
        <v>3.0623385417323783E-2</v>
      </c>
      <c r="AJ31" s="286"/>
      <c r="AK31" s="311">
        <v>1</v>
      </c>
      <c r="AL31" s="311">
        <v>30670.486460209126</v>
      </c>
      <c r="AM31" s="311">
        <v>-5498.5959354974239</v>
      </c>
      <c r="AN31" s="311">
        <v>-14236.646011388319</v>
      </c>
      <c r="AO31" s="311">
        <v>10935.244513323381</v>
      </c>
      <c r="AP31" s="311">
        <v>10936.244513323381</v>
      </c>
      <c r="AQ31" s="286"/>
      <c r="AR31" s="303">
        <v>1.9040755249547008E-2</v>
      </c>
      <c r="AS31" s="305">
        <v>3.3715520859210368E-2</v>
      </c>
      <c r="AT31" s="305">
        <v>2.1929790063899265E-2</v>
      </c>
      <c r="AU31" s="286"/>
      <c r="AV31" s="305">
        <v>1.0824655367787546E-2</v>
      </c>
      <c r="AW31" s="305">
        <v>0</v>
      </c>
      <c r="AX31" s="449">
        <v>8.6935953534245172E-3</v>
      </c>
      <c r="AY31" s="286"/>
      <c r="AZ31" s="305">
        <v>2.9865410617334553E-2</v>
      </c>
      <c r="BA31" s="305">
        <v>3.3715520859210368E-2</v>
      </c>
      <c r="BB31" s="305">
        <v>3.0623385417323783E-2</v>
      </c>
      <c r="BD31" s="511">
        <f>SUMIFS('SC1'!AX:AX,'SC1'!I:I,I31)</f>
        <v>9.1636557799980416E-3</v>
      </c>
      <c r="BE31" s="511">
        <f>SUMIFS('SC2'!AX:AX,'SC2'!I:I,I31)</f>
        <v>8.4482851819932779E-3</v>
      </c>
    </row>
    <row r="32" spans="7:57" x14ac:dyDescent="0.2">
      <c r="G32" s="267" t="s">
        <v>72</v>
      </c>
      <c r="H32" s="268" t="s">
        <v>73</v>
      </c>
      <c r="I32" s="61" t="s">
        <v>76</v>
      </c>
      <c r="J32" s="61" t="s">
        <v>77</v>
      </c>
      <c r="K32" s="311">
        <v>3667968.0023028343</v>
      </c>
      <c r="L32" s="311">
        <v>777476.70508266648</v>
      </c>
      <c r="M32" s="311">
        <v>4445444.7073855009</v>
      </c>
      <c r="N32" s="311">
        <v>79512.902489951346</v>
      </c>
      <c r="O32" s="311">
        <v>26323.760043796501</v>
      </c>
      <c r="P32" s="309">
        <v>105836.66253374785</v>
      </c>
      <c r="Q32" s="305">
        <v>2.380789088612769E-2</v>
      </c>
      <c r="S32" s="311">
        <v>0</v>
      </c>
      <c r="T32" s="311">
        <v>0</v>
      </c>
      <c r="U32" s="311">
        <v>0</v>
      </c>
      <c r="V32" s="311">
        <v>18769.425102686171</v>
      </c>
      <c r="W32" s="311"/>
      <c r="X32" s="311"/>
      <c r="Y32" s="311">
        <v>0</v>
      </c>
      <c r="Z32" s="311">
        <v>0</v>
      </c>
      <c r="AA32" s="311"/>
      <c r="AB32" s="311">
        <v>0</v>
      </c>
      <c r="AC32" s="311">
        <v>21041.126974040835</v>
      </c>
      <c r="AD32" s="311">
        <v>39810.552076727006</v>
      </c>
      <c r="AE32" s="286"/>
      <c r="AF32" s="311">
        <v>119323.45456667835</v>
      </c>
      <c r="AG32" s="311">
        <v>26323.760043796501</v>
      </c>
      <c r="AH32" s="311">
        <v>145647.21461047485</v>
      </c>
      <c r="AI32" s="305">
        <v>3.2763249617862041E-2</v>
      </c>
      <c r="AJ32" s="286"/>
      <c r="AK32" s="311">
        <v>-31213</v>
      </c>
      <c r="AL32" s="311">
        <v>39810.552076727006</v>
      </c>
      <c r="AM32" s="311">
        <v>-7137.2242537788252</v>
      </c>
      <c r="AN32" s="311">
        <v>-17939.141564540296</v>
      </c>
      <c r="AO32" s="311">
        <v>14734.186258407884</v>
      </c>
      <c r="AP32" s="311">
        <v>-16478.813741592116</v>
      </c>
      <c r="AQ32" s="286"/>
      <c r="AR32" s="303">
        <v>2.1677643436374398E-2</v>
      </c>
      <c r="AS32" s="305">
        <v>3.3857940529546264E-2</v>
      </c>
      <c r="AT32" s="305">
        <v>2.380789088612769E-2</v>
      </c>
      <c r="AU32" s="286"/>
      <c r="AV32" s="305">
        <v>1.0853571255728792E-2</v>
      </c>
      <c r="AW32" s="305">
        <v>0</v>
      </c>
      <c r="AX32" s="449">
        <v>8.9553587317343503E-3</v>
      </c>
      <c r="AY32" s="286"/>
      <c r="AZ32" s="305">
        <v>3.253121469210319E-2</v>
      </c>
      <c r="BA32" s="305">
        <v>3.3857940529546264E-2</v>
      </c>
      <c r="BB32" s="305">
        <v>3.2763249617862041E-2</v>
      </c>
      <c r="BD32" s="511">
        <f>SUMIFS('SC1'!AX:AX,'SC1'!I:I,I32)</f>
        <v>8.97642798358083E-3</v>
      </c>
      <c r="BE32" s="511">
        <f>SUMIFS('SC2'!AX:AX,'SC2'!I:I,I32)</f>
        <v>8.7026533925089397E-3</v>
      </c>
    </row>
    <row r="33" spans="7:57" x14ac:dyDescent="0.2">
      <c r="G33" s="267" t="s">
        <v>72</v>
      </c>
      <c r="H33" s="268" t="s">
        <v>73</v>
      </c>
      <c r="I33" s="61" t="s">
        <v>78</v>
      </c>
      <c r="J33" s="61" t="s">
        <v>79</v>
      </c>
      <c r="K33" s="311">
        <v>4100650.4519983563</v>
      </c>
      <c r="L33" s="311">
        <v>841569.45282937237</v>
      </c>
      <c r="M33" s="311">
        <v>4942219.9048277289</v>
      </c>
      <c r="N33" s="311">
        <v>126765.75742776645</v>
      </c>
      <c r="O33" s="311">
        <v>41036.547170627629</v>
      </c>
      <c r="P33" s="309">
        <v>167802.30459839408</v>
      </c>
      <c r="Q33" s="305">
        <v>3.3952820358009381E-2</v>
      </c>
      <c r="S33" s="311">
        <v>0</v>
      </c>
      <c r="T33" s="311">
        <v>0</v>
      </c>
      <c r="U33" s="311">
        <v>0</v>
      </c>
      <c r="V33" s="311">
        <v>21216.333519036274</v>
      </c>
      <c r="W33" s="311"/>
      <c r="X33" s="311"/>
      <c r="Y33" s="311">
        <v>0</v>
      </c>
      <c r="Z33" s="311">
        <v>0</v>
      </c>
      <c r="AA33" s="311"/>
      <c r="AB33" s="311">
        <v>0</v>
      </c>
      <c r="AC33" s="311">
        <v>23784.189715738947</v>
      </c>
      <c r="AD33" s="311">
        <v>45000.523234775217</v>
      </c>
      <c r="AE33" s="286"/>
      <c r="AF33" s="311">
        <v>171766.28066254169</v>
      </c>
      <c r="AG33" s="311">
        <v>41036.547170627629</v>
      </c>
      <c r="AH33" s="311">
        <v>212802.82783316931</v>
      </c>
      <c r="AI33" s="305">
        <v>4.3058146325155679E-2</v>
      </c>
      <c r="AJ33" s="286"/>
      <c r="AK33" s="311">
        <v>0</v>
      </c>
      <c r="AL33" s="311">
        <v>45000.523234775217</v>
      </c>
      <c r="AM33" s="311">
        <v>-8067.6807808383637</v>
      </c>
      <c r="AN33" s="311">
        <v>-19943.827524948927</v>
      </c>
      <c r="AO33" s="311">
        <v>16989.01492898793</v>
      </c>
      <c r="AP33" s="311">
        <v>16989.01492898793</v>
      </c>
      <c r="AQ33" s="286"/>
      <c r="AR33" s="303">
        <v>3.091357308106818E-2</v>
      </c>
      <c r="AS33" s="305">
        <v>4.8761925747972418E-2</v>
      </c>
      <c r="AT33" s="305">
        <v>3.3952820358009381E-2</v>
      </c>
      <c r="AU33" s="286"/>
      <c r="AV33" s="305">
        <v>1.0973996384609004E-2</v>
      </c>
      <c r="AW33" s="305">
        <v>0</v>
      </c>
      <c r="AX33" s="449">
        <v>9.105325967146298E-3</v>
      </c>
      <c r="AY33" s="286"/>
      <c r="AZ33" s="305">
        <v>4.1887569465677184E-2</v>
      </c>
      <c r="BA33" s="305">
        <v>4.8761925747972418E-2</v>
      </c>
      <c r="BB33" s="305">
        <v>4.3058146325155679E-2</v>
      </c>
      <c r="BD33" s="511">
        <f>SUMIFS('SC1'!AX:AX,'SC1'!I:I,I33)</f>
        <v>7.694319129082125E-3</v>
      </c>
      <c r="BE33" s="511">
        <f>SUMIFS('SC2'!AX:AX,'SC2'!I:I,I33)</f>
        <v>9.8481478725427271E-3</v>
      </c>
    </row>
    <row r="34" spans="7:57" x14ac:dyDescent="0.2">
      <c r="G34" s="267" t="s">
        <v>72</v>
      </c>
      <c r="H34" s="268" t="s">
        <v>73</v>
      </c>
      <c r="I34" s="61" t="s">
        <v>80</v>
      </c>
      <c r="J34" s="61" t="s">
        <v>81</v>
      </c>
      <c r="K34" s="311">
        <v>3537577.9285025978</v>
      </c>
      <c r="L34" s="311">
        <v>862816.27392937022</v>
      </c>
      <c r="M34" s="311">
        <v>4400394.2024319684</v>
      </c>
      <c r="N34" s="311">
        <v>64456.829455873929</v>
      </c>
      <c r="O34" s="311">
        <v>27881.036935875774</v>
      </c>
      <c r="P34" s="309">
        <v>92337.866391749703</v>
      </c>
      <c r="Q34" s="305">
        <v>2.0983998738276059E-2</v>
      </c>
      <c r="S34" s="311">
        <v>0</v>
      </c>
      <c r="T34" s="311">
        <v>0</v>
      </c>
      <c r="U34" s="311">
        <v>0</v>
      </c>
      <c r="V34" s="311">
        <v>18053.976145277458</v>
      </c>
      <c r="W34" s="311"/>
      <c r="X34" s="311"/>
      <c r="Y34" s="311">
        <v>0</v>
      </c>
      <c r="Z34" s="311">
        <v>0</v>
      </c>
      <c r="AA34" s="311"/>
      <c r="AB34" s="311">
        <v>0</v>
      </c>
      <c r="AC34" s="311">
        <v>20239.085767454944</v>
      </c>
      <c r="AD34" s="311">
        <v>38293.061912732403</v>
      </c>
      <c r="AE34" s="286"/>
      <c r="AF34" s="311">
        <v>102749.89136860633</v>
      </c>
      <c r="AG34" s="311">
        <v>27881.036935875774</v>
      </c>
      <c r="AH34" s="311">
        <v>130630.92830448211</v>
      </c>
      <c r="AI34" s="305">
        <v>2.9686187712974949E-2</v>
      </c>
      <c r="AJ34" s="286"/>
      <c r="AK34" s="311">
        <v>7</v>
      </c>
      <c r="AL34" s="311">
        <v>38293.061912732403</v>
      </c>
      <c r="AM34" s="311">
        <v>-6865.1690563914817</v>
      </c>
      <c r="AN34" s="311">
        <v>-17757.344817732763</v>
      </c>
      <c r="AO34" s="311">
        <v>13670.548038608158</v>
      </c>
      <c r="AP34" s="311">
        <v>13677.548038608158</v>
      </c>
      <c r="AQ34" s="286"/>
      <c r="AR34" s="303">
        <v>1.8220610473776194E-2</v>
      </c>
      <c r="AS34" s="305">
        <v>3.231399056591984E-2</v>
      </c>
      <c r="AT34" s="305">
        <v>2.0983998738276059E-2</v>
      </c>
      <c r="AU34" s="286"/>
      <c r="AV34" s="305">
        <v>1.0824655367787549E-2</v>
      </c>
      <c r="AW34" s="305">
        <v>0</v>
      </c>
      <c r="AX34" s="449">
        <v>8.7021889746988906E-3</v>
      </c>
      <c r="AY34" s="286"/>
      <c r="AZ34" s="305">
        <v>2.9045265841563743E-2</v>
      </c>
      <c r="BA34" s="305">
        <v>3.231399056591984E-2</v>
      </c>
      <c r="BB34" s="305">
        <v>2.9686187712974949E-2</v>
      </c>
      <c r="BD34" s="511">
        <f>SUMIFS('SC1'!AX:AX,'SC1'!I:I,I34)</f>
        <v>9.17096166196767E-3</v>
      </c>
      <c r="BE34" s="511">
        <f>SUMIFS('SC2'!AX:AX,'SC2'!I:I,I34)</f>
        <v>8.4566363520421906E-3</v>
      </c>
    </row>
    <row r="35" spans="7:57" x14ac:dyDescent="0.2">
      <c r="G35" s="269" t="s">
        <v>72</v>
      </c>
      <c r="H35" s="270" t="s">
        <v>73</v>
      </c>
      <c r="I35" s="271" t="s">
        <v>82</v>
      </c>
      <c r="J35" s="271" t="s">
        <v>83</v>
      </c>
      <c r="K35" s="312">
        <v>2647138.6093720454</v>
      </c>
      <c r="L35" s="312">
        <v>565251.22518915194</v>
      </c>
      <c r="M35" s="312">
        <v>3212389.8345611971</v>
      </c>
      <c r="N35" s="312">
        <v>47208.604556018952</v>
      </c>
      <c r="O35" s="312">
        <v>18541.027165667736</v>
      </c>
      <c r="P35" s="310">
        <v>65749.631721686688</v>
      </c>
      <c r="Q35" s="306">
        <v>2.0467513318061504E-2</v>
      </c>
      <c r="S35" s="312">
        <v>0</v>
      </c>
      <c r="T35" s="312">
        <v>0</v>
      </c>
      <c r="U35" s="312">
        <v>0</v>
      </c>
      <c r="V35" s="312">
        <v>13509.632373547516</v>
      </c>
      <c r="W35" s="312"/>
      <c r="X35" s="312"/>
      <c r="Y35" s="312">
        <v>0</v>
      </c>
      <c r="Z35" s="312">
        <v>0</v>
      </c>
      <c r="AA35" s="312"/>
      <c r="AB35" s="312">
        <v>0</v>
      </c>
      <c r="AC35" s="312">
        <v>15144.730783669265</v>
      </c>
      <c r="AD35" s="312">
        <v>28654.36315721678</v>
      </c>
      <c r="AE35" s="286"/>
      <c r="AF35" s="312">
        <v>75862.967713235732</v>
      </c>
      <c r="AG35" s="312">
        <v>18541.027165667736</v>
      </c>
      <c r="AH35" s="312">
        <v>94403.994878903468</v>
      </c>
      <c r="AI35" s="306">
        <v>2.9387465326666612E-2</v>
      </c>
      <c r="AJ35" s="286"/>
      <c r="AK35" s="312">
        <v>-81580</v>
      </c>
      <c r="AL35" s="312">
        <v>28654.36315721678</v>
      </c>
      <c r="AM35" s="312">
        <v>-5137.1459332720679</v>
      </c>
      <c r="AN35" s="312">
        <v>-12963.273597114643</v>
      </c>
      <c r="AO35" s="312">
        <v>10553.943626830067</v>
      </c>
      <c r="AP35" s="312">
        <v>-71026.056373169937</v>
      </c>
      <c r="AQ35" s="286"/>
      <c r="AR35" s="304">
        <v>1.7833824186190908E-2</v>
      </c>
      <c r="AS35" s="306">
        <v>3.2801392264940762E-2</v>
      </c>
      <c r="AT35" s="306">
        <v>2.0467513318061504E-2</v>
      </c>
      <c r="AU35" s="286"/>
      <c r="AV35" s="306">
        <v>1.0824655367787549E-2</v>
      </c>
      <c r="AW35" s="306">
        <v>0</v>
      </c>
      <c r="AX35" s="449">
        <v>8.919952008605108E-3</v>
      </c>
      <c r="AY35" s="286"/>
      <c r="AZ35" s="306">
        <v>2.8658479553978457E-2</v>
      </c>
      <c r="BA35" s="306">
        <v>3.2801392264940762E-2</v>
      </c>
      <c r="BB35" s="306">
        <v>2.9387465326666612E-2</v>
      </c>
      <c r="BD35" s="511">
        <f>SUMIFS('SC1'!AX:AX,'SC1'!I:I,I35)</f>
        <v>9.3994923319207328E-3</v>
      </c>
      <c r="BE35" s="511">
        <f>SUMIFS('SC2'!AX:AX,'SC2'!I:I,I35)</f>
        <v>8.6682178845655725E-3</v>
      </c>
    </row>
    <row r="36" spans="7:57" x14ac:dyDescent="0.2">
      <c r="G36" s="266" t="s">
        <v>84</v>
      </c>
      <c r="H36" s="61" t="s">
        <v>85</v>
      </c>
      <c r="I36" s="61" t="s">
        <v>86</v>
      </c>
      <c r="J36" s="61" t="s">
        <v>87</v>
      </c>
      <c r="K36" s="311">
        <v>2768970.5640742062</v>
      </c>
      <c r="L36" s="311">
        <v>577098.58919338009</v>
      </c>
      <c r="M36" s="311">
        <v>3346069.1532675861</v>
      </c>
      <c r="N36" s="311">
        <v>94438.840464997105</v>
      </c>
      <c r="O36" s="311">
        <v>20521.945768809412</v>
      </c>
      <c r="P36" s="309">
        <v>114960.78623380652</v>
      </c>
      <c r="Q36" s="305">
        <v>3.4356966628003541E-2</v>
      </c>
      <c r="S36" s="311">
        <v>0</v>
      </c>
      <c r="T36" s="311">
        <v>0</v>
      </c>
      <c r="U36" s="311">
        <v>0</v>
      </c>
      <c r="V36" s="311">
        <v>14354.062462073176</v>
      </c>
      <c r="W36" s="311"/>
      <c r="X36" s="311"/>
      <c r="Y36" s="311">
        <v>0</v>
      </c>
      <c r="Z36" s="311">
        <v>0</v>
      </c>
      <c r="AA36" s="311"/>
      <c r="AB36" s="311">
        <v>0</v>
      </c>
      <c r="AC36" s="311">
        <v>16091.363971215649</v>
      </c>
      <c r="AD36" s="311">
        <v>30445.426433288827</v>
      </c>
      <c r="AE36" s="286"/>
      <c r="AF36" s="311">
        <v>124884.26689828593</v>
      </c>
      <c r="AG36" s="311">
        <v>20521.945768809412</v>
      </c>
      <c r="AH36" s="311">
        <v>145406.21266709536</v>
      </c>
      <c r="AI36" s="305">
        <v>4.3455830111908983E-2</v>
      </c>
      <c r="AJ36" s="286"/>
      <c r="AK36" s="311">
        <v>-47550</v>
      </c>
      <c r="AL36" s="311">
        <v>30445.426433288827</v>
      </c>
      <c r="AM36" s="311">
        <v>-5458.2472390112298</v>
      </c>
      <c r="AN36" s="311">
        <v>-13502.722939166091</v>
      </c>
      <c r="AO36" s="311">
        <v>11484.456255111505</v>
      </c>
      <c r="AP36" s="311">
        <v>-36065.543744888491</v>
      </c>
      <c r="AQ36" s="286"/>
      <c r="AR36" s="303">
        <v>3.4106119324736242E-2</v>
      </c>
      <c r="AS36" s="305">
        <v>3.5560554388970635E-2</v>
      </c>
      <c r="AT36" s="305">
        <v>3.4356966628003541E-2</v>
      </c>
      <c r="AU36" s="286"/>
      <c r="AV36" s="305">
        <v>1.0995214910660536E-2</v>
      </c>
      <c r="AW36" s="305">
        <v>0</v>
      </c>
      <c r="AX36" s="449">
        <v>9.0988634839054422E-3</v>
      </c>
      <c r="AY36" s="286"/>
      <c r="AZ36" s="305">
        <v>4.5101334235396778E-2</v>
      </c>
      <c r="BA36" s="305">
        <v>3.5560554388970635E-2</v>
      </c>
      <c r="BB36" s="305">
        <v>4.3455830111908983E-2</v>
      </c>
      <c r="BD36" s="511">
        <f>SUMIFS('SC1'!AX:AX,'SC1'!I:I,I36)</f>
        <v>7.1891918780105091E-3</v>
      </c>
      <c r="BE36" s="511">
        <f>SUMIFS('SC2'!AX:AX,'SC2'!I:I,I36)</f>
        <v>8.8420531685423423E-3</v>
      </c>
    </row>
    <row r="37" spans="7:57" x14ac:dyDescent="0.2">
      <c r="G37" s="267" t="s">
        <v>84</v>
      </c>
      <c r="H37" s="268" t="s">
        <v>85</v>
      </c>
      <c r="I37" s="61" t="s">
        <v>88</v>
      </c>
      <c r="J37" s="61" t="s">
        <v>89</v>
      </c>
      <c r="K37" s="311">
        <v>1226725.49919287</v>
      </c>
      <c r="L37" s="311">
        <v>223162.47777478211</v>
      </c>
      <c r="M37" s="311">
        <v>1449887.9769676521</v>
      </c>
      <c r="N37" s="311">
        <v>20688.383990344359</v>
      </c>
      <c r="O37" s="311">
        <v>10630.522225217894</v>
      </c>
      <c r="P37" s="309">
        <v>31318.906215562252</v>
      </c>
      <c r="Q37" s="305">
        <v>2.1600914493451927E-2</v>
      </c>
      <c r="S37" s="311">
        <v>0</v>
      </c>
      <c r="T37" s="311">
        <v>0</v>
      </c>
      <c r="U37" s="311">
        <v>0</v>
      </c>
      <c r="V37" s="311">
        <v>6260.5752712297863</v>
      </c>
      <c r="W37" s="311"/>
      <c r="X37" s="311"/>
      <c r="Y37" s="311">
        <v>0</v>
      </c>
      <c r="Z37" s="311">
        <v>0</v>
      </c>
      <c r="AA37" s="311"/>
      <c r="AB37" s="311">
        <v>0</v>
      </c>
      <c r="AC37" s="311">
        <v>7018.3054884101748</v>
      </c>
      <c r="AD37" s="311">
        <v>13278.88075963996</v>
      </c>
      <c r="AE37" s="286"/>
      <c r="AF37" s="311">
        <v>33967.264749984315</v>
      </c>
      <c r="AG37" s="311">
        <v>10630.522225217894</v>
      </c>
      <c r="AH37" s="311">
        <v>44597.786975202209</v>
      </c>
      <c r="AI37" s="305">
        <v>3.0759470858207696E-2</v>
      </c>
      <c r="AJ37" s="286"/>
      <c r="AK37" s="311">
        <v>-25000</v>
      </c>
      <c r="AL37" s="311">
        <v>13278.88075963996</v>
      </c>
      <c r="AM37" s="311">
        <v>-2380.6338992255223</v>
      </c>
      <c r="AN37" s="311">
        <v>-5850.8759828540888</v>
      </c>
      <c r="AO37" s="311">
        <v>5047.3708775603491</v>
      </c>
      <c r="AP37" s="311">
        <v>-19952.629122439652</v>
      </c>
      <c r="AQ37" s="286"/>
      <c r="AR37" s="303">
        <v>1.6864721572965084E-2</v>
      </c>
      <c r="AS37" s="305">
        <v>4.7635795816653045E-2</v>
      </c>
      <c r="AT37" s="305">
        <v>2.1600914493451927E-2</v>
      </c>
      <c r="AU37" s="286"/>
      <c r="AV37" s="305">
        <v>1.0824655367787546E-2</v>
      </c>
      <c r="AW37" s="305">
        <v>0</v>
      </c>
      <c r="AX37" s="449">
        <v>9.158556364755769E-3</v>
      </c>
      <c r="AY37" s="286"/>
      <c r="AZ37" s="305">
        <v>2.768937694075263E-2</v>
      </c>
      <c r="BA37" s="305">
        <v>4.7635795816653045E-2</v>
      </c>
      <c r="BB37" s="305">
        <v>3.0759470858207696E-2</v>
      </c>
      <c r="BD37" s="511">
        <f>SUMIFS('SC1'!AX:AX,'SC1'!I:I,I37)</f>
        <v>1.0100489957237686E-2</v>
      </c>
      <c r="BE37" s="511">
        <f>SUMIFS('SC2'!AX:AX,'SC2'!I:I,I37)</f>
        <v>9.8029514354347515E-3</v>
      </c>
    </row>
    <row r="38" spans="7:57" x14ac:dyDescent="0.2">
      <c r="G38" s="267" t="s">
        <v>84</v>
      </c>
      <c r="H38" s="268" t="s">
        <v>85</v>
      </c>
      <c r="I38" s="61" t="s">
        <v>90</v>
      </c>
      <c r="J38" s="61" t="s">
        <v>91</v>
      </c>
      <c r="K38" s="311">
        <v>3204352.7652876237</v>
      </c>
      <c r="L38" s="311">
        <v>619994.00625621236</v>
      </c>
      <c r="M38" s="311">
        <v>3824346.7715438362</v>
      </c>
      <c r="N38" s="311">
        <v>58687.39198427368</v>
      </c>
      <c r="O38" s="311">
        <v>22992.902881181333</v>
      </c>
      <c r="P38" s="309">
        <v>81680.294865455013</v>
      </c>
      <c r="Q38" s="305">
        <v>2.1357972941476174E-2</v>
      </c>
      <c r="S38" s="311">
        <v>0</v>
      </c>
      <c r="T38" s="311">
        <v>0</v>
      </c>
      <c r="U38" s="311">
        <v>0</v>
      </c>
      <c r="V38" s="311">
        <v>16353.366499559823</v>
      </c>
      <c r="W38" s="311"/>
      <c r="X38" s="311"/>
      <c r="Y38" s="311">
        <v>0</v>
      </c>
      <c r="Z38" s="311">
        <v>0</v>
      </c>
      <c r="AA38" s="311"/>
      <c r="AB38" s="311">
        <v>0</v>
      </c>
      <c r="AC38" s="311">
        <v>18332.647861495727</v>
      </c>
      <c r="AD38" s="311">
        <v>34686.014361055553</v>
      </c>
      <c r="AE38" s="286"/>
      <c r="AF38" s="311">
        <v>93373.406345329233</v>
      </c>
      <c r="AG38" s="311">
        <v>22992.902881181333</v>
      </c>
      <c r="AH38" s="311">
        <v>116366.30922651057</v>
      </c>
      <c r="AI38" s="305">
        <v>3.0427760916548655E-2</v>
      </c>
      <c r="AJ38" s="286"/>
      <c r="AK38" s="311">
        <v>-139903</v>
      </c>
      <c r="AL38" s="311">
        <v>34686.014361055553</v>
      </c>
      <c r="AM38" s="311">
        <v>-6218.4986153299142</v>
      </c>
      <c r="AN38" s="311">
        <v>-15432.763793606257</v>
      </c>
      <c r="AO38" s="311">
        <v>13034.751952119383</v>
      </c>
      <c r="AP38" s="311">
        <v>-126868.24804788062</v>
      </c>
      <c r="AQ38" s="286"/>
      <c r="AR38" s="303">
        <v>1.831489735463189E-2</v>
      </c>
      <c r="AS38" s="305">
        <v>3.7085685747225629E-2</v>
      </c>
      <c r="AT38" s="305">
        <v>2.1357972941476174E-2</v>
      </c>
      <c r="AU38" s="286"/>
      <c r="AV38" s="305">
        <v>1.0824655367787549E-2</v>
      </c>
      <c r="AW38" s="305">
        <v>0</v>
      </c>
      <c r="AX38" s="449">
        <v>9.0697879750724804E-3</v>
      </c>
      <c r="AY38" s="286"/>
      <c r="AZ38" s="305">
        <v>2.9139552722419439E-2</v>
      </c>
      <c r="BA38" s="305">
        <v>3.7085685747225629E-2</v>
      </c>
      <c r="BB38" s="305">
        <v>3.0427760916548655E-2</v>
      </c>
      <c r="BD38" s="511">
        <f>SUMIFS('SC1'!AX:AX,'SC1'!I:I,I38)</f>
        <v>9.5585656727841389E-3</v>
      </c>
      <c r="BE38" s="511">
        <f>SUMIFS('SC2'!AX:AX,'SC2'!I:I,I38)</f>
        <v>8.8138920794514318E-3</v>
      </c>
    </row>
    <row r="39" spans="7:57" x14ac:dyDescent="0.2">
      <c r="G39" s="267" t="s">
        <v>84</v>
      </c>
      <c r="H39" s="268" t="s">
        <v>85</v>
      </c>
      <c r="I39" s="61" t="s">
        <v>92</v>
      </c>
      <c r="J39" s="61" t="s">
        <v>93</v>
      </c>
      <c r="K39" s="311">
        <v>3319652.3421270251</v>
      </c>
      <c r="L39" s="311">
        <v>613945.57198142598</v>
      </c>
      <c r="M39" s="311">
        <v>3933597.914108451</v>
      </c>
      <c r="N39" s="311">
        <v>66348.518629152328</v>
      </c>
      <c r="O39" s="311">
        <v>30804.428018574021</v>
      </c>
      <c r="P39" s="309">
        <v>97152.946647726349</v>
      </c>
      <c r="Q39" s="305">
        <v>2.4698240330887009E-2</v>
      </c>
      <c r="S39" s="311">
        <v>0</v>
      </c>
      <c r="T39" s="311">
        <v>0</v>
      </c>
      <c r="U39" s="311">
        <v>0</v>
      </c>
      <c r="V39" s="311">
        <v>16941.796168641416</v>
      </c>
      <c r="W39" s="311"/>
      <c r="X39" s="311"/>
      <c r="Y39" s="311">
        <v>0</v>
      </c>
      <c r="Z39" s="311">
        <v>0</v>
      </c>
      <c r="AA39" s="311"/>
      <c r="AB39" s="311">
        <v>0</v>
      </c>
      <c r="AC39" s="311">
        <v>18992.296375752394</v>
      </c>
      <c r="AD39" s="311">
        <v>35934.09254439381</v>
      </c>
      <c r="AE39" s="286"/>
      <c r="AF39" s="311">
        <v>102282.61117354615</v>
      </c>
      <c r="AG39" s="311">
        <v>30804.428018574021</v>
      </c>
      <c r="AH39" s="311">
        <v>133087.03919212017</v>
      </c>
      <c r="AI39" s="305">
        <v>3.3833412081794918E-2</v>
      </c>
      <c r="AJ39" s="286"/>
      <c r="AK39" s="311">
        <v>-117340</v>
      </c>
      <c r="AL39" s="311">
        <v>35934.09254439381</v>
      </c>
      <c r="AM39" s="311">
        <v>-6442.2537108022398</v>
      </c>
      <c r="AN39" s="311">
        <v>-15873.635706667808</v>
      </c>
      <c r="AO39" s="311">
        <v>13618.203126923761</v>
      </c>
      <c r="AP39" s="311">
        <v>-103721.79687307624</v>
      </c>
      <c r="AQ39" s="286"/>
      <c r="AR39" s="303">
        <v>1.9986586482920787E-2</v>
      </c>
      <c r="AS39" s="305">
        <v>5.0174525926063626E-2</v>
      </c>
      <c r="AT39" s="305">
        <v>2.4698240330887009E-2</v>
      </c>
      <c r="AU39" s="286"/>
      <c r="AV39" s="305">
        <v>1.0824655367787549E-2</v>
      </c>
      <c r="AW39" s="305">
        <v>0</v>
      </c>
      <c r="AX39" s="449">
        <v>9.1351717509079097E-3</v>
      </c>
      <c r="AY39" s="286"/>
      <c r="AZ39" s="305">
        <v>3.0811241850708337E-2</v>
      </c>
      <c r="BA39" s="305">
        <v>5.0174525926063626E-2</v>
      </c>
      <c r="BB39" s="305">
        <v>3.3833412081794918E-2</v>
      </c>
      <c r="BD39" s="511">
        <f>SUMIFS('SC1'!AX:AX,'SC1'!I:I,I39)</f>
        <v>1.0090227125287517E-2</v>
      </c>
      <c r="BE39" s="511">
        <f>SUMIFS('SC2'!AX:AX,'SC2'!I:I,I39)</f>
        <v>9.7948789679744505E-3</v>
      </c>
    </row>
    <row r="40" spans="7:57" x14ac:dyDescent="0.2">
      <c r="G40" s="267" t="s">
        <v>84</v>
      </c>
      <c r="H40" s="268" t="s">
        <v>85</v>
      </c>
      <c r="I40" s="61" t="s">
        <v>94</v>
      </c>
      <c r="J40" s="61" t="s">
        <v>95</v>
      </c>
      <c r="K40" s="311">
        <v>1830327.3385640713</v>
      </c>
      <c r="L40" s="311">
        <v>352386.33337149769</v>
      </c>
      <c r="M40" s="311">
        <v>2182713.671935569</v>
      </c>
      <c r="N40" s="311">
        <v>29827.162801235449</v>
      </c>
      <c r="O40" s="311">
        <v>16167.666628502309</v>
      </c>
      <c r="P40" s="309">
        <v>45994.829429737758</v>
      </c>
      <c r="Q40" s="305">
        <v>2.1072314715906294E-2</v>
      </c>
      <c r="S40" s="311">
        <v>0</v>
      </c>
      <c r="T40" s="311">
        <v>0</v>
      </c>
      <c r="U40" s="311">
        <v>0</v>
      </c>
      <c r="V40" s="311">
        <v>9341.0482472317526</v>
      </c>
      <c r="W40" s="311"/>
      <c r="X40" s="311"/>
      <c r="Y40" s="311">
        <v>0</v>
      </c>
      <c r="Z40" s="311">
        <v>0</v>
      </c>
      <c r="AA40" s="311"/>
      <c r="AB40" s="311">
        <v>0</v>
      </c>
      <c r="AC40" s="311">
        <v>10471.614402964122</v>
      </c>
      <c r="AD40" s="311">
        <v>19812.662650195874</v>
      </c>
      <c r="AE40" s="286"/>
      <c r="AF40" s="311">
        <v>49639.825451431323</v>
      </c>
      <c r="AG40" s="311">
        <v>16167.666628502309</v>
      </c>
      <c r="AH40" s="311">
        <v>65807.49207993364</v>
      </c>
      <c r="AI40" s="305">
        <v>3.0149392898417778E-2</v>
      </c>
      <c r="AJ40" s="286"/>
      <c r="AK40" s="311">
        <v>-22896</v>
      </c>
      <c r="AL40" s="311">
        <v>19812.662650195874</v>
      </c>
      <c r="AM40" s="311">
        <v>-3552.0084254642056</v>
      </c>
      <c r="AN40" s="311">
        <v>-8808.119801975572</v>
      </c>
      <c r="AO40" s="311">
        <v>7452.5344227560963</v>
      </c>
      <c r="AP40" s="311">
        <v>-15443.465577243904</v>
      </c>
      <c r="AQ40" s="286"/>
      <c r="AR40" s="303">
        <v>1.6296081128655084E-2</v>
      </c>
      <c r="AS40" s="305">
        <v>4.5880515495071154E-2</v>
      </c>
      <c r="AT40" s="305">
        <v>2.1072314715906294E-2</v>
      </c>
      <c r="AU40" s="286"/>
      <c r="AV40" s="305">
        <v>1.0824655367787549E-2</v>
      </c>
      <c r="AW40" s="305">
        <v>0</v>
      </c>
      <c r="AX40" s="449">
        <v>9.0770781825114839E-3</v>
      </c>
      <c r="AY40" s="286"/>
      <c r="AZ40" s="305">
        <v>2.7120736496442633E-2</v>
      </c>
      <c r="BA40" s="305">
        <v>4.5880515495071154E-2</v>
      </c>
      <c r="BB40" s="305">
        <v>3.0149392898417778E-2</v>
      </c>
      <c r="BD40" s="511">
        <f>SUMIFS('SC1'!AX:AX,'SC1'!I:I,I40)</f>
        <v>1.003438301290184E-2</v>
      </c>
      <c r="BE40" s="511">
        <f>SUMIFS('SC2'!AX:AX,'SC2'!I:I,I40)</f>
        <v>9.7660977529092745E-3</v>
      </c>
    </row>
    <row r="41" spans="7:57" x14ac:dyDescent="0.2">
      <c r="G41" s="269" t="s">
        <v>84</v>
      </c>
      <c r="H41" s="270" t="s">
        <v>85</v>
      </c>
      <c r="I41" s="271" t="s">
        <v>96</v>
      </c>
      <c r="J41" s="271" t="s">
        <v>97</v>
      </c>
      <c r="K41" s="312">
        <v>3225586.3548450344</v>
      </c>
      <c r="L41" s="312">
        <v>590979.39815476979</v>
      </c>
      <c r="M41" s="312">
        <v>3816565.752999804</v>
      </c>
      <c r="N41" s="312">
        <v>62642.519837899599</v>
      </c>
      <c r="O41" s="312">
        <v>23157.415783729055</v>
      </c>
      <c r="P41" s="310">
        <v>85799.935621628654</v>
      </c>
      <c r="Q41" s="306">
        <v>2.2480926878880647E-2</v>
      </c>
      <c r="S41" s="312">
        <v>0</v>
      </c>
      <c r="T41" s="312">
        <v>0</v>
      </c>
      <c r="U41" s="312">
        <v>0</v>
      </c>
      <c r="V41" s="312">
        <v>16461.731806867803</v>
      </c>
      <c r="W41" s="312"/>
      <c r="X41" s="312"/>
      <c r="Y41" s="312">
        <v>0</v>
      </c>
      <c r="Z41" s="312">
        <v>0</v>
      </c>
      <c r="AA41" s="312"/>
      <c r="AB41" s="312">
        <v>0</v>
      </c>
      <c r="AC41" s="312">
        <v>18454.128843367776</v>
      </c>
      <c r="AD41" s="312">
        <v>34915.860650235583</v>
      </c>
      <c r="AE41" s="286"/>
      <c r="AF41" s="312">
        <v>97558.380488135183</v>
      </c>
      <c r="AG41" s="312">
        <v>23157.415783729055</v>
      </c>
      <c r="AH41" s="312">
        <v>120715.79627186424</v>
      </c>
      <c r="AI41" s="306">
        <v>3.1629429200055612E-2</v>
      </c>
      <c r="AJ41" s="286"/>
      <c r="AK41" s="312">
        <v>-15992</v>
      </c>
      <c r="AL41" s="312">
        <v>34915.860650235583</v>
      </c>
      <c r="AM41" s="312">
        <v>-6259.7053915287242</v>
      </c>
      <c r="AN41" s="312">
        <v>-15401.364281889058</v>
      </c>
      <c r="AO41" s="312">
        <v>13254.7909768178</v>
      </c>
      <c r="AP41" s="312">
        <v>-2737.2090231822003</v>
      </c>
      <c r="AQ41" s="286"/>
      <c r="AR41" s="304">
        <v>1.9420506210849564E-2</v>
      </c>
      <c r="AS41" s="306">
        <v>3.9184810597516682E-2</v>
      </c>
      <c r="AT41" s="306">
        <v>2.2480926878880647E-2</v>
      </c>
      <c r="AU41" s="286"/>
      <c r="AV41" s="306">
        <v>1.0824655367787553E-2</v>
      </c>
      <c r="AW41" s="306">
        <v>0</v>
      </c>
      <c r="AX41" s="449">
        <v>9.1485023211749644E-3</v>
      </c>
      <c r="AY41" s="286"/>
      <c r="AZ41" s="306">
        <v>3.0245161578637117E-2</v>
      </c>
      <c r="BA41" s="306">
        <v>3.9184810597516682E-2</v>
      </c>
      <c r="BB41" s="306">
        <v>3.1629429200055612E-2</v>
      </c>
      <c r="BD41" s="511">
        <f>SUMIFS('SC1'!AX:AX,'SC1'!I:I,I41)</f>
        <v>9.6440706487970276E-3</v>
      </c>
      <c r="BE41" s="511">
        <f>SUMIFS('SC2'!AX:AX,'SC2'!I:I,I41)</f>
        <v>8.8903302005559348E-3</v>
      </c>
    </row>
    <row r="42" spans="7:57" x14ac:dyDescent="0.2">
      <c r="G42" s="266" t="s">
        <v>98</v>
      </c>
      <c r="H42" s="61" t="s">
        <v>99</v>
      </c>
      <c r="I42" s="61" t="s">
        <v>100</v>
      </c>
      <c r="J42" s="61" t="s">
        <v>101</v>
      </c>
      <c r="K42" s="311">
        <v>1531592.4457872827</v>
      </c>
      <c r="L42" s="311">
        <v>284657.1505706599</v>
      </c>
      <c r="M42" s="311">
        <v>1816249.5963579426</v>
      </c>
      <c r="N42" s="311">
        <v>53694.83965016529</v>
      </c>
      <c r="O42" s="311">
        <v>14461.849429340102</v>
      </c>
      <c r="P42" s="309">
        <v>68156.689079505391</v>
      </c>
      <c r="Q42" s="305">
        <v>3.7526058762065224E-2</v>
      </c>
      <c r="S42" s="311">
        <v>0</v>
      </c>
      <c r="T42" s="311">
        <v>0</v>
      </c>
      <c r="U42" s="311">
        <v>0</v>
      </c>
      <c r="V42" s="311">
        <v>7926.6346459386796</v>
      </c>
      <c r="W42" s="311"/>
      <c r="X42" s="311"/>
      <c r="Y42" s="311">
        <v>0</v>
      </c>
      <c r="Z42" s="311">
        <v>0</v>
      </c>
      <c r="AA42" s="311"/>
      <c r="AB42" s="311">
        <v>0</v>
      </c>
      <c r="AC42" s="311">
        <v>8886.0114334646078</v>
      </c>
      <c r="AD42" s="311">
        <v>16812.646079403286</v>
      </c>
      <c r="AE42" s="286"/>
      <c r="AF42" s="311">
        <v>70507.48572956858</v>
      </c>
      <c r="AG42" s="311">
        <v>14461.849429340102</v>
      </c>
      <c r="AH42" s="311">
        <v>84969.335158908681</v>
      </c>
      <c r="AI42" s="305">
        <v>4.6782851503061315E-2</v>
      </c>
      <c r="AJ42" s="286"/>
      <c r="AK42" s="311">
        <v>-9984</v>
      </c>
      <c r="AL42" s="311">
        <v>16812.646079403286</v>
      </c>
      <c r="AM42" s="311">
        <v>-3014.1663229600199</v>
      </c>
      <c r="AN42" s="311">
        <v>-7329.2911666348728</v>
      </c>
      <c r="AO42" s="311">
        <v>6469.1885898083938</v>
      </c>
      <c r="AP42" s="311">
        <v>-3514.8114101916062</v>
      </c>
      <c r="AQ42" s="286"/>
      <c r="AR42" s="303">
        <v>3.5058177387761007E-2</v>
      </c>
      <c r="AS42" s="305">
        <v>5.0804448089036378E-2</v>
      </c>
      <c r="AT42" s="305">
        <v>3.7526058762065224E-2</v>
      </c>
      <c r="AU42" s="286"/>
      <c r="AV42" s="305">
        <v>1.097723230853434E-2</v>
      </c>
      <c r="AW42" s="305">
        <v>0</v>
      </c>
      <c r="AX42" s="449">
        <v>9.2567927409960907E-3</v>
      </c>
      <c r="AY42" s="286"/>
      <c r="AZ42" s="305">
        <v>4.6035409696295347E-2</v>
      </c>
      <c r="BA42" s="305">
        <v>5.0804448089036378E-2</v>
      </c>
      <c r="BB42" s="305">
        <v>4.6782851503061315E-2</v>
      </c>
      <c r="BD42" s="511">
        <f>SUMIFS('SC1'!AX:AX,'SC1'!I:I,I42)</f>
        <v>7.7748587343003453E-3</v>
      </c>
      <c r="BE42" s="511">
        <f>SUMIFS('SC2'!AX:AX,'SC2'!I:I,I42)</f>
        <v>9.9172669264432911E-3</v>
      </c>
    </row>
    <row r="43" spans="7:57" x14ac:dyDescent="0.2">
      <c r="G43" s="267" t="s">
        <v>98</v>
      </c>
      <c r="H43" s="268" t="s">
        <v>99</v>
      </c>
      <c r="I43" s="61" t="s">
        <v>102</v>
      </c>
      <c r="J43" s="61" t="s">
        <v>103</v>
      </c>
      <c r="K43" s="311">
        <v>1695158.1333267344</v>
      </c>
      <c r="L43" s="311">
        <v>376179.76938088128</v>
      </c>
      <c r="M43" s="311">
        <v>2071337.9027076156</v>
      </c>
      <c r="N43" s="311">
        <v>55911.186943079578</v>
      </c>
      <c r="O43" s="311">
        <v>12420.515921132464</v>
      </c>
      <c r="P43" s="309">
        <v>68331.702864212042</v>
      </c>
      <c r="Q43" s="305">
        <v>3.2989162596257261E-2</v>
      </c>
      <c r="S43" s="311">
        <v>0</v>
      </c>
      <c r="T43" s="311">
        <v>0</v>
      </c>
      <c r="U43" s="311">
        <v>0</v>
      </c>
      <c r="V43" s="311">
        <v>8779.5386655870843</v>
      </c>
      <c r="W43" s="311"/>
      <c r="X43" s="311"/>
      <c r="Y43" s="311">
        <v>0</v>
      </c>
      <c r="Z43" s="311">
        <v>0</v>
      </c>
      <c r="AA43" s="311"/>
      <c r="AB43" s="311">
        <v>0</v>
      </c>
      <c r="AC43" s="311">
        <v>9842.1441693321322</v>
      </c>
      <c r="AD43" s="311">
        <v>18621.682834919215</v>
      </c>
      <c r="AE43" s="286"/>
      <c r="AF43" s="311">
        <v>74532.8697779988</v>
      </c>
      <c r="AG43" s="311">
        <v>12420.515921132464</v>
      </c>
      <c r="AH43" s="311">
        <v>86953.385699131264</v>
      </c>
      <c r="AI43" s="305">
        <v>4.1979334026315727E-2</v>
      </c>
      <c r="AJ43" s="286"/>
      <c r="AK43" s="311">
        <v>0</v>
      </c>
      <c r="AL43" s="311">
        <v>18621.682834919215</v>
      </c>
      <c r="AM43" s="311">
        <v>-3338.4899088917414</v>
      </c>
      <c r="AN43" s="311">
        <v>-8358.6741733480376</v>
      </c>
      <c r="AO43" s="311">
        <v>6924.5187526794361</v>
      </c>
      <c r="AP43" s="311">
        <v>6924.5187526794361</v>
      </c>
      <c r="AQ43" s="286"/>
      <c r="AR43" s="303">
        <v>3.2982873894693419E-2</v>
      </c>
      <c r="AS43" s="305">
        <v>3.3017501025039753E-2</v>
      </c>
      <c r="AT43" s="305">
        <v>3.2989162596257261E-2</v>
      </c>
      <c r="AU43" s="286"/>
      <c r="AV43" s="305">
        <v>1.0985218705451577E-2</v>
      </c>
      <c r="AW43" s="305">
        <v>0</v>
      </c>
      <c r="AX43" s="449">
        <v>8.9901714300584662E-3</v>
      </c>
      <c r="AY43" s="286"/>
      <c r="AZ43" s="305">
        <v>4.3968092600144996E-2</v>
      </c>
      <c r="BA43" s="305">
        <v>3.3017501025039753E-2</v>
      </c>
      <c r="BB43" s="305">
        <v>4.1979334026315727E-2</v>
      </c>
      <c r="BD43" s="511">
        <f>SUMIFS('SC1'!AX:AX,'SC1'!I:I,I43)</f>
        <v>7.1032613419826987E-3</v>
      </c>
      <c r="BE43" s="511">
        <f>SUMIFS('SC2'!AX:AX,'SC2'!I:I,I43)</f>
        <v>8.7364512287077672E-3</v>
      </c>
    </row>
    <row r="44" spans="7:57" x14ac:dyDescent="0.2">
      <c r="G44" s="267" t="s">
        <v>98</v>
      </c>
      <c r="H44" s="268" t="s">
        <v>99</v>
      </c>
      <c r="I44" s="61" t="s">
        <v>104</v>
      </c>
      <c r="J44" s="61" t="s">
        <v>105</v>
      </c>
      <c r="K44" s="311">
        <v>1099157.4527298571</v>
      </c>
      <c r="L44" s="311">
        <v>203799.89655329022</v>
      </c>
      <c r="M44" s="311">
        <v>1302957.3492831474</v>
      </c>
      <c r="N44" s="311">
        <v>25560.513579056598</v>
      </c>
      <c r="O44" s="311">
        <v>11022.103446709778</v>
      </c>
      <c r="P44" s="309">
        <v>36582.617025766376</v>
      </c>
      <c r="Q44" s="305">
        <v>2.8076603617066334E-2</v>
      </c>
      <c r="S44" s="311">
        <v>0</v>
      </c>
      <c r="T44" s="311">
        <v>0</v>
      </c>
      <c r="U44" s="311">
        <v>0</v>
      </c>
      <c r="V44" s="311">
        <v>5609.5336505812329</v>
      </c>
      <c r="W44" s="311"/>
      <c r="X44" s="311"/>
      <c r="Y44" s="311">
        <v>0</v>
      </c>
      <c r="Z44" s="311">
        <v>0</v>
      </c>
      <c r="AA44" s="311"/>
      <c r="AB44" s="311">
        <v>0</v>
      </c>
      <c r="AC44" s="311">
        <v>6288.4669701547027</v>
      </c>
      <c r="AD44" s="311">
        <v>11898.000620735937</v>
      </c>
      <c r="AE44" s="286"/>
      <c r="AF44" s="311">
        <v>37458.514199792538</v>
      </c>
      <c r="AG44" s="311">
        <v>11022.103446709778</v>
      </c>
      <c r="AH44" s="311">
        <v>48480.617646502316</v>
      </c>
      <c r="AI44" s="305">
        <v>3.7208138603443214E-2</v>
      </c>
      <c r="AJ44" s="286"/>
      <c r="AK44" s="311">
        <v>0</v>
      </c>
      <c r="AL44" s="311">
        <v>11898.000620735937</v>
      </c>
      <c r="AM44" s="311">
        <v>-2133.0701075967991</v>
      </c>
      <c r="AN44" s="311">
        <v>-5257.9523264603749</v>
      </c>
      <c r="AO44" s="311">
        <v>4506.9781866787625</v>
      </c>
      <c r="AP44" s="311">
        <v>4506.9781866787625</v>
      </c>
      <c r="AQ44" s="286"/>
      <c r="AR44" s="303">
        <v>2.3254642467805453E-2</v>
      </c>
      <c r="AS44" s="305">
        <v>5.4082968799877111E-2</v>
      </c>
      <c r="AT44" s="305">
        <v>2.8076603617066334E-2</v>
      </c>
      <c r="AU44" s="286"/>
      <c r="AV44" s="305">
        <v>1.0824655367787553E-2</v>
      </c>
      <c r="AW44" s="305">
        <v>0</v>
      </c>
      <c r="AX44" s="449">
        <v>9.1315349863768797E-3</v>
      </c>
      <c r="AY44" s="286"/>
      <c r="AZ44" s="305">
        <v>3.4079297835593006E-2</v>
      </c>
      <c r="BA44" s="305">
        <v>5.4082968799877111E-2</v>
      </c>
      <c r="BB44" s="305">
        <v>3.7208138603443214E-2</v>
      </c>
      <c r="BD44" s="511">
        <f>SUMIFS('SC1'!AX:AX,'SC1'!I:I,I44)</f>
        <v>1.0096385895214416E-2</v>
      </c>
      <c r="BE44" s="511">
        <f>SUMIFS('SC2'!AX:AX,'SC2'!I:I,I44)</f>
        <v>9.7971484179385643E-3</v>
      </c>
    </row>
    <row r="45" spans="7:57" x14ac:dyDescent="0.2">
      <c r="G45" s="267" t="s">
        <v>98</v>
      </c>
      <c r="H45" s="268" t="s">
        <v>99</v>
      </c>
      <c r="I45" s="61" t="s">
        <v>106</v>
      </c>
      <c r="J45" s="61" t="s">
        <v>107</v>
      </c>
      <c r="K45" s="311">
        <v>2260842.5105494577</v>
      </c>
      <c r="L45" s="311">
        <v>432487.4580030879</v>
      </c>
      <c r="M45" s="311">
        <v>2693329.9685525456</v>
      </c>
      <c r="N45" s="311">
        <v>46572.543189605698</v>
      </c>
      <c r="O45" s="311">
        <v>16870.260058616986</v>
      </c>
      <c r="P45" s="309">
        <v>63442.803248222684</v>
      </c>
      <c r="Q45" s="305">
        <v>2.3555525683441689E-2</v>
      </c>
      <c r="S45" s="311">
        <v>0</v>
      </c>
      <c r="T45" s="311">
        <v>0</v>
      </c>
      <c r="U45" s="311">
        <v>0</v>
      </c>
      <c r="V45" s="311">
        <v>11538.176000257443</v>
      </c>
      <c r="W45" s="311"/>
      <c r="X45" s="311"/>
      <c r="Y45" s="311">
        <v>0</v>
      </c>
      <c r="Z45" s="311">
        <v>0</v>
      </c>
      <c r="AA45" s="311"/>
      <c r="AB45" s="311">
        <v>0</v>
      </c>
      <c r="AC45" s="311">
        <v>12934.665017284024</v>
      </c>
      <c r="AD45" s="311">
        <v>24472.841017541468</v>
      </c>
      <c r="AE45" s="286"/>
      <c r="AF45" s="311">
        <v>71045.384207147174</v>
      </c>
      <c r="AG45" s="311">
        <v>16870.260058616986</v>
      </c>
      <c r="AH45" s="311">
        <v>87915.64426576416</v>
      </c>
      <c r="AI45" s="305">
        <v>3.264198790800666E-2</v>
      </c>
      <c r="AJ45" s="286"/>
      <c r="AK45" s="311">
        <v>-89339</v>
      </c>
      <c r="AL45" s="311">
        <v>24472.841017541468</v>
      </c>
      <c r="AM45" s="311">
        <v>-4387.4838543467504</v>
      </c>
      <c r="AN45" s="311">
        <v>-10868.660115288909</v>
      </c>
      <c r="AO45" s="311">
        <v>9216.6970479058109</v>
      </c>
      <c r="AP45" s="311">
        <v>-80122.302952094193</v>
      </c>
      <c r="AQ45" s="286"/>
      <c r="AR45" s="303">
        <v>2.0599640608441615E-2</v>
      </c>
      <c r="AS45" s="305">
        <v>3.9007512810918403E-2</v>
      </c>
      <c r="AT45" s="305">
        <v>2.3555525683441689E-2</v>
      </c>
      <c r="AU45" s="286"/>
      <c r="AV45" s="305">
        <v>1.0824655367787549E-2</v>
      </c>
      <c r="AW45" s="305">
        <v>0</v>
      </c>
      <c r="AX45" s="449">
        <v>9.0864622245649708E-3</v>
      </c>
      <c r="AY45" s="286"/>
      <c r="AZ45" s="305">
        <v>3.1424295976229165E-2</v>
      </c>
      <c r="BA45" s="305">
        <v>3.9007512810918403E-2</v>
      </c>
      <c r="BB45" s="305">
        <v>3.264198790800666E-2</v>
      </c>
      <c r="BD45" s="511">
        <f>SUMIFS('SC1'!AX:AX,'SC1'!I:I,I45)</f>
        <v>9.5813791239250344E-3</v>
      </c>
      <c r="BE45" s="511">
        <f>SUMIFS('SC2'!AX:AX,'SC2'!I:I,I45)</f>
        <v>8.8301282244899852E-3</v>
      </c>
    </row>
    <row r="46" spans="7:57" x14ac:dyDescent="0.2">
      <c r="G46" s="267" t="s">
        <v>98</v>
      </c>
      <c r="H46" s="268" t="s">
        <v>99</v>
      </c>
      <c r="I46" s="61" t="s">
        <v>108</v>
      </c>
      <c r="J46" s="61" t="s">
        <v>109</v>
      </c>
      <c r="K46" s="311">
        <v>1451450.3647777988</v>
      </c>
      <c r="L46" s="311">
        <v>239578.45737310644</v>
      </c>
      <c r="M46" s="311">
        <v>1691028.8221509052</v>
      </c>
      <c r="N46" s="311">
        <v>25707.012793711154</v>
      </c>
      <c r="O46" s="311">
        <v>11861.542626893555</v>
      </c>
      <c r="P46" s="309">
        <v>37568.555420604709</v>
      </c>
      <c r="Q46" s="305">
        <v>2.2216389767277508E-2</v>
      </c>
      <c r="S46" s="311">
        <v>0</v>
      </c>
      <c r="T46" s="311">
        <v>0</v>
      </c>
      <c r="U46" s="311">
        <v>0</v>
      </c>
      <c r="V46" s="311">
        <v>7407.4552678036935</v>
      </c>
      <c r="W46" s="311"/>
      <c r="X46" s="311"/>
      <c r="Y46" s="311">
        <v>0</v>
      </c>
      <c r="Z46" s="311">
        <v>0</v>
      </c>
      <c r="AA46" s="311"/>
      <c r="AB46" s="311">
        <v>0</v>
      </c>
      <c r="AC46" s="311">
        <v>8303.9947143655027</v>
      </c>
      <c r="AD46" s="311">
        <v>15711.449982169197</v>
      </c>
      <c r="AE46" s="286"/>
      <c r="AF46" s="311">
        <v>41418.462775880354</v>
      </c>
      <c r="AG46" s="311">
        <v>11861.542626893555</v>
      </c>
      <c r="AH46" s="311">
        <v>53280.00540277391</v>
      </c>
      <c r="AI46" s="305">
        <v>3.1507449609879723E-2</v>
      </c>
      <c r="AJ46" s="286"/>
      <c r="AK46" s="311">
        <v>-31688</v>
      </c>
      <c r="AL46" s="311">
        <v>15711.449982169197</v>
      </c>
      <c r="AM46" s="311">
        <v>-2816.744205371745</v>
      </c>
      <c r="AN46" s="311">
        <v>-6823.9754236250965</v>
      </c>
      <c r="AO46" s="311">
        <v>6070.7303531723546</v>
      </c>
      <c r="AP46" s="311">
        <v>-25617.269646827644</v>
      </c>
      <c r="AQ46" s="286"/>
      <c r="AR46" s="303">
        <v>1.7711258626227026E-2</v>
      </c>
      <c r="AS46" s="305">
        <v>4.9510055106586792E-2</v>
      </c>
      <c r="AT46" s="305">
        <v>2.2216389767277508E-2</v>
      </c>
      <c r="AU46" s="286"/>
      <c r="AV46" s="305">
        <v>1.0824655367787553E-2</v>
      </c>
      <c r="AW46" s="305">
        <v>0</v>
      </c>
      <c r="AX46" s="449">
        <v>9.2910598426022145E-3</v>
      </c>
      <c r="AY46" s="286"/>
      <c r="AZ46" s="305">
        <v>2.8535913994014579E-2</v>
      </c>
      <c r="BA46" s="305">
        <v>4.9510055106586792E-2</v>
      </c>
      <c r="BB46" s="305">
        <v>3.1507449609879723E-2</v>
      </c>
      <c r="BD46" s="511">
        <f>SUMIFS('SC1'!AX:AX,'SC1'!I:I,I46)</f>
        <v>1.0206644322643649E-2</v>
      </c>
      <c r="BE46" s="511">
        <f>SUMIFS('SC2'!AX:AX,'SC2'!I:I,I46)</f>
        <v>9.8615168151106394E-3</v>
      </c>
    </row>
    <row r="47" spans="7:57" x14ac:dyDescent="0.2">
      <c r="G47" s="267" t="s">
        <v>98</v>
      </c>
      <c r="H47" s="268" t="s">
        <v>99</v>
      </c>
      <c r="I47" s="61" t="s">
        <v>110</v>
      </c>
      <c r="J47" s="61" t="s">
        <v>111</v>
      </c>
      <c r="K47" s="311">
        <v>1063616.2064261124</v>
      </c>
      <c r="L47" s="311">
        <v>209135.47852404614</v>
      </c>
      <c r="M47" s="311">
        <v>1272751.6849501585</v>
      </c>
      <c r="N47" s="311">
        <v>29773.774593339534</v>
      </c>
      <c r="O47" s="311">
        <v>8181.9798770261114</v>
      </c>
      <c r="P47" s="309">
        <v>37955.754470365646</v>
      </c>
      <c r="Q47" s="305">
        <v>2.9821806499397415E-2</v>
      </c>
      <c r="S47" s="311">
        <v>0</v>
      </c>
      <c r="T47" s="311">
        <v>0</v>
      </c>
      <c r="U47" s="311">
        <v>0</v>
      </c>
      <c r="V47" s="311">
        <v>5458.9222325555684</v>
      </c>
      <c r="W47" s="311"/>
      <c r="X47" s="311"/>
      <c r="Y47" s="311">
        <v>0</v>
      </c>
      <c r="Z47" s="311">
        <v>0</v>
      </c>
      <c r="AA47" s="311"/>
      <c r="AB47" s="311">
        <v>0</v>
      </c>
      <c r="AC47" s="311">
        <v>6119.6267444642099</v>
      </c>
      <c r="AD47" s="311">
        <v>11578.548977019778</v>
      </c>
      <c r="AE47" s="286"/>
      <c r="AF47" s="311">
        <v>41352.323570359309</v>
      </c>
      <c r="AG47" s="311">
        <v>8181.9798770261114</v>
      </c>
      <c r="AH47" s="311">
        <v>49534.30344738542</v>
      </c>
      <c r="AI47" s="305">
        <v>3.8919063343707302E-2</v>
      </c>
      <c r="AJ47" s="286"/>
      <c r="AK47" s="311">
        <v>0</v>
      </c>
      <c r="AL47" s="311">
        <v>11578.548977019778</v>
      </c>
      <c r="AM47" s="311">
        <v>-2075.7989093716092</v>
      </c>
      <c r="AN47" s="311">
        <v>-5136.0604294314362</v>
      </c>
      <c r="AO47" s="311">
        <v>4366.6896382167324</v>
      </c>
      <c r="AP47" s="311">
        <v>4366.6896382167324</v>
      </c>
      <c r="AQ47" s="286"/>
      <c r="AR47" s="303">
        <v>2.7992968152848342E-2</v>
      </c>
      <c r="AS47" s="305">
        <v>3.9122868748859167E-2</v>
      </c>
      <c r="AT47" s="305">
        <v>2.9821806499397415E-2</v>
      </c>
      <c r="AU47" s="286"/>
      <c r="AV47" s="305">
        <v>1.0886021580965934E-2</v>
      </c>
      <c r="AW47" s="305">
        <v>0</v>
      </c>
      <c r="AX47" s="449">
        <v>9.0972568443098874E-3</v>
      </c>
      <c r="AY47" s="286"/>
      <c r="AZ47" s="305">
        <v>3.8878989733814276E-2</v>
      </c>
      <c r="BA47" s="305">
        <v>3.9122868748859167E-2</v>
      </c>
      <c r="BB47" s="305">
        <v>3.8919063343707302E-2</v>
      </c>
      <c r="BD47" s="511">
        <f>SUMIFS('SC1'!AX:AX,'SC1'!I:I,I47)</f>
        <v>8.5983513851181741E-3</v>
      </c>
      <c r="BE47" s="511">
        <f>SUMIFS('SC2'!AX:AX,'SC2'!I:I,I47)</f>
        <v>8.8406619916678551E-3</v>
      </c>
    </row>
    <row r="48" spans="7:57" x14ac:dyDescent="0.2">
      <c r="G48" s="267" t="s">
        <v>98</v>
      </c>
      <c r="H48" s="268" t="s">
        <v>99</v>
      </c>
      <c r="I48" s="61" t="s">
        <v>112</v>
      </c>
      <c r="J48" s="61" t="s">
        <v>113</v>
      </c>
      <c r="K48" s="311">
        <v>1057708.859525884</v>
      </c>
      <c r="L48" s="311">
        <v>174234.92301504573</v>
      </c>
      <c r="M48" s="311">
        <v>1231943.7825409297</v>
      </c>
      <c r="N48" s="311">
        <v>23519.691868205555</v>
      </c>
      <c r="O48" s="311">
        <v>9338.0769849542703</v>
      </c>
      <c r="P48" s="309">
        <v>32857.768853159825</v>
      </c>
      <c r="Q48" s="305">
        <v>2.6671483974203318E-2</v>
      </c>
      <c r="S48" s="311">
        <v>0</v>
      </c>
      <c r="T48" s="311">
        <v>0</v>
      </c>
      <c r="U48" s="311">
        <v>0</v>
      </c>
      <c r="V48" s="311">
        <v>5398.0013739547267</v>
      </c>
      <c r="W48" s="311"/>
      <c r="X48" s="311"/>
      <c r="Y48" s="311">
        <v>0</v>
      </c>
      <c r="Z48" s="311">
        <v>0</v>
      </c>
      <c r="AA48" s="311"/>
      <c r="AB48" s="311">
        <v>0</v>
      </c>
      <c r="AC48" s="311">
        <v>6051.3325098685809</v>
      </c>
      <c r="AD48" s="311">
        <v>11449.333883823307</v>
      </c>
      <c r="AE48" s="286"/>
      <c r="AF48" s="311">
        <v>34969.025752028858</v>
      </c>
      <c r="AG48" s="311">
        <v>9338.0769849542703</v>
      </c>
      <c r="AH48" s="311">
        <v>44307.102736983128</v>
      </c>
      <c r="AI48" s="305">
        <v>3.5965198546315226E-2</v>
      </c>
      <c r="AJ48" s="286"/>
      <c r="AK48" s="311">
        <v>0</v>
      </c>
      <c r="AL48" s="311">
        <v>11449.333883823307</v>
      </c>
      <c r="AM48" s="311">
        <v>-2052.6332648626176</v>
      </c>
      <c r="AN48" s="311">
        <v>-4971.384275197669</v>
      </c>
      <c r="AO48" s="311">
        <v>4425.3163437630201</v>
      </c>
      <c r="AP48" s="311">
        <v>4425.3163437630201</v>
      </c>
      <c r="AQ48" s="286"/>
      <c r="AR48" s="303">
        <v>2.2236451606114191E-2</v>
      </c>
      <c r="AS48" s="305">
        <v>5.3594749108638214E-2</v>
      </c>
      <c r="AT48" s="305">
        <v>2.6671483974203318E-2</v>
      </c>
      <c r="AU48" s="286"/>
      <c r="AV48" s="305">
        <v>1.0824655367787546E-2</v>
      </c>
      <c r="AW48" s="305">
        <v>0</v>
      </c>
      <c r="AX48" s="449">
        <v>9.293714572111908E-3</v>
      </c>
      <c r="AY48" s="286"/>
      <c r="AZ48" s="305">
        <v>3.3061106973901737E-2</v>
      </c>
      <c r="BA48" s="305">
        <v>5.3594749108638214E-2</v>
      </c>
      <c r="BB48" s="305">
        <v>3.5965198546315226E-2</v>
      </c>
      <c r="BD48" s="511">
        <f>SUMIFS('SC1'!AX:AX,'SC1'!I:I,I48)</f>
        <v>1.0221067353321726E-2</v>
      </c>
      <c r="BE48" s="511">
        <f>SUMIFS('SC2'!AX:AX,'SC2'!I:I,I48)</f>
        <v>9.8651093557833303E-3</v>
      </c>
    </row>
    <row r="49" spans="7:57" x14ac:dyDescent="0.2">
      <c r="AE49" s="286"/>
      <c r="AJ49" s="286"/>
      <c r="AQ49" s="286"/>
      <c r="AU49" s="286"/>
      <c r="AY49" s="286"/>
    </row>
    <row r="50" spans="7:57" hidden="1" outlineLevel="1" x14ac:dyDescent="0.2">
      <c r="AE50" s="286"/>
      <c r="AJ50" s="286"/>
      <c r="AQ50" s="286"/>
      <c r="AU50" s="286"/>
      <c r="AY50" s="286"/>
    </row>
    <row r="51" spans="7:57" hidden="1" outlineLevel="1" x14ac:dyDescent="0.2">
      <c r="H51" s="272" t="s">
        <v>114</v>
      </c>
      <c r="I51" s="272" t="s">
        <v>13</v>
      </c>
      <c r="J51" s="272" t="s">
        <v>14</v>
      </c>
      <c r="AE51" s="286"/>
      <c r="AJ51" s="286"/>
      <c r="AQ51" s="286"/>
      <c r="AU51" s="286"/>
      <c r="AY51" s="286"/>
    </row>
    <row r="52" spans="7:57" hidden="1" outlineLevel="1" x14ac:dyDescent="0.2">
      <c r="H52" s="273">
        <v>1</v>
      </c>
      <c r="I52" s="274" t="s">
        <v>17</v>
      </c>
      <c r="J52" s="274" t="s">
        <v>18</v>
      </c>
      <c r="K52" s="276">
        <v>16096781.708368989</v>
      </c>
      <c r="L52" s="276">
        <v>2645278.6028940454</v>
      </c>
      <c r="M52" s="276">
        <v>18742060.311263032</v>
      </c>
      <c r="N52" s="276">
        <v>275233.53203718131</v>
      </c>
      <c r="O52" s="276">
        <v>119974.19282469805</v>
      </c>
      <c r="P52" s="276">
        <v>395207.72486187937</v>
      </c>
      <c r="Q52" s="281"/>
      <c r="S52" s="276">
        <v>0</v>
      </c>
      <c r="T52" s="276">
        <v>0</v>
      </c>
      <c r="U52" s="276">
        <v>0</v>
      </c>
      <c r="V52" s="276">
        <v>82211.764968364398</v>
      </c>
      <c r="W52" s="276">
        <v>0</v>
      </c>
      <c r="X52" s="276">
        <v>0</v>
      </c>
      <c r="Y52" s="276"/>
      <c r="Z52" s="276">
        <v>0</v>
      </c>
      <c r="AA52" s="276"/>
      <c r="AB52" s="276"/>
      <c r="AC52" s="276"/>
      <c r="AD52" s="276">
        <v>174373.78783244212</v>
      </c>
      <c r="AE52" s="286"/>
      <c r="AF52" s="276">
        <v>449607.3198696234</v>
      </c>
      <c r="AG52" s="276">
        <v>119974.19282469805</v>
      </c>
      <c r="AH52" s="276">
        <v>569581.51269432146</v>
      </c>
      <c r="AI52" s="281"/>
      <c r="AJ52" s="286"/>
      <c r="AK52" s="276">
        <v>-119138</v>
      </c>
      <c r="AL52" s="276">
        <v>174373.78783244212</v>
      </c>
      <c r="AM52" s="276"/>
      <c r="AN52" s="276"/>
      <c r="AO52" s="276"/>
      <c r="AP52" s="276">
        <v>-51657.579232172633</v>
      </c>
      <c r="AQ52" s="286"/>
      <c r="AR52" s="281">
        <v>1.709866835642573E-2</v>
      </c>
      <c r="AS52" s="281">
        <v>4.5354085839367266E-2</v>
      </c>
      <c r="AT52" s="281">
        <v>2.1086674479666435E-2</v>
      </c>
      <c r="AU52" s="286"/>
      <c r="AV52" s="281">
        <v>1.0832835469327524E-2</v>
      </c>
      <c r="AW52" s="281">
        <v>0</v>
      </c>
      <c r="AX52" s="281">
        <v>9.3038750775789707E-3</v>
      </c>
      <c r="AY52" s="286"/>
      <c r="AZ52" s="281">
        <v>2.7931503825753254E-2</v>
      </c>
      <c r="BA52" s="281">
        <v>4.5354085839367266E-2</v>
      </c>
      <c r="BB52" s="281">
        <v>3.0390549557245405E-2</v>
      </c>
      <c r="BD52" s="281"/>
      <c r="BE52" s="281"/>
    </row>
    <row r="53" spans="7:57" hidden="1" outlineLevel="1" x14ac:dyDescent="0.2">
      <c r="H53" s="273">
        <v>2</v>
      </c>
      <c r="I53" s="274" t="s">
        <v>27</v>
      </c>
      <c r="J53" s="274" t="s">
        <v>28</v>
      </c>
      <c r="K53" s="276">
        <v>14441904.722663989</v>
      </c>
      <c r="L53" s="276">
        <v>2660474.209257625</v>
      </c>
      <c r="M53" s="276">
        <v>17102378.931921616</v>
      </c>
      <c r="N53" s="276">
        <v>241177.87742367107</v>
      </c>
      <c r="O53" s="276">
        <v>99542.765392588568</v>
      </c>
      <c r="P53" s="276">
        <v>340720.64281625964</v>
      </c>
      <c r="Q53" s="281"/>
      <c r="S53" s="276">
        <v>0</v>
      </c>
      <c r="T53" s="276">
        <v>0</v>
      </c>
      <c r="U53" s="276">
        <v>0</v>
      </c>
      <c r="V53" s="276">
        <v>73704.045147553858</v>
      </c>
      <c r="W53" s="276">
        <v>0</v>
      </c>
      <c r="X53" s="276">
        <v>0</v>
      </c>
      <c r="Y53" s="276"/>
      <c r="Z53" s="276">
        <v>0</v>
      </c>
      <c r="AA53" s="276"/>
      <c r="AB53" s="276"/>
      <c r="AC53" s="276"/>
      <c r="AD53" s="276">
        <v>156328.64147726109</v>
      </c>
      <c r="AE53" s="286"/>
      <c r="AF53" s="276">
        <v>397506.51890093216</v>
      </c>
      <c r="AG53" s="276">
        <v>99542.765392588568</v>
      </c>
      <c r="AH53" s="276">
        <v>497049.28429352073</v>
      </c>
      <c r="AI53" s="281"/>
      <c r="AJ53" s="286"/>
      <c r="AK53" s="276">
        <v>-398912</v>
      </c>
      <c r="AL53" s="276">
        <v>156328.64147726109</v>
      </c>
      <c r="AM53" s="276"/>
      <c r="AN53" s="276"/>
      <c r="AO53" s="276"/>
      <c r="AP53" s="276">
        <v>-339624.82894937653</v>
      </c>
      <c r="AQ53" s="286"/>
      <c r="AR53" s="281">
        <v>1.6699866261074656E-2</v>
      </c>
      <c r="AS53" s="281">
        <v>3.7415422050028006E-2</v>
      </c>
      <c r="AT53" s="281">
        <v>1.9922412207830576E-2</v>
      </c>
      <c r="AU53" s="286"/>
      <c r="AV53" s="281">
        <v>1.0824655367787546E-2</v>
      </c>
      <c r="AW53" s="281">
        <v>0</v>
      </c>
      <c r="AX53" s="281">
        <v>9.1407541663969007E-3</v>
      </c>
      <c r="AY53" s="286"/>
      <c r="AZ53" s="281">
        <v>2.7524521628862202E-2</v>
      </c>
      <c r="BA53" s="281">
        <v>3.7415422050028006E-2</v>
      </c>
      <c r="BB53" s="281">
        <v>2.9063166374227477E-2</v>
      </c>
      <c r="BD53" s="281"/>
      <c r="BE53" s="281"/>
    </row>
    <row r="54" spans="7:57" hidden="1" outlineLevel="1" x14ac:dyDescent="0.2">
      <c r="H54" s="273">
        <v>3</v>
      </c>
      <c r="I54" s="274" t="s">
        <v>34</v>
      </c>
      <c r="J54" s="274" t="s">
        <v>35</v>
      </c>
      <c r="K54" s="276">
        <v>19523808.607861694</v>
      </c>
      <c r="L54" s="276">
        <v>3629650.2502132724</v>
      </c>
      <c r="M54" s="276">
        <v>23153458.858074967</v>
      </c>
      <c r="N54" s="276">
        <v>444319.43500089494</v>
      </c>
      <c r="O54" s="276">
        <v>149657.89919714822</v>
      </c>
      <c r="P54" s="276">
        <v>593977.33419804322</v>
      </c>
      <c r="Q54" s="281"/>
      <c r="S54" s="276">
        <v>0</v>
      </c>
      <c r="T54" s="276">
        <v>0</v>
      </c>
      <c r="U54" s="276">
        <v>0</v>
      </c>
      <c r="V54" s="276">
        <v>99996.182567239797</v>
      </c>
      <c r="W54" s="276">
        <v>0</v>
      </c>
      <c r="X54" s="276">
        <v>0</v>
      </c>
      <c r="Y54" s="276"/>
      <c r="Z54" s="276">
        <v>0</v>
      </c>
      <c r="AA54" s="276"/>
      <c r="AB54" s="276"/>
      <c r="AC54" s="276"/>
      <c r="AD54" s="276">
        <v>212095.10743071599</v>
      </c>
      <c r="AE54" s="286"/>
      <c r="AF54" s="276">
        <v>656414.54243161087</v>
      </c>
      <c r="AG54" s="276">
        <v>149657.89919714822</v>
      </c>
      <c r="AH54" s="276">
        <v>806072.44162875926</v>
      </c>
      <c r="AI54" s="281"/>
      <c r="AJ54" s="286"/>
      <c r="AK54" s="276">
        <v>-645444</v>
      </c>
      <c r="AL54" s="276">
        <v>212095.10743071599</v>
      </c>
      <c r="AM54" s="276"/>
      <c r="AN54" s="276"/>
      <c r="AO54" s="276"/>
      <c r="AP54" s="276">
        <v>-564806.67862780811</v>
      </c>
      <c r="AQ54" s="286"/>
      <c r="AR54" s="281">
        <v>2.2757825787227799E-2</v>
      </c>
      <c r="AS54" s="281">
        <v>4.1232044103520597E-2</v>
      </c>
      <c r="AT54" s="281">
        <v>2.5653935243065792E-2</v>
      </c>
      <c r="AU54" s="286"/>
      <c r="AV54" s="281">
        <v>1.0863408451223557E-2</v>
      </c>
      <c r="AW54" s="281">
        <v>0</v>
      </c>
      <c r="AX54" s="281">
        <v>9.1604070359770917E-3</v>
      </c>
      <c r="AY54" s="286"/>
      <c r="AZ54" s="281">
        <v>3.3621234238451356E-2</v>
      </c>
      <c r="BA54" s="281">
        <v>4.1232044103520597E-2</v>
      </c>
      <c r="BB54" s="281">
        <v>3.4814342279042884E-2</v>
      </c>
      <c r="BD54" s="281"/>
      <c r="BE54" s="281"/>
    </row>
    <row r="55" spans="7:57" hidden="1" outlineLevel="1" x14ac:dyDescent="0.2">
      <c r="H55" s="273">
        <v>4</v>
      </c>
      <c r="I55" s="274" t="s">
        <v>58</v>
      </c>
      <c r="J55" s="274" t="s">
        <v>59</v>
      </c>
      <c r="K55" s="276">
        <v>11552653.156449243</v>
      </c>
      <c r="L55" s="276">
        <v>2191775.2460433934</v>
      </c>
      <c r="M55" s="276">
        <v>13744428.402492635</v>
      </c>
      <c r="N55" s="276">
        <v>253065.06663922197</v>
      </c>
      <c r="O55" s="276">
        <v>103425.0977043318</v>
      </c>
      <c r="P55" s="276">
        <v>356490.16434355377</v>
      </c>
      <c r="Q55" s="281"/>
      <c r="S55" s="276">
        <v>0</v>
      </c>
      <c r="T55" s="276">
        <v>0</v>
      </c>
      <c r="U55" s="276">
        <v>0</v>
      </c>
      <c r="V55" s="276">
        <v>59160.13634056571</v>
      </c>
      <c r="W55" s="276">
        <v>0</v>
      </c>
      <c r="X55" s="276">
        <v>0</v>
      </c>
      <c r="Y55" s="276"/>
      <c r="Z55" s="276">
        <v>0</v>
      </c>
      <c r="AA55" s="276"/>
      <c r="AB55" s="276"/>
      <c r="AC55" s="276"/>
      <c r="AD55" s="276">
        <v>125480.54486310817</v>
      </c>
      <c r="AE55" s="286"/>
      <c r="AF55" s="276">
        <v>378545.61150233017</v>
      </c>
      <c r="AG55" s="276">
        <v>103425.0977043318</v>
      </c>
      <c r="AH55" s="276">
        <v>481970.70920666191</v>
      </c>
      <c r="AI55" s="281"/>
      <c r="AJ55" s="286"/>
      <c r="AK55" s="276">
        <v>-56614</v>
      </c>
      <c r="AL55" s="276">
        <v>125480.54486310817</v>
      </c>
      <c r="AM55" s="276"/>
      <c r="AN55" s="276"/>
      <c r="AO55" s="276"/>
      <c r="AP55" s="276">
        <v>-9093.818702568371</v>
      </c>
      <c r="AQ55" s="286"/>
      <c r="AR55" s="281">
        <v>2.1905363487689317E-2</v>
      </c>
      <c r="AS55" s="281">
        <v>4.71878208730733E-2</v>
      </c>
      <c r="AT55" s="281">
        <v>2.593706729040126E-2</v>
      </c>
      <c r="AU55" s="286"/>
      <c r="AV55" s="281">
        <v>1.0861621409715652E-2</v>
      </c>
      <c r="AW55" s="281">
        <v>0</v>
      </c>
      <c r="AX55" s="281">
        <v>9.1295571695328911E-3</v>
      </c>
      <c r="AY55" s="286"/>
      <c r="AZ55" s="281">
        <v>3.2766984897404969E-2</v>
      </c>
      <c r="BA55" s="281">
        <v>4.71878208730733E-2</v>
      </c>
      <c r="BB55" s="281">
        <v>3.5066624459934151E-2</v>
      </c>
      <c r="BD55" s="281"/>
      <c r="BE55" s="281"/>
    </row>
    <row r="56" spans="7:57" hidden="1" outlineLevel="1" x14ac:dyDescent="0.2">
      <c r="H56" s="273">
        <v>5</v>
      </c>
      <c r="I56" s="274" t="s">
        <v>72</v>
      </c>
      <c r="J56" s="274" t="s">
        <v>73</v>
      </c>
      <c r="K56" s="276">
        <v>16786726.48762054</v>
      </c>
      <c r="L56" s="276">
        <v>3741662.583626274</v>
      </c>
      <c r="M56" s="276">
        <v>20528389.071246818</v>
      </c>
      <c r="N56" s="276">
        <v>371894.00792052131</v>
      </c>
      <c r="O56" s="276">
        <v>137199.45013834757</v>
      </c>
      <c r="P56" s="276">
        <v>509093.45805886888</v>
      </c>
      <c r="Q56" s="281"/>
      <c r="S56" s="276">
        <v>0</v>
      </c>
      <c r="T56" s="276">
        <v>0</v>
      </c>
      <c r="U56" s="276">
        <v>0</v>
      </c>
      <c r="V56" s="276">
        <v>86009.538337579797</v>
      </c>
      <c r="W56" s="276">
        <v>0</v>
      </c>
      <c r="X56" s="276">
        <v>0</v>
      </c>
      <c r="Y56" s="276"/>
      <c r="Z56" s="276">
        <v>0</v>
      </c>
      <c r="AA56" s="276"/>
      <c r="AB56" s="276"/>
      <c r="AC56" s="276"/>
      <c r="AD56" s="276">
        <v>182428.98684166055</v>
      </c>
      <c r="AE56" s="286"/>
      <c r="AF56" s="276">
        <v>554322.99476218189</v>
      </c>
      <c r="AG56" s="276">
        <v>137199.45013834757</v>
      </c>
      <c r="AH56" s="276">
        <v>691522.44490052946</v>
      </c>
      <c r="AI56" s="281"/>
      <c r="AJ56" s="286"/>
      <c r="AK56" s="276">
        <v>-112785</v>
      </c>
      <c r="AL56" s="276">
        <v>182428.98684166055</v>
      </c>
      <c r="AM56" s="276"/>
      <c r="AN56" s="276"/>
      <c r="AO56" s="276"/>
      <c r="AP56" s="276">
        <v>-45902.062633842579</v>
      </c>
      <c r="AQ56" s="286"/>
      <c r="AR56" s="281">
        <v>2.215405178578304E-2</v>
      </c>
      <c r="AS56" s="281">
        <v>3.6668044504798505E-2</v>
      </c>
      <c r="AT56" s="281">
        <v>2.4799484084795185E-2</v>
      </c>
      <c r="AU56" s="286"/>
      <c r="AV56" s="281">
        <v>1.0867454531781038E-2</v>
      </c>
      <c r="AW56" s="281">
        <v>0</v>
      </c>
      <c r="AX56" s="281">
        <v>8.8866684184771526E-3</v>
      </c>
      <c r="AY56" s="286"/>
      <c r="AZ56" s="281">
        <v>3.3021506317564078E-2</v>
      </c>
      <c r="BA56" s="281">
        <v>3.6668044504798505E-2</v>
      </c>
      <c r="BB56" s="281">
        <v>3.3686152503272337E-2</v>
      </c>
      <c r="BD56" s="281"/>
      <c r="BE56" s="281"/>
    </row>
    <row r="57" spans="7:57" hidden="1" outlineLevel="1" x14ac:dyDescent="0.2">
      <c r="H57" s="273">
        <v>6</v>
      </c>
      <c r="I57" s="274" t="s">
        <v>84</v>
      </c>
      <c r="J57" s="274" t="s">
        <v>85</v>
      </c>
      <c r="K57" s="276">
        <v>15575614.864090832</v>
      </c>
      <c r="L57" s="276">
        <v>2977566.3767320681</v>
      </c>
      <c r="M57" s="276">
        <v>18553181.2408229</v>
      </c>
      <c r="N57" s="276">
        <v>332632.81770790252</v>
      </c>
      <c r="O57" s="276">
        <v>124274.88130601402</v>
      </c>
      <c r="P57" s="276">
        <v>456907.69901391654</v>
      </c>
      <c r="Q57" s="281"/>
      <c r="S57" s="276">
        <v>0</v>
      </c>
      <c r="T57" s="276">
        <v>0</v>
      </c>
      <c r="U57" s="276">
        <v>0</v>
      </c>
      <c r="V57" s="276">
        <v>79712.580455603762</v>
      </c>
      <c r="W57" s="276">
        <v>0</v>
      </c>
      <c r="X57" s="276">
        <v>0</v>
      </c>
      <c r="Y57" s="276"/>
      <c r="Z57" s="276">
        <v>0</v>
      </c>
      <c r="AA57" s="276"/>
      <c r="AB57" s="276"/>
      <c r="AC57" s="276"/>
      <c r="AD57" s="276">
        <v>169072.93739880962</v>
      </c>
      <c r="AE57" s="286"/>
      <c r="AF57" s="276">
        <v>501705.75510671211</v>
      </c>
      <c r="AG57" s="276">
        <v>124274.88130601402</v>
      </c>
      <c r="AH57" s="276">
        <v>625980.63641272613</v>
      </c>
      <c r="AI57" s="281"/>
      <c r="AJ57" s="286"/>
      <c r="AK57" s="276">
        <v>-368681</v>
      </c>
      <c r="AL57" s="276">
        <v>169072.93739880962</v>
      </c>
      <c r="AM57" s="276"/>
      <c r="AN57" s="276"/>
      <c r="AO57" s="276"/>
      <c r="AP57" s="276">
        <v>-304788.8923887111</v>
      </c>
      <c r="AQ57" s="286"/>
      <c r="AR57" s="281">
        <v>2.1355999144199351E-2</v>
      </c>
      <c r="AS57" s="281">
        <v>4.1737064965922915E-2</v>
      </c>
      <c r="AT57" s="281">
        <v>2.4626919399061024E-2</v>
      </c>
      <c r="AU57" s="286"/>
      <c r="AV57" s="281">
        <v>1.0854976761694512E-2</v>
      </c>
      <c r="AW57" s="281">
        <v>0</v>
      </c>
      <c r="AX57" s="281">
        <v>9.112881246844895E-3</v>
      </c>
      <c r="AY57" s="286"/>
      <c r="AZ57" s="281">
        <v>3.2210975905893863E-2</v>
      </c>
      <c r="BA57" s="281">
        <v>4.1737064965922915E-2</v>
      </c>
      <c r="BB57" s="281">
        <v>3.3739800645905919E-2</v>
      </c>
      <c r="BD57" s="281"/>
      <c r="BE57" s="281"/>
    </row>
    <row r="58" spans="7:57" hidden="1" outlineLevel="1" x14ac:dyDescent="0.2">
      <c r="H58" s="273">
        <v>7</v>
      </c>
      <c r="I58" s="274" t="s">
        <v>98</v>
      </c>
      <c r="J58" s="274" t="s">
        <v>99</v>
      </c>
      <c r="K58" s="276">
        <v>10159525.973123128</v>
      </c>
      <c r="L58" s="276">
        <v>1920073.1334201174</v>
      </c>
      <c r="M58" s="276">
        <v>12079599.106543245</v>
      </c>
      <c r="N58" s="276">
        <v>260739.56261716341</v>
      </c>
      <c r="O58" s="276">
        <v>84156.328344673268</v>
      </c>
      <c r="P58" s="276">
        <v>344895.89096183667</v>
      </c>
      <c r="Q58" s="281"/>
      <c r="S58" s="276">
        <v>0</v>
      </c>
      <c r="T58" s="276">
        <v>0</v>
      </c>
      <c r="U58" s="276">
        <v>0</v>
      </c>
      <c r="V58" s="276">
        <v>52118.26183667843</v>
      </c>
      <c r="W58" s="276">
        <v>0</v>
      </c>
      <c r="X58" s="276">
        <v>0</v>
      </c>
      <c r="Y58" s="276"/>
      <c r="Z58" s="276">
        <v>0</v>
      </c>
      <c r="AA58" s="276"/>
      <c r="AB58" s="276"/>
      <c r="AC58" s="276"/>
      <c r="AD58" s="276">
        <v>110544.50339561219</v>
      </c>
      <c r="AE58" s="286"/>
      <c r="AF58" s="276">
        <v>371284.06601277564</v>
      </c>
      <c r="AG58" s="276">
        <v>84156.328344673268</v>
      </c>
      <c r="AH58" s="276">
        <v>455440.39435744891</v>
      </c>
      <c r="AI58" s="281"/>
      <c r="AJ58" s="286"/>
      <c r="AK58" s="276">
        <v>-131011</v>
      </c>
      <c r="AL58" s="276">
        <v>110544.50339561219</v>
      </c>
      <c r="AM58" s="276"/>
      <c r="AN58" s="276"/>
      <c r="AO58" s="276"/>
      <c r="AP58" s="276">
        <v>-89030.881087775502</v>
      </c>
      <c r="AQ58" s="286"/>
      <c r="AR58" s="281">
        <v>2.5664540186908915E-2</v>
      </c>
      <c r="AS58" s="281">
        <v>4.3829751523459096E-2</v>
      </c>
      <c r="AT58" s="281">
        <v>2.8551931891101782E-2</v>
      </c>
      <c r="AU58" s="286"/>
      <c r="AV58" s="281">
        <v>1.088087216746687E-2</v>
      </c>
      <c r="AW58" s="281">
        <v>0</v>
      </c>
      <c r="AX58" s="281">
        <v>9.1513387506157208E-3</v>
      </c>
      <c r="AY58" s="286"/>
      <c r="AZ58" s="281">
        <v>3.6545412354375785E-2</v>
      </c>
      <c r="BA58" s="281">
        <v>4.3829751523459096E-2</v>
      </c>
      <c r="BB58" s="281">
        <v>3.7703270641717503E-2</v>
      </c>
      <c r="BD58" s="281"/>
      <c r="BE58" s="281"/>
    </row>
    <row r="59" spans="7:57" s="82" customFormat="1" ht="15" hidden="1" outlineLevel="1" x14ac:dyDescent="0.25">
      <c r="G59" s="277"/>
      <c r="H59" s="278"/>
      <c r="I59" s="279" t="s">
        <v>115</v>
      </c>
      <c r="J59" s="279" t="s">
        <v>116</v>
      </c>
      <c r="K59" s="280">
        <v>104137015.52017841</v>
      </c>
      <c r="L59" s="280">
        <v>19766480.402186796</v>
      </c>
      <c r="M59" s="280">
        <v>123903495.92236522</v>
      </c>
      <c r="N59" s="282">
        <v>2179062.2993465564</v>
      </c>
      <c r="O59" s="282">
        <v>818230.6149078015</v>
      </c>
      <c r="P59" s="282">
        <v>2997292.9142543576</v>
      </c>
      <c r="Q59" s="283"/>
      <c r="S59" s="282">
        <v>0</v>
      </c>
      <c r="T59" s="282">
        <v>0</v>
      </c>
      <c r="U59" s="282">
        <v>0</v>
      </c>
      <c r="V59" s="282">
        <v>532912.50965358573</v>
      </c>
      <c r="W59" s="282">
        <v>0</v>
      </c>
      <c r="X59" s="282">
        <v>0</v>
      </c>
      <c r="Y59" s="282"/>
      <c r="Z59" s="282">
        <v>0</v>
      </c>
      <c r="AA59" s="282"/>
      <c r="AB59" s="282"/>
      <c r="AC59" s="282"/>
      <c r="AD59" s="282">
        <v>1130324.5092396098</v>
      </c>
      <c r="AE59" s="287"/>
      <c r="AF59" s="282">
        <v>3309386.8085861662</v>
      </c>
      <c r="AG59" s="282">
        <v>818230.6149078015</v>
      </c>
      <c r="AH59" s="282">
        <v>4127617.4234939683</v>
      </c>
      <c r="AI59" s="283"/>
      <c r="AJ59" s="287"/>
      <c r="AK59" s="282">
        <v>-1832585</v>
      </c>
      <c r="AL59" s="282">
        <v>1130324.5092396098</v>
      </c>
      <c r="AM59" s="282"/>
      <c r="AN59" s="282"/>
      <c r="AO59" s="282"/>
      <c r="AP59" s="282">
        <v>-1404904.741622255</v>
      </c>
      <c r="AQ59" s="287"/>
      <c r="AR59" s="283">
        <v>2.0924954383048592E-2</v>
      </c>
      <c r="AS59" s="283">
        <v>4.1394856254595498E-2</v>
      </c>
      <c r="AT59" s="283">
        <v>2.419054355118749E-2</v>
      </c>
      <c r="AU59" s="287"/>
      <c r="AV59" s="283">
        <v>1.085420494906145E-2</v>
      </c>
      <c r="AW59" s="283">
        <v>0</v>
      </c>
      <c r="AX59" s="283">
        <v>9.1226199940947876E-3</v>
      </c>
      <c r="AY59" s="287"/>
      <c r="AZ59" s="283">
        <v>3.1779159332110042E-2</v>
      </c>
      <c r="BA59" s="283">
        <v>4.1394856254595498E-2</v>
      </c>
      <c r="BB59" s="283">
        <v>3.3313163545282277E-2</v>
      </c>
      <c r="BD59" s="512"/>
      <c r="BE59" s="512"/>
    </row>
    <row r="60" spans="7:57" hidden="1" outlineLevel="1" x14ac:dyDescent="0.2"/>
    <row r="61" spans="7:57" ht="15" collapsed="1" x14ac:dyDescent="0.25">
      <c r="J61" s="318" t="s">
        <v>115</v>
      </c>
      <c r="K61" s="319">
        <v>104137015.52017842</v>
      </c>
      <c r="L61" s="319">
        <v>19766480.402186796</v>
      </c>
      <c r="M61" s="319">
        <v>123903495.9223652</v>
      </c>
      <c r="N61" s="319">
        <v>2179062.299346556</v>
      </c>
      <c r="O61" s="319">
        <v>818230.61490780138</v>
      </c>
      <c r="P61" s="319">
        <v>2997292.9142543576</v>
      </c>
      <c r="Q61" s="416">
        <v>2.4190543551187493E-2</v>
      </c>
      <c r="R61" s="318"/>
      <c r="S61" s="319">
        <v>0</v>
      </c>
      <c r="T61" s="319">
        <v>0</v>
      </c>
      <c r="U61" s="319">
        <v>0</v>
      </c>
      <c r="V61" s="319">
        <v>532912.50965358573</v>
      </c>
      <c r="W61" s="319">
        <v>0</v>
      </c>
      <c r="X61" s="319">
        <v>0</v>
      </c>
      <c r="Y61" s="319">
        <v>0</v>
      </c>
      <c r="Z61" s="319">
        <v>0</v>
      </c>
      <c r="AA61" s="319">
        <v>0</v>
      </c>
      <c r="AB61" s="319">
        <v>0</v>
      </c>
      <c r="AC61" s="319">
        <v>597411.99958602362</v>
      </c>
      <c r="AD61" s="319">
        <v>1130324.5092396098</v>
      </c>
      <c r="AE61" s="313"/>
      <c r="AF61" s="319">
        <v>3309386.8085861667</v>
      </c>
      <c r="AG61" s="319">
        <v>818230.61490780138</v>
      </c>
      <c r="AH61" s="319">
        <v>4127617.4234939674</v>
      </c>
      <c r="AI61" s="416">
        <v>3.3313163545282277E-2</v>
      </c>
      <c r="AJ61" s="313" t="s">
        <v>115</v>
      </c>
      <c r="AK61" s="317">
        <v>-1832585</v>
      </c>
      <c r="AL61" s="317">
        <v>1130324.5092396098</v>
      </c>
      <c r="AM61" s="317">
        <v>-202644.25086186454</v>
      </c>
      <c r="AN61" s="317">
        <v>-500000.00000000012</v>
      </c>
      <c r="AO61" s="317">
        <v>427680.25837774505</v>
      </c>
      <c r="AP61" s="317">
        <v>-1404904.741622255</v>
      </c>
      <c r="AQ61" s="287"/>
      <c r="AR61" s="307">
        <v>2.0924954383048585E-2</v>
      </c>
      <c r="AS61" s="307">
        <v>4.1394856254595498E-2</v>
      </c>
      <c r="AT61" s="307">
        <v>2.4190543551187493E-2</v>
      </c>
      <c r="AU61" s="308"/>
      <c r="AV61" s="307">
        <v>1.0854204949061457E-2</v>
      </c>
      <c r="AW61" s="307">
        <v>0</v>
      </c>
      <c r="AX61" s="307">
        <v>9.1226199940947841E-3</v>
      </c>
      <c r="AY61" s="308"/>
      <c r="AZ61" s="307">
        <v>3.1779159332110042E-2</v>
      </c>
      <c r="BA61" s="307">
        <v>4.1394856254595498E-2</v>
      </c>
      <c r="BB61" s="307">
        <v>3.3313163545282277E-2</v>
      </c>
      <c r="BD61" s="307"/>
      <c r="BE61" s="307"/>
    </row>
    <row r="62" spans="7:57" ht="15" x14ac:dyDescent="0.25">
      <c r="J62" s="313" t="s">
        <v>252</v>
      </c>
      <c r="K62" s="314"/>
      <c r="L62" s="314"/>
      <c r="M62" s="314"/>
      <c r="N62" s="314"/>
      <c r="O62" s="315"/>
      <c r="P62" s="314"/>
      <c r="Q62" s="314"/>
      <c r="R62" s="314"/>
      <c r="S62" s="314" t="s">
        <v>7</v>
      </c>
      <c r="T62" s="314" t="s">
        <v>7</v>
      </c>
      <c r="U62" s="314" t="s">
        <v>7</v>
      </c>
      <c r="V62" s="314" t="s">
        <v>7</v>
      </c>
      <c r="W62" s="314" t="s">
        <v>333</v>
      </c>
      <c r="X62" s="314" t="s">
        <v>333</v>
      </c>
      <c r="Y62" s="314"/>
      <c r="Z62" s="314" t="s">
        <v>333</v>
      </c>
      <c r="AA62" s="314"/>
      <c r="AB62" s="314"/>
      <c r="AC62" s="314" t="s">
        <v>7</v>
      </c>
      <c r="AD62" s="314" t="s">
        <v>334</v>
      </c>
      <c r="AE62" s="316"/>
      <c r="AF62" s="314"/>
      <c r="AG62" s="314"/>
      <c r="AH62" s="314"/>
      <c r="AI62" s="314"/>
      <c r="AJ62" s="316" t="s">
        <v>252</v>
      </c>
      <c r="AK62" s="317">
        <v>-1832593</v>
      </c>
      <c r="AL62" s="317"/>
      <c r="AM62" s="317"/>
      <c r="AN62" s="317"/>
      <c r="AO62" s="317">
        <v>268887.67611487163</v>
      </c>
      <c r="AP62" s="317">
        <v>-1563705.3238851284</v>
      </c>
      <c r="AQ62" s="286"/>
      <c r="AR62" s="61">
        <v>0.62871191935490001</v>
      </c>
      <c r="AU62" s="286"/>
      <c r="AY62" s="286"/>
    </row>
    <row r="63" spans="7:57" ht="15" x14ac:dyDescent="0.25">
      <c r="G63" s="82"/>
      <c r="H63" s="82"/>
      <c r="I63" s="82"/>
      <c r="J63" s="313" t="s">
        <v>384</v>
      </c>
      <c r="K63" s="314"/>
      <c r="L63" s="314"/>
      <c r="M63" s="314"/>
      <c r="N63" s="314"/>
      <c r="O63" s="314"/>
      <c r="P63" s="314"/>
      <c r="Q63" s="415"/>
      <c r="R63" s="314"/>
      <c r="S63" s="314"/>
      <c r="T63" s="314"/>
      <c r="U63" s="314"/>
      <c r="V63" s="314"/>
      <c r="W63" s="314"/>
      <c r="X63" s="314"/>
      <c r="Y63" s="314"/>
      <c r="Z63" s="314"/>
      <c r="AA63" s="314"/>
      <c r="AB63" s="314"/>
      <c r="AC63" s="314"/>
      <c r="AD63" s="314"/>
      <c r="AE63" s="316"/>
      <c r="AF63" s="315"/>
      <c r="AG63" s="315"/>
      <c r="AH63" s="314"/>
      <c r="AI63" s="415"/>
      <c r="AJ63" s="316" t="s">
        <v>384</v>
      </c>
      <c r="AK63" s="317">
        <v>8</v>
      </c>
      <c r="AL63" s="317"/>
      <c r="AM63" s="317"/>
      <c r="AN63" s="317"/>
      <c r="AO63" s="317">
        <v>158792.58226287371</v>
      </c>
      <c r="AP63" s="317">
        <v>158800.58226287371</v>
      </c>
      <c r="AQ63" s="286"/>
      <c r="AR63" s="262"/>
      <c r="AS63" s="262"/>
      <c r="AT63" s="262"/>
      <c r="AU63" s="286"/>
      <c r="AV63" s="262"/>
      <c r="AW63" s="262"/>
      <c r="AX63" s="262"/>
      <c r="AY63" s="286"/>
      <c r="AZ63" s="262"/>
      <c r="BA63" s="262"/>
      <c r="BB63" s="262"/>
      <c r="BD63" s="262"/>
      <c r="BE63" s="262"/>
    </row>
    <row r="64" spans="7:57" x14ac:dyDescent="0.2">
      <c r="U64" s="71"/>
    </row>
    <row r="65" spans="19:30" ht="15" x14ac:dyDescent="0.25">
      <c r="S65" s="319">
        <v>0</v>
      </c>
      <c r="T65" s="319">
        <v>0</v>
      </c>
      <c r="U65" s="319">
        <v>424938.9574869959</v>
      </c>
      <c r="V65" s="319">
        <v>667637.58231881796</v>
      </c>
      <c r="W65" s="319">
        <v>85412.237034295889</v>
      </c>
      <c r="X65" s="319">
        <v>-30396.135887500772</v>
      </c>
      <c r="Y65" s="319">
        <v>55016.101146795118</v>
      </c>
      <c r="Z65" s="319">
        <v>47067.469229091606</v>
      </c>
      <c r="AA65" s="319"/>
      <c r="AB65" s="319"/>
      <c r="AC65" s="319"/>
      <c r="AD65" s="319">
        <v>1194660.1101817007</v>
      </c>
    </row>
    <row r="66" spans="19:30" ht="15" x14ac:dyDescent="0.25">
      <c r="S66" s="319">
        <v>0</v>
      </c>
      <c r="T66" s="319">
        <v>0</v>
      </c>
      <c r="U66" s="319">
        <v>424938.9574869959</v>
      </c>
      <c r="V66" s="319">
        <v>134725.07266523223</v>
      </c>
      <c r="W66" s="319">
        <v>85412.237034295889</v>
      </c>
      <c r="X66" s="319">
        <v>-30396.135887500772</v>
      </c>
      <c r="Y66" s="319">
        <v>55016.101146795118</v>
      </c>
      <c r="Z66" s="319">
        <v>47067.469229091606</v>
      </c>
      <c r="AA66" s="319"/>
      <c r="AB66" s="319"/>
      <c r="AC66" s="319"/>
      <c r="AD66" s="319">
        <v>64335.600942090852</v>
      </c>
    </row>
    <row r="71" spans="19:30" x14ac:dyDescent="0.2">
      <c r="T71" s="61">
        <v>675</v>
      </c>
      <c r="U71" s="61">
        <v>667.57500000000005</v>
      </c>
    </row>
    <row r="72" spans="19:30" x14ac:dyDescent="0.2">
      <c r="T72" s="61">
        <v>675</v>
      </c>
      <c r="U72" s="61">
        <v>667.57500000000005</v>
      </c>
      <c r="V72" s="61">
        <v>0</v>
      </c>
    </row>
  </sheetData>
  <conditionalFormatting sqref="BD7:BE48 AX7:AX48">
    <cfRule type="colorScale" priority="7">
      <colorScale>
        <cfvo type="min"/>
        <cfvo type="max"/>
        <color rgb="FFFCFCFF"/>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0331-46B8-4A2C-BFEA-8899AE17BE73}">
  <sheetPr codeName="Sheet35">
    <tabColor rgb="FF002060"/>
  </sheetPr>
  <dimension ref="B1:AY63"/>
  <sheetViews>
    <sheetView showGridLines="0" topLeftCell="J1" workbookViewId="0">
      <selection activeCell="J5" sqref="J4:BB61"/>
    </sheetView>
  </sheetViews>
  <sheetFormatPr defaultColWidth="8.7109375" defaultRowHeight="14.25" outlineLevelRow="1" outlineLevelCol="1" x14ac:dyDescent="0.2"/>
  <cols>
    <col min="1" max="1" width="8.7109375" style="61"/>
    <col min="2" max="2" width="24.42578125" style="61" bestFit="1" customWidth="1"/>
    <col min="3" max="3" width="8.7109375" style="61"/>
    <col min="4" max="4" width="16.7109375" style="61" customWidth="1"/>
    <col min="5" max="5" width="13" style="61" bestFit="1" customWidth="1"/>
    <col min="6" max="7" width="8.7109375" style="61"/>
    <col min="8" max="8" width="27.7109375" style="61" customWidth="1"/>
    <col min="9" max="9" width="0" style="61" hidden="1" customWidth="1"/>
    <col min="10" max="10" width="60" style="61" customWidth="1"/>
    <col min="11" max="11" width="13.5703125" style="61" customWidth="1" outlineLevel="1"/>
    <col min="12" max="12" width="12.28515625" style="61" customWidth="1" outlineLevel="1"/>
    <col min="13" max="13" width="13.5703125" style="61" customWidth="1" outlineLevel="1"/>
    <col min="14" max="16" width="12" style="61" customWidth="1"/>
    <col min="17" max="17" width="9.28515625" style="61" customWidth="1"/>
    <col min="18" max="18" width="2.42578125" style="61" customWidth="1"/>
    <col min="19" max="19" width="10.28515625" style="61" customWidth="1"/>
    <col min="20" max="20" width="10.28515625" style="61" customWidth="1" outlineLevel="1"/>
    <col min="21" max="22" width="10.28515625" style="61" customWidth="1"/>
    <col min="23" max="24" width="10.28515625" style="61" customWidth="1" outlineLevel="1"/>
    <col min="25" max="26" width="10.28515625" style="61" customWidth="1"/>
    <col min="27" max="27" width="11.28515625" style="61" customWidth="1"/>
    <col min="28" max="28" width="2.42578125" style="61" customWidth="1"/>
    <col min="29" max="31" width="11.42578125" style="61" customWidth="1"/>
    <col min="32" max="32" width="9.28515625" style="61" customWidth="1"/>
    <col min="33" max="33" width="2.42578125" style="61" customWidth="1"/>
    <col min="34" max="39" width="12.5703125" style="61" customWidth="1"/>
    <col min="40" max="40" width="2.42578125" style="61" customWidth="1"/>
    <col min="41" max="43" width="9.28515625" style="61" bestFit="1" customWidth="1"/>
    <col min="44" max="44" width="2.42578125" style="61" customWidth="1"/>
    <col min="45" max="47" width="9.28515625" style="61" bestFit="1" customWidth="1"/>
    <col min="48" max="48" width="2.42578125" style="61" customWidth="1"/>
    <col min="49" max="51" width="9.28515625" style="61" bestFit="1" customWidth="1"/>
    <col min="52" max="16384" width="8.7109375" style="61"/>
  </cols>
  <sheetData>
    <row r="1" spans="2:51" x14ac:dyDescent="0.2">
      <c r="J1" s="314"/>
      <c r="K1" s="314"/>
      <c r="L1" s="314"/>
      <c r="M1" s="314"/>
      <c r="N1" s="314"/>
      <c r="O1" s="314"/>
      <c r="P1" s="314"/>
      <c r="Q1" s="314"/>
      <c r="R1" s="314"/>
      <c r="S1" s="414">
        <v>1</v>
      </c>
      <c r="T1" s="414">
        <v>0.9</v>
      </c>
      <c r="U1" s="414">
        <v>0.9</v>
      </c>
      <c r="V1" s="414">
        <v>0.9</v>
      </c>
      <c r="W1" s="414">
        <v>1</v>
      </c>
      <c r="X1" s="414">
        <v>1</v>
      </c>
      <c r="Y1" s="414">
        <v>1</v>
      </c>
      <c r="Z1" s="414">
        <v>1</v>
      </c>
      <c r="AA1" s="314" t="s">
        <v>332</v>
      </c>
      <c r="AB1" s="316"/>
      <c r="AC1" s="314"/>
      <c r="AD1" s="314"/>
      <c r="AE1" s="314"/>
      <c r="AF1" s="314"/>
      <c r="AG1" s="316"/>
      <c r="AH1" s="314"/>
      <c r="AI1" s="314"/>
      <c r="AJ1" s="314"/>
      <c r="AN1" s="286"/>
      <c r="AR1" s="286"/>
      <c r="AV1" s="286"/>
    </row>
    <row r="4" spans="2:51" s="82" customFormat="1" ht="15" x14ac:dyDescent="0.25">
      <c r="B4" s="56" t="s">
        <v>335</v>
      </c>
      <c r="E4" s="432" t="e">
        <f>S61</f>
        <v>#REF!</v>
      </c>
    </row>
    <row r="5" spans="2:51" ht="13.9" customHeight="1" x14ac:dyDescent="0.2">
      <c r="K5" s="284" t="s">
        <v>336</v>
      </c>
      <c r="L5" s="284"/>
      <c r="M5" s="284"/>
      <c r="N5" s="284" t="s">
        <v>337</v>
      </c>
      <c r="O5" s="284"/>
      <c r="P5" s="284" t="s">
        <v>1082</v>
      </c>
      <c r="Q5" s="284"/>
      <c r="S5" s="284" t="s">
        <v>338</v>
      </c>
      <c r="T5" s="284"/>
      <c r="U5" s="284"/>
      <c r="V5" s="284"/>
      <c r="W5" s="284"/>
      <c r="X5" s="284"/>
      <c r="Y5" s="284"/>
      <c r="Z5" s="284"/>
      <c r="AA5" s="284"/>
      <c r="AB5" s="286"/>
      <c r="AC5" s="284"/>
      <c r="AD5" s="284"/>
      <c r="AE5" s="284" t="s">
        <v>1085</v>
      </c>
      <c r="AF5" s="284"/>
      <c r="AG5" s="286"/>
      <c r="AH5" s="284" t="s">
        <v>252</v>
      </c>
      <c r="AI5" s="284"/>
      <c r="AJ5" s="284"/>
      <c r="AK5" s="284"/>
      <c r="AL5" s="284"/>
      <c r="AM5" s="284"/>
      <c r="AN5" s="286"/>
      <c r="AO5" s="284" t="s">
        <v>339</v>
      </c>
      <c r="AP5" s="284"/>
      <c r="AQ5" s="284"/>
      <c r="AR5" s="286"/>
      <c r="AS5" s="284" t="s">
        <v>340</v>
      </c>
      <c r="AT5" s="284"/>
      <c r="AU5" s="284"/>
      <c r="AV5" s="286"/>
      <c r="AW5" s="284" t="s">
        <v>341</v>
      </c>
      <c r="AX5" s="284"/>
      <c r="AY5" s="284"/>
    </row>
    <row r="6" spans="2:51" ht="60" x14ac:dyDescent="0.25">
      <c r="C6" s="239" t="s">
        <v>342</v>
      </c>
      <c r="D6" s="239" t="s">
        <v>343</v>
      </c>
      <c r="E6" s="239" t="s">
        <v>344</v>
      </c>
      <c r="G6" s="263" t="s">
        <v>13</v>
      </c>
      <c r="H6" s="264" t="s">
        <v>14</v>
      </c>
      <c r="I6" s="264" t="s">
        <v>15</v>
      </c>
      <c r="J6" s="264" t="s">
        <v>16</v>
      </c>
      <c r="K6" s="265" t="s">
        <v>7</v>
      </c>
      <c r="L6" s="265" t="s">
        <v>333</v>
      </c>
      <c r="M6" s="265" t="s">
        <v>115</v>
      </c>
      <c r="N6" s="265" t="s">
        <v>7</v>
      </c>
      <c r="O6" s="265" t="s">
        <v>333</v>
      </c>
      <c r="P6" s="265" t="s">
        <v>1083</v>
      </c>
      <c r="Q6" s="265" t="s">
        <v>1084</v>
      </c>
      <c r="S6" s="265" t="s">
        <v>345</v>
      </c>
      <c r="T6" s="265" t="s">
        <v>295</v>
      </c>
      <c r="U6" s="265" t="s">
        <v>346</v>
      </c>
      <c r="V6" s="265" t="s">
        <v>280</v>
      </c>
      <c r="W6" s="265" t="s">
        <v>347</v>
      </c>
      <c r="X6" s="265" t="s">
        <v>348</v>
      </c>
      <c r="Y6" s="265" t="s">
        <v>1073</v>
      </c>
      <c r="Z6" s="265" t="s">
        <v>212</v>
      </c>
      <c r="AA6" s="265" t="s">
        <v>115</v>
      </c>
      <c r="AB6" s="286"/>
      <c r="AC6" s="265" t="s">
        <v>7</v>
      </c>
      <c r="AD6" s="265" t="s">
        <v>333</v>
      </c>
      <c r="AE6" s="265" t="s">
        <v>1083</v>
      </c>
      <c r="AF6" s="265" t="s">
        <v>1084</v>
      </c>
      <c r="AG6" s="286"/>
      <c r="AH6" s="265" t="s">
        <v>1081</v>
      </c>
      <c r="AI6" s="265" t="s">
        <v>1069</v>
      </c>
      <c r="AJ6" s="285" t="s">
        <v>288</v>
      </c>
      <c r="AK6" s="265" t="s">
        <v>1070</v>
      </c>
      <c r="AL6" s="265" t="s">
        <v>1071</v>
      </c>
      <c r="AM6" s="265" t="s">
        <v>349</v>
      </c>
      <c r="AN6" s="286"/>
      <c r="AO6" s="265" t="s">
        <v>7</v>
      </c>
      <c r="AP6" s="265" t="s">
        <v>333</v>
      </c>
      <c r="AQ6" s="265" t="s">
        <v>115</v>
      </c>
      <c r="AR6" s="286"/>
      <c r="AS6" s="265" t="s">
        <v>7</v>
      </c>
      <c r="AT6" s="265" t="s">
        <v>333</v>
      </c>
      <c r="AU6" s="265" t="s">
        <v>115</v>
      </c>
      <c r="AV6" s="286"/>
      <c r="AW6" s="265" t="s">
        <v>7</v>
      </c>
      <c r="AX6" s="265" t="s">
        <v>333</v>
      </c>
      <c r="AY6" s="265" t="s">
        <v>115</v>
      </c>
    </row>
    <row r="7" spans="2:51" x14ac:dyDescent="0.2">
      <c r="B7" s="98" t="s">
        <v>189</v>
      </c>
      <c r="C7" s="242" t="s">
        <v>194</v>
      </c>
      <c r="D7" s="240"/>
      <c r="E7" s="240" t="str">
        <f>IF(C7="On","On","")</f>
        <v>On</v>
      </c>
      <c r="G7" s="266" t="s">
        <v>17</v>
      </c>
      <c r="H7" s="61" t="s">
        <v>18</v>
      </c>
      <c r="I7" s="61" t="s">
        <v>19</v>
      </c>
      <c r="J7" s="61" t="s">
        <v>20</v>
      </c>
      <c r="K7" s="71">
        <f>SUMIFS('Op 2'!E:E,'Op 2'!C:C,I7)</f>
        <v>3049118.4291022574</v>
      </c>
      <c r="L7" s="71">
        <f>SUMIFS('SC - Op 1'!H:H,'SC - Op 1'!D:D,I7)</f>
        <v>518473.07957153779</v>
      </c>
      <c r="M7" s="71">
        <f>SUM(K7:L7)</f>
        <v>3567591.508673795</v>
      </c>
      <c r="N7" s="311" t="e">
        <f>SUMIFS('Op 2'!S:S,'Op 2'!C:C,I7)-K7</f>
        <v>#REF!</v>
      </c>
      <c r="O7" s="311">
        <f>SUMIFS('SC - Op 1'!X:X,'SC - Op 1'!D:D,I7)-L7</f>
        <v>19646.879004840623</v>
      </c>
      <c r="P7" s="309" t="e">
        <f>SUM(N7:O7)</f>
        <v>#REF!</v>
      </c>
      <c r="Q7" s="305" t="e">
        <f>AQ7</f>
        <v>#REF!</v>
      </c>
      <c r="S7" s="311" t="e">
        <f>SUMIFS('Op 2'!Q:Q,'Op 2'!C:C,I7)</f>
        <v>#REF!</v>
      </c>
      <c r="T7" s="311">
        <f>IF($C$10="On",$K7*$E$10*(1+SUMIFS('Op 2'!$O:$O,'Op 2'!$C:$C,$I7)),0)</f>
        <v>0</v>
      </c>
      <c r="U7" s="311" t="e">
        <f>IF($C$11="On",$K7*$E$11*(1+SUMIFS('Op 2'!$O:$O,'Op 2'!$C:$C,$I7)),0)</f>
        <v>#REF!</v>
      </c>
      <c r="V7" s="311" t="e">
        <f>IF($C$14="On",$K7*$E$14*(1+SUMIFS('Op 2'!$O:$O,'Op 2'!$C:$C,$I7)),0)</f>
        <v>#REF!</v>
      </c>
      <c r="W7" s="311">
        <f>SUMIFS('SC - Op 1'!AK:AK,'SC - Op 1'!$D:$D,$I7)</f>
        <v>4683.3322104546833</v>
      </c>
      <c r="X7" s="311">
        <f>SUMIFS('SC - Op 2'!AD:AD,'SC - Op 2'!$D:$D,$I7)</f>
        <v>-7.5149613432586193E-2</v>
      </c>
      <c r="Y7" s="311">
        <f t="shared" ref="Y7:Y48" si="0">SUM(W7:X7)</f>
        <v>4683.2570608412507</v>
      </c>
      <c r="Z7" s="311">
        <f>SUMIFS('SC - Op 2'!AJ:AJ,'SC - Op 2'!$D:$D,$I7)</f>
        <v>2688.0066187900125</v>
      </c>
      <c r="AA7" s="311" t="e">
        <f t="shared" ref="AA7:AA48" si="1">SUM(S7:X7,Z7)</f>
        <v>#REF!</v>
      </c>
      <c r="AB7" s="286"/>
      <c r="AC7" s="311" t="e">
        <f t="shared" ref="AC7:AC48" si="2">N7+SUMIFS($S7:$Z7,$S$62:$Z$62,$AC$6)</f>
        <v>#REF!</v>
      </c>
      <c r="AD7" s="311">
        <f t="shared" ref="AD7:AD48" si="3">O7+SUMIFS($S7:$Z7,$S$62:$Z$62,$AD$6)</f>
        <v>27018.142684471888</v>
      </c>
      <c r="AE7" s="311" t="e">
        <f>SUM(AC7:AD7)</f>
        <v>#REF!</v>
      </c>
      <c r="AF7" s="305" t="e">
        <f>AY7</f>
        <v>#REF!</v>
      </c>
      <c r="AG7" s="286"/>
      <c r="AH7" s="311">
        <f>SUMIFS('Op 2'!BG:BG,'Op 2'!C:C,I7)</f>
        <v>-30000</v>
      </c>
      <c r="AI7" s="311" t="e">
        <f t="shared" ref="AI7:AI48" si="4">AA7</f>
        <v>#REF!</v>
      </c>
      <c r="AJ7" s="311" t="e" cm="1">
        <f t="array" ref="AJ7">-SUMPRODUCT(S7:Z7,1-$S$1:$Z$1)</f>
        <v>#REF!</v>
      </c>
      <c r="AK7" s="311">
        <f t="shared" ref="AK7:AK48" si="5">-500000*M7/$M$61</f>
        <v>-14390.02729534325</v>
      </c>
      <c r="AL7" s="311" t="e">
        <f t="shared" ref="AL7:AL48" si="6">SUM(AI7:AK7)</f>
        <v>#REF!</v>
      </c>
      <c r="AM7" s="311" t="e">
        <f t="shared" ref="AM7:AM48" si="7">AL7+AH7</f>
        <v>#REF!</v>
      </c>
      <c r="AN7" s="286"/>
      <c r="AO7" s="303" t="e">
        <f>N7/K7</f>
        <v>#REF!</v>
      </c>
      <c r="AP7" s="305">
        <f>O7/L7</f>
        <v>3.7893730222361116E-2</v>
      </c>
      <c r="AQ7" s="305" t="e">
        <f>P7/M7</f>
        <v>#REF!</v>
      </c>
      <c r="AR7" s="286"/>
      <c r="AS7" s="305" t="e">
        <f>AW7-AO7</f>
        <v>#REF!</v>
      </c>
      <c r="AT7" s="305">
        <f t="shared" ref="AT7:AU22" si="8">AX7-AP7</f>
        <v>1.4217254415065911E-2</v>
      </c>
      <c r="AU7" s="305" t="e">
        <f t="shared" si="8"/>
        <v>#REF!</v>
      </c>
      <c r="AV7" s="286"/>
      <c r="AW7" s="305" t="e">
        <f>AC7/K7</f>
        <v>#REF!</v>
      </c>
      <c r="AX7" s="305">
        <f>AD7/L7</f>
        <v>5.2110984637427027E-2</v>
      </c>
      <c r="AY7" s="305" t="e">
        <f>AE7/M7</f>
        <v>#REF!</v>
      </c>
    </row>
    <row r="8" spans="2:51" x14ac:dyDescent="0.2">
      <c r="B8" s="98" t="s">
        <v>350</v>
      </c>
      <c r="C8" s="242" t="s">
        <v>194</v>
      </c>
      <c r="D8" s="240"/>
      <c r="E8" s="240" t="str">
        <f>IF(C8="On","On","")</f>
        <v>On</v>
      </c>
      <c r="G8" s="267" t="s">
        <v>17</v>
      </c>
      <c r="H8" s="268" t="s">
        <v>18</v>
      </c>
      <c r="I8" s="61" t="s">
        <v>21</v>
      </c>
      <c r="J8" s="61" t="s">
        <v>22</v>
      </c>
      <c r="K8" s="71">
        <f>SUMIFS('Op 2'!E:E,'Op 2'!C:C,I8)</f>
        <v>6016186.5103033921</v>
      </c>
      <c r="L8" s="71">
        <f>SUMIFS('SC - Op 1'!H:H,'SC - Op 1'!D:D,I8)</f>
        <v>944926.6747170426</v>
      </c>
      <c r="M8" s="71">
        <f t="shared" ref="M8:M48" si="9">SUM(K8:L8)</f>
        <v>6961113.1850204347</v>
      </c>
      <c r="N8" s="311" t="e">
        <f>SUMIFS('Op 2'!S:S,'Op 2'!C:C,I8)-K8</f>
        <v>#REF!</v>
      </c>
      <c r="O8" s="311">
        <f>SUMIFS('SC - Op 1'!X:X,'SC - Op 1'!D:D,I8)-L8</f>
        <v>34813.27664598939</v>
      </c>
      <c r="P8" s="309" t="e">
        <f t="shared" ref="P8:P48" si="10">SUM(N8:O8)</f>
        <v>#REF!</v>
      </c>
      <c r="Q8" s="305" t="e">
        <f t="shared" ref="Q8:Q48" si="11">AQ8</f>
        <v>#REF!</v>
      </c>
      <c r="S8" s="311" t="e">
        <f>SUMIFS('Op 2'!Q:Q,'Op 2'!C:C,I8)</f>
        <v>#REF!</v>
      </c>
      <c r="T8" s="311">
        <f>IF($C$10="On",$K8*$E$10*(1+SUMIFS('Op 2'!$O:$O,'Op 2'!$C:$C,$I8)),0)</f>
        <v>0</v>
      </c>
      <c r="U8" s="311" t="e">
        <f>IF($C$11="On",$K8*$E$11*(1+SUMIFS('Op 2'!$O:$O,'Op 2'!$C:$C,$I8)),0)</f>
        <v>#REF!</v>
      </c>
      <c r="V8" s="311" t="e">
        <f>IF($C$14="On",$K8*$E$14*(1+SUMIFS('Op 2'!$O:$O,'Op 2'!$C:$C,$I8)),0)</f>
        <v>#REF!</v>
      </c>
      <c r="W8" s="311">
        <f>SUMIFS('SC - Op 1'!AK:AK,'SC - Op 1'!$D:$D,$I8)</f>
        <v>8479.4386029433736</v>
      </c>
      <c r="X8" s="311">
        <f>SUMIFS('SC - Op 2'!AD:AD,'SC - Op 2'!$D:$D,$I8)</f>
        <v>-0.4381095451535657</v>
      </c>
      <c r="Y8" s="311">
        <f t="shared" si="0"/>
        <v>8479.00049339822</v>
      </c>
      <c r="Z8" s="311">
        <f>SUMIFS('SC - Op 2'!AJ:AJ,'SC - Op 2'!$D:$D,$I8)</f>
        <v>4898.7069514131417</v>
      </c>
      <c r="AA8" s="311" t="e">
        <f t="shared" si="1"/>
        <v>#REF!</v>
      </c>
      <c r="AB8" s="286"/>
      <c r="AC8" s="311" t="e">
        <f t="shared" si="2"/>
        <v>#REF!</v>
      </c>
      <c r="AD8" s="311">
        <f t="shared" si="3"/>
        <v>48190.984090800754</v>
      </c>
      <c r="AE8" s="311" t="e">
        <f t="shared" ref="AE8:AE48" si="12">SUM(AC8:AD8)</f>
        <v>#REF!</v>
      </c>
      <c r="AF8" s="305" t="e">
        <f t="shared" ref="AF8:AF48" si="13">AY8</f>
        <v>#REF!</v>
      </c>
      <c r="AG8" s="286"/>
      <c r="AH8" s="311">
        <f>SUMIFS('Op 2'!BG:BG,'Op 2'!C:C,I8)</f>
        <v>-35000</v>
      </c>
      <c r="AI8" s="311" t="e">
        <f t="shared" si="4"/>
        <v>#REF!</v>
      </c>
      <c r="AJ8" s="311" t="e" cm="1">
        <f t="array" ref="AJ8">-SUMPRODUCT(S8:Z8,1-$S$1:$Z$1)</f>
        <v>#REF!</v>
      </c>
      <c r="AK8" s="311">
        <f t="shared" si="5"/>
        <v>-28077.936752253048</v>
      </c>
      <c r="AL8" s="311" t="e">
        <f t="shared" si="6"/>
        <v>#REF!</v>
      </c>
      <c r="AM8" s="311" t="e">
        <f t="shared" si="7"/>
        <v>#REF!</v>
      </c>
      <c r="AN8" s="286"/>
      <c r="AO8" s="303" t="e">
        <f t="shared" ref="AO8:AQ48" si="14">N8/K8</f>
        <v>#REF!</v>
      </c>
      <c r="AP8" s="305">
        <f t="shared" si="14"/>
        <v>3.684230488721698E-2</v>
      </c>
      <c r="AQ8" s="305" t="e">
        <f t="shared" si="14"/>
        <v>#REF!</v>
      </c>
      <c r="AR8" s="286"/>
      <c r="AS8" s="305" t="e">
        <f t="shared" ref="AS8:AU48" si="15">AW8-AO8</f>
        <v>#REF!</v>
      </c>
      <c r="AT8" s="305">
        <f t="shared" si="8"/>
        <v>1.4157402688221611E-2</v>
      </c>
      <c r="AU8" s="305" t="e">
        <f t="shared" si="8"/>
        <v>#REF!</v>
      </c>
      <c r="AV8" s="286"/>
      <c r="AW8" s="305" t="e">
        <f t="shared" ref="AW8:AY48" si="16">AC8/K8</f>
        <v>#REF!</v>
      </c>
      <c r="AX8" s="305">
        <f t="shared" si="16"/>
        <v>5.0999707575438591E-2</v>
      </c>
      <c r="AY8" s="305" t="e">
        <f t="shared" si="16"/>
        <v>#REF!</v>
      </c>
    </row>
    <row r="9" spans="2:51" x14ac:dyDescent="0.2">
      <c r="B9" s="98" t="s">
        <v>198</v>
      </c>
      <c r="C9" s="242" t="s">
        <v>200</v>
      </c>
      <c r="D9" s="242">
        <v>200</v>
      </c>
      <c r="E9" s="253">
        <f>IF(C9="on",IF(D9=150,87%,83%),100%)</f>
        <v>1</v>
      </c>
      <c r="G9" s="267" t="s">
        <v>17</v>
      </c>
      <c r="H9" s="268" t="s">
        <v>18</v>
      </c>
      <c r="I9" s="61" t="s">
        <v>23</v>
      </c>
      <c r="J9" s="61" t="s">
        <v>24</v>
      </c>
      <c r="K9" s="71">
        <f>SUMIFS('Op 2'!E:E,'Op 2'!C:C,I9)</f>
        <v>2625646.0761444462</v>
      </c>
      <c r="L9" s="71">
        <f>SUMIFS('SC - Op 1'!H:H,'SC - Op 1'!D:D,I9)</f>
        <v>484846.53629568382</v>
      </c>
      <c r="M9" s="71">
        <f t="shared" si="9"/>
        <v>3110492.6124401297</v>
      </c>
      <c r="N9" s="311" t="e">
        <f>SUMIFS('Op 2'!S:S,'Op 2'!C:C,I9)-K9</f>
        <v>#REF!</v>
      </c>
      <c r="O9" s="311">
        <f>SUMIFS('SC - Op 1'!X:X,'SC - Op 1'!D:D,I9)-L9</f>
        <v>17898.797201894107</v>
      </c>
      <c r="P9" s="309" t="e">
        <f t="shared" si="10"/>
        <v>#REF!</v>
      </c>
      <c r="Q9" s="305" t="e">
        <f t="shared" si="11"/>
        <v>#REF!</v>
      </c>
      <c r="S9" s="311" t="e">
        <f>SUMIFS('Op 2'!Q:Q,'Op 2'!C:C,I9)</f>
        <v>#REF!</v>
      </c>
      <c r="T9" s="311">
        <f>IF($C$10="On",$K9*$E$10*(1+SUMIFS('Op 2'!$O:$O,'Op 2'!$C:$C,$I9)),0)</f>
        <v>0</v>
      </c>
      <c r="U9" s="311" t="e">
        <f>IF($C$11="On",$K9*$E$11*(1+SUMIFS('Op 2'!$O:$O,'Op 2'!$C:$C,$I9)),0)</f>
        <v>#REF!</v>
      </c>
      <c r="V9" s="311" t="e">
        <f>IF($C$14="On",$K9*$E$14*(1+SUMIFS('Op 2'!$O:$O,'Op 2'!$C:$C,$I9)),0)</f>
        <v>#REF!</v>
      </c>
      <c r="W9" s="311">
        <f>SUMIFS('SC - Op 1'!AK:AK,'SC - Op 1'!$D:$D,$I9)</f>
        <v>457.73328149506864</v>
      </c>
      <c r="X9" s="311">
        <f>SUMIFS('SC - Op 2'!AD:AD,'SC - Op 2'!$D:$D,$I9)</f>
        <v>-529.80259940953692</v>
      </c>
      <c r="Y9" s="311">
        <f t="shared" si="0"/>
        <v>-72.069317914468286</v>
      </c>
      <c r="Z9" s="311">
        <f>SUMIFS('SC - Op 2'!AJ:AJ,'SC - Op 2'!$D:$D,$I9)</f>
        <v>0</v>
      </c>
      <c r="AA9" s="311" t="e">
        <f t="shared" si="1"/>
        <v>#REF!</v>
      </c>
      <c r="AB9" s="286"/>
      <c r="AC9" s="311" t="e">
        <f t="shared" si="2"/>
        <v>#REF!</v>
      </c>
      <c r="AD9" s="311">
        <f t="shared" si="3"/>
        <v>17826.727883979638</v>
      </c>
      <c r="AE9" s="311" t="e">
        <f t="shared" si="12"/>
        <v>#REF!</v>
      </c>
      <c r="AF9" s="305" t="e">
        <f t="shared" si="13"/>
        <v>#REF!</v>
      </c>
      <c r="AG9" s="286"/>
      <c r="AH9" s="311">
        <f>SUMIFS('Op 2'!BG:BG,'Op 2'!C:C,I9)</f>
        <v>-40017.770822656123</v>
      </c>
      <c r="AI9" s="311" t="e">
        <f t="shared" si="4"/>
        <v>#REF!</v>
      </c>
      <c r="AJ9" s="311" t="e" cm="1">
        <f t="array" ref="AJ9">-SUMPRODUCT(S9:Z9,1-$S$1:$Z$1)</f>
        <v>#REF!</v>
      </c>
      <c r="AK9" s="311">
        <f t="shared" si="5"/>
        <v>-12546.30006999203</v>
      </c>
      <c r="AL9" s="311" t="e">
        <f t="shared" si="6"/>
        <v>#REF!</v>
      </c>
      <c r="AM9" s="311" t="e">
        <f t="shared" si="7"/>
        <v>#REF!</v>
      </c>
      <c r="AN9" s="286"/>
      <c r="AO9" s="303" t="e">
        <f t="shared" si="14"/>
        <v>#REF!</v>
      </c>
      <c r="AP9" s="305">
        <f t="shared" si="14"/>
        <v>3.691641759193371E-2</v>
      </c>
      <c r="AQ9" s="305" t="e">
        <f t="shared" si="14"/>
        <v>#REF!</v>
      </c>
      <c r="AR9" s="286"/>
      <c r="AS9" s="305" t="e">
        <f t="shared" si="15"/>
        <v>#REF!</v>
      </c>
      <c r="AT9" s="305">
        <f t="shared" si="8"/>
        <v>-1.486435655807597E-4</v>
      </c>
      <c r="AU9" s="305" t="e">
        <f t="shared" si="8"/>
        <v>#REF!</v>
      </c>
      <c r="AV9" s="286"/>
      <c r="AW9" s="305" t="e">
        <f t="shared" si="16"/>
        <v>#REF!</v>
      </c>
      <c r="AX9" s="305">
        <f t="shared" si="16"/>
        <v>3.6767774026352951E-2</v>
      </c>
      <c r="AY9" s="305" t="e">
        <f t="shared" si="16"/>
        <v>#REF!</v>
      </c>
    </row>
    <row r="10" spans="2:51" x14ac:dyDescent="0.2">
      <c r="B10" s="98" t="s">
        <v>203</v>
      </c>
      <c r="C10" s="242" t="s">
        <v>200</v>
      </c>
      <c r="D10" s="240"/>
      <c r="E10" s="253">
        <f>IF(C10="On",0.3%,0%)</f>
        <v>0</v>
      </c>
      <c r="G10" s="269" t="s">
        <v>17</v>
      </c>
      <c r="H10" s="270" t="s">
        <v>18</v>
      </c>
      <c r="I10" s="271" t="s">
        <v>25</v>
      </c>
      <c r="J10" s="271" t="s">
        <v>26</v>
      </c>
      <c r="K10" s="71">
        <f>SUMIFS('Op 2'!E:E,'Op 2'!C:C,I10)</f>
        <v>4412463.5914081903</v>
      </c>
      <c r="L10" s="71">
        <f>SUMIFS('SC - Op 1'!H:H,'SC - Op 1'!D:D,I10)</f>
        <v>697032.31230978144</v>
      </c>
      <c r="M10" s="71">
        <f t="shared" si="9"/>
        <v>5109495.9037179714</v>
      </c>
      <c r="N10" s="312" t="e">
        <f>SUMIFS('Op 2'!S:S,'Op 2'!C:C,I10)-K10</f>
        <v>#REF!</v>
      </c>
      <c r="O10" s="312">
        <f>SUMIFS('SC - Op 1'!X:X,'SC - Op 1'!D:D,I10)-L10</f>
        <v>26172.351595302112</v>
      </c>
      <c r="P10" s="310" t="e">
        <f t="shared" si="10"/>
        <v>#REF!</v>
      </c>
      <c r="Q10" s="306" t="e">
        <f t="shared" si="11"/>
        <v>#REF!</v>
      </c>
      <c r="S10" s="312" t="e">
        <f>SUMIFS('Op 2'!Q:Q,'Op 2'!C:C,I10)</f>
        <v>#REF!</v>
      </c>
      <c r="T10" s="312">
        <f>IF($C$10="On",$K10*$E$10*(1+SUMIFS('Op 2'!$O:$O,'Op 2'!$C:$C,$I10)),0)</f>
        <v>0</v>
      </c>
      <c r="U10" s="312" t="e">
        <f>IF($C$11="On",$K10*$E$11*(1+SUMIFS('Op 2'!$O:$O,'Op 2'!$C:$C,$I10)),0)</f>
        <v>#REF!</v>
      </c>
      <c r="V10" s="312" t="e">
        <f>IF($C$14="On",$K10*$E$14*(1+SUMIFS('Op 2'!$O:$O,'Op 2'!$C:$C,$I10)),0)</f>
        <v>#REF!</v>
      </c>
      <c r="W10" s="312">
        <f>SUMIFS('SC - Op 1'!AK:AK,'SC - Op 1'!$D:$D,$I10)</f>
        <v>6603.1764044218062</v>
      </c>
      <c r="X10" s="312">
        <f>SUMIFS('SC - Op 2'!AD:AD,'SC - Op 2'!$D:$D,$I10)</f>
        <v>-0.20098299940582365</v>
      </c>
      <c r="Y10" s="312">
        <f t="shared" si="0"/>
        <v>6602.9754214224004</v>
      </c>
      <c r="Z10" s="312">
        <f>SUMIFS('SC - Op 2'!AJ:AJ,'SC - Op 2'!$D:$D,$I10)</f>
        <v>3615.267605652055</v>
      </c>
      <c r="AA10" s="312" t="e">
        <f t="shared" si="1"/>
        <v>#REF!</v>
      </c>
      <c r="AB10" s="286"/>
      <c r="AC10" s="312" t="e">
        <f t="shared" si="2"/>
        <v>#REF!</v>
      </c>
      <c r="AD10" s="312">
        <f t="shared" si="3"/>
        <v>36390.594622376564</v>
      </c>
      <c r="AE10" s="312" t="e">
        <f t="shared" si="12"/>
        <v>#REF!</v>
      </c>
      <c r="AF10" s="306" t="e">
        <f t="shared" si="13"/>
        <v>#REF!</v>
      </c>
      <c r="AG10" s="286"/>
      <c r="AH10" s="312">
        <f>SUMIFS('Op 2'!BG:BG,'Op 2'!C:C,I10)</f>
        <v>0</v>
      </c>
      <c r="AI10" s="312" t="e">
        <f t="shared" si="4"/>
        <v>#REF!</v>
      </c>
      <c r="AJ10" s="312" t="e" cm="1">
        <f t="array" ref="AJ10">-SUMPRODUCT(S10:Z10,1-$S$1:$Z$1)</f>
        <v>#REF!</v>
      </c>
      <c r="AK10" s="312">
        <f t="shared" si="5"/>
        <v>-20609.362182072909</v>
      </c>
      <c r="AL10" s="312" t="e">
        <f t="shared" si="6"/>
        <v>#REF!</v>
      </c>
      <c r="AM10" s="312" t="e">
        <f t="shared" si="7"/>
        <v>#REF!</v>
      </c>
      <c r="AN10" s="286"/>
      <c r="AO10" s="304" t="e">
        <f t="shared" si="14"/>
        <v>#REF!</v>
      </c>
      <c r="AP10" s="306">
        <f t="shared" si="14"/>
        <v>3.7548261584278403E-2</v>
      </c>
      <c r="AQ10" s="306" t="e">
        <f t="shared" si="14"/>
        <v>#REF!</v>
      </c>
      <c r="AR10" s="286"/>
      <c r="AS10" s="306" t="e">
        <f t="shared" si="15"/>
        <v>#REF!</v>
      </c>
      <c r="AT10" s="306">
        <f t="shared" si="8"/>
        <v>1.4659640373362155E-2</v>
      </c>
      <c r="AU10" s="306" t="e">
        <f t="shared" si="8"/>
        <v>#REF!</v>
      </c>
      <c r="AV10" s="286"/>
      <c r="AW10" s="306" t="e">
        <f t="shared" si="16"/>
        <v>#REF!</v>
      </c>
      <c r="AX10" s="306">
        <f t="shared" si="16"/>
        <v>5.2207901957640558E-2</v>
      </c>
      <c r="AY10" s="306" t="e">
        <f t="shared" si="16"/>
        <v>#REF!</v>
      </c>
    </row>
    <row r="11" spans="2:51" x14ac:dyDescent="0.2">
      <c r="B11" s="98" t="s">
        <v>208</v>
      </c>
      <c r="C11" s="242" t="s">
        <v>194</v>
      </c>
      <c r="D11" s="422" t="s">
        <v>1080</v>
      </c>
      <c r="E11" s="253" t="e">
        <f>IF(C11="On",'Share of £1bn'!W1*1000)/#REF!</f>
        <v>#REF!</v>
      </c>
      <c r="G11" s="266" t="s">
        <v>27</v>
      </c>
      <c r="H11" s="61" t="s">
        <v>28</v>
      </c>
      <c r="I11" s="61" t="s">
        <v>29</v>
      </c>
      <c r="J11" s="61" t="s">
        <v>30</v>
      </c>
      <c r="K11" s="71">
        <f>SUMIFS('Op 2'!E:E,'Op 2'!C:C,I11)</f>
        <v>5282103.6953610079</v>
      </c>
      <c r="L11" s="71">
        <f>SUMIFS('SC - Op 1'!H:H,'SC - Op 1'!D:D,I11)</f>
        <v>941747.05148924538</v>
      </c>
      <c r="M11" s="71">
        <f t="shared" si="9"/>
        <v>6223850.7468502531</v>
      </c>
      <c r="N11" s="311" t="e">
        <f>SUMIFS('Op 2'!S:S,'Op 2'!C:C,I11)-K11</f>
        <v>#REF!</v>
      </c>
      <c r="O11" s="311">
        <f>SUMIFS('SC - Op 1'!X:X,'SC - Op 1'!D:D,I11)-L11</f>
        <v>35204.245003923774</v>
      </c>
      <c r="P11" s="309" t="e">
        <f t="shared" si="10"/>
        <v>#REF!</v>
      </c>
      <c r="Q11" s="305" t="e">
        <f t="shared" si="11"/>
        <v>#REF!</v>
      </c>
      <c r="S11" s="311" t="e">
        <f>SUMIFS('Op 2'!Q:Q,'Op 2'!C:C,I11)</f>
        <v>#REF!</v>
      </c>
      <c r="T11" s="311">
        <f>IF($C$10="On",$K11*$E$10*(1+SUMIFS('Op 2'!$O:$O,'Op 2'!$C:$C,$I11)),0)</f>
        <v>0</v>
      </c>
      <c r="U11" s="311" t="e">
        <f>IF($C$11="On",$K11*$E$11*(1+SUMIFS('Op 2'!$O:$O,'Op 2'!$C:$C,$I11)),0)</f>
        <v>#REF!</v>
      </c>
      <c r="V11" s="311" t="e">
        <f>IF($C$14="On",$K11*$E$14*(1+SUMIFS('Op 2'!$O:$O,'Op 2'!$C:$C,$I11)),0)</f>
        <v>#REF!</v>
      </c>
      <c r="W11" s="311">
        <f>SUMIFS('SC - Op 1'!AK:AK,'SC - Op 1'!$D:$D,$I11)</f>
        <v>889.48126804871583</v>
      </c>
      <c r="X11" s="311">
        <f>SUMIFS('SC - Op 2'!AD:AD,'SC - Op 2'!$D:$D,$I11)</f>
        <v>-1259.625971543137</v>
      </c>
      <c r="Y11" s="311">
        <f t="shared" si="0"/>
        <v>-370.14470349442115</v>
      </c>
      <c r="Z11" s="311">
        <f>SUMIFS('SC - Op 2'!AJ:AJ,'SC - Op 2'!$D:$D,$I11)</f>
        <v>0</v>
      </c>
      <c r="AA11" s="311" t="e">
        <f t="shared" si="1"/>
        <v>#REF!</v>
      </c>
      <c r="AB11" s="286"/>
      <c r="AC11" s="311" t="e">
        <f t="shared" si="2"/>
        <v>#REF!</v>
      </c>
      <c r="AD11" s="311">
        <f t="shared" si="3"/>
        <v>34834.100300429353</v>
      </c>
      <c r="AE11" s="311" t="e">
        <f t="shared" si="12"/>
        <v>#REF!</v>
      </c>
      <c r="AF11" s="305" t="e">
        <f t="shared" si="13"/>
        <v>#REF!</v>
      </c>
      <c r="AG11" s="286"/>
      <c r="AH11" s="311">
        <f>SUMIFS('Op 2'!BG:BG,'Op 2'!C:C,I11)</f>
        <v>-51200</v>
      </c>
      <c r="AI11" s="311" t="e">
        <f t="shared" si="4"/>
        <v>#REF!</v>
      </c>
      <c r="AJ11" s="311" t="e" cm="1">
        <f t="array" ref="AJ11">-SUMPRODUCT(S11:Z11,1-$S$1:$Z$1)</f>
        <v>#REF!</v>
      </c>
      <c r="AK11" s="311">
        <f t="shared" si="5"/>
        <v>-25104.158340877675</v>
      </c>
      <c r="AL11" s="311" t="e">
        <f t="shared" si="6"/>
        <v>#REF!</v>
      </c>
      <c r="AM11" s="311" t="e">
        <f t="shared" si="7"/>
        <v>#REF!</v>
      </c>
      <c r="AN11" s="286"/>
      <c r="AO11" s="303" t="e">
        <f t="shared" si="14"/>
        <v>#REF!</v>
      </c>
      <c r="AP11" s="305">
        <f t="shared" si="14"/>
        <v>3.7381847862706902E-2</v>
      </c>
      <c r="AQ11" s="305" t="e">
        <f t="shared" si="14"/>
        <v>#REF!</v>
      </c>
      <c r="AR11" s="286"/>
      <c r="AS11" s="305" t="e">
        <f t="shared" si="15"/>
        <v>#REF!</v>
      </c>
      <c r="AT11" s="305">
        <f t="shared" si="8"/>
        <v>-3.9304046974088236E-4</v>
      </c>
      <c r="AU11" s="305" t="e">
        <f t="shared" si="8"/>
        <v>#REF!</v>
      </c>
      <c r="AV11" s="286"/>
      <c r="AW11" s="305" t="e">
        <f t="shared" si="16"/>
        <v>#REF!</v>
      </c>
      <c r="AX11" s="305">
        <f t="shared" si="16"/>
        <v>3.6988807392966019E-2</v>
      </c>
      <c r="AY11" s="305" t="e">
        <f t="shared" si="16"/>
        <v>#REF!</v>
      </c>
    </row>
    <row r="12" spans="2:51" x14ac:dyDescent="0.2">
      <c r="B12" s="98" t="s">
        <v>212</v>
      </c>
      <c r="C12" s="242" t="s">
        <v>194</v>
      </c>
      <c r="D12" s="240" t="s">
        <v>351</v>
      </c>
      <c r="E12" s="253">
        <f>IF(C12="On",'Share of £1bn'!AA1*1000,0)/'SC - Op 1'!H56</f>
        <v>5.1792224977327828E-3</v>
      </c>
      <c r="G12" s="267" t="s">
        <v>27</v>
      </c>
      <c r="H12" s="268" t="s">
        <v>28</v>
      </c>
      <c r="I12" s="61" t="s">
        <v>31</v>
      </c>
      <c r="J12" s="61" t="s">
        <v>8</v>
      </c>
      <c r="K12" s="71">
        <f>SUMIFS('Op 2'!E:E,'Op 2'!C:C,I12)</f>
        <v>5659485.1514335498</v>
      </c>
      <c r="L12" s="71">
        <f>SUMIFS('SC - Op 1'!H:H,'SC - Op 1'!D:D,I12)</f>
        <v>1116891.9456620421</v>
      </c>
      <c r="M12" s="71">
        <f t="shared" si="9"/>
        <v>6776377.0970955919</v>
      </c>
      <c r="N12" s="311" t="e">
        <f>SUMIFS('Op 2'!S:S,'Op 2'!C:C,I12)-K12</f>
        <v>#REF!</v>
      </c>
      <c r="O12" s="311">
        <f>SUMIFS('SC - Op 1'!X:X,'SC - Op 1'!D:D,I12)-L12</f>
        <v>40876.998186032521</v>
      </c>
      <c r="P12" s="309" t="e">
        <f t="shared" si="10"/>
        <v>#REF!</v>
      </c>
      <c r="Q12" s="305" t="e">
        <f t="shared" si="11"/>
        <v>#REF!</v>
      </c>
      <c r="S12" s="311" t="e">
        <f>SUMIFS('Op 2'!Q:Q,'Op 2'!C:C,I12)</f>
        <v>#REF!</v>
      </c>
      <c r="T12" s="311">
        <f>IF($C$10="On",$K12*$E$10*(1+SUMIFS('Op 2'!$O:$O,'Op 2'!$C:$C,$I12)),0)</f>
        <v>0</v>
      </c>
      <c r="U12" s="311" t="e">
        <f>IF($C$11="On",$K12*$E$11*(1+SUMIFS('Op 2'!$O:$O,'Op 2'!$C:$C,$I12)),0)</f>
        <v>#REF!</v>
      </c>
      <c r="V12" s="311" t="e">
        <f>IF($C$14="On",$K12*$E$14*(1+SUMIFS('Op 2'!$O:$O,'Op 2'!$C:$C,$I12)),0)</f>
        <v>#REF!</v>
      </c>
      <c r="W12" s="311">
        <f>SUMIFS('SC - Op 1'!AK:AK,'SC - Op 1'!$D:$D,$I12)</f>
        <v>1054.1118943933695</v>
      </c>
      <c r="X12" s="311">
        <f>SUMIFS('SC - Op 2'!AD:AD,'SC - Op 2'!$D:$D,$I12)</f>
        <v>-4304.8039870918728</v>
      </c>
      <c r="Y12" s="311">
        <f t="shared" si="0"/>
        <v>-3250.6920926985031</v>
      </c>
      <c r="Z12" s="311">
        <f>SUMIFS('SC - Op 2'!AJ:AJ,'SC - Op 2'!$D:$D,$I12)</f>
        <v>0</v>
      </c>
      <c r="AA12" s="311" t="e">
        <f t="shared" si="1"/>
        <v>#REF!</v>
      </c>
      <c r="AB12" s="286"/>
      <c r="AC12" s="311" t="e">
        <f t="shared" si="2"/>
        <v>#REF!</v>
      </c>
      <c r="AD12" s="311">
        <f t="shared" si="3"/>
        <v>37626.306093334017</v>
      </c>
      <c r="AE12" s="311" t="e">
        <f t="shared" si="12"/>
        <v>#REF!</v>
      </c>
      <c r="AF12" s="305" t="e">
        <f t="shared" si="13"/>
        <v>#REF!</v>
      </c>
      <c r="AG12" s="286"/>
      <c r="AH12" s="311">
        <f>SUMIFS('Op 2'!BG:BG,'Op 2'!C:C,I12)</f>
        <v>-169956.59103814809</v>
      </c>
      <c r="AI12" s="311" t="e">
        <f t="shared" si="4"/>
        <v>#REF!</v>
      </c>
      <c r="AJ12" s="311" t="e" cm="1">
        <f t="array" ref="AJ12">-SUMPRODUCT(S12:Z12,1-$S$1:$Z$1)</f>
        <v>#REF!</v>
      </c>
      <c r="AK12" s="311">
        <f t="shared" si="5"/>
        <v>-27332.796132535175</v>
      </c>
      <c r="AL12" s="311" t="e">
        <f t="shared" si="6"/>
        <v>#REF!</v>
      </c>
      <c r="AM12" s="311" t="e">
        <f t="shared" si="7"/>
        <v>#REF!</v>
      </c>
      <c r="AN12" s="286"/>
      <c r="AO12" s="303" t="e">
        <f t="shared" si="14"/>
        <v>#REF!</v>
      </c>
      <c r="AP12" s="305">
        <f t="shared" si="14"/>
        <v>3.6598883486264659E-2</v>
      </c>
      <c r="AQ12" s="305" t="e">
        <f t="shared" si="14"/>
        <v>#REF!</v>
      </c>
      <c r="AR12" s="286"/>
      <c r="AS12" s="305" t="e">
        <f t="shared" si="15"/>
        <v>#REF!</v>
      </c>
      <c r="AT12" s="305">
        <f t="shared" si="8"/>
        <v>-2.9104803784502573E-3</v>
      </c>
      <c r="AU12" s="305" t="e">
        <f t="shared" si="8"/>
        <v>#REF!</v>
      </c>
      <c r="AV12" s="286"/>
      <c r="AW12" s="305" t="e">
        <f t="shared" si="16"/>
        <v>#REF!</v>
      </c>
      <c r="AX12" s="305">
        <f t="shared" si="16"/>
        <v>3.3688403107814402E-2</v>
      </c>
      <c r="AY12" s="305" t="e">
        <f t="shared" si="16"/>
        <v>#REF!</v>
      </c>
    </row>
    <row r="13" spans="2:51" x14ac:dyDescent="0.2">
      <c r="B13" s="98" t="s">
        <v>216</v>
      </c>
      <c r="C13" s="242" t="s">
        <v>194</v>
      </c>
      <c r="D13" s="240"/>
      <c r="E13" s="254" t="s">
        <v>352</v>
      </c>
      <c r="G13" s="269" t="s">
        <v>27</v>
      </c>
      <c r="H13" s="270" t="s">
        <v>28</v>
      </c>
      <c r="I13" s="271" t="s">
        <v>32</v>
      </c>
      <c r="J13" s="271" t="s">
        <v>33</v>
      </c>
      <c r="K13" s="71">
        <f>SUMIFS('Op 2'!E:E,'Op 2'!C:C,I13)</f>
        <v>3508460.5811494747</v>
      </c>
      <c r="L13" s="71">
        <f>SUMIFS('SC - Op 1'!H:H,'SC - Op 1'!D:D,I13)</f>
        <v>601835.21210633765</v>
      </c>
      <c r="M13" s="71">
        <f t="shared" si="9"/>
        <v>4110295.7932558125</v>
      </c>
      <c r="N13" s="312" t="e">
        <f>SUMIFS('Op 2'!S:S,'Op 2'!C:C,I13)-K13</f>
        <v>#REF!</v>
      </c>
      <c r="O13" s="312">
        <f>SUMIFS('SC - Op 1'!X:X,'SC - Op 1'!D:D,I13)-L13</f>
        <v>22618.085500358371</v>
      </c>
      <c r="P13" s="310" t="e">
        <f t="shared" si="10"/>
        <v>#REF!</v>
      </c>
      <c r="Q13" s="306" t="e">
        <f t="shared" si="11"/>
        <v>#REF!</v>
      </c>
      <c r="S13" s="312" t="e">
        <f>SUMIFS('Op 2'!Q:Q,'Op 2'!C:C,I13)</f>
        <v>#REF!</v>
      </c>
      <c r="T13" s="312">
        <f>IF($C$10="On",$K13*$E$10*(1+SUMIFS('Op 2'!$O:$O,'Op 2'!$C:$C,$I13)),0)</f>
        <v>0</v>
      </c>
      <c r="U13" s="312" t="e">
        <f>IF($C$11="On",$K13*$E$11*(1+SUMIFS('Op 2'!$O:$O,'Op 2'!$C:$C,$I13)),0)</f>
        <v>#REF!</v>
      </c>
      <c r="V13" s="312" t="e">
        <f>IF($C$14="On",$K13*$E$14*(1+SUMIFS('Op 2'!$O:$O,'Op 2'!$C:$C,$I13)),0)</f>
        <v>#REF!</v>
      </c>
      <c r="W13" s="312">
        <f>SUMIFS('SC - Op 1'!AK:AK,'SC - Op 1'!$D:$D,$I13)</f>
        <v>5255.033366807841</v>
      </c>
      <c r="X13" s="312">
        <f>SUMIFS('SC - Op 2'!AD:AD,'SC - Op 2'!$D:$D,$I13)</f>
        <v>-0.49763965210877359</v>
      </c>
      <c r="Y13" s="312">
        <f t="shared" si="0"/>
        <v>5254.5357271557323</v>
      </c>
      <c r="Z13" s="312">
        <f>SUMIFS('SC - Op 2'!AJ:AJ,'SC - Op 2'!$D:$D,$I13)</f>
        <v>3119.3073123340096</v>
      </c>
      <c r="AA13" s="312" t="e">
        <f t="shared" si="1"/>
        <v>#REF!</v>
      </c>
      <c r="AB13" s="286"/>
      <c r="AC13" s="312" t="e">
        <f t="shared" si="2"/>
        <v>#REF!</v>
      </c>
      <c r="AD13" s="312">
        <f t="shared" si="3"/>
        <v>30991.928539848115</v>
      </c>
      <c r="AE13" s="312" t="e">
        <f t="shared" si="12"/>
        <v>#REF!</v>
      </c>
      <c r="AF13" s="306" t="e">
        <f t="shared" si="13"/>
        <v>#REF!</v>
      </c>
      <c r="AG13" s="286"/>
      <c r="AH13" s="312">
        <f>SUMIFS('Op 2'!BG:BG,'Op 2'!C:C,I13)</f>
        <v>-200008.46951755669</v>
      </c>
      <c r="AI13" s="312" t="e">
        <f t="shared" si="4"/>
        <v>#REF!</v>
      </c>
      <c r="AJ13" s="312" t="e" cm="1">
        <f t="array" ref="AJ13">-SUMPRODUCT(S13:Z13,1-$S$1:$Z$1)</f>
        <v>#REF!</v>
      </c>
      <c r="AK13" s="312">
        <f t="shared" si="5"/>
        <v>-16579.047380587836</v>
      </c>
      <c r="AL13" s="312" t="e">
        <f t="shared" si="6"/>
        <v>#REF!</v>
      </c>
      <c r="AM13" s="312" t="e">
        <f t="shared" si="7"/>
        <v>#REF!</v>
      </c>
      <c r="AN13" s="286"/>
      <c r="AO13" s="304" t="e">
        <f t="shared" si="14"/>
        <v>#REF!</v>
      </c>
      <c r="AP13" s="306">
        <f t="shared" si="14"/>
        <v>3.7581858032530682E-2</v>
      </c>
      <c r="AQ13" s="306" t="e">
        <f t="shared" si="14"/>
        <v>#REF!</v>
      </c>
      <c r="AR13" s="286"/>
      <c r="AS13" s="306" t="e">
        <f t="shared" si="15"/>
        <v>#REF!</v>
      </c>
      <c r="AT13" s="306">
        <f t="shared" si="8"/>
        <v>1.3913846965155935E-2</v>
      </c>
      <c r="AU13" s="306" t="e">
        <f t="shared" si="8"/>
        <v>#REF!</v>
      </c>
      <c r="AV13" s="286"/>
      <c r="AW13" s="306" t="e">
        <f t="shared" si="16"/>
        <v>#REF!</v>
      </c>
      <c r="AX13" s="306">
        <f t="shared" si="16"/>
        <v>5.1495704997686617E-2</v>
      </c>
      <c r="AY13" s="306" t="e">
        <f t="shared" si="16"/>
        <v>#REF!</v>
      </c>
    </row>
    <row r="14" spans="2:51" x14ac:dyDescent="0.2">
      <c r="B14" s="98" t="s">
        <v>218</v>
      </c>
      <c r="C14" s="242" t="s">
        <v>194</v>
      </c>
      <c r="D14" s="242">
        <v>675</v>
      </c>
      <c r="E14" s="253" t="e">
        <f>IF(C14="On",D14*1000/#REF!,0)</f>
        <v>#REF!</v>
      </c>
      <c r="G14" s="266" t="s">
        <v>34</v>
      </c>
      <c r="H14" s="61" t="s">
        <v>35</v>
      </c>
      <c r="I14" s="61" t="s">
        <v>36</v>
      </c>
      <c r="J14" s="61" t="s">
        <v>37</v>
      </c>
      <c r="K14" s="71">
        <f>SUMIFS('Op 2'!E:E,'Op 2'!C:C,I14)</f>
        <v>2582726.5490809772</v>
      </c>
      <c r="L14" s="71">
        <f>SUMIFS('SC - Op 1'!H:H,'SC - Op 1'!D:D,I14)</f>
        <v>544962.09035921283</v>
      </c>
      <c r="M14" s="71">
        <f t="shared" si="9"/>
        <v>3127688.63944019</v>
      </c>
      <c r="N14" s="311" t="e">
        <f>SUMIFS('Op 2'!S:S,'Op 2'!C:C,I14)-K14</f>
        <v>#REF!</v>
      </c>
      <c r="O14" s="311">
        <f>SUMIFS('SC - Op 1'!X:X,'SC - Op 1'!D:D,I14)-L14</f>
        <v>18134.725628898712</v>
      </c>
      <c r="P14" s="309" t="e">
        <f t="shared" si="10"/>
        <v>#REF!</v>
      </c>
      <c r="Q14" s="305" t="e">
        <f t="shared" si="11"/>
        <v>#REF!</v>
      </c>
      <c r="S14" s="311" t="e">
        <f>SUMIFS('Op 2'!Q:Q,'Op 2'!C:C,I14)</f>
        <v>#REF!</v>
      </c>
      <c r="T14" s="311">
        <f>IF($C$10="On",$K14*$E$10*(1+SUMIFS('Op 2'!$O:$O,'Op 2'!$C:$C,$I14)),0)</f>
        <v>0</v>
      </c>
      <c r="U14" s="311" t="e">
        <f>IF($C$11="On",$K14*$E$11*(1+SUMIFS('Op 2'!$O:$O,'Op 2'!$C:$C,$I14)),0)</f>
        <v>#REF!</v>
      </c>
      <c r="V14" s="311" t="e">
        <f>IF($C$14="On",$K14*$E$14*(1+SUMIFS('Op 2'!$O:$O,'Op 2'!$C:$C,$I14)),0)</f>
        <v>#REF!</v>
      </c>
      <c r="W14" s="311">
        <f>SUMIFS('SC - Op 1'!AK:AK,'SC - Op 1'!$D:$D,$I14)</f>
        <v>285.20797199464158</v>
      </c>
      <c r="X14" s="311">
        <f>SUMIFS('SC - Op 2'!AD:AD,'SC - Op 2'!$D:$D,$I14)</f>
        <v>-831.92269828810822</v>
      </c>
      <c r="Y14" s="311">
        <f t="shared" si="0"/>
        <v>-546.71472629346658</v>
      </c>
      <c r="Z14" s="311">
        <f>SUMIFS('SC - Op 2'!AJ:AJ,'SC - Op 2'!$D:$D,$I14)</f>
        <v>0</v>
      </c>
      <c r="AA14" s="311" t="e">
        <f t="shared" si="1"/>
        <v>#REF!</v>
      </c>
      <c r="AB14" s="286"/>
      <c r="AC14" s="311" t="e">
        <f t="shared" si="2"/>
        <v>#REF!</v>
      </c>
      <c r="AD14" s="311">
        <f t="shared" si="3"/>
        <v>17588.010902605245</v>
      </c>
      <c r="AE14" s="311" t="e">
        <f t="shared" si="12"/>
        <v>#REF!</v>
      </c>
      <c r="AF14" s="305" t="e">
        <f t="shared" si="13"/>
        <v>#REF!</v>
      </c>
      <c r="AG14" s="286"/>
      <c r="AH14" s="311">
        <f>SUMIFS('Op 2'!BG:BG,'Op 2'!C:C,I14)</f>
        <v>0</v>
      </c>
      <c r="AI14" s="311" t="e">
        <f t="shared" si="4"/>
        <v>#REF!</v>
      </c>
      <c r="AJ14" s="311" t="e" cm="1">
        <f t="array" ref="AJ14">-SUMPRODUCT(S14:Z14,1-$S$1:$Z$1)</f>
        <v>#REF!</v>
      </c>
      <c r="AK14" s="311">
        <f t="shared" si="5"/>
        <v>-12615.660953181909</v>
      </c>
      <c r="AL14" s="311" t="e">
        <f t="shared" si="6"/>
        <v>#REF!</v>
      </c>
      <c r="AM14" s="311" t="e">
        <f t="shared" si="7"/>
        <v>#REF!</v>
      </c>
      <c r="AN14" s="286"/>
      <c r="AO14" s="303" t="e">
        <f t="shared" si="14"/>
        <v>#REF!</v>
      </c>
      <c r="AP14" s="305">
        <f t="shared" si="14"/>
        <v>3.3277040641386951E-2</v>
      </c>
      <c r="AQ14" s="305" t="e">
        <f t="shared" si="14"/>
        <v>#REF!</v>
      </c>
      <c r="AR14" s="286"/>
      <c r="AS14" s="305" t="e">
        <f t="shared" si="15"/>
        <v>#REF!</v>
      </c>
      <c r="AT14" s="305">
        <f t="shared" si="8"/>
        <v>-1.0032160694574202E-3</v>
      </c>
      <c r="AU14" s="305" t="e">
        <f t="shared" si="8"/>
        <v>#REF!</v>
      </c>
      <c r="AV14" s="286"/>
      <c r="AW14" s="305" t="e">
        <f t="shared" si="16"/>
        <v>#REF!</v>
      </c>
      <c r="AX14" s="305">
        <f t="shared" si="16"/>
        <v>3.2273824571929531E-2</v>
      </c>
      <c r="AY14" s="305" t="e">
        <f t="shared" si="16"/>
        <v>#REF!</v>
      </c>
    </row>
    <row r="15" spans="2:51" x14ac:dyDescent="0.2">
      <c r="G15" s="267" t="s">
        <v>34</v>
      </c>
      <c r="H15" s="268" t="s">
        <v>35</v>
      </c>
      <c r="I15" s="61" t="s">
        <v>38</v>
      </c>
      <c r="J15" s="61" t="s">
        <v>39</v>
      </c>
      <c r="K15" s="71">
        <f>SUMIFS('Op 2'!E:E,'Op 2'!C:C,I15)</f>
        <v>2279346.3873321107</v>
      </c>
      <c r="L15" s="71">
        <f>SUMIFS('SC - Op 1'!H:H,'SC - Op 1'!D:D,I15)</f>
        <v>412828.24853130744</v>
      </c>
      <c r="M15" s="71">
        <f t="shared" si="9"/>
        <v>2692174.6358634182</v>
      </c>
      <c r="N15" s="311" t="e">
        <f>SUMIFS('Op 2'!S:S,'Op 2'!C:C,I15)-K15</f>
        <v>#REF!</v>
      </c>
      <c r="O15" s="311">
        <f>SUMIFS('SC - Op 1'!X:X,'SC - Op 1'!D:D,I15)-L15</f>
        <v>15193.948450276162</v>
      </c>
      <c r="P15" s="309" t="e">
        <f t="shared" si="10"/>
        <v>#REF!</v>
      </c>
      <c r="Q15" s="305" t="e">
        <f t="shared" si="11"/>
        <v>#REF!</v>
      </c>
      <c r="S15" s="311" t="e">
        <f>SUMIFS('Op 2'!Q:Q,'Op 2'!C:C,I15)</f>
        <v>#REF!</v>
      </c>
      <c r="T15" s="311">
        <f>IF($C$10="On",$K15*$E$10*(1+SUMIFS('Op 2'!$O:$O,'Op 2'!$C:$C,$I15)),0)</f>
        <v>0</v>
      </c>
      <c r="U15" s="311" t="e">
        <f>IF($C$11="On",$K15*$E$11*(1+SUMIFS('Op 2'!$O:$O,'Op 2'!$C:$C,$I15)),0)</f>
        <v>#REF!</v>
      </c>
      <c r="V15" s="311" t="e">
        <f>IF($C$14="On",$K15*$E$14*(1+SUMIFS('Op 2'!$O:$O,'Op 2'!$C:$C,$I15)),0)</f>
        <v>#REF!</v>
      </c>
      <c r="W15" s="311">
        <f>SUMIFS('SC - Op 1'!AK:AK,'SC - Op 1'!$D:$D,$I15)</f>
        <v>389.70041366194903</v>
      </c>
      <c r="X15" s="311">
        <f>SUMIFS('SC - Op 2'!AD:AD,'SC - Op 2'!$D:$D,$I15)</f>
        <v>-325.40951012831647</v>
      </c>
      <c r="Y15" s="311">
        <f t="shared" si="0"/>
        <v>64.290903533632559</v>
      </c>
      <c r="Z15" s="311">
        <f>SUMIFS('SC - Op 2'!AJ:AJ,'SC - Op 2'!$D:$D,$I15)</f>
        <v>0</v>
      </c>
      <c r="AA15" s="311" t="e">
        <f t="shared" si="1"/>
        <v>#REF!</v>
      </c>
      <c r="AB15" s="286"/>
      <c r="AC15" s="311" t="e">
        <f t="shared" si="2"/>
        <v>#REF!</v>
      </c>
      <c r="AD15" s="311">
        <f t="shared" si="3"/>
        <v>15258.239353809795</v>
      </c>
      <c r="AE15" s="311" t="e">
        <f t="shared" si="12"/>
        <v>#REF!</v>
      </c>
      <c r="AF15" s="305" t="e">
        <f t="shared" si="13"/>
        <v>#REF!</v>
      </c>
      <c r="AG15" s="286"/>
      <c r="AH15" s="311">
        <f>SUMIFS('Op 2'!BG:BG,'Op 2'!C:C,I15)</f>
        <v>-65000</v>
      </c>
      <c r="AI15" s="311" t="e">
        <f t="shared" si="4"/>
        <v>#REF!</v>
      </c>
      <c r="AJ15" s="311" t="e" cm="1">
        <f t="array" ref="AJ15">-SUMPRODUCT(S15:Z15,1-$S$1:$Z$1)</f>
        <v>#REF!</v>
      </c>
      <c r="AK15" s="311">
        <f t="shared" si="5"/>
        <v>-10858.997281419875</v>
      </c>
      <c r="AL15" s="311" t="e">
        <f t="shared" si="6"/>
        <v>#REF!</v>
      </c>
      <c r="AM15" s="311" t="e">
        <f t="shared" si="7"/>
        <v>#REF!</v>
      </c>
      <c r="AN15" s="286"/>
      <c r="AO15" s="303" t="e">
        <f t="shared" si="14"/>
        <v>#REF!</v>
      </c>
      <c r="AP15" s="305">
        <f t="shared" si="14"/>
        <v>3.6804527074711331E-2</v>
      </c>
      <c r="AQ15" s="305" t="e">
        <f t="shared" si="14"/>
        <v>#REF!</v>
      </c>
      <c r="AR15" s="286"/>
      <c r="AS15" s="305" t="e">
        <f t="shared" si="15"/>
        <v>#REF!</v>
      </c>
      <c r="AT15" s="305">
        <f t="shared" si="8"/>
        <v>1.557328108295758E-4</v>
      </c>
      <c r="AU15" s="305" t="e">
        <f t="shared" si="8"/>
        <v>#REF!</v>
      </c>
      <c r="AV15" s="286"/>
      <c r="AW15" s="305" t="e">
        <f t="shared" si="16"/>
        <v>#REF!</v>
      </c>
      <c r="AX15" s="305">
        <f t="shared" si="16"/>
        <v>3.6960259885540907E-2</v>
      </c>
      <c r="AY15" s="305" t="e">
        <f t="shared" si="16"/>
        <v>#REF!</v>
      </c>
    </row>
    <row r="16" spans="2:51" x14ac:dyDescent="0.2">
      <c r="G16" s="267" t="s">
        <v>34</v>
      </c>
      <c r="H16" s="268" t="s">
        <v>35</v>
      </c>
      <c r="I16" s="61" t="s">
        <v>40</v>
      </c>
      <c r="J16" s="61" t="s">
        <v>41</v>
      </c>
      <c r="K16" s="71">
        <f>SUMIFS('Op 2'!E:E,'Op 2'!C:C,I16)</f>
        <v>1685859.4368248242</v>
      </c>
      <c r="L16" s="71">
        <f>SUMIFS('SC - Op 1'!H:H,'SC - Op 1'!D:D,I16)</f>
        <v>313055.19999377243</v>
      </c>
      <c r="M16" s="71">
        <f t="shared" si="9"/>
        <v>1998914.6368185966</v>
      </c>
      <c r="N16" s="311" t="e">
        <f>SUMIFS('Op 2'!S:S,'Op 2'!C:C,I16)-K16</f>
        <v>#REF!</v>
      </c>
      <c r="O16" s="311">
        <f>SUMIFS('SC - Op 1'!X:X,'SC - Op 1'!D:D,I16)-L16</f>
        <v>12659.67743219866</v>
      </c>
      <c r="P16" s="309" t="e">
        <f t="shared" si="10"/>
        <v>#REF!</v>
      </c>
      <c r="Q16" s="305" t="e">
        <f t="shared" si="11"/>
        <v>#REF!</v>
      </c>
      <c r="S16" s="311" t="e">
        <f>SUMIFS('Op 2'!Q:Q,'Op 2'!C:C,I16)</f>
        <v>#REF!</v>
      </c>
      <c r="T16" s="311">
        <f>IF($C$10="On",$K16*$E$10*(1+SUMIFS('Op 2'!$O:$O,'Op 2'!$C:$C,$I16)),0)</f>
        <v>0</v>
      </c>
      <c r="U16" s="311" t="e">
        <f>IF($C$11="On",$K16*$E$11*(1+SUMIFS('Op 2'!$O:$O,'Op 2'!$C:$C,$I16)),0)</f>
        <v>#REF!</v>
      </c>
      <c r="V16" s="311" t="e">
        <f>IF($C$14="On",$K16*$E$14*(1+SUMIFS('Op 2'!$O:$O,'Op 2'!$C:$C,$I16)),0)</f>
        <v>#REF!</v>
      </c>
      <c r="W16" s="311">
        <f>SUMIFS('SC - Op 1'!AK:AK,'SC - Op 1'!$D:$D,$I16)</f>
        <v>1178.6543163759857</v>
      </c>
      <c r="X16" s="311">
        <f>SUMIFS('SC - Op 2'!AD:AD,'SC - Op 2'!$D:$D,$I16)</f>
        <v>-0.21658424928318709</v>
      </c>
      <c r="Y16" s="311">
        <f t="shared" si="0"/>
        <v>1178.4377321267025</v>
      </c>
      <c r="Z16" s="311">
        <f>SUMIFS('SC - Op 2'!AJ:AJ,'SC - Op 2'!$D:$D,$I16)</f>
        <v>1613.5447344796401</v>
      </c>
      <c r="AA16" s="311" t="e">
        <f t="shared" si="1"/>
        <v>#REF!</v>
      </c>
      <c r="AB16" s="286"/>
      <c r="AC16" s="311" t="e">
        <f t="shared" si="2"/>
        <v>#REF!</v>
      </c>
      <c r="AD16" s="311">
        <f t="shared" si="3"/>
        <v>15451.659898805003</v>
      </c>
      <c r="AE16" s="311" t="e">
        <f t="shared" si="12"/>
        <v>#REF!</v>
      </c>
      <c r="AF16" s="305" t="e">
        <f t="shared" si="13"/>
        <v>#REF!</v>
      </c>
      <c r="AG16" s="286"/>
      <c r="AH16" s="311">
        <f>SUMIFS('Op 2'!BG:BG,'Op 2'!C:C,I16)</f>
        <v>0</v>
      </c>
      <c r="AI16" s="311" t="e">
        <f t="shared" si="4"/>
        <v>#REF!</v>
      </c>
      <c r="AJ16" s="311" t="e" cm="1">
        <f t="array" ref="AJ16">-SUMPRODUCT(S16:Z16,1-$S$1:$Z$1)</f>
        <v>#REF!</v>
      </c>
      <c r="AK16" s="311">
        <f t="shared" si="5"/>
        <v>-8062.7045206679359</v>
      </c>
      <c r="AL16" s="311" t="e">
        <f t="shared" si="6"/>
        <v>#REF!</v>
      </c>
      <c r="AM16" s="311" t="e">
        <f t="shared" si="7"/>
        <v>#REF!</v>
      </c>
      <c r="AN16" s="286"/>
      <c r="AO16" s="303" t="e">
        <f t="shared" si="14"/>
        <v>#REF!</v>
      </c>
      <c r="AP16" s="305">
        <f t="shared" si="14"/>
        <v>4.043912202209226E-2</v>
      </c>
      <c r="AQ16" s="305" t="e">
        <f t="shared" si="14"/>
        <v>#REF!</v>
      </c>
      <c r="AR16" s="286"/>
      <c r="AS16" s="305" t="e">
        <f t="shared" si="15"/>
        <v>#REF!</v>
      </c>
      <c r="AT16" s="305">
        <f t="shared" si="8"/>
        <v>8.9184989313765908E-3</v>
      </c>
      <c r="AU16" s="305" t="e">
        <f t="shared" si="8"/>
        <v>#REF!</v>
      </c>
      <c r="AV16" s="286"/>
      <c r="AW16" s="305" t="e">
        <f t="shared" si="16"/>
        <v>#REF!</v>
      </c>
      <c r="AX16" s="305">
        <f t="shared" si="16"/>
        <v>4.935762095346885E-2</v>
      </c>
      <c r="AY16" s="305" t="e">
        <f t="shared" si="16"/>
        <v>#REF!</v>
      </c>
    </row>
    <row r="17" spans="7:51" x14ac:dyDescent="0.2">
      <c r="G17" s="267" t="s">
        <v>34</v>
      </c>
      <c r="H17" s="268" t="s">
        <v>35</v>
      </c>
      <c r="I17" s="61" t="s">
        <v>42</v>
      </c>
      <c r="J17" s="61" t="s">
        <v>43</v>
      </c>
      <c r="K17" s="71">
        <f>SUMIFS('Op 2'!E:E,'Op 2'!C:C,I17)</f>
        <v>1963325.072147588</v>
      </c>
      <c r="L17" s="71">
        <f>SUMIFS('SC - Op 1'!H:H,'SC - Op 1'!D:D,I17)</f>
        <v>322102.10294092807</v>
      </c>
      <c r="M17" s="71">
        <f t="shared" si="9"/>
        <v>2285427.175088516</v>
      </c>
      <c r="N17" s="311" t="e">
        <f>SUMIFS('Op 2'!S:S,'Op 2'!C:C,I17)-K17</f>
        <v>#REF!</v>
      </c>
      <c r="O17" s="311">
        <f>SUMIFS('SC - Op 1'!X:X,'SC - Op 1'!D:D,I17)-L17</f>
        <v>12625.498298340652</v>
      </c>
      <c r="P17" s="309" t="e">
        <f t="shared" si="10"/>
        <v>#REF!</v>
      </c>
      <c r="Q17" s="305" t="e">
        <f t="shared" si="11"/>
        <v>#REF!</v>
      </c>
      <c r="S17" s="311" t="e">
        <f>SUMIFS('Op 2'!Q:Q,'Op 2'!C:C,I17)</f>
        <v>#REF!</v>
      </c>
      <c r="T17" s="311">
        <f>IF($C$10="On",$K17*$E$10*(1+SUMIFS('Op 2'!$O:$O,'Op 2'!$C:$C,$I17)),0)</f>
        <v>0</v>
      </c>
      <c r="U17" s="311" t="e">
        <f>IF($C$11="On",$K17*$E$11*(1+SUMIFS('Op 2'!$O:$O,'Op 2'!$C:$C,$I17)),0)</f>
        <v>#REF!</v>
      </c>
      <c r="V17" s="311" t="e">
        <f>IF($C$14="On",$K17*$E$14*(1+SUMIFS('Op 2'!$O:$O,'Op 2'!$C:$C,$I17)),0)</f>
        <v>#REF!</v>
      </c>
      <c r="W17" s="311">
        <f>SUMIFS('SC - Op 1'!AK:AK,'SC - Op 1'!$D:$D,$I17)</f>
        <v>2973.2033409357182</v>
      </c>
      <c r="X17" s="311">
        <f>SUMIFS('SC - Op 2'!AD:AD,'SC - Op 2'!$D:$D,$I17)</f>
        <v>-0.42515525099588558</v>
      </c>
      <c r="Y17" s="311">
        <f t="shared" si="0"/>
        <v>2972.7781856847223</v>
      </c>
      <c r="Z17" s="311">
        <f>SUMIFS('SC - Op 2'!AJ:AJ,'SC - Op 2'!$D:$D,$I17)</f>
        <v>1670.2238395055906</v>
      </c>
      <c r="AA17" s="311" t="e">
        <f t="shared" si="1"/>
        <v>#REF!</v>
      </c>
      <c r="AB17" s="286"/>
      <c r="AC17" s="311" t="e">
        <f t="shared" si="2"/>
        <v>#REF!</v>
      </c>
      <c r="AD17" s="311">
        <f t="shared" si="3"/>
        <v>17268.500323530963</v>
      </c>
      <c r="AE17" s="311" t="e">
        <f t="shared" si="12"/>
        <v>#REF!</v>
      </c>
      <c r="AF17" s="305" t="e">
        <f t="shared" si="13"/>
        <v>#REF!</v>
      </c>
      <c r="AG17" s="286"/>
      <c r="AH17" s="311">
        <f>SUMIFS('Op 2'!BG:BG,'Op 2'!C:C,I17)</f>
        <v>-27991.698574590439</v>
      </c>
      <c r="AI17" s="311" t="e">
        <f t="shared" si="4"/>
        <v>#REF!</v>
      </c>
      <c r="AJ17" s="311" t="e" cm="1">
        <f t="array" ref="AJ17">-SUMPRODUCT(S17:Z17,1-$S$1:$Z$1)</f>
        <v>#REF!</v>
      </c>
      <c r="AK17" s="311">
        <f t="shared" si="5"/>
        <v>-9218.3646449109328</v>
      </c>
      <c r="AL17" s="311" t="e">
        <f t="shared" si="6"/>
        <v>#REF!</v>
      </c>
      <c r="AM17" s="311" t="e">
        <f t="shared" si="7"/>
        <v>#REF!</v>
      </c>
      <c r="AN17" s="286"/>
      <c r="AO17" s="303" t="e">
        <f t="shared" si="14"/>
        <v>#REF!</v>
      </c>
      <c r="AP17" s="305">
        <f t="shared" si="14"/>
        <v>3.9197193011360452E-2</v>
      </c>
      <c r="AQ17" s="305" t="e">
        <f t="shared" si="14"/>
        <v>#REF!</v>
      </c>
      <c r="AR17" s="286"/>
      <c r="AS17" s="305" t="e">
        <f t="shared" si="15"/>
        <v>#REF!</v>
      </c>
      <c r="AT17" s="305">
        <f t="shared" si="8"/>
        <v>1.4414690195431033E-2</v>
      </c>
      <c r="AU17" s="305" t="e">
        <f t="shared" si="8"/>
        <v>#REF!</v>
      </c>
      <c r="AV17" s="286"/>
      <c r="AW17" s="305" t="e">
        <f t="shared" si="16"/>
        <v>#REF!</v>
      </c>
      <c r="AX17" s="305">
        <f t="shared" si="16"/>
        <v>5.3611883206791486E-2</v>
      </c>
      <c r="AY17" s="305" t="e">
        <f t="shared" si="16"/>
        <v>#REF!</v>
      </c>
    </row>
    <row r="18" spans="7:51" x14ac:dyDescent="0.2">
      <c r="G18" s="267" t="s">
        <v>34</v>
      </c>
      <c r="H18" s="268" t="s">
        <v>35</v>
      </c>
      <c r="I18" s="61" t="s">
        <v>44</v>
      </c>
      <c r="J18" s="61" t="s">
        <v>45</v>
      </c>
      <c r="K18" s="71">
        <f>SUMIFS('Op 2'!E:E,'Op 2'!C:C,I18)</f>
        <v>1399084.5320666675</v>
      </c>
      <c r="L18" s="71">
        <f>SUMIFS('SC - Op 1'!H:H,'SC - Op 1'!D:D,I18)</f>
        <v>254797.12308630819</v>
      </c>
      <c r="M18" s="71">
        <f t="shared" si="9"/>
        <v>1653881.6551529756</v>
      </c>
      <c r="N18" s="311" t="e">
        <f>SUMIFS('Op 2'!S:S,'Op 2'!C:C,I18)-K18</f>
        <v>#REF!</v>
      </c>
      <c r="O18" s="311">
        <f>SUMIFS('SC - Op 1'!X:X,'SC - Op 1'!D:D,I18)-L18</f>
        <v>10387.554242593818</v>
      </c>
      <c r="P18" s="309" t="e">
        <f t="shared" si="10"/>
        <v>#REF!</v>
      </c>
      <c r="Q18" s="305" t="e">
        <f t="shared" si="11"/>
        <v>#REF!</v>
      </c>
      <c r="S18" s="311" t="e">
        <f>SUMIFS('Op 2'!Q:Q,'Op 2'!C:C,I18)</f>
        <v>#REF!</v>
      </c>
      <c r="T18" s="311">
        <f>IF($C$10="On",$K18*$E$10*(1+SUMIFS('Op 2'!$O:$O,'Op 2'!$C:$C,$I18)),0)</f>
        <v>0</v>
      </c>
      <c r="U18" s="311" t="e">
        <f>IF($C$11="On",$K18*$E$11*(1+SUMIFS('Op 2'!$O:$O,'Op 2'!$C:$C,$I18)),0)</f>
        <v>#REF!</v>
      </c>
      <c r="V18" s="311" t="e">
        <f>IF($C$14="On",$K18*$E$14*(1+SUMIFS('Op 2'!$O:$O,'Op 2'!$C:$C,$I18)),0)</f>
        <v>#REF!</v>
      </c>
      <c r="W18" s="311">
        <f>SUMIFS('SC - Op 1'!AK:AK,'SC - Op 1'!$D:$D,$I18)</f>
        <v>2043.9636056917209</v>
      </c>
      <c r="X18" s="311">
        <f>SUMIFS('SC - Op 2'!AD:AD,'SC - Op 2'!$D:$D,$I18)</f>
        <v>0.11093019135296345</v>
      </c>
      <c r="Y18" s="311">
        <f t="shared" si="0"/>
        <v>2044.0745358830738</v>
      </c>
      <c r="Z18" s="311">
        <f>SUMIFS('SC - Op 2'!AJ:AJ,'SC - Op 2'!$D:$D,$I18)</f>
        <v>1319.6874080790506</v>
      </c>
      <c r="AA18" s="311" t="e">
        <f t="shared" si="1"/>
        <v>#REF!</v>
      </c>
      <c r="AB18" s="286"/>
      <c r="AC18" s="311" t="e">
        <f t="shared" si="2"/>
        <v>#REF!</v>
      </c>
      <c r="AD18" s="311">
        <f t="shared" si="3"/>
        <v>13751.316186555943</v>
      </c>
      <c r="AE18" s="311" t="e">
        <f t="shared" si="12"/>
        <v>#REF!</v>
      </c>
      <c r="AF18" s="305" t="e">
        <f t="shared" si="13"/>
        <v>#REF!</v>
      </c>
      <c r="AG18" s="286"/>
      <c r="AH18" s="311">
        <f>SUMIFS('Op 2'!BG:BG,'Op 2'!C:C,I18)</f>
        <v>-19000</v>
      </c>
      <c r="AI18" s="311" t="e">
        <f t="shared" si="4"/>
        <v>#REF!</v>
      </c>
      <c r="AJ18" s="311" t="e" cm="1">
        <f t="array" ref="AJ18">-SUMPRODUCT(S18:Z18,1-$S$1:$Z$1)</f>
        <v>#REF!</v>
      </c>
      <c r="AK18" s="311">
        <f t="shared" si="5"/>
        <v>-6670.9997775967086</v>
      </c>
      <c r="AL18" s="311" t="e">
        <f t="shared" si="6"/>
        <v>#REF!</v>
      </c>
      <c r="AM18" s="311" t="e">
        <f t="shared" si="7"/>
        <v>#REF!</v>
      </c>
      <c r="AN18" s="286"/>
      <c r="AO18" s="303" t="e">
        <f t="shared" si="14"/>
        <v>#REF!</v>
      </c>
      <c r="AP18" s="305">
        <f t="shared" si="14"/>
        <v>4.0767941634392832E-2</v>
      </c>
      <c r="AQ18" s="305" t="e">
        <f t="shared" si="14"/>
        <v>#REF!</v>
      </c>
      <c r="AR18" s="286"/>
      <c r="AS18" s="305" t="e">
        <f t="shared" si="15"/>
        <v>#REF!</v>
      </c>
      <c r="AT18" s="305">
        <f t="shared" si="8"/>
        <v>1.3201726547056453E-2</v>
      </c>
      <c r="AU18" s="305" t="e">
        <f t="shared" si="8"/>
        <v>#REF!</v>
      </c>
      <c r="AV18" s="286"/>
      <c r="AW18" s="305" t="e">
        <f t="shared" si="16"/>
        <v>#REF!</v>
      </c>
      <c r="AX18" s="305">
        <f t="shared" si="16"/>
        <v>5.3969668181449285E-2</v>
      </c>
      <c r="AY18" s="305" t="e">
        <f t="shared" si="16"/>
        <v>#REF!</v>
      </c>
    </row>
    <row r="19" spans="7:51" x14ac:dyDescent="0.2">
      <c r="G19" s="267" t="s">
        <v>34</v>
      </c>
      <c r="H19" s="268" t="s">
        <v>35</v>
      </c>
      <c r="I19" s="61" t="s">
        <v>46</v>
      </c>
      <c r="J19" s="61" t="s">
        <v>47</v>
      </c>
      <c r="K19" s="71">
        <f>SUMIFS('Op 2'!E:E,'Op 2'!C:C,I19)</f>
        <v>1777885.3086175141</v>
      </c>
      <c r="L19" s="71">
        <f>SUMIFS('SC - Op 1'!H:H,'SC - Op 1'!D:D,I19)</f>
        <v>359790.82190727431</v>
      </c>
      <c r="M19" s="71">
        <f t="shared" si="9"/>
        <v>2137676.1305247885</v>
      </c>
      <c r="N19" s="311" t="e">
        <f>SUMIFS('Op 2'!S:S,'Op 2'!C:C,I19)-K19</f>
        <v>#REF!</v>
      </c>
      <c r="O19" s="311">
        <f>SUMIFS('SC - Op 1'!X:X,'SC - Op 1'!D:D,I19)-L19</f>
        <v>14710.004459646239</v>
      </c>
      <c r="P19" s="309" t="e">
        <f t="shared" si="10"/>
        <v>#REF!</v>
      </c>
      <c r="Q19" s="305" t="e">
        <f t="shared" si="11"/>
        <v>#REF!</v>
      </c>
      <c r="S19" s="311" t="e">
        <f>SUMIFS('Op 2'!Q:Q,'Op 2'!C:C,I19)</f>
        <v>#REF!</v>
      </c>
      <c r="T19" s="311">
        <f>IF($C$10="On",$K19*$E$10*(1+SUMIFS('Op 2'!$O:$O,'Op 2'!$C:$C,$I19)),0)</f>
        <v>0</v>
      </c>
      <c r="U19" s="311" t="e">
        <f>IF($C$11="On",$K19*$E$11*(1+SUMIFS('Op 2'!$O:$O,'Op 2'!$C:$C,$I19)),0)</f>
        <v>#REF!</v>
      </c>
      <c r="V19" s="311" t="e">
        <f>IF($C$14="On",$K19*$E$14*(1+SUMIFS('Op 2'!$O:$O,'Op 2'!$C:$C,$I19)),0)</f>
        <v>#REF!</v>
      </c>
      <c r="W19" s="311">
        <f>SUMIFS('SC - Op 1'!AK:AK,'SC - Op 1'!$D:$D,$I19)</f>
        <v>340.9671593525141</v>
      </c>
      <c r="X19" s="311">
        <f>SUMIFS('SC - Op 2'!AD:AD,'SC - Op 2'!$D:$D,$I19)</f>
        <v>-2283.1140487647499</v>
      </c>
      <c r="Y19" s="311">
        <f t="shared" si="0"/>
        <v>-1942.1468894122359</v>
      </c>
      <c r="Z19" s="311">
        <f>SUMIFS('SC - Op 2'!AJ:AJ,'SC - Op 2'!$D:$D,$I19)</f>
        <v>0</v>
      </c>
      <c r="AA19" s="311" t="e">
        <f t="shared" si="1"/>
        <v>#REF!</v>
      </c>
      <c r="AB19" s="286"/>
      <c r="AC19" s="311" t="e">
        <f t="shared" si="2"/>
        <v>#REF!</v>
      </c>
      <c r="AD19" s="311">
        <f t="shared" si="3"/>
        <v>12767.857570234004</v>
      </c>
      <c r="AE19" s="311" t="e">
        <f t="shared" si="12"/>
        <v>#REF!</v>
      </c>
      <c r="AF19" s="305" t="e">
        <f t="shared" si="13"/>
        <v>#REF!</v>
      </c>
      <c r="AG19" s="286"/>
      <c r="AH19" s="311">
        <f>SUMIFS('Op 2'!BG:BG,'Op 2'!C:C,I19)</f>
        <v>-40000</v>
      </c>
      <c r="AI19" s="311" t="e">
        <f t="shared" si="4"/>
        <v>#REF!</v>
      </c>
      <c r="AJ19" s="311" t="e" cm="1">
        <f t="array" ref="AJ19">-SUMPRODUCT(S19:Z19,1-$S$1:$Z$1)</f>
        <v>#REF!</v>
      </c>
      <c r="AK19" s="311">
        <f t="shared" si="5"/>
        <v>-8622.4047209627224</v>
      </c>
      <c r="AL19" s="311" t="e">
        <f t="shared" si="6"/>
        <v>#REF!</v>
      </c>
      <c r="AM19" s="311" t="e">
        <f t="shared" si="7"/>
        <v>#REF!</v>
      </c>
      <c r="AN19" s="286"/>
      <c r="AO19" s="303" t="e">
        <f t="shared" si="14"/>
        <v>#REF!</v>
      </c>
      <c r="AP19" s="305">
        <f t="shared" si="14"/>
        <v>4.0884879668879708E-2</v>
      </c>
      <c r="AQ19" s="305" t="e">
        <f t="shared" si="14"/>
        <v>#REF!</v>
      </c>
      <c r="AR19" s="286"/>
      <c r="AS19" s="305" t="e">
        <f t="shared" si="15"/>
        <v>#REF!</v>
      </c>
      <c r="AT19" s="305">
        <f t="shared" si="8"/>
        <v>-5.3979889734729475E-3</v>
      </c>
      <c r="AU19" s="305" t="e">
        <f t="shared" si="8"/>
        <v>#REF!</v>
      </c>
      <c r="AV19" s="286"/>
      <c r="AW19" s="305" t="e">
        <f t="shared" si="16"/>
        <v>#REF!</v>
      </c>
      <c r="AX19" s="305">
        <f t="shared" si="16"/>
        <v>3.548689069540676E-2</v>
      </c>
      <c r="AY19" s="305" t="e">
        <f t="shared" si="16"/>
        <v>#REF!</v>
      </c>
    </row>
    <row r="20" spans="7:51" x14ac:dyDescent="0.2">
      <c r="G20" s="267" t="s">
        <v>34</v>
      </c>
      <c r="H20" s="268" t="s">
        <v>35</v>
      </c>
      <c r="I20" s="61" t="s">
        <v>48</v>
      </c>
      <c r="J20" s="61" t="s">
        <v>49</v>
      </c>
      <c r="K20" s="71">
        <f>SUMIFS('Op 2'!E:E,'Op 2'!C:C,I20)</f>
        <v>1430894.8889875349</v>
      </c>
      <c r="L20" s="71">
        <f>SUMIFS('SC - Op 1'!H:H,'SC - Op 1'!D:D,I20)</f>
        <v>244617.26023720729</v>
      </c>
      <c r="M20" s="71">
        <f t="shared" si="9"/>
        <v>1675512.1492247423</v>
      </c>
      <c r="N20" s="311" t="e">
        <f>SUMIFS('Op 2'!S:S,'Op 2'!C:C,I20)-K20</f>
        <v>#REF!</v>
      </c>
      <c r="O20" s="311">
        <f>SUMIFS('SC - Op 1'!X:X,'SC - Op 1'!D:D,I20)-L20</f>
        <v>9952.6200773344317</v>
      </c>
      <c r="P20" s="309" t="e">
        <f t="shared" si="10"/>
        <v>#REF!</v>
      </c>
      <c r="Q20" s="305" t="e">
        <f t="shared" si="11"/>
        <v>#REF!</v>
      </c>
      <c r="S20" s="311" t="e">
        <f>SUMIFS('Op 2'!Q:Q,'Op 2'!C:C,I20)</f>
        <v>#REF!</v>
      </c>
      <c r="T20" s="311">
        <f>IF($C$10="On",$K20*$E$10*(1+SUMIFS('Op 2'!$O:$O,'Op 2'!$C:$C,$I20)),0)</f>
        <v>0</v>
      </c>
      <c r="U20" s="311" t="e">
        <f>IF($C$11="On",$K20*$E$11*(1+SUMIFS('Op 2'!$O:$O,'Op 2'!$C:$C,$I20)),0)</f>
        <v>#REF!</v>
      </c>
      <c r="V20" s="311" t="e">
        <f>IF($C$14="On",$K20*$E$14*(1+SUMIFS('Op 2'!$O:$O,'Op 2'!$C:$C,$I20)),0)</f>
        <v>#REF!</v>
      </c>
      <c r="W20" s="311">
        <f>SUMIFS('SC - Op 1'!AK:AK,'SC - Op 1'!$D:$D,$I20)</f>
        <v>1990.9543330388624</v>
      </c>
      <c r="X20" s="311">
        <f>SUMIFS('SC - Op 2'!AD:AD,'SC - Op 2'!$D:$D,$I20)</f>
        <v>-0.23151758883614093</v>
      </c>
      <c r="Y20" s="311">
        <f t="shared" si="0"/>
        <v>1990.7228154500262</v>
      </c>
      <c r="Z20" s="311">
        <f>SUMIFS('SC - Op 2'!AJ:AJ,'SC - Op 2'!$D:$D,$I20)</f>
        <v>1267.1040481864636</v>
      </c>
      <c r="AA20" s="311" t="e">
        <f t="shared" si="1"/>
        <v>#REF!</v>
      </c>
      <c r="AB20" s="286"/>
      <c r="AC20" s="311" t="e">
        <f t="shared" si="2"/>
        <v>#REF!</v>
      </c>
      <c r="AD20" s="311">
        <f t="shared" si="3"/>
        <v>13210.446940970922</v>
      </c>
      <c r="AE20" s="311" t="e">
        <f t="shared" si="12"/>
        <v>#REF!</v>
      </c>
      <c r="AF20" s="305" t="e">
        <f t="shared" si="13"/>
        <v>#REF!</v>
      </c>
      <c r="AG20" s="286"/>
      <c r="AH20" s="311">
        <f>SUMIFS('Op 2'!BG:BG,'Op 2'!C:C,I20)</f>
        <v>-15400</v>
      </c>
      <c r="AI20" s="311" t="e">
        <f t="shared" si="4"/>
        <v>#REF!</v>
      </c>
      <c r="AJ20" s="311" t="e" cm="1">
        <f t="array" ref="AJ20">-SUMPRODUCT(S20:Z20,1-$S$1:$Z$1)</f>
        <v>#REF!</v>
      </c>
      <c r="AK20" s="311">
        <f t="shared" si="5"/>
        <v>-6758.2472663710596</v>
      </c>
      <c r="AL20" s="311" t="e">
        <f t="shared" si="6"/>
        <v>#REF!</v>
      </c>
      <c r="AM20" s="311" t="e">
        <f t="shared" si="7"/>
        <v>#REF!</v>
      </c>
      <c r="AN20" s="286"/>
      <c r="AO20" s="303" t="e">
        <f t="shared" si="14"/>
        <v>#REF!</v>
      </c>
      <c r="AP20" s="305">
        <f t="shared" si="14"/>
        <v>4.0686499667616657E-2</v>
      </c>
      <c r="AQ20" s="305" t="e">
        <f t="shared" si="14"/>
        <v>#REF!</v>
      </c>
      <c r="AR20" s="286"/>
      <c r="AS20" s="305" t="e">
        <f t="shared" si="15"/>
        <v>#REF!</v>
      </c>
      <c r="AT20" s="305">
        <f t="shared" si="8"/>
        <v>1.3318058016336828E-2</v>
      </c>
      <c r="AU20" s="305" t="e">
        <f t="shared" si="8"/>
        <v>#REF!</v>
      </c>
      <c r="AV20" s="286"/>
      <c r="AW20" s="305" t="e">
        <f t="shared" si="16"/>
        <v>#REF!</v>
      </c>
      <c r="AX20" s="305">
        <f t="shared" si="16"/>
        <v>5.4004557683953486E-2</v>
      </c>
      <c r="AY20" s="305" t="e">
        <f t="shared" si="16"/>
        <v>#REF!</v>
      </c>
    </row>
    <row r="21" spans="7:51" x14ac:dyDescent="0.2">
      <c r="G21" s="267" t="s">
        <v>34</v>
      </c>
      <c r="H21" s="268" t="s">
        <v>35</v>
      </c>
      <c r="I21" s="61" t="s">
        <v>50</v>
      </c>
      <c r="J21" s="61" t="s">
        <v>51</v>
      </c>
      <c r="K21" s="71">
        <f>SUMIFS('Op 2'!E:E,'Op 2'!C:C,I21)</f>
        <v>1309001.4633780424</v>
      </c>
      <c r="L21" s="71">
        <f>SUMIFS('SC - Op 1'!H:H,'SC - Op 1'!D:D,I21)</f>
        <v>227386.69840213092</v>
      </c>
      <c r="M21" s="71">
        <f t="shared" si="9"/>
        <v>1536388.1617801734</v>
      </c>
      <c r="N21" s="311" t="e">
        <f>SUMIFS('Op 2'!S:S,'Op 2'!C:C,I21)-K21</f>
        <v>#REF!</v>
      </c>
      <c r="O21" s="311">
        <f>SUMIFS('SC - Op 1'!X:X,'SC - Op 1'!D:D,I21)-L21</f>
        <v>9732.254128944769</v>
      </c>
      <c r="P21" s="309" t="e">
        <f t="shared" si="10"/>
        <v>#REF!</v>
      </c>
      <c r="Q21" s="305" t="e">
        <f t="shared" si="11"/>
        <v>#REF!</v>
      </c>
      <c r="S21" s="311" t="e">
        <f>SUMIFS('Op 2'!Q:Q,'Op 2'!C:C,I21)</f>
        <v>#REF!</v>
      </c>
      <c r="T21" s="311">
        <f>IF($C$10="On",$K21*$E$10*(1+SUMIFS('Op 2'!$O:$O,'Op 2'!$C:$C,$I21)),0)</f>
        <v>0</v>
      </c>
      <c r="U21" s="311" t="e">
        <f>IF($C$11="On",$K21*$E$11*(1+SUMIFS('Op 2'!$O:$O,'Op 2'!$C:$C,$I21)),0)</f>
        <v>#REF!</v>
      </c>
      <c r="V21" s="311" t="e">
        <f>IF($C$14="On",$K21*$E$14*(1+SUMIFS('Op 2'!$O:$O,'Op 2'!$C:$C,$I21)),0)</f>
        <v>#REF!</v>
      </c>
      <c r="W21" s="311">
        <f>SUMIFS('SC - Op 1'!AK:AK,'SC - Op 1'!$D:$D,$I21)</f>
        <v>2163.1744860409481</v>
      </c>
      <c r="X21" s="311">
        <f>SUMIFS('SC - Op 2'!AD:AD,'SC - Op 2'!$D:$D,$I21)</f>
        <v>-5.1515540020773187E-2</v>
      </c>
      <c r="Y21" s="311">
        <f t="shared" si="0"/>
        <v>2163.1229705009273</v>
      </c>
      <c r="Z21" s="311">
        <f>SUMIFS('SC - Op 2'!AJ:AJ,'SC - Op 2'!$D:$D,$I21)</f>
        <v>1179.3680158978052</v>
      </c>
      <c r="AA21" s="311" t="e">
        <f t="shared" si="1"/>
        <v>#REF!</v>
      </c>
      <c r="AB21" s="286"/>
      <c r="AC21" s="311" t="e">
        <f t="shared" si="2"/>
        <v>#REF!</v>
      </c>
      <c r="AD21" s="311">
        <f t="shared" si="3"/>
        <v>13074.745115343501</v>
      </c>
      <c r="AE21" s="311" t="e">
        <f t="shared" si="12"/>
        <v>#REF!</v>
      </c>
      <c r="AF21" s="305" t="e">
        <f t="shared" si="13"/>
        <v>#REF!</v>
      </c>
      <c r="AG21" s="286"/>
      <c r="AH21" s="311">
        <f>SUMIFS('Op 2'!BG:BG,'Op 2'!C:C,I21)</f>
        <v>-34962.309026254647</v>
      </c>
      <c r="AI21" s="311" t="e">
        <f t="shared" si="4"/>
        <v>#REF!</v>
      </c>
      <c r="AJ21" s="311" t="e" cm="1">
        <f t="array" ref="AJ21">-SUMPRODUCT(S21:Z21,1-$S$1:$Z$1)</f>
        <v>#REF!</v>
      </c>
      <c r="AK21" s="311">
        <f t="shared" si="5"/>
        <v>-6197.0849326518164</v>
      </c>
      <c r="AL21" s="311" t="e">
        <f t="shared" si="6"/>
        <v>#REF!</v>
      </c>
      <c r="AM21" s="311" t="e">
        <f t="shared" si="7"/>
        <v>#REF!</v>
      </c>
      <c r="AN21" s="286"/>
      <c r="AO21" s="303" t="e">
        <f t="shared" si="14"/>
        <v>#REF!</v>
      </c>
      <c r="AP21" s="305">
        <f t="shared" si="14"/>
        <v>4.2800454896149566E-2</v>
      </c>
      <c r="AQ21" s="305" t="e">
        <f t="shared" si="14"/>
        <v>#REF!</v>
      </c>
      <c r="AR21" s="286"/>
      <c r="AS21" s="305" t="e">
        <f t="shared" si="15"/>
        <v>#REF!</v>
      </c>
      <c r="AT21" s="305">
        <f t="shared" si="8"/>
        <v>1.469958889366331E-2</v>
      </c>
      <c r="AU21" s="305" t="e">
        <f t="shared" si="8"/>
        <v>#REF!</v>
      </c>
      <c r="AV21" s="286"/>
      <c r="AW21" s="305" t="e">
        <f t="shared" si="16"/>
        <v>#REF!</v>
      </c>
      <c r="AX21" s="305">
        <f t="shared" si="16"/>
        <v>5.7500043789812876E-2</v>
      </c>
      <c r="AY21" s="305" t="e">
        <f t="shared" si="16"/>
        <v>#REF!</v>
      </c>
    </row>
    <row r="22" spans="7:51" x14ac:dyDescent="0.2">
      <c r="G22" s="267" t="s">
        <v>34</v>
      </c>
      <c r="H22" s="268" t="s">
        <v>35</v>
      </c>
      <c r="I22" s="61" t="s">
        <v>52</v>
      </c>
      <c r="J22" s="61" t="s">
        <v>53</v>
      </c>
      <c r="K22" s="71">
        <f>SUMIFS('Op 2'!E:E,'Op 2'!C:C,I22)</f>
        <v>2105484.7321976945</v>
      </c>
      <c r="L22" s="71">
        <f>SUMIFS('SC - Op 1'!H:H,'SC - Op 1'!D:D,I22)</f>
        <v>405681.49977994605</v>
      </c>
      <c r="M22" s="71">
        <f t="shared" si="9"/>
        <v>2511166.2319776407</v>
      </c>
      <c r="N22" s="311" t="e">
        <f>SUMIFS('Op 2'!S:S,'Op 2'!C:C,I22)-K22</f>
        <v>#REF!</v>
      </c>
      <c r="O22" s="311">
        <f>SUMIFS('SC - Op 1'!X:X,'SC - Op 1'!D:D,I22)-L22</f>
        <v>15810.750633109885</v>
      </c>
      <c r="P22" s="309" t="e">
        <f t="shared" si="10"/>
        <v>#REF!</v>
      </c>
      <c r="Q22" s="305" t="e">
        <f t="shared" si="11"/>
        <v>#REF!</v>
      </c>
      <c r="S22" s="311" t="e">
        <f>SUMIFS('Op 2'!Q:Q,'Op 2'!C:C,I22)</f>
        <v>#REF!</v>
      </c>
      <c r="T22" s="311">
        <f>IF($C$10="On",$K22*$E$10*(1+SUMIFS('Op 2'!$O:$O,'Op 2'!$C:$C,$I22)),0)</f>
        <v>0</v>
      </c>
      <c r="U22" s="311" t="e">
        <f>IF($C$11="On",$K22*$E$11*(1+SUMIFS('Op 2'!$O:$O,'Op 2'!$C:$C,$I22)),0)</f>
        <v>#REF!</v>
      </c>
      <c r="V22" s="311" t="e">
        <f>IF($C$14="On",$K22*$E$14*(1+SUMIFS('Op 2'!$O:$O,'Op 2'!$C:$C,$I22)),0)</f>
        <v>#REF!</v>
      </c>
      <c r="W22" s="311">
        <f>SUMIFS('SC - Op 1'!AK:AK,'SC - Op 1'!$D:$D,$I22)</f>
        <v>383.75284745721081</v>
      </c>
      <c r="X22" s="311">
        <f>SUMIFS('SC - Op 2'!AD:AD,'SC - Op 2'!$D:$D,$I22)</f>
        <v>-1089.8892748260405</v>
      </c>
      <c r="Y22" s="311">
        <f t="shared" si="0"/>
        <v>-706.13642736882969</v>
      </c>
      <c r="Z22" s="311">
        <f>SUMIFS('SC - Op 2'!AJ:AJ,'SC - Op 2'!$D:$D,$I22)</f>
        <v>0</v>
      </c>
      <c r="AA22" s="311" t="e">
        <f t="shared" si="1"/>
        <v>#REF!</v>
      </c>
      <c r="AB22" s="286"/>
      <c r="AC22" s="311" t="e">
        <f t="shared" si="2"/>
        <v>#REF!</v>
      </c>
      <c r="AD22" s="311">
        <f t="shared" si="3"/>
        <v>15104.614205741054</v>
      </c>
      <c r="AE22" s="311" t="e">
        <f t="shared" si="12"/>
        <v>#REF!</v>
      </c>
      <c r="AF22" s="305" t="e">
        <f t="shared" si="13"/>
        <v>#REF!</v>
      </c>
      <c r="AG22" s="286"/>
      <c r="AH22" s="311">
        <f>SUMIFS('Op 2'!BG:BG,'Op 2'!C:C,I22)</f>
        <v>-85000</v>
      </c>
      <c r="AI22" s="311" t="e">
        <f t="shared" si="4"/>
        <v>#REF!</v>
      </c>
      <c r="AJ22" s="311" t="e" cm="1">
        <f t="array" ref="AJ22">-SUMPRODUCT(S22:Z22,1-$S$1:$Z$1)</f>
        <v>#REF!</v>
      </c>
      <c r="AK22" s="311">
        <f t="shared" si="5"/>
        <v>-10128.892428812709</v>
      </c>
      <c r="AL22" s="311" t="e">
        <f t="shared" si="6"/>
        <v>#REF!</v>
      </c>
      <c r="AM22" s="311" t="e">
        <f t="shared" si="7"/>
        <v>#REF!</v>
      </c>
      <c r="AN22" s="286"/>
      <c r="AO22" s="303" t="e">
        <f t="shared" si="14"/>
        <v>#REF!</v>
      </c>
      <c r="AP22" s="305">
        <f t="shared" si="14"/>
        <v>3.8973309459973196E-2</v>
      </c>
      <c r="AQ22" s="305" t="e">
        <f t="shared" si="14"/>
        <v>#REF!</v>
      </c>
      <c r="AR22" s="286"/>
      <c r="AS22" s="305" t="e">
        <f t="shared" si="15"/>
        <v>#REF!</v>
      </c>
      <c r="AT22" s="305">
        <f t="shared" si="8"/>
        <v>-1.7406177697328121E-3</v>
      </c>
      <c r="AU22" s="305" t="e">
        <f t="shared" si="8"/>
        <v>#REF!</v>
      </c>
      <c r="AV22" s="286"/>
      <c r="AW22" s="305" t="e">
        <f t="shared" si="16"/>
        <v>#REF!</v>
      </c>
      <c r="AX22" s="305">
        <f t="shared" si="16"/>
        <v>3.7232691690240384E-2</v>
      </c>
      <c r="AY22" s="305" t="e">
        <f t="shared" si="16"/>
        <v>#REF!</v>
      </c>
    </row>
    <row r="23" spans="7:51" x14ac:dyDescent="0.2">
      <c r="G23" s="267" t="s">
        <v>34</v>
      </c>
      <c r="H23" s="268" t="s">
        <v>35</v>
      </c>
      <c r="I23" s="61" t="s">
        <v>54</v>
      </c>
      <c r="J23" s="61" t="s">
        <v>55</v>
      </c>
      <c r="K23" s="71">
        <f>SUMIFS('Op 2'!E:E,'Op 2'!C:C,I23)</f>
        <v>916651.06573692488</v>
      </c>
      <c r="L23" s="71">
        <f>SUMIFS('SC - Op 1'!H:H,'SC - Op 1'!D:D,I23)</f>
        <v>154471.73507291987</v>
      </c>
      <c r="M23" s="71">
        <f t="shared" si="9"/>
        <v>1071122.8008098449</v>
      </c>
      <c r="N23" s="311" t="e">
        <f>SUMIFS('Op 2'!S:S,'Op 2'!C:C,I23)-K23</f>
        <v>#REF!</v>
      </c>
      <c r="O23" s="311">
        <f>SUMIFS('SC - Op 1'!X:X,'SC - Op 1'!D:D,I23)-L23</f>
        <v>6910.136816762737</v>
      </c>
      <c r="P23" s="309" t="e">
        <f t="shared" si="10"/>
        <v>#REF!</v>
      </c>
      <c r="Q23" s="305" t="e">
        <f t="shared" si="11"/>
        <v>#REF!</v>
      </c>
      <c r="S23" s="311" t="e">
        <f>SUMIFS('Op 2'!Q:Q,'Op 2'!C:C,I23)</f>
        <v>#REF!</v>
      </c>
      <c r="T23" s="311">
        <f>IF($C$10="On",$K23*$E$10*(1+SUMIFS('Op 2'!$O:$O,'Op 2'!$C:$C,$I23)),0)</f>
        <v>0</v>
      </c>
      <c r="U23" s="311" t="e">
        <f>IF($C$11="On",$K23*$E$11*(1+SUMIFS('Op 2'!$O:$O,'Op 2'!$C:$C,$I23)),0)</f>
        <v>#REF!</v>
      </c>
      <c r="V23" s="311" t="e">
        <f>IF($C$14="On",$K23*$E$14*(1+SUMIFS('Op 2'!$O:$O,'Op 2'!$C:$C,$I23)),0)</f>
        <v>#REF!</v>
      </c>
      <c r="W23" s="311">
        <f>SUMIFS('SC - Op 1'!AK:AK,'SC - Op 1'!$D:$D,$I23)</f>
        <v>1419.8889269597571</v>
      </c>
      <c r="X23" s="311">
        <f>SUMIFS('SC - Op 2'!AD:AD,'SC - Op 2'!$D:$D,$I23)</f>
        <v>0.21972987789195031</v>
      </c>
      <c r="Y23" s="311">
        <f t="shared" si="0"/>
        <v>1420.1086568376491</v>
      </c>
      <c r="Z23" s="311">
        <f>SUMIFS('SC - Op 2'!AJ:AJ,'SC - Op 2'!$D:$D,$I23)</f>
        <v>800.92911147369068</v>
      </c>
      <c r="AA23" s="311" t="e">
        <f t="shared" si="1"/>
        <v>#REF!</v>
      </c>
      <c r="AB23" s="286"/>
      <c r="AC23" s="311" t="e">
        <f t="shared" si="2"/>
        <v>#REF!</v>
      </c>
      <c r="AD23" s="311">
        <f t="shared" si="3"/>
        <v>9131.1745850740772</v>
      </c>
      <c r="AE23" s="311" t="e">
        <f t="shared" si="12"/>
        <v>#REF!</v>
      </c>
      <c r="AF23" s="305" t="e">
        <f t="shared" si="13"/>
        <v>#REF!</v>
      </c>
      <c r="AG23" s="286"/>
      <c r="AH23" s="311">
        <f>SUMIFS('Op 2'!BG:BG,'Op 2'!C:C,I23)</f>
        <v>-120000</v>
      </c>
      <c r="AI23" s="311" t="e">
        <f t="shared" si="4"/>
        <v>#REF!</v>
      </c>
      <c r="AJ23" s="311" t="e" cm="1">
        <f t="array" ref="AJ23">-SUMPRODUCT(S23:Z23,1-$S$1:$Z$1)</f>
        <v>#REF!</v>
      </c>
      <c r="AK23" s="311">
        <f t="shared" si="5"/>
        <v>-4320.4179354177068</v>
      </c>
      <c r="AL23" s="311" t="e">
        <f t="shared" si="6"/>
        <v>#REF!</v>
      </c>
      <c r="AM23" s="311" t="e">
        <f t="shared" si="7"/>
        <v>#REF!</v>
      </c>
      <c r="AN23" s="286"/>
      <c r="AO23" s="303" t="e">
        <f t="shared" si="14"/>
        <v>#REF!</v>
      </c>
      <c r="AP23" s="305">
        <f t="shared" si="14"/>
        <v>4.4733988476925828E-2</v>
      </c>
      <c r="AQ23" s="305" t="e">
        <f t="shared" si="14"/>
        <v>#REF!</v>
      </c>
      <c r="AR23" s="286"/>
      <c r="AS23" s="305" t="e">
        <f t="shared" si="15"/>
        <v>#REF!</v>
      </c>
      <c r="AT23" s="305">
        <f t="shared" si="15"/>
        <v>1.4378279413142334E-2</v>
      </c>
      <c r="AU23" s="305" t="e">
        <f t="shared" si="15"/>
        <v>#REF!</v>
      </c>
      <c r="AV23" s="286"/>
      <c r="AW23" s="305" t="e">
        <f t="shared" si="16"/>
        <v>#REF!</v>
      </c>
      <c r="AX23" s="305">
        <f t="shared" si="16"/>
        <v>5.9112267890068161E-2</v>
      </c>
      <c r="AY23" s="305" t="e">
        <f t="shared" si="16"/>
        <v>#REF!</v>
      </c>
    </row>
    <row r="24" spans="7:51" x14ac:dyDescent="0.2">
      <c r="G24" s="269" t="s">
        <v>34</v>
      </c>
      <c r="H24" s="270" t="s">
        <v>35</v>
      </c>
      <c r="I24" s="271" t="s">
        <v>56</v>
      </c>
      <c r="J24" s="271" t="s">
        <v>57</v>
      </c>
      <c r="K24" s="71">
        <f>SUMIFS('Op 2'!E:E,'Op 2'!C:C,I24)</f>
        <v>2085926.6315805949</v>
      </c>
      <c r="L24" s="71">
        <f>SUMIFS('SC - Op 1'!H:H,'SC - Op 1'!D:D,I24)</f>
        <v>389957.46990226448</v>
      </c>
      <c r="M24" s="71">
        <f t="shared" si="9"/>
        <v>2475884.1014828593</v>
      </c>
      <c r="N24" s="312" t="e">
        <f>SUMIFS('Op 2'!S:S,'Op 2'!C:C,I24)-K24</f>
        <v>#REF!</v>
      </c>
      <c r="O24" s="312">
        <f>SUMIFS('SC - Op 1'!X:X,'SC - Op 1'!D:D,I24)-L24</f>
        <v>14258.691215889179</v>
      </c>
      <c r="P24" s="310" t="e">
        <f t="shared" si="10"/>
        <v>#REF!</v>
      </c>
      <c r="Q24" s="306" t="e">
        <f t="shared" si="11"/>
        <v>#REF!</v>
      </c>
      <c r="S24" s="312" t="e">
        <f>SUMIFS('Op 2'!Q:Q,'Op 2'!C:C,I24)</f>
        <v>#REF!</v>
      </c>
      <c r="T24" s="312">
        <f>IF($C$10="On",$K24*$E$10*(1+SUMIFS('Op 2'!$O:$O,'Op 2'!$C:$C,$I24)),0)</f>
        <v>0</v>
      </c>
      <c r="U24" s="312" t="e">
        <f>IF($C$11="On",$K24*$E$11*(1+SUMIFS('Op 2'!$O:$O,'Op 2'!$C:$C,$I24)),0)</f>
        <v>#REF!</v>
      </c>
      <c r="V24" s="312" t="e">
        <f>IF($C$14="On",$K24*$E$14*(1+SUMIFS('Op 2'!$O:$O,'Op 2'!$C:$C,$I24)),0)</f>
        <v>#REF!</v>
      </c>
      <c r="W24" s="312">
        <f>SUMIFS('SC - Op 1'!AK:AK,'SC - Op 1'!$D:$D,$I24)</f>
        <v>368.02602559135102</v>
      </c>
      <c r="X24" s="312">
        <f>SUMIFS('SC - Op 2'!AD:AD,'SC - Op 2'!$D:$D,$I24)</f>
        <v>-18.261394496657886</v>
      </c>
      <c r="Y24" s="312">
        <f t="shared" si="0"/>
        <v>349.76463109469313</v>
      </c>
      <c r="Z24" s="312">
        <f>SUMIFS('SC - Op 2'!AJ:AJ,'SC - Op 2'!$D:$D,$I24)</f>
        <v>0</v>
      </c>
      <c r="AA24" s="312" t="e">
        <f t="shared" si="1"/>
        <v>#REF!</v>
      </c>
      <c r="AB24" s="286"/>
      <c r="AC24" s="312" t="e">
        <f t="shared" si="2"/>
        <v>#REF!</v>
      </c>
      <c r="AD24" s="312">
        <f t="shared" si="3"/>
        <v>14608.455846983872</v>
      </c>
      <c r="AE24" s="312" t="e">
        <f t="shared" si="12"/>
        <v>#REF!</v>
      </c>
      <c r="AF24" s="306" t="e">
        <f t="shared" si="13"/>
        <v>#REF!</v>
      </c>
      <c r="AG24" s="286"/>
      <c r="AH24" s="312">
        <f>SUMIFS('Op 2'!BG:BG,'Op 2'!C:C,I24)</f>
        <v>-90000</v>
      </c>
      <c r="AI24" s="312" t="e">
        <f t="shared" si="4"/>
        <v>#REF!</v>
      </c>
      <c r="AJ24" s="312" t="e" cm="1">
        <f t="array" ref="AJ24">-SUMPRODUCT(S24:Z24,1-$S$1:$Z$1)</f>
        <v>#REF!</v>
      </c>
      <c r="AK24" s="312">
        <f t="shared" si="5"/>
        <v>-9986.5805022304812</v>
      </c>
      <c r="AL24" s="312" t="e">
        <f t="shared" si="6"/>
        <v>#REF!</v>
      </c>
      <c r="AM24" s="312" t="e">
        <f t="shared" si="7"/>
        <v>#REF!</v>
      </c>
      <c r="AN24" s="286"/>
      <c r="AO24" s="304" t="e">
        <f t="shared" si="14"/>
        <v>#REF!</v>
      </c>
      <c r="AP24" s="306">
        <f t="shared" si="14"/>
        <v>3.656473414770809E-2</v>
      </c>
      <c r="AQ24" s="306" t="e">
        <f t="shared" si="14"/>
        <v>#REF!</v>
      </c>
      <c r="AR24" s="286"/>
      <c r="AS24" s="306" t="e">
        <f t="shared" si="15"/>
        <v>#REF!</v>
      </c>
      <c r="AT24" s="306">
        <f t="shared" si="15"/>
        <v>8.969301990351744E-4</v>
      </c>
      <c r="AU24" s="306" t="e">
        <f t="shared" si="15"/>
        <v>#REF!</v>
      </c>
      <c r="AV24" s="286"/>
      <c r="AW24" s="306" t="e">
        <f t="shared" si="16"/>
        <v>#REF!</v>
      </c>
      <c r="AX24" s="306">
        <f t="shared" si="16"/>
        <v>3.7461664346743265E-2</v>
      </c>
      <c r="AY24" s="306" t="e">
        <f t="shared" si="16"/>
        <v>#REF!</v>
      </c>
    </row>
    <row r="25" spans="7:51" x14ac:dyDescent="0.2">
      <c r="G25" s="266" t="s">
        <v>58</v>
      </c>
      <c r="H25" s="61" t="s">
        <v>59</v>
      </c>
      <c r="I25" s="61" t="s">
        <v>60</v>
      </c>
      <c r="J25" s="61" t="s">
        <v>61</v>
      </c>
      <c r="K25" s="71">
        <f>SUMIFS('Op 2'!E:E,'Op 2'!C:C,I25)</f>
        <v>1642311.0679959552</v>
      </c>
      <c r="L25" s="71">
        <f>SUMIFS('SC - Op 1'!H:H,'SC - Op 1'!D:D,I25)</f>
        <v>313058.37890935689</v>
      </c>
      <c r="M25" s="71">
        <f t="shared" si="9"/>
        <v>1955369.4469053121</v>
      </c>
      <c r="N25" s="311" t="e">
        <f>SUMIFS('Op 2'!S:S,'Op 2'!C:C,I25)-K25</f>
        <v>#REF!</v>
      </c>
      <c r="O25" s="311">
        <f>SUMIFS('SC - Op 1'!X:X,'SC - Op 1'!D:D,I25)-L25</f>
        <v>12102.648171159148</v>
      </c>
      <c r="P25" s="309" t="e">
        <f t="shared" si="10"/>
        <v>#REF!</v>
      </c>
      <c r="Q25" s="305" t="e">
        <f t="shared" si="11"/>
        <v>#REF!</v>
      </c>
      <c r="S25" s="311" t="e">
        <f>SUMIFS('Op 2'!Q:Q,'Op 2'!C:C,I25)</f>
        <v>#REF!</v>
      </c>
      <c r="T25" s="311">
        <f>IF($C$10="On",$K25*$E$10*(1+SUMIFS('Op 2'!$O:$O,'Op 2'!$C:$C,$I25)),0)</f>
        <v>0</v>
      </c>
      <c r="U25" s="311" t="e">
        <f>IF($C$11="On",$K25*$E$11*(1+SUMIFS('Op 2'!$O:$O,'Op 2'!$C:$C,$I25)),0)</f>
        <v>#REF!</v>
      </c>
      <c r="V25" s="311" t="e">
        <f>IF($C$14="On",$K25*$E$14*(1+SUMIFS('Op 2'!$O:$O,'Op 2'!$C:$C,$I25)),0)</f>
        <v>#REF!</v>
      </c>
      <c r="W25" s="311">
        <f>SUMIFS('SC - Op 1'!AK:AK,'SC - Op 1'!$D:$D,$I25)</f>
        <v>3036.5475409646128</v>
      </c>
      <c r="X25" s="311">
        <f>SUMIFS('SC - Op 2'!AD:AD,'SC - Op 2'!$D:$D,$I25)</f>
        <v>-1.2253957742359489E-2</v>
      </c>
      <c r="Y25" s="311">
        <f t="shared" si="0"/>
        <v>3036.5352870068705</v>
      </c>
      <c r="Z25" s="311">
        <f>SUMIFS('SC - Op 2'!AJ:AJ,'SC - Op 2'!$D:$D,$I25)</f>
        <v>1624.060509922622</v>
      </c>
      <c r="AA25" s="311" t="e">
        <f t="shared" si="1"/>
        <v>#REF!</v>
      </c>
      <c r="AB25" s="286"/>
      <c r="AC25" s="311" t="e">
        <f t="shared" si="2"/>
        <v>#REF!</v>
      </c>
      <c r="AD25" s="311">
        <f t="shared" si="3"/>
        <v>16763.243968088638</v>
      </c>
      <c r="AE25" s="311" t="e">
        <f t="shared" si="12"/>
        <v>#REF!</v>
      </c>
      <c r="AF25" s="305" t="e">
        <f t="shared" si="13"/>
        <v>#REF!</v>
      </c>
      <c r="AG25" s="286"/>
      <c r="AH25" s="311">
        <f>SUMIFS('Op 2'!BG:BG,'Op 2'!C:C,I25)</f>
        <v>0</v>
      </c>
      <c r="AI25" s="311" t="e">
        <f t="shared" si="4"/>
        <v>#REF!</v>
      </c>
      <c r="AJ25" s="311" t="e" cm="1">
        <f t="array" ref="AJ25">-SUMPRODUCT(S25:Z25,1-$S$1:$Z$1)</f>
        <v>#REF!</v>
      </c>
      <c r="AK25" s="311">
        <f t="shared" si="5"/>
        <v>-7887.0632035749913</v>
      </c>
      <c r="AL25" s="311" t="e">
        <f t="shared" si="6"/>
        <v>#REF!</v>
      </c>
      <c r="AM25" s="311" t="e">
        <f t="shared" si="7"/>
        <v>#REF!</v>
      </c>
      <c r="AN25" s="286"/>
      <c r="AO25" s="303" t="e">
        <f t="shared" si="14"/>
        <v>#REF!</v>
      </c>
      <c r="AP25" s="305">
        <f t="shared" si="14"/>
        <v>3.8659397053427393E-2</v>
      </c>
      <c r="AQ25" s="305" t="e">
        <f t="shared" si="14"/>
        <v>#REF!</v>
      </c>
      <c r="AR25" s="286"/>
      <c r="AS25" s="305" t="e">
        <f t="shared" si="15"/>
        <v>#REF!</v>
      </c>
      <c r="AT25" s="305">
        <f t="shared" si="15"/>
        <v>1.4887305726063706E-2</v>
      </c>
      <c r="AU25" s="305" t="e">
        <f t="shared" si="15"/>
        <v>#REF!</v>
      </c>
      <c r="AV25" s="286"/>
      <c r="AW25" s="305" t="e">
        <f t="shared" si="16"/>
        <v>#REF!</v>
      </c>
      <c r="AX25" s="305">
        <f t="shared" si="16"/>
        <v>5.3546702779491098E-2</v>
      </c>
      <c r="AY25" s="305" t="e">
        <f t="shared" si="16"/>
        <v>#REF!</v>
      </c>
    </row>
    <row r="26" spans="7:51" x14ac:dyDescent="0.2">
      <c r="G26" s="267" t="s">
        <v>58</v>
      </c>
      <c r="H26" s="268" t="s">
        <v>59</v>
      </c>
      <c r="I26" s="61" t="s">
        <v>62</v>
      </c>
      <c r="J26" s="61" t="s">
        <v>63</v>
      </c>
      <c r="K26" s="71">
        <f>SUMIFS('Op 2'!E:E,'Op 2'!C:C,I26)</f>
        <v>1520393.7039299591</v>
      </c>
      <c r="L26" s="71">
        <f>SUMIFS('SC - Op 1'!H:H,'SC - Op 1'!D:D,I26)</f>
        <v>321815.61586934631</v>
      </c>
      <c r="M26" s="71">
        <f t="shared" si="9"/>
        <v>1842209.3197993054</v>
      </c>
      <c r="N26" s="311" t="e">
        <f>SUMIFS('Op 2'!S:S,'Op 2'!C:C,I26)-K26</f>
        <v>#REF!</v>
      </c>
      <c r="O26" s="311">
        <f>SUMIFS('SC - Op 1'!X:X,'SC - Op 1'!D:D,I26)-L26</f>
        <v>12456.612111571303</v>
      </c>
      <c r="P26" s="309" t="e">
        <f t="shared" si="10"/>
        <v>#REF!</v>
      </c>
      <c r="Q26" s="305" t="e">
        <f t="shared" si="11"/>
        <v>#REF!</v>
      </c>
      <c r="S26" s="311" t="e">
        <f>SUMIFS('Op 2'!Q:Q,'Op 2'!C:C,I26)</f>
        <v>#REF!</v>
      </c>
      <c r="T26" s="311">
        <f>IF($C$10="On",$K26*$E$10*(1+SUMIFS('Op 2'!$O:$O,'Op 2'!$C:$C,$I26)),0)</f>
        <v>0</v>
      </c>
      <c r="U26" s="311" t="e">
        <f>IF($C$11="On",$K26*$E$11*(1+SUMIFS('Op 2'!$O:$O,'Op 2'!$C:$C,$I26)),0)</f>
        <v>#REF!</v>
      </c>
      <c r="V26" s="311" t="e">
        <f>IF($C$14="On",$K26*$E$14*(1+SUMIFS('Op 2'!$O:$O,'Op 2'!$C:$C,$I26)),0)</f>
        <v>#REF!</v>
      </c>
      <c r="W26" s="311">
        <f>SUMIFS('SC - Op 1'!AK:AK,'SC - Op 1'!$D:$D,$I26)</f>
        <v>303.74427224199371</v>
      </c>
      <c r="X26" s="311">
        <f>SUMIFS('SC - Op 2'!AD:AD,'SC - Op 2'!$D:$D,$I26)</f>
        <v>-783.48706420714734</v>
      </c>
      <c r="Y26" s="311">
        <f t="shared" si="0"/>
        <v>-479.74279196515363</v>
      </c>
      <c r="Z26" s="311">
        <f>SUMIFS('SC - Op 2'!AJ:AJ,'SC - Op 2'!$D:$D,$I26)</f>
        <v>0</v>
      </c>
      <c r="AA26" s="311" t="e">
        <f t="shared" si="1"/>
        <v>#REF!</v>
      </c>
      <c r="AB26" s="286"/>
      <c r="AC26" s="311" t="e">
        <f t="shared" si="2"/>
        <v>#REF!</v>
      </c>
      <c r="AD26" s="311">
        <f t="shared" si="3"/>
        <v>11976.86931960615</v>
      </c>
      <c r="AE26" s="311" t="e">
        <f t="shared" si="12"/>
        <v>#REF!</v>
      </c>
      <c r="AF26" s="305" t="e">
        <f t="shared" si="13"/>
        <v>#REF!</v>
      </c>
      <c r="AG26" s="286"/>
      <c r="AH26" s="311">
        <f>SUMIFS('Op 2'!BG:BG,'Op 2'!C:C,I26)</f>
        <v>0</v>
      </c>
      <c r="AI26" s="311" t="e">
        <f t="shared" si="4"/>
        <v>#REF!</v>
      </c>
      <c r="AJ26" s="311" t="e" cm="1">
        <f t="array" ref="AJ26">-SUMPRODUCT(S26:Z26,1-$S$1:$Z$1)</f>
        <v>#REF!</v>
      </c>
      <c r="AK26" s="311">
        <f t="shared" si="5"/>
        <v>-7430.6271699537328</v>
      </c>
      <c r="AL26" s="311" t="e">
        <f t="shared" si="6"/>
        <v>#REF!</v>
      </c>
      <c r="AM26" s="311" t="e">
        <f t="shared" si="7"/>
        <v>#REF!</v>
      </c>
      <c r="AN26" s="286"/>
      <c r="AO26" s="303" t="e">
        <f t="shared" si="14"/>
        <v>#REF!</v>
      </c>
      <c r="AP26" s="305">
        <f t="shared" si="14"/>
        <v>3.8707295411757006E-2</v>
      </c>
      <c r="AQ26" s="305" t="e">
        <f t="shared" si="14"/>
        <v>#REF!</v>
      </c>
      <c r="AR26" s="286"/>
      <c r="AS26" s="305" t="e">
        <f t="shared" si="15"/>
        <v>#REF!</v>
      </c>
      <c r="AT26" s="305">
        <f t="shared" si="15"/>
        <v>-1.4907380758052563E-3</v>
      </c>
      <c r="AU26" s="305" t="e">
        <f t="shared" si="15"/>
        <v>#REF!</v>
      </c>
      <c r="AV26" s="286"/>
      <c r="AW26" s="305" t="e">
        <f t="shared" si="16"/>
        <v>#REF!</v>
      </c>
      <c r="AX26" s="305">
        <f t="shared" si="16"/>
        <v>3.721655733595175E-2</v>
      </c>
      <c r="AY26" s="305" t="e">
        <f t="shared" si="16"/>
        <v>#REF!</v>
      </c>
    </row>
    <row r="27" spans="7:51" x14ac:dyDescent="0.2">
      <c r="G27" s="267" t="s">
        <v>58</v>
      </c>
      <c r="H27" s="268" t="s">
        <v>59</v>
      </c>
      <c r="I27" s="61" t="s">
        <v>64</v>
      </c>
      <c r="J27" s="61" t="s">
        <v>65</v>
      </c>
      <c r="K27" s="71">
        <f>SUMIFS('Op 2'!E:E,'Op 2'!C:C,I27)</f>
        <v>2595751.7014513845</v>
      </c>
      <c r="L27" s="71">
        <f>SUMIFS('SC - Op 1'!H:H,'SC - Op 1'!D:D,I27)</f>
        <v>509326.00412967935</v>
      </c>
      <c r="M27" s="71">
        <f t="shared" si="9"/>
        <v>3105077.7055810639</v>
      </c>
      <c r="N27" s="311" t="e">
        <f>SUMIFS('Op 2'!S:S,'Op 2'!C:C,I27)-K27</f>
        <v>#REF!</v>
      </c>
      <c r="O27" s="311">
        <f>SUMIFS('SC - Op 1'!X:X,'SC - Op 1'!D:D,I27)-L27</f>
        <v>19412.517808623437</v>
      </c>
      <c r="P27" s="309" t="e">
        <f t="shared" si="10"/>
        <v>#REF!</v>
      </c>
      <c r="Q27" s="305" t="e">
        <f t="shared" si="11"/>
        <v>#REF!</v>
      </c>
      <c r="S27" s="311" t="e">
        <f>SUMIFS('Op 2'!Q:Q,'Op 2'!C:C,I27)</f>
        <v>#REF!</v>
      </c>
      <c r="T27" s="311">
        <f>IF($C$10="On",$K27*$E$10*(1+SUMIFS('Op 2'!$O:$O,'Op 2'!$C:$C,$I27)),0)</f>
        <v>0</v>
      </c>
      <c r="U27" s="311" t="e">
        <f>IF($C$11="On",$K27*$E$11*(1+SUMIFS('Op 2'!$O:$O,'Op 2'!$C:$C,$I27)),0)</f>
        <v>#REF!</v>
      </c>
      <c r="V27" s="311" t="e">
        <f>IF($C$14="On",$K27*$E$14*(1+SUMIFS('Op 2'!$O:$O,'Op 2'!$C:$C,$I27)),0)</f>
        <v>#REF!</v>
      </c>
      <c r="W27" s="311">
        <f>SUMIFS('SC - Op 1'!AK:AK,'SC - Op 1'!$D:$D,$I27)</f>
        <v>4178.7708529844131</v>
      </c>
      <c r="X27" s="311">
        <f>SUMIFS('SC - Op 2'!AD:AD,'SC - Op 2'!$D:$D,$I27)</f>
        <v>0.49655558366794139</v>
      </c>
      <c r="Y27" s="311">
        <f t="shared" si="0"/>
        <v>4179.267408568081</v>
      </c>
      <c r="Z27" s="311">
        <f>SUMIFS('SC - Op 2'!AJ:AJ,'SC - Op 2'!$D:$D,$I27)</f>
        <v>2638.4959197784392</v>
      </c>
      <c r="AA27" s="311" t="e">
        <f t="shared" si="1"/>
        <v>#REF!</v>
      </c>
      <c r="AB27" s="286"/>
      <c r="AC27" s="311" t="e">
        <f t="shared" si="2"/>
        <v>#REF!</v>
      </c>
      <c r="AD27" s="311">
        <f t="shared" si="3"/>
        <v>26230.281136969956</v>
      </c>
      <c r="AE27" s="311" t="e">
        <f t="shared" si="12"/>
        <v>#REF!</v>
      </c>
      <c r="AF27" s="305" t="e">
        <f t="shared" si="13"/>
        <v>#REF!</v>
      </c>
      <c r="AG27" s="286"/>
      <c r="AH27" s="311">
        <f>SUMIFS('Op 2'!BG:BG,'Op 2'!C:C,I27)</f>
        <v>0</v>
      </c>
      <c r="AI27" s="311" t="e">
        <f t="shared" si="4"/>
        <v>#REF!</v>
      </c>
      <c r="AJ27" s="311" t="e" cm="1">
        <f t="array" ref="AJ27">-SUMPRODUCT(S27:Z27,1-$S$1:$Z$1)</f>
        <v>#REF!</v>
      </c>
      <c r="AK27" s="311">
        <f t="shared" si="5"/>
        <v>-12524.458820142025</v>
      </c>
      <c r="AL27" s="311" t="e">
        <f t="shared" si="6"/>
        <v>#REF!</v>
      </c>
      <c r="AM27" s="311" t="e">
        <f t="shared" si="7"/>
        <v>#REF!</v>
      </c>
      <c r="AN27" s="286"/>
      <c r="AO27" s="303" t="e">
        <f t="shared" si="14"/>
        <v>#REF!</v>
      </c>
      <c r="AP27" s="305">
        <f t="shared" si="14"/>
        <v>3.8114130539623543E-2</v>
      </c>
      <c r="AQ27" s="305" t="e">
        <f t="shared" si="14"/>
        <v>#REF!</v>
      </c>
      <c r="AR27" s="286"/>
      <c r="AS27" s="305" t="e">
        <f t="shared" si="15"/>
        <v>#REF!</v>
      </c>
      <c r="AT27" s="305">
        <f t="shared" si="15"/>
        <v>1.3385853604699613E-2</v>
      </c>
      <c r="AU27" s="305" t="e">
        <f t="shared" si="15"/>
        <v>#REF!</v>
      </c>
      <c r="AV27" s="286"/>
      <c r="AW27" s="305" t="e">
        <f t="shared" si="16"/>
        <v>#REF!</v>
      </c>
      <c r="AX27" s="305">
        <f t="shared" si="16"/>
        <v>5.1499984144323156E-2</v>
      </c>
      <c r="AY27" s="305" t="e">
        <f t="shared" si="16"/>
        <v>#REF!</v>
      </c>
    </row>
    <row r="28" spans="7:51" x14ac:dyDescent="0.2">
      <c r="G28" s="267" t="s">
        <v>58</v>
      </c>
      <c r="H28" s="268" t="s">
        <v>59</v>
      </c>
      <c r="I28" s="61" t="s">
        <v>66</v>
      </c>
      <c r="J28" s="61" t="s">
        <v>67</v>
      </c>
      <c r="K28" s="71">
        <f>SUMIFS('Op 2'!E:E,'Op 2'!C:C,I28)</f>
        <v>2107372.3351789187</v>
      </c>
      <c r="L28" s="71">
        <f>SUMIFS('SC - Op 1'!H:H,'SC - Op 1'!D:D,I28)</f>
        <v>391887.59398342425</v>
      </c>
      <c r="M28" s="71">
        <f t="shared" si="9"/>
        <v>2499259.929162343</v>
      </c>
      <c r="N28" s="311" t="e">
        <f>SUMIFS('Op 2'!S:S,'Op 2'!C:C,I28)-K28</f>
        <v>#REF!</v>
      </c>
      <c r="O28" s="311">
        <f>SUMIFS('SC - Op 1'!X:X,'SC - Op 1'!D:D,I28)-L28</f>
        <v>15327.380871210364</v>
      </c>
      <c r="P28" s="309" t="e">
        <f t="shared" si="10"/>
        <v>#REF!</v>
      </c>
      <c r="Q28" s="305" t="e">
        <f t="shared" si="11"/>
        <v>#REF!</v>
      </c>
      <c r="S28" s="311" t="e">
        <f>SUMIFS('Op 2'!Q:Q,'Op 2'!C:C,I28)</f>
        <v>#REF!</v>
      </c>
      <c r="T28" s="311">
        <f>IF($C$10="On",$K28*$E$10*(1+SUMIFS('Op 2'!$O:$O,'Op 2'!$C:$C,$I28)),0)</f>
        <v>0</v>
      </c>
      <c r="U28" s="311" t="e">
        <f>IF($C$11="On",$K28*$E$11*(1+SUMIFS('Op 2'!$O:$O,'Op 2'!$C:$C,$I28)),0)</f>
        <v>#REF!</v>
      </c>
      <c r="V28" s="311" t="e">
        <f>IF($C$14="On",$K28*$E$14*(1+SUMIFS('Op 2'!$O:$O,'Op 2'!$C:$C,$I28)),0)</f>
        <v>#REF!</v>
      </c>
      <c r="W28" s="311">
        <f>SUMIFS('SC - Op 1'!AK:AK,'SC - Op 1'!$D:$D,$I28)</f>
        <v>3380.3971475646495</v>
      </c>
      <c r="X28" s="311">
        <f>SUMIFS('SC - Op 2'!AD:AD,'SC - Op 2'!$D:$D,$I28)</f>
        <v>0.15580519702052698</v>
      </c>
      <c r="Y28" s="311">
        <f t="shared" si="0"/>
        <v>3380.55295276167</v>
      </c>
      <c r="Z28" s="311">
        <f>SUMIFS('SC - Op 2'!AJ:AJ,'SC - Op 2'!$D:$D,$I28)</f>
        <v>2030.9211911556415</v>
      </c>
      <c r="AA28" s="311" t="e">
        <f t="shared" si="1"/>
        <v>#REF!</v>
      </c>
      <c r="AB28" s="286"/>
      <c r="AC28" s="311" t="e">
        <f t="shared" si="2"/>
        <v>#REF!</v>
      </c>
      <c r="AD28" s="311">
        <f t="shared" si="3"/>
        <v>20738.855015127676</v>
      </c>
      <c r="AE28" s="311" t="e">
        <f t="shared" si="12"/>
        <v>#REF!</v>
      </c>
      <c r="AF28" s="305" t="e">
        <f t="shared" si="13"/>
        <v>#REF!</v>
      </c>
      <c r="AG28" s="286"/>
      <c r="AH28" s="311">
        <f>SUMIFS('Op 2'!BG:BG,'Op 2'!C:C,I28)</f>
        <v>-40310.300445076602</v>
      </c>
      <c r="AI28" s="311" t="e">
        <f t="shared" si="4"/>
        <v>#REF!</v>
      </c>
      <c r="AJ28" s="311" t="e" cm="1">
        <f t="array" ref="AJ28">-SUMPRODUCT(S28:Z28,1-$S$1:$Z$1)</f>
        <v>#REF!</v>
      </c>
      <c r="AK28" s="311">
        <f t="shared" si="5"/>
        <v>-10080.867865999899</v>
      </c>
      <c r="AL28" s="311" t="e">
        <f t="shared" si="6"/>
        <v>#REF!</v>
      </c>
      <c r="AM28" s="311" t="e">
        <f t="shared" si="7"/>
        <v>#REF!</v>
      </c>
      <c r="AN28" s="286"/>
      <c r="AO28" s="303" t="e">
        <f t="shared" si="14"/>
        <v>#REF!</v>
      </c>
      <c r="AP28" s="305">
        <f t="shared" si="14"/>
        <v>3.9111676681091029E-2</v>
      </c>
      <c r="AQ28" s="305" t="e">
        <f t="shared" si="14"/>
        <v>#REF!</v>
      </c>
      <c r="AR28" s="286"/>
      <c r="AS28" s="305" t="e">
        <f t="shared" si="15"/>
        <v>#REF!</v>
      </c>
      <c r="AT28" s="305">
        <f t="shared" si="15"/>
        <v>1.3808740636342277E-2</v>
      </c>
      <c r="AU28" s="305" t="e">
        <f t="shared" si="15"/>
        <v>#REF!</v>
      </c>
      <c r="AV28" s="286"/>
      <c r="AW28" s="305" t="e">
        <f t="shared" si="16"/>
        <v>#REF!</v>
      </c>
      <c r="AX28" s="305">
        <f t="shared" si="16"/>
        <v>5.2920417317433306E-2</v>
      </c>
      <c r="AY28" s="305" t="e">
        <f t="shared" si="16"/>
        <v>#REF!</v>
      </c>
    </row>
    <row r="29" spans="7:51" x14ac:dyDescent="0.2">
      <c r="G29" s="267" t="s">
        <v>58</v>
      </c>
      <c r="H29" s="268" t="s">
        <v>59</v>
      </c>
      <c r="I29" s="61" t="s">
        <v>68</v>
      </c>
      <c r="J29" s="61" t="s">
        <v>69</v>
      </c>
      <c r="K29" s="71">
        <f>SUMIFS('Op 2'!E:E,'Op 2'!C:C,I29)</f>
        <v>1928859.6706777667</v>
      </c>
      <c r="L29" s="71">
        <f>SUMIFS('SC - Op 1'!H:H,'SC - Op 1'!D:D,I29)</f>
        <v>329792.60057968274</v>
      </c>
      <c r="M29" s="71">
        <f t="shared" si="9"/>
        <v>2258652.2712574494</v>
      </c>
      <c r="N29" s="311" t="e">
        <f>SUMIFS('Op 2'!S:S,'Op 2'!C:C,I29)-K29</f>
        <v>#REF!</v>
      </c>
      <c r="O29" s="311">
        <f>SUMIFS('SC - Op 1'!X:X,'SC - Op 1'!D:D,I29)-L29</f>
        <v>13465.195171045954</v>
      </c>
      <c r="P29" s="309" t="e">
        <f t="shared" si="10"/>
        <v>#REF!</v>
      </c>
      <c r="Q29" s="305" t="e">
        <f t="shared" si="11"/>
        <v>#REF!</v>
      </c>
      <c r="S29" s="311" t="e">
        <f>SUMIFS('Op 2'!Q:Q,'Op 2'!C:C,I29)</f>
        <v>#REF!</v>
      </c>
      <c r="T29" s="311">
        <f>IF($C$10="On",$K29*$E$10*(1+SUMIFS('Op 2'!$O:$O,'Op 2'!$C:$C,$I29)),0)</f>
        <v>0</v>
      </c>
      <c r="U29" s="311" t="e">
        <f>IF($C$11="On",$K29*$E$11*(1+SUMIFS('Op 2'!$O:$O,'Op 2'!$C:$C,$I29)),0)</f>
        <v>#REF!</v>
      </c>
      <c r="V29" s="311" t="e">
        <f>IF($C$14="On",$K29*$E$14*(1+SUMIFS('Op 2'!$O:$O,'Op 2'!$C:$C,$I29)),0)</f>
        <v>#REF!</v>
      </c>
      <c r="W29" s="311">
        <f>SUMIFS('SC - Op 1'!AK:AK,'SC - Op 1'!$D:$D,$I29)</f>
        <v>3100.1277016816193</v>
      </c>
      <c r="X29" s="311">
        <f>SUMIFS('SC - Op 2'!AD:AD,'SC - Op 2'!$D:$D,$I29)</f>
        <v>-0.19997642718954012</v>
      </c>
      <c r="Y29" s="311">
        <f t="shared" si="0"/>
        <v>3099.9277252544298</v>
      </c>
      <c r="Z29" s="311">
        <f>SUMIFS('SC - Op 2'!AJ:AJ,'SC - Op 2'!$D:$D,$I29)</f>
        <v>1710.354013129195</v>
      </c>
      <c r="AA29" s="311" t="e">
        <f t="shared" si="1"/>
        <v>#REF!</v>
      </c>
      <c r="AB29" s="286"/>
      <c r="AC29" s="311" t="e">
        <f t="shared" si="2"/>
        <v>#REF!</v>
      </c>
      <c r="AD29" s="311">
        <f t="shared" si="3"/>
        <v>18275.476909429577</v>
      </c>
      <c r="AE29" s="311" t="e">
        <f t="shared" si="12"/>
        <v>#REF!</v>
      </c>
      <c r="AF29" s="305" t="e">
        <f t="shared" si="13"/>
        <v>#REF!</v>
      </c>
      <c r="AG29" s="286"/>
      <c r="AH29" s="311">
        <f>SUMIFS('Op 2'!BG:BG,'Op 2'!C:C,I29)</f>
        <v>-10000</v>
      </c>
      <c r="AI29" s="311" t="e">
        <f t="shared" si="4"/>
        <v>#REF!</v>
      </c>
      <c r="AJ29" s="311" t="e" cm="1">
        <f t="array" ref="AJ29">-SUMPRODUCT(S29:Z29,1-$S$1:$Z$1)</f>
        <v>#REF!</v>
      </c>
      <c r="AK29" s="311">
        <f t="shared" si="5"/>
        <v>-9110.3669674799567</v>
      </c>
      <c r="AL29" s="311" t="e">
        <f t="shared" si="6"/>
        <v>#REF!</v>
      </c>
      <c r="AM29" s="311" t="e">
        <f t="shared" si="7"/>
        <v>#REF!</v>
      </c>
      <c r="AN29" s="286"/>
      <c r="AO29" s="303" t="e">
        <f t="shared" si="14"/>
        <v>#REF!</v>
      </c>
      <c r="AP29" s="305">
        <f t="shared" si="14"/>
        <v>4.082928224398584E-2</v>
      </c>
      <c r="AQ29" s="305" t="e">
        <f t="shared" si="14"/>
        <v>#REF!</v>
      </c>
      <c r="AR29" s="286"/>
      <c r="AS29" s="305" t="e">
        <f t="shared" si="15"/>
        <v>#REF!</v>
      </c>
      <c r="AT29" s="305">
        <f t="shared" si="15"/>
        <v>1.4585778243442996E-2</v>
      </c>
      <c r="AU29" s="305" t="e">
        <f t="shared" si="15"/>
        <v>#REF!</v>
      </c>
      <c r="AV29" s="286"/>
      <c r="AW29" s="305" t="e">
        <f t="shared" si="16"/>
        <v>#REF!</v>
      </c>
      <c r="AX29" s="305">
        <f t="shared" si="16"/>
        <v>5.5415060487428836E-2</v>
      </c>
      <c r="AY29" s="305" t="e">
        <f t="shared" si="16"/>
        <v>#REF!</v>
      </c>
    </row>
    <row r="30" spans="7:51" x14ac:dyDescent="0.2">
      <c r="G30" s="269" t="s">
        <v>58</v>
      </c>
      <c r="H30" s="270" t="s">
        <v>59</v>
      </c>
      <c r="I30" s="271" t="s">
        <v>70</v>
      </c>
      <c r="J30" s="271" t="s">
        <v>71</v>
      </c>
      <c r="K30" s="71">
        <f>SUMIFS('Op 2'!E:E,'Op 2'!C:C,I30)</f>
        <v>1765011.2948444334</v>
      </c>
      <c r="L30" s="71">
        <f>SUMIFS('SC - Op 1'!H:H,'SC - Op 1'!D:D,I30)</f>
        <v>325895.05257190391</v>
      </c>
      <c r="M30" s="71">
        <f t="shared" si="9"/>
        <v>2090906.3474163373</v>
      </c>
      <c r="N30" s="312" t="e">
        <f>SUMIFS('Op 2'!S:S,'Op 2'!C:C,I30)-K30</f>
        <v>#REF!</v>
      </c>
      <c r="O30" s="312">
        <f>SUMIFS('SC - Op 1'!X:X,'SC - Op 1'!D:D,I30)-L30</f>
        <v>12946.461696348793</v>
      </c>
      <c r="P30" s="310" t="e">
        <f t="shared" si="10"/>
        <v>#REF!</v>
      </c>
      <c r="Q30" s="306" t="e">
        <f t="shared" si="11"/>
        <v>#REF!</v>
      </c>
      <c r="S30" s="312" t="e">
        <f>SUMIFS('Op 2'!Q:Q,'Op 2'!C:C,I30)</f>
        <v>#REF!</v>
      </c>
      <c r="T30" s="312">
        <f>IF($C$10="On",$K30*$E$10*(1+SUMIFS('Op 2'!$O:$O,'Op 2'!$C:$C,$I30)),0)</f>
        <v>0</v>
      </c>
      <c r="U30" s="312" t="e">
        <f>IF($C$11="On",$K30*$E$11*(1+SUMIFS('Op 2'!$O:$O,'Op 2'!$C:$C,$I30)),0)</f>
        <v>#REF!</v>
      </c>
      <c r="V30" s="312" t="e">
        <f>IF($C$14="On",$K30*$E$14*(1+SUMIFS('Op 2'!$O:$O,'Op 2'!$C:$C,$I30)),0)</f>
        <v>#REF!</v>
      </c>
      <c r="W30" s="312">
        <f>SUMIFS('SC - Op 1'!AK:AK,'SC - Op 1'!$D:$D,$I30)</f>
        <v>2906.5510804758783</v>
      </c>
      <c r="X30" s="312">
        <f>SUMIFS('SC - Op 2'!AD:AD,'SC - Op 2'!$D:$D,$I30)</f>
        <v>0.12207569752354175</v>
      </c>
      <c r="Y30" s="312">
        <f t="shared" si="0"/>
        <v>2906.6731561734018</v>
      </c>
      <c r="Z30" s="312">
        <f>SUMIFS('SC - Op 2'!AJ:AJ,'SC - Op 2'!$D:$D,$I30)</f>
        <v>1689.3830702158705</v>
      </c>
      <c r="AA30" s="312" t="e">
        <f t="shared" si="1"/>
        <v>#REF!</v>
      </c>
      <c r="AB30" s="286"/>
      <c r="AC30" s="312" t="e">
        <f t="shared" si="2"/>
        <v>#REF!</v>
      </c>
      <c r="AD30" s="312">
        <f t="shared" si="3"/>
        <v>17542.517922738065</v>
      </c>
      <c r="AE30" s="312" t="e">
        <f t="shared" si="12"/>
        <v>#REF!</v>
      </c>
      <c r="AF30" s="306" t="e">
        <f t="shared" si="13"/>
        <v>#REF!</v>
      </c>
      <c r="AG30" s="286"/>
      <c r="AH30" s="312">
        <f>SUMIFS('Op 2'!BG:BG,'Op 2'!C:C,I30)</f>
        <v>0</v>
      </c>
      <c r="AI30" s="312" t="e">
        <f t="shared" si="4"/>
        <v>#REF!</v>
      </c>
      <c r="AJ30" s="312" t="e" cm="1">
        <f t="array" ref="AJ30">-SUMPRODUCT(S30:Z30,1-$S$1:$Z$1)</f>
        <v>#REF!</v>
      </c>
      <c r="AK30" s="312">
        <f t="shared" si="5"/>
        <v>-8433.7568743996835</v>
      </c>
      <c r="AL30" s="312" t="e">
        <f t="shared" si="6"/>
        <v>#REF!</v>
      </c>
      <c r="AM30" s="312" t="e">
        <f t="shared" si="7"/>
        <v>#REF!</v>
      </c>
      <c r="AN30" s="286"/>
      <c r="AO30" s="304" t="e">
        <f t="shared" si="14"/>
        <v>#REF!</v>
      </c>
      <c r="AP30" s="306">
        <f t="shared" si="14"/>
        <v>3.97258614212695E-2</v>
      </c>
      <c r="AQ30" s="306" t="e">
        <f t="shared" si="14"/>
        <v>#REF!</v>
      </c>
      <c r="AR30" s="286"/>
      <c r="AS30" s="306" t="e">
        <f t="shared" si="15"/>
        <v>#REF!</v>
      </c>
      <c r="AT30" s="306">
        <f t="shared" si="15"/>
        <v>1.4102872044598529E-2</v>
      </c>
      <c r="AU30" s="306" t="e">
        <f t="shared" si="15"/>
        <v>#REF!</v>
      </c>
      <c r="AV30" s="286"/>
      <c r="AW30" s="306" t="e">
        <f t="shared" si="16"/>
        <v>#REF!</v>
      </c>
      <c r="AX30" s="306">
        <f t="shared" si="16"/>
        <v>5.3828733465868028E-2</v>
      </c>
      <c r="AY30" s="306" t="e">
        <f t="shared" si="16"/>
        <v>#REF!</v>
      </c>
    </row>
    <row r="31" spans="7:51" x14ac:dyDescent="0.2">
      <c r="G31" s="266" t="s">
        <v>72</v>
      </c>
      <c r="H31" s="61" t="s">
        <v>73</v>
      </c>
      <c r="I31" s="61" t="s">
        <v>74</v>
      </c>
      <c r="J31" s="61" t="s">
        <v>75</v>
      </c>
      <c r="K31" s="71">
        <f>SUMIFS('Op 2'!E:E,'Op 2'!C:C,I31)</f>
        <v>2837571.0307440353</v>
      </c>
      <c r="L31" s="71">
        <f>SUMIFS('SC - Op 1'!H:H,'SC - Op 1'!D:D,I31)</f>
        <v>694548.92659571301</v>
      </c>
      <c r="M31" s="71">
        <f t="shared" si="9"/>
        <v>3532119.9573397483</v>
      </c>
      <c r="N31" s="311" t="e">
        <f>SUMIFS('Op 2'!S:S,'Op 2'!C:C,I31)-K31</f>
        <v>#REF!</v>
      </c>
      <c r="O31" s="311">
        <f>SUMIFS('SC - Op 1'!X:X,'SC - Op 1'!D:D,I31)-L31</f>
        <v>26029.231633609394</v>
      </c>
      <c r="P31" s="309" t="e">
        <f t="shared" si="10"/>
        <v>#REF!</v>
      </c>
      <c r="Q31" s="305" t="e">
        <f t="shared" si="11"/>
        <v>#REF!</v>
      </c>
      <c r="S31" s="311" t="e">
        <f>SUMIFS('Op 2'!Q:Q,'Op 2'!C:C,I31)</f>
        <v>#REF!</v>
      </c>
      <c r="T31" s="311">
        <f>IF($C$10="On",$K31*$E$10*(1+SUMIFS('Op 2'!$O:$O,'Op 2'!$C:$C,$I31)),0)</f>
        <v>0</v>
      </c>
      <c r="U31" s="311" t="e">
        <f>IF($C$11="On",$K31*$E$11*(1+SUMIFS('Op 2'!$O:$O,'Op 2'!$C:$C,$I31)),0)</f>
        <v>#REF!</v>
      </c>
      <c r="V31" s="311" t="e">
        <f>IF($C$14="On",$K31*$E$14*(1+SUMIFS('Op 2'!$O:$O,'Op 2'!$C:$C,$I31)),0)</f>
        <v>#REF!</v>
      </c>
      <c r="W31" s="311">
        <f>SUMIFS('SC - Op 1'!AK:AK,'SC - Op 1'!$D:$D,$I31)</f>
        <v>-661.3003484754654</v>
      </c>
      <c r="X31" s="311">
        <f>SUMIFS('SC - Op 2'!AD:AD,'SC - Op 2'!$D:$D,$I31)</f>
        <v>-2200.7486078883521</v>
      </c>
      <c r="Y31" s="311">
        <f t="shared" si="0"/>
        <v>-2862.0489563638175</v>
      </c>
      <c r="Z31" s="311">
        <f>SUMIFS('SC - Op 2'!AJ:AJ,'SC - Op 2'!$D:$D,$I31)</f>
        <v>0</v>
      </c>
      <c r="AA31" s="311" t="e">
        <f t="shared" si="1"/>
        <v>#REF!</v>
      </c>
      <c r="AB31" s="286"/>
      <c r="AC31" s="311" t="e">
        <f t="shared" si="2"/>
        <v>#REF!</v>
      </c>
      <c r="AD31" s="311">
        <f t="shared" si="3"/>
        <v>23167.182677245575</v>
      </c>
      <c r="AE31" s="311" t="e">
        <f t="shared" si="12"/>
        <v>#REF!</v>
      </c>
      <c r="AF31" s="305" t="e">
        <f t="shared" si="13"/>
        <v>#REF!</v>
      </c>
      <c r="AG31" s="286"/>
      <c r="AH31" s="311">
        <f>SUMIFS('Op 2'!BG:BG,'Op 2'!C:C,I31)</f>
        <v>0</v>
      </c>
      <c r="AI31" s="311" t="e">
        <f t="shared" si="4"/>
        <v>#REF!</v>
      </c>
      <c r="AJ31" s="311" t="e" cm="1">
        <f t="array" ref="AJ31">-SUMPRODUCT(S31:Z31,1-$S$1:$Z$1)</f>
        <v>#REF!</v>
      </c>
      <c r="AK31" s="311">
        <f t="shared" si="5"/>
        <v>-14246.951332003813</v>
      </c>
      <c r="AL31" s="311" t="e">
        <f t="shared" si="6"/>
        <v>#REF!</v>
      </c>
      <c r="AM31" s="311" t="e">
        <f t="shared" si="7"/>
        <v>#REF!</v>
      </c>
      <c r="AN31" s="286"/>
      <c r="AO31" s="303" t="e">
        <f t="shared" si="14"/>
        <v>#REF!</v>
      </c>
      <c r="AP31" s="305">
        <f t="shared" si="14"/>
        <v>3.747645505866664E-2</v>
      </c>
      <c r="AQ31" s="305" t="e">
        <f t="shared" si="14"/>
        <v>#REF!</v>
      </c>
      <c r="AR31" s="286"/>
      <c r="AS31" s="305" t="e">
        <f t="shared" si="15"/>
        <v>#REF!</v>
      </c>
      <c r="AT31" s="305">
        <f t="shared" si="15"/>
        <v>-4.1207305155476492E-3</v>
      </c>
      <c r="AU31" s="305" t="e">
        <f t="shared" si="15"/>
        <v>#REF!</v>
      </c>
      <c r="AV31" s="286"/>
      <c r="AW31" s="305" t="e">
        <f t="shared" si="16"/>
        <v>#REF!</v>
      </c>
      <c r="AX31" s="305">
        <f t="shared" si="16"/>
        <v>3.3355724543118991E-2</v>
      </c>
      <c r="AY31" s="305" t="e">
        <f t="shared" si="16"/>
        <v>#REF!</v>
      </c>
    </row>
    <row r="32" spans="7:51" x14ac:dyDescent="0.2">
      <c r="G32" s="267" t="s">
        <v>72</v>
      </c>
      <c r="H32" s="268" t="s">
        <v>73</v>
      </c>
      <c r="I32" s="61" t="s">
        <v>76</v>
      </c>
      <c r="J32" s="61" t="s">
        <v>77</v>
      </c>
      <c r="K32" s="71">
        <f>SUMIFS('Op 2'!E:E,'Op 2'!C:C,I32)</f>
        <v>3671431.3138210168</v>
      </c>
      <c r="L32" s="71">
        <f>SUMIFS('SC - Op 1'!H:H,'SC - Op 1'!D:D,I32)</f>
        <v>777476.70508266648</v>
      </c>
      <c r="M32" s="71">
        <f t="shared" si="9"/>
        <v>4448908.0189036829</v>
      </c>
      <c r="N32" s="311" t="e">
        <f>SUMIFS('Op 2'!S:S,'Op 2'!C:C,I32)-K32</f>
        <v>#REF!</v>
      </c>
      <c r="O32" s="311">
        <f>SUMIFS('SC - Op 1'!X:X,'SC - Op 1'!D:D,I32)-L32</f>
        <v>32428.40663595323</v>
      </c>
      <c r="P32" s="309" t="e">
        <f t="shared" si="10"/>
        <v>#REF!</v>
      </c>
      <c r="Q32" s="305" t="e">
        <f t="shared" si="11"/>
        <v>#REF!</v>
      </c>
      <c r="S32" s="311" t="e">
        <f>SUMIFS('Op 2'!Q:Q,'Op 2'!C:C,I32)</f>
        <v>#REF!</v>
      </c>
      <c r="T32" s="311">
        <f>IF($C$10="On",$K32*$E$10*(1+SUMIFS('Op 2'!$O:$O,'Op 2'!$C:$C,$I32)),0)</f>
        <v>0</v>
      </c>
      <c r="U32" s="311" t="e">
        <f>IF($C$11="On",$K32*$E$11*(1+SUMIFS('Op 2'!$O:$O,'Op 2'!$C:$C,$I32)),0)</f>
        <v>#REF!</v>
      </c>
      <c r="V32" s="311" t="e">
        <f>IF($C$14="On",$K32*$E$14*(1+SUMIFS('Op 2'!$O:$O,'Op 2'!$C:$C,$I32)),0)</f>
        <v>#REF!</v>
      </c>
      <c r="W32" s="311">
        <f>SUMIFS('SC - Op 1'!AK:AK,'SC - Op 1'!$D:$D,$I32)</f>
        <v>737.38270038448456</v>
      </c>
      <c r="X32" s="311">
        <f>SUMIFS('SC - Op 2'!AD:AD,'SC - Op 2'!$D:$D,$I32)</f>
        <v>-6378.5063044122653</v>
      </c>
      <c r="Y32" s="311">
        <f t="shared" si="0"/>
        <v>-5641.1236040277809</v>
      </c>
      <c r="Z32" s="311">
        <f>SUMIFS('SC - Op 2'!AJ:AJ,'SC - Op 2'!$D:$D,$I32)</f>
        <v>0</v>
      </c>
      <c r="AA32" s="311" t="e">
        <f t="shared" si="1"/>
        <v>#REF!</v>
      </c>
      <c r="AB32" s="286"/>
      <c r="AC32" s="311" t="e">
        <f t="shared" si="2"/>
        <v>#REF!</v>
      </c>
      <c r="AD32" s="311">
        <f t="shared" si="3"/>
        <v>26787.28303192545</v>
      </c>
      <c r="AE32" s="311" t="e">
        <f t="shared" si="12"/>
        <v>#REF!</v>
      </c>
      <c r="AF32" s="305" t="e">
        <f t="shared" si="13"/>
        <v>#REF!</v>
      </c>
      <c r="AG32" s="286"/>
      <c r="AH32" s="311">
        <f>SUMIFS('Op 2'!BG:BG,'Op 2'!C:C,I32)</f>
        <v>-25000</v>
      </c>
      <c r="AI32" s="311" t="e">
        <f t="shared" si="4"/>
        <v>#REF!</v>
      </c>
      <c r="AJ32" s="311" t="e" cm="1">
        <f t="array" ref="AJ32">-SUMPRODUCT(S32:Z32,1-$S$1:$Z$1)</f>
        <v>#REF!</v>
      </c>
      <c r="AK32" s="311">
        <f t="shared" si="5"/>
        <v>-17944.853739797698</v>
      </c>
      <c r="AL32" s="311" t="e">
        <f t="shared" si="6"/>
        <v>#REF!</v>
      </c>
      <c r="AM32" s="311" t="e">
        <f t="shared" si="7"/>
        <v>#REF!</v>
      </c>
      <c r="AN32" s="286"/>
      <c r="AO32" s="303" t="e">
        <f t="shared" si="14"/>
        <v>#REF!</v>
      </c>
      <c r="AP32" s="305">
        <f t="shared" si="14"/>
        <v>4.1709811270172044E-2</v>
      </c>
      <c r="AQ32" s="305" t="e">
        <f t="shared" si="14"/>
        <v>#REF!</v>
      </c>
      <c r="AR32" s="286"/>
      <c r="AS32" s="305" t="e">
        <f t="shared" si="15"/>
        <v>#REF!</v>
      </c>
      <c r="AT32" s="305">
        <f t="shared" si="15"/>
        <v>-7.2556818322009747E-3</v>
      </c>
      <c r="AU32" s="305" t="e">
        <f t="shared" si="15"/>
        <v>#REF!</v>
      </c>
      <c r="AV32" s="286"/>
      <c r="AW32" s="305" t="e">
        <f t="shared" si="16"/>
        <v>#REF!</v>
      </c>
      <c r="AX32" s="305">
        <f t="shared" si="16"/>
        <v>3.4454129437971069E-2</v>
      </c>
      <c r="AY32" s="305" t="e">
        <f t="shared" si="16"/>
        <v>#REF!</v>
      </c>
    </row>
    <row r="33" spans="7:51" x14ac:dyDescent="0.2">
      <c r="G33" s="267" t="s">
        <v>72</v>
      </c>
      <c r="H33" s="268" t="s">
        <v>73</v>
      </c>
      <c r="I33" s="61" t="s">
        <v>78</v>
      </c>
      <c r="J33" s="61" t="s">
        <v>79</v>
      </c>
      <c r="K33" s="71">
        <f>SUMIFS('Op 2'!E:E,'Op 2'!C:C,I33)</f>
        <v>4091956.0059199715</v>
      </c>
      <c r="L33" s="71">
        <f>SUMIFS('SC - Op 1'!H:H,'SC - Op 1'!D:D,I33)</f>
        <v>841569.45282937237</v>
      </c>
      <c r="M33" s="71">
        <f t="shared" si="9"/>
        <v>4933525.4587493436</v>
      </c>
      <c r="N33" s="311" t="e">
        <f>SUMIFS('Op 2'!S:S,'Op 2'!C:C,I33)-K33</f>
        <v>#REF!</v>
      </c>
      <c r="O33" s="311">
        <f>SUMIFS('SC - Op 1'!X:X,'SC - Op 1'!D:D,I33)-L33</f>
        <v>33276.110062516993</v>
      </c>
      <c r="P33" s="309" t="e">
        <f t="shared" si="10"/>
        <v>#REF!</v>
      </c>
      <c r="Q33" s="305" t="e">
        <f t="shared" si="11"/>
        <v>#REF!</v>
      </c>
      <c r="S33" s="311" t="e">
        <f>SUMIFS('Op 2'!Q:Q,'Op 2'!C:C,I33)</f>
        <v>#REF!</v>
      </c>
      <c r="T33" s="311">
        <f>IF($C$10="On",$K33*$E$10*(1+SUMIFS('Op 2'!$O:$O,'Op 2'!$C:$C,$I33)),0)</f>
        <v>0</v>
      </c>
      <c r="U33" s="311" t="e">
        <f>IF($C$11="On",$K33*$E$11*(1+SUMIFS('Op 2'!$O:$O,'Op 2'!$C:$C,$I33)),0)</f>
        <v>#REF!</v>
      </c>
      <c r="V33" s="311" t="e">
        <f>IF($C$14="On",$K33*$E$14*(1+SUMIFS('Op 2'!$O:$O,'Op 2'!$C:$C,$I33)),0)</f>
        <v>#REF!</v>
      </c>
      <c r="W33" s="311">
        <f>SUMIFS('SC - Op 1'!AK:AK,'SC - Op 1'!$D:$D,$I33)</f>
        <v>6938.0003579956883</v>
      </c>
      <c r="X33" s="311">
        <f>SUMIFS('SC - Op 2'!AD:AD,'SC - Op 2'!$D:$D,$I33)</f>
        <v>-1.621624210383743E-2</v>
      </c>
      <c r="Y33" s="311">
        <f t="shared" si="0"/>
        <v>6937.9841417535845</v>
      </c>
      <c r="Z33" s="311">
        <f>SUMIFS('SC - Op 2'!AJ:AJ,'SC - Op 2'!$D:$D,$I33)</f>
        <v>4359.756819003228</v>
      </c>
      <c r="AA33" s="311" t="e">
        <f t="shared" si="1"/>
        <v>#REF!</v>
      </c>
      <c r="AB33" s="286"/>
      <c r="AC33" s="311" t="e">
        <f t="shared" si="2"/>
        <v>#REF!</v>
      </c>
      <c r="AD33" s="311">
        <f t="shared" si="3"/>
        <v>44573.851023273804</v>
      </c>
      <c r="AE33" s="311" t="e">
        <f t="shared" si="12"/>
        <v>#REF!</v>
      </c>
      <c r="AF33" s="305" t="e">
        <f t="shared" si="13"/>
        <v>#REF!</v>
      </c>
      <c r="AG33" s="286"/>
      <c r="AH33" s="311">
        <f>SUMIFS('Op 2'!BG:BG,'Op 2'!C:C,I33)</f>
        <v>0</v>
      </c>
      <c r="AI33" s="311" t="e">
        <f t="shared" si="4"/>
        <v>#REF!</v>
      </c>
      <c r="AJ33" s="311" t="e" cm="1">
        <f t="array" ref="AJ33">-SUMPRODUCT(S33:Z33,1-$S$1:$Z$1)</f>
        <v>#REF!</v>
      </c>
      <c r="AK33" s="311">
        <f t="shared" si="5"/>
        <v>-19899.578144265965</v>
      </c>
      <c r="AL33" s="311" t="e">
        <f t="shared" si="6"/>
        <v>#REF!</v>
      </c>
      <c r="AM33" s="311" t="e">
        <f t="shared" si="7"/>
        <v>#REF!</v>
      </c>
      <c r="AN33" s="286"/>
      <c r="AO33" s="303" t="e">
        <f t="shared" si="14"/>
        <v>#REF!</v>
      </c>
      <c r="AP33" s="305">
        <f t="shared" si="14"/>
        <v>3.954053934662443E-2</v>
      </c>
      <c r="AQ33" s="305" t="e">
        <f t="shared" si="14"/>
        <v>#REF!</v>
      </c>
      <c r="AR33" s="286"/>
      <c r="AS33" s="305" t="e">
        <f t="shared" si="15"/>
        <v>#REF!</v>
      </c>
      <c r="AT33" s="305">
        <f t="shared" si="15"/>
        <v>1.3424609130920327E-2</v>
      </c>
      <c r="AU33" s="305" t="e">
        <f t="shared" si="15"/>
        <v>#REF!</v>
      </c>
      <c r="AV33" s="286"/>
      <c r="AW33" s="305" t="e">
        <f t="shared" si="16"/>
        <v>#REF!</v>
      </c>
      <c r="AX33" s="305">
        <f t="shared" si="16"/>
        <v>5.2965148477544757E-2</v>
      </c>
      <c r="AY33" s="305" t="e">
        <f t="shared" si="16"/>
        <v>#REF!</v>
      </c>
    </row>
    <row r="34" spans="7:51" x14ac:dyDescent="0.2">
      <c r="G34" s="267" t="s">
        <v>72</v>
      </c>
      <c r="H34" s="268" t="s">
        <v>73</v>
      </c>
      <c r="I34" s="61" t="s">
        <v>80</v>
      </c>
      <c r="J34" s="61" t="s">
        <v>81</v>
      </c>
      <c r="K34" s="71">
        <f>SUMIFS('Op 2'!E:E,'Op 2'!C:C,I34)</f>
        <v>3546989.4042566177</v>
      </c>
      <c r="L34" s="71">
        <f>SUMIFS('SC - Op 1'!H:H,'SC - Op 1'!D:D,I34)</f>
        <v>862816.27392937022</v>
      </c>
      <c r="M34" s="71">
        <f t="shared" si="9"/>
        <v>4409805.6781859882</v>
      </c>
      <c r="N34" s="311" t="e">
        <f>SUMIFS('Op 2'!S:S,'Op 2'!C:C,I34)-K34</f>
        <v>#REF!</v>
      </c>
      <c r="O34" s="311">
        <f>SUMIFS('SC - Op 1'!X:X,'SC - Op 1'!D:D,I34)-L34</f>
        <v>31039.991436462267</v>
      </c>
      <c r="P34" s="309" t="e">
        <f t="shared" si="10"/>
        <v>#REF!</v>
      </c>
      <c r="Q34" s="305" t="e">
        <f t="shared" si="11"/>
        <v>#REF!</v>
      </c>
      <c r="S34" s="311" t="e">
        <f>SUMIFS('Op 2'!Q:Q,'Op 2'!C:C,I34)</f>
        <v>#REF!</v>
      </c>
      <c r="T34" s="311">
        <f>IF($C$10="On",$K34*$E$10*(1+SUMIFS('Op 2'!$O:$O,'Op 2'!$C:$C,$I34)),0)</f>
        <v>0</v>
      </c>
      <c r="U34" s="311" t="e">
        <f>IF($C$11="On",$K34*$E$11*(1+SUMIFS('Op 2'!$O:$O,'Op 2'!$C:$C,$I34)),0)</f>
        <v>#REF!</v>
      </c>
      <c r="V34" s="311" t="e">
        <f>IF($C$14="On",$K34*$E$14*(1+SUMIFS('Op 2'!$O:$O,'Op 2'!$C:$C,$I34)),0)</f>
        <v>#REF!</v>
      </c>
      <c r="W34" s="311">
        <f>SUMIFS('SC - Op 1'!AK:AK,'SC - Op 1'!$D:$D,$I34)</f>
        <v>-790.15480572821275</v>
      </c>
      <c r="X34" s="311">
        <f>SUMIFS('SC - Op 2'!AD:AD,'SC - Op 2'!$D:$D,$I34)</f>
        <v>-2827.7879676365992</v>
      </c>
      <c r="Y34" s="311">
        <f t="shared" si="0"/>
        <v>-3617.9427733648117</v>
      </c>
      <c r="Z34" s="311">
        <f>SUMIFS('SC - Op 2'!AJ:AJ,'SC - Op 2'!$D:$D,$I34)</f>
        <v>0</v>
      </c>
      <c r="AA34" s="311" t="e">
        <f t="shared" si="1"/>
        <v>#REF!</v>
      </c>
      <c r="AB34" s="286"/>
      <c r="AC34" s="311" t="e">
        <f t="shared" si="2"/>
        <v>#REF!</v>
      </c>
      <c r="AD34" s="311">
        <f t="shared" si="3"/>
        <v>27422.048663097456</v>
      </c>
      <c r="AE34" s="311" t="e">
        <f t="shared" si="12"/>
        <v>#REF!</v>
      </c>
      <c r="AF34" s="305" t="e">
        <f t="shared" si="13"/>
        <v>#REF!</v>
      </c>
      <c r="AG34" s="286"/>
      <c r="AH34" s="311">
        <f>SUMIFS('Op 2'!BG:BG,'Op 2'!C:C,I34)</f>
        <v>0</v>
      </c>
      <c r="AI34" s="311" t="e">
        <f t="shared" si="4"/>
        <v>#REF!</v>
      </c>
      <c r="AJ34" s="311" t="e" cm="1">
        <f t="array" ref="AJ34">-SUMPRODUCT(S34:Z34,1-$S$1:$Z$1)</f>
        <v>#REF!</v>
      </c>
      <c r="AK34" s="311">
        <f t="shared" si="5"/>
        <v>-17787.13283793116</v>
      </c>
      <c r="AL34" s="311" t="e">
        <f t="shared" si="6"/>
        <v>#REF!</v>
      </c>
      <c r="AM34" s="311" t="e">
        <f t="shared" si="7"/>
        <v>#REF!</v>
      </c>
      <c r="AN34" s="286"/>
      <c r="AO34" s="303" t="e">
        <f t="shared" si="14"/>
        <v>#REF!</v>
      </c>
      <c r="AP34" s="305">
        <f t="shared" si="14"/>
        <v>3.5975203962139442E-2</v>
      </c>
      <c r="AQ34" s="305" t="e">
        <f t="shared" si="14"/>
        <v>#REF!</v>
      </c>
      <c r="AR34" s="286"/>
      <c r="AS34" s="305" t="e">
        <f t="shared" si="15"/>
        <v>#REF!</v>
      </c>
      <c r="AT34" s="305">
        <f t="shared" si="15"/>
        <v>-4.1931786438012611E-3</v>
      </c>
      <c r="AU34" s="305" t="e">
        <f t="shared" si="15"/>
        <v>#REF!</v>
      </c>
      <c r="AV34" s="286"/>
      <c r="AW34" s="305" t="e">
        <f t="shared" si="16"/>
        <v>#REF!</v>
      </c>
      <c r="AX34" s="305">
        <f t="shared" si="16"/>
        <v>3.1782025318338181E-2</v>
      </c>
      <c r="AY34" s="305" t="e">
        <f t="shared" si="16"/>
        <v>#REF!</v>
      </c>
    </row>
    <row r="35" spans="7:51" x14ac:dyDescent="0.2">
      <c r="G35" s="269" t="s">
        <v>72</v>
      </c>
      <c r="H35" s="270" t="s">
        <v>73</v>
      </c>
      <c r="I35" s="271" t="s">
        <v>82</v>
      </c>
      <c r="J35" s="271" t="s">
        <v>83</v>
      </c>
      <c r="K35" s="71">
        <f>SUMIFS('Op 2'!E:E,'Op 2'!C:C,I35)</f>
        <v>2648722.1990535683</v>
      </c>
      <c r="L35" s="71">
        <f>SUMIFS('SC - Op 1'!H:H,'SC - Op 1'!D:D,I35)</f>
        <v>565251.22518915194</v>
      </c>
      <c r="M35" s="71">
        <f t="shared" si="9"/>
        <v>3213973.42424272</v>
      </c>
      <c r="N35" s="312" t="e">
        <f>SUMIFS('Op 2'!S:S,'Op 2'!C:C,I35)-K35</f>
        <v>#REF!</v>
      </c>
      <c r="O35" s="312">
        <f>SUMIFS('SC - Op 1'!X:X,'SC - Op 1'!D:D,I35)-L35</f>
        <v>22061.815995953744</v>
      </c>
      <c r="P35" s="310" t="e">
        <f t="shared" si="10"/>
        <v>#REF!</v>
      </c>
      <c r="Q35" s="306" t="e">
        <f t="shared" si="11"/>
        <v>#REF!</v>
      </c>
      <c r="S35" s="312" t="e">
        <f>SUMIFS('Op 2'!Q:Q,'Op 2'!C:C,I35)</f>
        <v>#REF!</v>
      </c>
      <c r="T35" s="312">
        <f>IF($C$10="On",$K35*$E$10*(1+SUMIFS('Op 2'!$O:$O,'Op 2'!$C:$C,$I35)),0)</f>
        <v>0</v>
      </c>
      <c r="U35" s="312" t="e">
        <f>IF($C$11="On",$K35*$E$11*(1+SUMIFS('Op 2'!$O:$O,'Op 2'!$C:$C,$I35)),0)</f>
        <v>#REF!</v>
      </c>
      <c r="V35" s="312" t="e">
        <f>IF($C$14="On",$K35*$E$14*(1+SUMIFS('Op 2'!$O:$O,'Op 2'!$C:$C,$I35)),0)</f>
        <v>#REF!</v>
      </c>
      <c r="W35" s="312">
        <f>SUMIFS('SC - Op 1'!AK:AK,'SC - Op 1'!$D:$D,$I35)</f>
        <v>534.72636090172648</v>
      </c>
      <c r="X35" s="312">
        <f>SUMIFS('SC - Op 2'!AD:AD,'SC - Op 2'!$D:$D,$I35)</f>
        <v>-3727.7279887534678</v>
      </c>
      <c r="Y35" s="312">
        <f t="shared" si="0"/>
        <v>-3193.0016278517414</v>
      </c>
      <c r="Z35" s="312">
        <f>SUMIFS('SC - Op 2'!AJ:AJ,'SC - Op 2'!$D:$D,$I35)</f>
        <v>0</v>
      </c>
      <c r="AA35" s="312" t="e">
        <f t="shared" si="1"/>
        <v>#REF!</v>
      </c>
      <c r="AB35" s="286"/>
      <c r="AC35" s="312" t="e">
        <f t="shared" si="2"/>
        <v>#REF!</v>
      </c>
      <c r="AD35" s="312">
        <f t="shared" si="3"/>
        <v>18868.814368102001</v>
      </c>
      <c r="AE35" s="312" t="e">
        <f t="shared" si="12"/>
        <v>#REF!</v>
      </c>
      <c r="AF35" s="306" t="e">
        <f t="shared" si="13"/>
        <v>#REF!</v>
      </c>
      <c r="AG35" s="286"/>
      <c r="AH35" s="312">
        <f>SUMIFS('Op 2'!BG:BG,'Op 2'!C:C,I35)</f>
        <v>-81600</v>
      </c>
      <c r="AI35" s="312" t="e">
        <f t="shared" si="4"/>
        <v>#REF!</v>
      </c>
      <c r="AJ35" s="312" t="e" cm="1">
        <f t="array" ref="AJ35">-SUMPRODUCT(S35:Z35,1-$S$1:$Z$1)</f>
        <v>#REF!</v>
      </c>
      <c r="AK35" s="312">
        <f t="shared" si="5"/>
        <v>-12963.694186656778</v>
      </c>
      <c r="AL35" s="312" t="e">
        <f t="shared" si="6"/>
        <v>#REF!</v>
      </c>
      <c r="AM35" s="312" t="e">
        <f t="shared" si="7"/>
        <v>#REF!</v>
      </c>
      <c r="AN35" s="286"/>
      <c r="AO35" s="304" t="e">
        <f t="shared" si="14"/>
        <v>#REF!</v>
      </c>
      <c r="AP35" s="306">
        <f t="shared" si="14"/>
        <v>3.9030107344873291E-2</v>
      </c>
      <c r="AQ35" s="306" t="e">
        <f t="shared" si="14"/>
        <v>#REF!</v>
      </c>
      <c r="AR35" s="286"/>
      <c r="AS35" s="306" t="e">
        <f t="shared" si="15"/>
        <v>#REF!</v>
      </c>
      <c r="AT35" s="306">
        <f t="shared" si="15"/>
        <v>-5.6488185882007796E-3</v>
      </c>
      <c r="AU35" s="306" t="e">
        <f t="shared" si="15"/>
        <v>#REF!</v>
      </c>
      <c r="AV35" s="286"/>
      <c r="AW35" s="306" t="e">
        <f t="shared" si="16"/>
        <v>#REF!</v>
      </c>
      <c r="AX35" s="306">
        <f t="shared" si="16"/>
        <v>3.3381288756672511E-2</v>
      </c>
      <c r="AY35" s="306" t="e">
        <f t="shared" si="16"/>
        <v>#REF!</v>
      </c>
    </row>
    <row r="36" spans="7:51" x14ac:dyDescent="0.2">
      <c r="G36" s="266" t="s">
        <v>84</v>
      </c>
      <c r="H36" s="61" t="s">
        <v>85</v>
      </c>
      <c r="I36" s="61" t="s">
        <v>86</v>
      </c>
      <c r="J36" s="61" t="s">
        <v>87</v>
      </c>
      <c r="K36" s="71">
        <f>SUMIFS('Op 2'!E:E,'Op 2'!C:C,I36)</f>
        <v>2769520.4685177435</v>
      </c>
      <c r="L36" s="71">
        <f>SUMIFS('SC - Op 1'!H:H,'SC - Op 1'!D:D,I36)</f>
        <v>577098.58919338009</v>
      </c>
      <c r="M36" s="71">
        <f t="shared" si="9"/>
        <v>3346619.0577111235</v>
      </c>
      <c r="N36" s="311" t="e">
        <f>SUMIFS('Op 2'!S:S,'Op 2'!C:C,I36)-K36</f>
        <v>#REF!</v>
      </c>
      <c r="O36" s="311">
        <f>SUMIFS('SC - Op 1'!X:X,'SC - Op 1'!D:D,I36)-L36</f>
        <v>21533.694275467191</v>
      </c>
      <c r="P36" s="309" t="e">
        <f t="shared" si="10"/>
        <v>#REF!</v>
      </c>
      <c r="Q36" s="305" t="e">
        <f t="shared" si="11"/>
        <v>#REF!</v>
      </c>
      <c r="S36" s="311" t="e">
        <f>SUMIFS('Op 2'!Q:Q,'Op 2'!C:C,I36)</f>
        <v>#REF!</v>
      </c>
      <c r="T36" s="311">
        <f>IF($C$10="On",$K36*$E$10*(1+SUMIFS('Op 2'!$O:$O,'Op 2'!$C:$C,$I36)),0)</f>
        <v>0</v>
      </c>
      <c r="U36" s="311" t="e">
        <f>IF($C$11="On",$K36*$E$11*(1+SUMIFS('Op 2'!$O:$O,'Op 2'!$C:$C,$I36)),0)</f>
        <v>#REF!</v>
      </c>
      <c r="V36" s="311" t="e">
        <f>IF($C$14="On",$K36*$E$14*(1+SUMIFS('Op 2'!$O:$O,'Op 2'!$C:$C,$I36)),0)</f>
        <v>#REF!</v>
      </c>
      <c r="W36" s="311">
        <f>SUMIFS('SC - Op 1'!AK:AK,'SC - Op 1'!$D:$D,$I36)</f>
        <v>545.03464310997424</v>
      </c>
      <c r="X36" s="311">
        <f>SUMIFS('SC - Op 2'!AD:AD,'SC - Op 2'!$D:$D,$I36)</f>
        <v>-1148.8193453503773</v>
      </c>
      <c r="Y36" s="311">
        <f t="shared" si="0"/>
        <v>-603.78470224040302</v>
      </c>
      <c r="Z36" s="311">
        <f>SUMIFS('SC - Op 2'!AJ:AJ,'SC - Op 2'!$D:$D,$I36)</f>
        <v>0</v>
      </c>
      <c r="AA36" s="311" t="e">
        <f t="shared" si="1"/>
        <v>#REF!</v>
      </c>
      <c r="AB36" s="286"/>
      <c r="AC36" s="311" t="e">
        <f t="shared" si="2"/>
        <v>#REF!</v>
      </c>
      <c r="AD36" s="311">
        <f t="shared" si="3"/>
        <v>20929.909573226789</v>
      </c>
      <c r="AE36" s="311" t="e">
        <f t="shared" si="12"/>
        <v>#REF!</v>
      </c>
      <c r="AF36" s="305" t="e">
        <f t="shared" si="13"/>
        <v>#REF!</v>
      </c>
      <c r="AG36" s="286"/>
      <c r="AH36" s="311">
        <f>SUMIFS('Op 2'!BG:BG,'Op 2'!C:C,I36)</f>
        <v>-20400</v>
      </c>
      <c r="AI36" s="311" t="e">
        <f t="shared" si="4"/>
        <v>#REF!</v>
      </c>
      <c r="AJ36" s="311" t="e" cm="1">
        <f t="array" ref="AJ36">-SUMPRODUCT(S36:Z36,1-$S$1:$Z$1)</f>
        <v>#REF!</v>
      </c>
      <c r="AK36" s="311">
        <f t="shared" si="5"/>
        <v>-13498.725812776995</v>
      </c>
      <c r="AL36" s="311" t="e">
        <f t="shared" si="6"/>
        <v>#REF!</v>
      </c>
      <c r="AM36" s="311" t="e">
        <f t="shared" si="7"/>
        <v>#REF!</v>
      </c>
      <c r="AN36" s="286"/>
      <c r="AO36" s="303" t="e">
        <f t="shared" si="14"/>
        <v>#REF!</v>
      </c>
      <c r="AP36" s="305">
        <f t="shared" si="14"/>
        <v>3.7313718450715981E-2</v>
      </c>
      <c r="AQ36" s="305" t="e">
        <f t="shared" si="14"/>
        <v>#REF!</v>
      </c>
      <c r="AR36" s="286"/>
      <c r="AS36" s="305" t="e">
        <f t="shared" si="15"/>
        <v>#REF!</v>
      </c>
      <c r="AT36" s="305">
        <f t="shared" si="15"/>
        <v>-1.0462418615237307E-3</v>
      </c>
      <c r="AU36" s="305" t="e">
        <f t="shared" si="15"/>
        <v>#REF!</v>
      </c>
      <c r="AV36" s="286"/>
      <c r="AW36" s="305" t="e">
        <f t="shared" si="16"/>
        <v>#REF!</v>
      </c>
      <c r="AX36" s="305">
        <f t="shared" si="16"/>
        <v>3.626747658919225E-2</v>
      </c>
      <c r="AY36" s="305" t="e">
        <f t="shared" si="16"/>
        <v>#REF!</v>
      </c>
    </row>
    <row r="37" spans="7:51" x14ac:dyDescent="0.2">
      <c r="G37" s="267" t="s">
        <v>84</v>
      </c>
      <c r="H37" s="268" t="s">
        <v>85</v>
      </c>
      <c r="I37" s="61" t="s">
        <v>88</v>
      </c>
      <c r="J37" s="61" t="s">
        <v>89</v>
      </c>
      <c r="K37" s="71">
        <f>SUMIFS('Op 2'!E:E,'Op 2'!C:C,I37)</f>
        <v>1227431.9215465274</v>
      </c>
      <c r="L37" s="71">
        <f>SUMIFS('SC - Op 1'!H:H,'SC - Op 1'!D:D,I37)</f>
        <v>223162.47777478211</v>
      </c>
      <c r="M37" s="71">
        <f t="shared" si="9"/>
        <v>1450594.3993213095</v>
      </c>
      <c r="N37" s="311" t="e">
        <f>SUMIFS('Op 2'!S:S,'Op 2'!C:C,I37)-K37</f>
        <v>#REF!</v>
      </c>
      <c r="O37" s="311">
        <f>SUMIFS('SC - Op 1'!X:X,'SC - Op 1'!D:D,I37)-L37</f>
        <v>8362.0386003199092</v>
      </c>
      <c r="P37" s="309" t="e">
        <f t="shared" si="10"/>
        <v>#REF!</v>
      </c>
      <c r="Q37" s="305" t="e">
        <f t="shared" si="11"/>
        <v>#REF!</v>
      </c>
      <c r="S37" s="311" t="e">
        <f>SUMIFS('Op 2'!Q:Q,'Op 2'!C:C,I37)</f>
        <v>#REF!</v>
      </c>
      <c r="T37" s="311">
        <f>IF($C$10="On",$K37*$E$10*(1+SUMIFS('Op 2'!$O:$O,'Op 2'!$C:$C,$I37)),0)</f>
        <v>0</v>
      </c>
      <c r="U37" s="311" t="e">
        <f>IF($C$11="On",$K37*$E$11*(1+SUMIFS('Op 2'!$O:$O,'Op 2'!$C:$C,$I37)),0)</f>
        <v>#REF!</v>
      </c>
      <c r="V37" s="311" t="e">
        <f>IF($C$14="On",$K37*$E$14*(1+SUMIFS('Op 2'!$O:$O,'Op 2'!$C:$C,$I37)),0)</f>
        <v>#REF!</v>
      </c>
      <c r="W37" s="311">
        <f>SUMIFS('SC - Op 1'!AK:AK,'SC - Op 1'!$D:$D,$I37)</f>
        <v>2051.3232763779702</v>
      </c>
      <c r="X37" s="311">
        <f>SUMIFS('SC - Op 2'!AD:AD,'SC - Op 2'!$D:$D,$I37)</f>
        <v>-4.8781304067233577E-2</v>
      </c>
      <c r="Y37" s="311">
        <f t="shared" si="0"/>
        <v>2051.2744950739029</v>
      </c>
      <c r="Z37" s="311">
        <f>SUMIFS('SC - Op 2'!AJ:AJ,'SC - Op 2'!$D:$D,$I37)</f>
        <v>1157.1580065947048</v>
      </c>
      <c r="AA37" s="311" t="e">
        <f t="shared" si="1"/>
        <v>#REF!</v>
      </c>
      <c r="AB37" s="286"/>
      <c r="AC37" s="311" t="e">
        <f t="shared" si="2"/>
        <v>#REF!</v>
      </c>
      <c r="AD37" s="311">
        <f t="shared" si="3"/>
        <v>11570.471101988518</v>
      </c>
      <c r="AE37" s="311" t="e">
        <f t="shared" si="12"/>
        <v>#REF!</v>
      </c>
      <c r="AF37" s="305" t="e">
        <f t="shared" si="13"/>
        <v>#REF!</v>
      </c>
      <c r="AG37" s="286"/>
      <c r="AH37" s="311">
        <f>SUMIFS('Op 2'!BG:BG,'Op 2'!C:C,I37)</f>
        <v>-10000</v>
      </c>
      <c r="AI37" s="311" t="e">
        <f t="shared" si="4"/>
        <v>#REF!</v>
      </c>
      <c r="AJ37" s="311" t="e" cm="1">
        <f t="array" ref="AJ37">-SUMPRODUCT(S37:Z37,1-$S$1:$Z$1)</f>
        <v>#REF!</v>
      </c>
      <c r="AK37" s="311">
        <f t="shared" si="5"/>
        <v>-5851.0322580247876</v>
      </c>
      <c r="AL37" s="311" t="e">
        <f t="shared" si="6"/>
        <v>#REF!</v>
      </c>
      <c r="AM37" s="311" t="e">
        <f t="shared" si="7"/>
        <v>#REF!</v>
      </c>
      <c r="AN37" s="286"/>
      <c r="AO37" s="303" t="e">
        <f t="shared" si="14"/>
        <v>#REF!</v>
      </c>
      <c r="AP37" s="305">
        <f t="shared" si="14"/>
        <v>3.7470629846469823E-2</v>
      </c>
      <c r="AQ37" s="305" t="e">
        <f t="shared" si="14"/>
        <v>#REF!</v>
      </c>
      <c r="AR37" s="286"/>
      <c r="AS37" s="305" t="e">
        <f t="shared" si="15"/>
        <v>#REF!</v>
      </c>
      <c r="AT37" s="305">
        <f t="shared" si="15"/>
        <v>1.4377114529560801E-2</v>
      </c>
      <c r="AU37" s="305" t="e">
        <f t="shared" si="15"/>
        <v>#REF!</v>
      </c>
      <c r="AV37" s="286"/>
      <c r="AW37" s="305" t="e">
        <f t="shared" si="16"/>
        <v>#REF!</v>
      </c>
      <c r="AX37" s="305">
        <f t="shared" si="16"/>
        <v>5.1847744376030624E-2</v>
      </c>
      <c r="AY37" s="305" t="e">
        <f t="shared" si="16"/>
        <v>#REF!</v>
      </c>
    </row>
    <row r="38" spans="7:51" x14ac:dyDescent="0.2">
      <c r="G38" s="267" t="s">
        <v>84</v>
      </c>
      <c r="H38" s="268" t="s">
        <v>85</v>
      </c>
      <c r="I38" s="61" t="s">
        <v>90</v>
      </c>
      <c r="J38" s="61" t="s">
        <v>91</v>
      </c>
      <c r="K38" s="71">
        <f>SUMIFS('Op 2'!E:E,'Op 2'!C:C,I38)</f>
        <v>3206852.1433185297</v>
      </c>
      <c r="L38" s="71">
        <f>SUMIFS('SC - Op 1'!H:H,'SC - Op 1'!D:D,I38)</f>
        <v>619994.00625621236</v>
      </c>
      <c r="M38" s="71">
        <f t="shared" si="9"/>
        <v>3826846.1495747422</v>
      </c>
      <c r="N38" s="311" t="e">
        <f>SUMIFS('Op 2'!S:S,'Op 2'!C:C,I38)-K38</f>
        <v>#REF!</v>
      </c>
      <c r="O38" s="311">
        <f>SUMIFS('SC - Op 1'!X:X,'SC - Op 1'!D:D,I38)-L38</f>
        <v>23194.058027420309</v>
      </c>
      <c r="P38" s="309" t="e">
        <f t="shared" si="10"/>
        <v>#REF!</v>
      </c>
      <c r="Q38" s="305" t="e">
        <f t="shared" si="11"/>
        <v>#REF!</v>
      </c>
      <c r="S38" s="311" t="e">
        <f>SUMIFS('Op 2'!Q:Q,'Op 2'!C:C,I38)</f>
        <v>#REF!</v>
      </c>
      <c r="T38" s="311">
        <f>IF($C$10="On",$K38*$E$10*(1+SUMIFS('Op 2'!$O:$O,'Op 2'!$C:$C,$I38)),0)</f>
        <v>0</v>
      </c>
      <c r="U38" s="311" t="e">
        <f>IF($C$11="On",$K38*$E$11*(1+SUMIFS('Op 2'!$O:$O,'Op 2'!$C:$C,$I38)),0)</f>
        <v>#REF!</v>
      </c>
      <c r="V38" s="311" t="e">
        <f>IF($C$14="On",$K38*$E$14*(1+SUMIFS('Op 2'!$O:$O,'Op 2'!$C:$C,$I38)),0)</f>
        <v>#REF!</v>
      </c>
      <c r="W38" s="311">
        <f>SUMIFS('SC - Op 1'!AK:AK,'SC - Op 1'!$D:$D,$I38)</f>
        <v>585.60103566822511</v>
      </c>
      <c r="X38" s="311">
        <f>SUMIFS('SC - Op 2'!AD:AD,'SC - Op 2'!$D:$D,$I38)</f>
        <v>-311.2369988898281</v>
      </c>
      <c r="Y38" s="311">
        <f t="shared" si="0"/>
        <v>274.36403677839701</v>
      </c>
      <c r="Z38" s="311">
        <f>SUMIFS('SC - Op 2'!AJ:AJ,'SC - Op 2'!$D:$D,$I38)</f>
        <v>0</v>
      </c>
      <c r="AA38" s="311" t="e">
        <f t="shared" si="1"/>
        <v>#REF!</v>
      </c>
      <c r="AB38" s="286"/>
      <c r="AC38" s="311" t="e">
        <f t="shared" si="2"/>
        <v>#REF!</v>
      </c>
      <c r="AD38" s="311">
        <f t="shared" si="3"/>
        <v>23468.422064198705</v>
      </c>
      <c r="AE38" s="311" t="e">
        <f t="shared" si="12"/>
        <v>#REF!</v>
      </c>
      <c r="AF38" s="305" t="e">
        <f t="shared" si="13"/>
        <v>#REF!</v>
      </c>
      <c r="AG38" s="286"/>
      <c r="AH38" s="311">
        <f>SUMIFS('Op 2'!BG:BG,'Op 2'!C:C,I38)</f>
        <v>-130000</v>
      </c>
      <c r="AI38" s="311" t="e">
        <f t="shared" si="4"/>
        <v>#REF!</v>
      </c>
      <c r="AJ38" s="311" t="e" cm="1">
        <f t="array" ref="AJ38">-SUMPRODUCT(S38:Z38,1-$S$1:$Z$1)</f>
        <v>#REF!</v>
      </c>
      <c r="AK38" s="311">
        <f t="shared" si="5"/>
        <v>-15435.741567826166</v>
      </c>
      <c r="AL38" s="311" t="e">
        <f t="shared" si="6"/>
        <v>#REF!</v>
      </c>
      <c r="AM38" s="311" t="e">
        <f t="shared" si="7"/>
        <v>#REF!</v>
      </c>
      <c r="AN38" s="286"/>
      <c r="AO38" s="303" t="e">
        <f t="shared" si="14"/>
        <v>#REF!</v>
      </c>
      <c r="AP38" s="305">
        <f t="shared" si="14"/>
        <v>3.7410132668017071E-2</v>
      </c>
      <c r="AQ38" s="305" t="e">
        <f t="shared" si="14"/>
        <v>#REF!</v>
      </c>
      <c r="AR38" s="286"/>
      <c r="AS38" s="305" t="e">
        <f t="shared" si="15"/>
        <v>#REF!</v>
      </c>
      <c r="AT38" s="305">
        <f t="shared" si="15"/>
        <v>4.4252691801831973E-4</v>
      </c>
      <c r="AU38" s="305" t="e">
        <f t="shared" si="15"/>
        <v>#REF!</v>
      </c>
      <c r="AV38" s="286"/>
      <c r="AW38" s="305" t="e">
        <f t="shared" si="16"/>
        <v>#REF!</v>
      </c>
      <c r="AX38" s="305">
        <f t="shared" si="16"/>
        <v>3.7852659586035391E-2</v>
      </c>
      <c r="AY38" s="305" t="e">
        <f t="shared" si="16"/>
        <v>#REF!</v>
      </c>
    </row>
    <row r="39" spans="7:51" x14ac:dyDescent="0.2">
      <c r="G39" s="267" t="s">
        <v>84</v>
      </c>
      <c r="H39" s="268" t="s">
        <v>85</v>
      </c>
      <c r="I39" s="61" t="s">
        <v>92</v>
      </c>
      <c r="J39" s="61" t="s">
        <v>93</v>
      </c>
      <c r="K39" s="71">
        <f>SUMIFS('Op 2'!E:E,'Op 2'!C:C,I39)</f>
        <v>3320649.430494213</v>
      </c>
      <c r="L39" s="71">
        <f>SUMIFS('SC - Op 1'!H:H,'SC - Op 1'!D:D,I39)</f>
        <v>613945.57198142598</v>
      </c>
      <c r="M39" s="71">
        <f t="shared" si="9"/>
        <v>3934595.0024756389</v>
      </c>
      <c r="N39" s="311" t="e">
        <f>SUMIFS('Op 2'!S:S,'Op 2'!C:C,I39)-K39</f>
        <v>#REF!</v>
      </c>
      <c r="O39" s="311">
        <f>SUMIFS('SC - Op 1'!X:X,'SC - Op 1'!D:D,I39)-L39</f>
        <v>25000.921212627785</v>
      </c>
      <c r="P39" s="309" t="e">
        <f t="shared" si="10"/>
        <v>#REF!</v>
      </c>
      <c r="Q39" s="305" t="e">
        <f t="shared" si="11"/>
        <v>#REF!</v>
      </c>
      <c r="S39" s="311" t="e">
        <f>SUMIFS('Op 2'!Q:Q,'Op 2'!C:C,I39)</f>
        <v>#REF!</v>
      </c>
      <c r="T39" s="311">
        <f>IF($C$10="On",$K39*$E$10*(1+SUMIFS('Op 2'!$O:$O,'Op 2'!$C:$C,$I39)),0)</f>
        <v>0</v>
      </c>
      <c r="U39" s="311" t="e">
        <f>IF($C$11="On",$K39*$E$11*(1+SUMIFS('Op 2'!$O:$O,'Op 2'!$C:$C,$I39)),0)</f>
        <v>#REF!</v>
      </c>
      <c r="V39" s="311" t="e">
        <f>IF($C$14="On",$K39*$E$14*(1+SUMIFS('Op 2'!$O:$O,'Op 2'!$C:$C,$I39)),0)</f>
        <v>#REF!</v>
      </c>
      <c r="W39" s="311">
        <f>SUMIFS('SC - Op 1'!AK:AK,'SC - Op 1'!$D:$D,$I39)</f>
        <v>5202.8444228473172</v>
      </c>
      <c r="X39" s="311">
        <f>SUMIFS('SC - Op 2'!AD:AD,'SC - Op 2'!$D:$D,$I39)</f>
        <v>0.30422057118266821</v>
      </c>
      <c r="Y39" s="311">
        <f t="shared" si="0"/>
        <v>5203.1486434184999</v>
      </c>
      <c r="Z39" s="311">
        <f>SUMIFS('SC - Op 2'!AJ:AJ,'SC - Op 2'!$D:$D,$I39)</f>
        <v>3181.2177529033129</v>
      </c>
      <c r="AA39" s="311" t="e">
        <f t="shared" si="1"/>
        <v>#REF!</v>
      </c>
      <c r="AB39" s="286"/>
      <c r="AC39" s="311" t="e">
        <f t="shared" si="2"/>
        <v>#REF!</v>
      </c>
      <c r="AD39" s="311">
        <f t="shared" si="3"/>
        <v>33385.287608949599</v>
      </c>
      <c r="AE39" s="311" t="e">
        <f t="shared" si="12"/>
        <v>#REF!</v>
      </c>
      <c r="AF39" s="305" t="e">
        <f t="shared" si="13"/>
        <v>#REF!</v>
      </c>
      <c r="AG39" s="286"/>
      <c r="AH39" s="311">
        <f>SUMIFS('Op 2'!BG:BG,'Op 2'!C:C,I39)</f>
        <v>-100000</v>
      </c>
      <c r="AI39" s="311" t="e">
        <f t="shared" si="4"/>
        <v>#REF!</v>
      </c>
      <c r="AJ39" s="311" t="e" cm="1">
        <f t="array" ref="AJ39">-SUMPRODUCT(S39:Z39,1-$S$1:$Z$1)</f>
        <v>#REF!</v>
      </c>
      <c r="AK39" s="311">
        <f t="shared" si="5"/>
        <v>-15870.351004056776</v>
      </c>
      <c r="AL39" s="311" t="e">
        <f t="shared" si="6"/>
        <v>#REF!</v>
      </c>
      <c r="AM39" s="311" t="e">
        <f t="shared" si="7"/>
        <v>#REF!</v>
      </c>
      <c r="AN39" s="286"/>
      <c r="AO39" s="303" t="e">
        <f t="shared" si="14"/>
        <v>#REF!</v>
      </c>
      <c r="AP39" s="305">
        <f t="shared" si="14"/>
        <v>4.0721722500482747E-2</v>
      </c>
      <c r="AQ39" s="305" t="e">
        <f t="shared" si="14"/>
        <v>#REF!</v>
      </c>
      <c r="AR39" s="286"/>
      <c r="AS39" s="305" t="e">
        <f t="shared" si="15"/>
        <v>#REF!</v>
      </c>
      <c r="AT39" s="305">
        <f t="shared" si="15"/>
        <v>1.3656530446603615E-2</v>
      </c>
      <c r="AU39" s="305" t="e">
        <f t="shared" si="15"/>
        <v>#REF!</v>
      </c>
      <c r="AV39" s="286"/>
      <c r="AW39" s="305" t="e">
        <f t="shared" si="16"/>
        <v>#REF!</v>
      </c>
      <c r="AX39" s="305">
        <f t="shared" si="16"/>
        <v>5.4378252947086363E-2</v>
      </c>
      <c r="AY39" s="305" t="e">
        <f t="shared" si="16"/>
        <v>#REF!</v>
      </c>
    </row>
    <row r="40" spans="7:51" x14ac:dyDescent="0.2">
      <c r="G40" s="267" t="s">
        <v>84</v>
      </c>
      <c r="H40" s="268" t="s">
        <v>85</v>
      </c>
      <c r="I40" s="61" t="s">
        <v>94</v>
      </c>
      <c r="J40" s="61" t="s">
        <v>95</v>
      </c>
      <c r="K40" s="71">
        <f>SUMIFS('Op 2'!E:E,'Op 2'!C:C,I40)</f>
        <v>1831234.3662092758</v>
      </c>
      <c r="L40" s="71">
        <f>SUMIFS('SC - Op 1'!H:H,'SC - Op 1'!D:D,I40)</f>
        <v>352386.33337149769</v>
      </c>
      <c r="M40" s="71">
        <f t="shared" si="9"/>
        <v>2183620.6995807737</v>
      </c>
      <c r="N40" s="311" t="e">
        <f>SUMIFS('Op 2'!S:S,'Op 2'!C:C,I40)-K40</f>
        <v>#REF!</v>
      </c>
      <c r="O40" s="311">
        <f>SUMIFS('SC - Op 1'!X:X,'SC - Op 1'!D:D,I40)-L40</f>
        <v>12998.911473108456</v>
      </c>
      <c r="P40" s="309" t="e">
        <f t="shared" si="10"/>
        <v>#REF!</v>
      </c>
      <c r="Q40" s="305" t="e">
        <f t="shared" si="11"/>
        <v>#REF!</v>
      </c>
      <c r="S40" s="311" t="e">
        <f>SUMIFS('Op 2'!Q:Q,'Op 2'!C:C,I40)</f>
        <v>#REF!</v>
      </c>
      <c r="T40" s="311">
        <f>IF($C$10="On",$K40*$E$10*(1+SUMIFS('Op 2'!$O:$O,'Op 2'!$C:$C,$I40)),0)</f>
        <v>0</v>
      </c>
      <c r="U40" s="311" t="e">
        <f>IF($C$11="On",$K40*$E$11*(1+SUMIFS('Op 2'!$O:$O,'Op 2'!$C:$C,$I40)),0)</f>
        <v>#REF!</v>
      </c>
      <c r="V40" s="311" t="e">
        <f>IF($C$14="On",$K40*$E$14*(1+SUMIFS('Op 2'!$O:$O,'Op 2'!$C:$C,$I40)),0)</f>
        <v>#REF!</v>
      </c>
      <c r="W40" s="311">
        <f>SUMIFS('SC - Op 1'!AK:AK,'SC - Op 1'!$D:$D,$I40)</f>
        <v>2825.2028905826637</v>
      </c>
      <c r="X40" s="311">
        <f>SUMIFS('SC - Op 2'!AD:AD,'SC - Op 2'!$D:$D,$I40)</f>
        <v>-0.46774171339347959</v>
      </c>
      <c r="Y40" s="311">
        <f t="shared" si="0"/>
        <v>2824.7351488692702</v>
      </c>
      <c r="Z40" s="311">
        <f>SUMIFS('SC - Op 2'!AJ:AJ,'SC - Op 2'!$D:$D,$I40)</f>
        <v>1825.181551357934</v>
      </c>
      <c r="AA40" s="311" t="e">
        <f t="shared" si="1"/>
        <v>#REF!</v>
      </c>
      <c r="AB40" s="286"/>
      <c r="AC40" s="311" t="e">
        <f t="shared" si="2"/>
        <v>#REF!</v>
      </c>
      <c r="AD40" s="311">
        <f t="shared" si="3"/>
        <v>17648.82817333566</v>
      </c>
      <c r="AE40" s="311" t="e">
        <f t="shared" si="12"/>
        <v>#REF!</v>
      </c>
      <c r="AF40" s="305" t="e">
        <f t="shared" si="13"/>
        <v>#REF!</v>
      </c>
      <c r="AG40" s="286"/>
      <c r="AH40" s="311">
        <f>SUMIFS('Op 2'!BG:BG,'Op 2'!C:C,I40)</f>
        <v>0</v>
      </c>
      <c r="AI40" s="311" t="e">
        <f t="shared" si="4"/>
        <v>#REF!</v>
      </c>
      <c r="AJ40" s="311" t="e" cm="1">
        <f t="array" ref="AJ40">-SUMPRODUCT(S40:Z40,1-$S$1:$Z$1)</f>
        <v>#REF!</v>
      </c>
      <c r="AK40" s="311">
        <f t="shared" si="5"/>
        <v>-8807.7240326554947</v>
      </c>
      <c r="AL40" s="311" t="e">
        <f t="shared" si="6"/>
        <v>#REF!</v>
      </c>
      <c r="AM40" s="311" t="e">
        <f t="shared" si="7"/>
        <v>#REF!</v>
      </c>
      <c r="AN40" s="286"/>
      <c r="AO40" s="303" t="e">
        <f t="shared" si="14"/>
        <v>#REF!</v>
      </c>
      <c r="AP40" s="305">
        <f t="shared" si="14"/>
        <v>3.6888239531708965E-2</v>
      </c>
      <c r="AQ40" s="305" t="e">
        <f t="shared" si="14"/>
        <v>#REF!</v>
      </c>
      <c r="AR40" s="286"/>
      <c r="AS40" s="305" t="e">
        <f t="shared" si="15"/>
        <v>#REF!</v>
      </c>
      <c r="AT40" s="305">
        <f t="shared" si="15"/>
        <v>1.3195508054295355E-2</v>
      </c>
      <c r="AU40" s="305" t="e">
        <f t="shared" si="15"/>
        <v>#REF!</v>
      </c>
      <c r="AV40" s="286"/>
      <c r="AW40" s="305" t="e">
        <f t="shared" si="16"/>
        <v>#REF!</v>
      </c>
      <c r="AX40" s="305">
        <f t="shared" si="16"/>
        <v>5.0083747586004319E-2</v>
      </c>
      <c r="AY40" s="305" t="e">
        <f t="shared" si="16"/>
        <v>#REF!</v>
      </c>
    </row>
    <row r="41" spans="7:51" x14ac:dyDescent="0.2">
      <c r="G41" s="269" t="s">
        <v>84</v>
      </c>
      <c r="H41" s="270" t="s">
        <v>85</v>
      </c>
      <c r="I41" s="271" t="s">
        <v>96</v>
      </c>
      <c r="J41" s="271" t="s">
        <v>97</v>
      </c>
      <c r="K41" s="71">
        <f>SUMIFS('Op 2'!E:E,'Op 2'!C:C,I41)</f>
        <v>3226653.8255152423</v>
      </c>
      <c r="L41" s="71">
        <f>SUMIFS('SC - Op 1'!H:H,'SC - Op 1'!D:D,I41)</f>
        <v>590979.39815476979</v>
      </c>
      <c r="M41" s="71">
        <f t="shared" si="9"/>
        <v>3817633.2236700123</v>
      </c>
      <c r="N41" s="312" t="e">
        <f>SUMIFS('Op 2'!S:S,'Op 2'!C:C,I41)-K41</f>
        <v>#REF!</v>
      </c>
      <c r="O41" s="312">
        <f>SUMIFS('SC - Op 1'!X:X,'SC - Op 1'!D:D,I41)-L41</f>
        <v>23325.780306654167</v>
      </c>
      <c r="P41" s="310" t="e">
        <f t="shared" si="10"/>
        <v>#REF!</v>
      </c>
      <c r="Q41" s="306" t="e">
        <f t="shared" si="11"/>
        <v>#REF!</v>
      </c>
      <c r="S41" s="312" t="e">
        <f>SUMIFS('Op 2'!Q:Q,'Op 2'!C:C,I41)</f>
        <v>#REF!</v>
      </c>
      <c r="T41" s="312">
        <f>IF($C$10="On",$K41*$E$10*(1+SUMIFS('Op 2'!$O:$O,'Op 2'!$C:$C,$I41)),0)</f>
        <v>0</v>
      </c>
      <c r="U41" s="312" t="e">
        <f>IF($C$11="On",$K41*$E$11*(1+SUMIFS('Op 2'!$O:$O,'Op 2'!$C:$C,$I41)),0)</f>
        <v>#REF!</v>
      </c>
      <c r="V41" s="312" t="e">
        <f>IF($C$14="On",$K41*$E$14*(1+SUMIFS('Op 2'!$O:$O,'Op 2'!$C:$C,$I41)),0)</f>
        <v>#REF!</v>
      </c>
      <c r="W41" s="312">
        <f>SUMIFS('SC - Op 1'!AK:AK,'SC - Op 1'!$D:$D,$I41)</f>
        <v>559.30101731918467</v>
      </c>
      <c r="X41" s="312">
        <f>SUMIFS('SC - Op 2'!AD:AD,'SC - Op 2'!$D:$D,$I41)</f>
        <v>-240.84589995327406</v>
      </c>
      <c r="Y41" s="312">
        <f t="shared" si="0"/>
        <v>318.45511736591061</v>
      </c>
      <c r="Z41" s="312">
        <f>SUMIFS('SC - Op 2'!AJ:AJ,'SC - Op 2'!$D:$D,$I41)</f>
        <v>0</v>
      </c>
      <c r="AA41" s="312" t="e">
        <f t="shared" si="1"/>
        <v>#REF!</v>
      </c>
      <c r="AB41" s="286"/>
      <c r="AC41" s="312" t="e">
        <f t="shared" si="2"/>
        <v>#REF!</v>
      </c>
      <c r="AD41" s="312">
        <f t="shared" si="3"/>
        <v>23644.235424020077</v>
      </c>
      <c r="AE41" s="312" t="e">
        <f t="shared" si="12"/>
        <v>#REF!</v>
      </c>
      <c r="AF41" s="306" t="e">
        <f t="shared" si="13"/>
        <v>#REF!</v>
      </c>
      <c r="AG41" s="286"/>
      <c r="AH41" s="312">
        <f>SUMIFS('Op 2'!BG:BG,'Op 2'!C:C,I41)</f>
        <v>-40000</v>
      </c>
      <c r="AI41" s="312" t="e">
        <f t="shared" si="4"/>
        <v>#REF!</v>
      </c>
      <c r="AJ41" s="312" t="e" cm="1">
        <f t="array" ref="AJ41">-SUMPRODUCT(S41:Z41,1-$S$1:$Z$1)</f>
        <v>#REF!</v>
      </c>
      <c r="AK41" s="312">
        <f t="shared" si="5"/>
        <v>-15398.580851719316</v>
      </c>
      <c r="AL41" s="312" t="e">
        <f t="shared" si="6"/>
        <v>#REF!</v>
      </c>
      <c r="AM41" s="312" t="e">
        <f t="shared" si="7"/>
        <v>#REF!</v>
      </c>
      <c r="AN41" s="286"/>
      <c r="AO41" s="304" t="e">
        <f t="shared" si="14"/>
        <v>#REF!</v>
      </c>
      <c r="AP41" s="306">
        <f t="shared" si="14"/>
        <v>3.9469701278056143E-2</v>
      </c>
      <c r="AQ41" s="306" t="e">
        <f t="shared" si="14"/>
        <v>#REF!</v>
      </c>
      <c r="AR41" s="286"/>
      <c r="AS41" s="306" t="e">
        <f t="shared" si="15"/>
        <v>#REF!</v>
      </c>
      <c r="AT41" s="306">
        <f t="shared" si="15"/>
        <v>5.3885993041420666E-4</v>
      </c>
      <c r="AU41" s="306" t="e">
        <f t="shared" si="15"/>
        <v>#REF!</v>
      </c>
      <c r="AV41" s="286"/>
      <c r="AW41" s="306" t="e">
        <f t="shared" si="16"/>
        <v>#REF!</v>
      </c>
      <c r="AX41" s="306">
        <f t="shared" si="16"/>
        <v>4.000856120847035E-2</v>
      </c>
      <c r="AY41" s="306" t="e">
        <f t="shared" si="16"/>
        <v>#REF!</v>
      </c>
    </row>
    <row r="42" spans="7:51" x14ac:dyDescent="0.2">
      <c r="G42" s="266" t="s">
        <v>98</v>
      </c>
      <c r="H42" s="61" t="s">
        <v>99</v>
      </c>
      <c r="I42" s="61" t="s">
        <v>100</v>
      </c>
      <c r="J42" s="61" t="s">
        <v>101</v>
      </c>
      <c r="K42" s="71">
        <f>SUMIFS('Op 2'!E:E,'Op 2'!C:C,I42)</f>
        <v>1531973.7598892734</v>
      </c>
      <c r="L42" s="71">
        <f>SUMIFS('SC - Op 1'!H:H,'SC - Op 1'!D:D,I42)</f>
        <v>284657.1505706599</v>
      </c>
      <c r="M42" s="71">
        <f t="shared" si="9"/>
        <v>1816630.9104599333</v>
      </c>
      <c r="N42" s="311" t="e">
        <f>SUMIFS('Op 2'!S:S,'Op 2'!C:C,I42)-K42</f>
        <v>#REF!</v>
      </c>
      <c r="O42" s="311">
        <f>SUMIFS('SC - Op 1'!X:X,'SC - Op 1'!D:D,I42)-L42</f>
        <v>11716.735020633321</v>
      </c>
      <c r="P42" s="309" t="e">
        <f t="shared" si="10"/>
        <v>#REF!</v>
      </c>
      <c r="Q42" s="305" t="e">
        <f t="shared" si="11"/>
        <v>#REF!</v>
      </c>
      <c r="S42" s="311" t="e">
        <f>SUMIFS('Op 2'!Q:Q,'Op 2'!C:C,I42)</f>
        <v>#REF!</v>
      </c>
      <c r="T42" s="311">
        <f>IF($C$10="On",$K42*$E$10*(1+SUMIFS('Op 2'!$O:$O,'Op 2'!$C:$C,$I42)),0)</f>
        <v>0</v>
      </c>
      <c r="U42" s="311" t="e">
        <f>IF($C$11="On",$K42*$E$11*(1+SUMIFS('Op 2'!$O:$O,'Op 2'!$C:$C,$I42)),0)</f>
        <v>#REF!</v>
      </c>
      <c r="V42" s="311" t="e">
        <f>IF($C$14="On",$K42*$E$14*(1+SUMIFS('Op 2'!$O:$O,'Op 2'!$C:$C,$I42)),0)</f>
        <v>#REF!</v>
      </c>
      <c r="W42" s="311">
        <f>SUMIFS('SC - Op 1'!AK:AK,'SC - Op 1'!$D:$D,$I42)</f>
        <v>2466.4296288971773</v>
      </c>
      <c r="X42" s="311">
        <f>SUMIFS('SC - Op 2'!AD:AD,'SC - Op 2'!$D:$D,$I42)</f>
        <v>-0.37711676198523492</v>
      </c>
      <c r="Y42" s="311">
        <f t="shared" si="0"/>
        <v>2466.052512135192</v>
      </c>
      <c r="Z42" s="311">
        <f>SUMIFS('SC - Op 2'!AJ:AJ,'SC - Op 2'!$D:$D,$I42)</f>
        <v>1475.2396987161544</v>
      </c>
      <c r="AA42" s="311" t="e">
        <f t="shared" si="1"/>
        <v>#REF!</v>
      </c>
      <c r="AB42" s="286"/>
      <c r="AC42" s="311" t="e">
        <f t="shared" si="2"/>
        <v>#REF!</v>
      </c>
      <c r="AD42" s="311">
        <f t="shared" si="3"/>
        <v>15658.027231484668</v>
      </c>
      <c r="AE42" s="311" t="e">
        <f t="shared" si="12"/>
        <v>#REF!</v>
      </c>
      <c r="AF42" s="305" t="e">
        <f t="shared" si="13"/>
        <v>#REF!</v>
      </c>
      <c r="AG42" s="286"/>
      <c r="AH42" s="311">
        <f>SUMIFS('Op 2'!BG:BG,'Op 2'!C:C,I42)</f>
        <v>-10000</v>
      </c>
      <c r="AI42" s="311" t="e">
        <f t="shared" si="4"/>
        <v>#REF!</v>
      </c>
      <c r="AJ42" s="311" t="e" cm="1">
        <f t="array" ref="AJ42">-SUMPRODUCT(S42:Z42,1-$S$1:$Z$1)</f>
        <v>#REF!</v>
      </c>
      <c r="AK42" s="311">
        <f t="shared" si="5"/>
        <v>-7327.4556023372788</v>
      </c>
      <c r="AL42" s="311" t="e">
        <f t="shared" si="6"/>
        <v>#REF!</v>
      </c>
      <c r="AM42" s="311" t="e">
        <f t="shared" si="7"/>
        <v>#REF!</v>
      </c>
      <c r="AN42" s="286"/>
      <c r="AO42" s="303" t="e">
        <f t="shared" si="14"/>
        <v>#REF!</v>
      </c>
      <c r="AP42" s="305">
        <f t="shared" si="14"/>
        <v>4.1160866667654283E-2</v>
      </c>
      <c r="AQ42" s="305" t="e">
        <f t="shared" si="14"/>
        <v>#REF!</v>
      </c>
      <c r="AR42" s="286"/>
      <c r="AS42" s="305" t="e">
        <f t="shared" si="15"/>
        <v>#REF!</v>
      </c>
      <c r="AT42" s="305">
        <f t="shared" si="15"/>
        <v>1.3845751645269161E-2</v>
      </c>
      <c r="AU42" s="305" t="e">
        <f t="shared" si="15"/>
        <v>#REF!</v>
      </c>
      <c r="AV42" s="286"/>
      <c r="AW42" s="305" t="e">
        <f t="shared" si="16"/>
        <v>#REF!</v>
      </c>
      <c r="AX42" s="305">
        <f t="shared" si="16"/>
        <v>5.5006618312923444E-2</v>
      </c>
      <c r="AY42" s="305" t="e">
        <f t="shared" si="16"/>
        <v>#REF!</v>
      </c>
    </row>
    <row r="43" spans="7:51" x14ac:dyDescent="0.2">
      <c r="G43" s="267" t="s">
        <v>98</v>
      </c>
      <c r="H43" s="268" t="s">
        <v>99</v>
      </c>
      <c r="I43" s="61" t="s">
        <v>102</v>
      </c>
      <c r="J43" s="61" t="s">
        <v>103</v>
      </c>
      <c r="K43" s="71">
        <f>SUMIFS('Op 2'!E:E,'Op 2'!C:C,I43)</f>
        <v>1696336.7513857663</v>
      </c>
      <c r="L43" s="71">
        <f>SUMIFS('SC - Op 1'!H:H,'SC - Op 1'!D:D,I43)</f>
        <v>376179.76938088128</v>
      </c>
      <c r="M43" s="71">
        <f t="shared" si="9"/>
        <v>2072516.5207666475</v>
      </c>
      <c r="N43" s="311" t="e">
        <f>SUMIFS('Op 2'!S:S,'Op 2'!C:C,I43)-K43</f>
        <v>#REF!</v>
      </c>
      <c r="O43" s="311">
        <f>SUMIFS('SC - Op 1'!X:X,'SC - Op 1'!D:D,I43)-L43</f>
        <v>13069.63682526577</v>
      </c>
      <c r="P43" s="309" t="e">
        <f t="shared" si="10"/>
        <v>#REF!</v>
      </c>
      <c r="Q43" s="305" t="e">
        <f t="shared" si="11"/>
        <v>#REF!</v>
      </c>
      <c r="S43" s="311" t="e">
        <f>SUMIFS('Op 2'!Q:Q,'Op 2'!C:C,I43)</f>
        <v>#REF!</v>
      </c>
      <c r="T43" s="311">
        <f>IF($C$10="On",$K43*$E$10*(1+SUMIFS('Op 2'!$O:$O,'Op 2'!$C:$C,$I43)),0)</f>
        <v>0</v>
      </c>
      <c r="U43" s="311" t="e">
        <f>IF($C$11="On",$K43*$E$11*(1+SUMIFS('Op 2'!$O:$O,'Op 2'!$C:$C,$I43)),0)</f>
        <v>#REF!</v>
      </c>
      <c r="V43" s="311" t="e">
        <f>IF($C$14="On",$K43*$E$14*(1+SUMIFS('Op 2'!$O:$O,'Op 2'!$C:$C,$I43)),0)</f>
        <v>#REF!</v>
      </c>
      <c r="W43" s="311">
        <f>SUMIFS('SC - Op 1'!AK:AK,'SC - Op 1'!$D:$D,$I43)</f>
        <v>269.79056123575168</v>
      </c>
      <c r="X43" s="311">
        <f>SUMIFS('SC - Op 2'!AD:AD,'SC - Op 2'!$D:$D,$I43)</f>
        <v>-922.62670033919858</v>
      </c>
      <c r="Y43" s="311">
        <f t="shared" si="0"/>
        <v>-652.83613910344684</v>
      </c>
      <c r="Z43" s="311">
        <f>SUMIFS('SC - Op 2'!AJ:AJ,'SC - Op 2'!$D:$D,$I43)</f>
        <v>0</v>
      </c>
      <c r="AA43" s="311" t="e">
        <f t="shared" si="1"/>
        <v>#REF!</v>
      </c>
      <c r="AB43" s="286"/>
      <c r="AC43" s="311" t="e">
        <f t="shared" si="2"/>
        <v>#REF!</v>
      </c>
      <c r="AD43" s="311">
        <f t="shared" si="3"/>
        <v>12416.800686162323</v>
      </c>
      <c r="AE43" s="311" t="e">
        <f t="shared" si="12"/>
        <v>#REF!</v>
      </c>
      <c r="AF43" s="305" t="e">
        <f t="shared" si="13"/>
        <v>#REF!</v>
      </c>
      <c r="AG43" s="286"/>
      <c r="AH43" s="311">
        <f>SUMIFS('Op 2'!BG:BG,'Op 2'!C:C,I43)</f>
        <v>0</v>
      </c>
      <c r="AI43" s="311" t="e">
        <f t="shared" si="4"/>
        <v>#REF!</v>
      </c>
      <c r="AJ43" s="311" t="e" cm="1">
        <f t="array" ref="AJ43">-SUMPRODUCT(S43:Z43,1-$S$1:$Z$1)</f>
        <v>#REF!</v>
      </c>
      <c r="AK43" s="311">
        <f t="shared" si="5"/>
        <v>-8359.5807511517487</v>
      </c>
      <c r="AL43" s="311" t="e">
        <f t="shared" si="6"/>
        <v>#REF!</v>
      </c>
      <c r="AM43" s="311" t="e">
        <f t="shared" si="7"/>
        <v>#REF!</v>
      </c>
      <c r="AN43" s="286"/>
      <c r="AO43" s="303" t="e">
        <f t="shared" si="14"/>
        <v>#REF!</v>
      </c>
      <c r="AP43" s="305">
        <f t="shared" si="14"/>
        <v>3.4743061400606019E-2</v>
      </c>
      <c r="AQ43" s="305" t="e">
        <f t="shared" si="14"/>
        <v>#REF!</v>
      </c>
      <c r="AR43" s="286"/>
      <c r="AS43" s="305" t="e">
        <f t="shared" si="15"/>
        <v>#REF!</v>
      </c>
      <c r="AT43" s="305">
        <f t="shared" si="15"/>
        <v>-1.7354365977146763E-3</v>
      </c>
      <c r="AU43" s="305" t="e">
        <f t="shared" si="15"/>
        <v>#REF!</v>
      </c>
      <c r="AV43" s="286"/>
      <c r="AW43" s="305" t="e">
        <f t="shared" si="16"/>
        <v>#REF!</v>
      </c>
      <c r="AX43" s="305">
        <f t="shared" si="16"/>
        <v>3.3007624802891343E-2</v>
      </c>
      <c r="AY43" s="305" t="e">
        <f t="shared" si="16"/>
        <v>#REF!</v>
      </c>
    </row>
    <row r="44" spans="7:51" x14ac:dyDescent="0.2">
      <c r="G44" s="267" t="s">
        <v>98</v>
      </c>
      <c r="H44" s="268" t="s">
        <v>99</v>
      </c>
      <c r="I44" s="61" t="s">
        <v>104</v>
      </c>
      <c r="J44" s="61" t="s">
        <v>105</v>
      </c>
      <c r="K44" s="71">
        <f>SUMIFS('Op 2'!E:E,'Op 2'!C:C,I44)</f>
        <v>1099576.1345820946</v>
      </c>
      <c r="L44" s="71">
        <f>SUMIFS('SC - Op 1'!H:H,'SC - Op 1'!D:D,I44)</f>
        <v>203799.89655329022</v>
      </c>
      <c r="M44" s="71">
        <f t="shared" si="9"/>
        <v>1303376.0311353849</v>
      </c>
      <c r="N44" s="311" t="e">
        <f>SUMIFS('Op 2'!S:S,'Op 2'!C:C,I44)-K44</f>
        <v>#REF!</v>
      </c>
      <c r="O44" s="311">
        <f>SUMIFS('SC - Op 1'!X:X,'SC - Op 1'!D:D,I44)-L44</f>
        <v>8954.6975997077243</v>
      </c>
      <c r="P44" s="309" t="e">
        <f t="shared" si="10"/>
        <v>#REF!</v>
      </c>
      <c r="Q44" s="305" t="e">
        <f t="shared" si="11"/>
        <v>#REF!</v>
      </c>
      <c r="S44" s="311" t="e">
        <f>SUMIFS('Op 2'!Q:Q,'Op 2'!C:C,I44)</f>
        <v>#REF!</v>
      </c>
      <c r="T44" s="311">
        <f>IF($C$10="On",$K44*$E$10*(1+SUMIFS('Op 2'!$O:$O,'Op 2'!$C:$C,$I44)),0)</f>
        <v>0</v>
      </c>
      <c r="U44" s="311" t="e">
        <f>IF($C$11="On",$K44*$E$11*(1+SUMIFS('Op 2'!$O:$O,'Op 2'!$C:$C,$I44)),0)</f>
        <v>#REF!</v>
      </c>
      <c r="V44" s="311" t="e">
        <f>IF($C$14="On",$K44*$E$14*(1+SUMIFS('Op 2'!$O:$O,'Op 2'!$C:$C,$I44)),0)</f>
        <v>#REF!</v>
      </c>
      <c r="W44" s="311">
        <f>SUMIFS('SC - Op 1'!AK:AK,'SC - Op 1'!$D:$D,$I44)</f>
        <v>1867.7095602350403</v>
      </c>
      <c r="X44" s="311">
        <f>SUMIFS('SC - Op 2'!AD:AD,'SC - Op 2'!$D:$D,$I44)</f>
        <v>-6.3759141776245087E-2</v>
      </c>
      <c r="Y44" s="311">
        <f t="shared" si="0"/>
        <v>1867.645801093264</v>
      </c>
      <c r="Z44" s="311">
        <f>SUMIFS('SC - Op 2'!AJ:AJ,'SC - Op 2'!$D:$D,$I44)</f>
        <v>1056.6729388536</v>
      </c>
      <c r="AA44" s="311" t="e">
        <f t="shared" si="1"/>
        <v>#REF!</v>
      </c>
      <c r="AB44" s="286"/>
      <c r="AC44" s="311" t="e">
        <f t="shared" si="2"/>
        <v>#REF!</v>
      </c>
      <c r="AD44" s="311">
        <f t="shared" si="3"/>
        <v>11879.016339654589</v>
      </c>
      <c r="AE44" s="311" t="e">
        <f t="shared" si="12"/>
        <v>#REF!</v>
      </c>
      <c r="AF44" s="305" t="e">
        <f t="shared" si="13"/>
        <v>#REF!</v>
      </c>
      <c r="AG44" s="286"/>
      <c r="AH44" s="311">
        <f>SUMIFS('Op 2'!BG:BG,'Op 2'!C:C,I44)</f>
        <v>0</v>
      </c>
      <c r="AI44" s="311" t="e">
        <f t="shared" si="4"/>
        <v>#REF!</v>
      </c>
      <c r="AJ44" s="311" t="e" cm="1">
        <f t="array" ref="AJ44">-SUMPRODUCT(S44:Z44,1-$S$1:$Z$1)</f>
        <v>#REF!</v>
      </c>
      <c r="AK44" s="311">
        <f t="shared" si="5"/>
        <v>-5257.2209061867898</v>
      </c>
      <c r="AL44" s="311" t="e">
        <f t="shared" si="6"/>
        <v>#REF!</v>
      </c>
      <c r="AM44" s="311" t="e">
        <f t="shared" si="7"/>
        <v>#REF!</v>
      </c>
      <c r="AN44" s="286"/>
      <c r="AO44" s="303" t="e">
        <f t="shared" si="14"/>
        <v>#REF!</v>
      </c>
      <c r="AP44" s="305">
        <f t="shared" si="14"/>
        <v>4.3938675883312933E-2</v>
      </c>
      <c r="AQ44" s="305" t="e">
        <f t="shared" si="14"/>
        <v>#REF!</v>
      </c>
      <c r="AR44" s="286"/>
      <c r="AS44" s="305" t="e">
        <f t="shared" si="15"/>
        <v>#REF!</v>
      </c>
      <c r="AT44" s="305">
        <f t="shared" si="15"/>
        <v>1.4348970678609768E-2</v>
      </c>
      <c r="AU44" s="305" t="e">
        <f t="shared" si="15"/>
        <v>#REF!</v>
      </c>
      <c r="AV44" s="286"/>
      <c r="AW44" s="305" t="e">
        <f t="shared" si="16"/>
        <v>#REF!</v>
      </c>
      <c r="AX44" s="305">
        <f t="shared" si="16"/>
        <v>5.8287646561922701E-2</v>
      </c>
      <c r="AY44" s="305" t="e">
        <f t="shared" si="16"/>
        <v>#REF!</v>
      </c>
    </row>
    <row r="45" spans="7:51" x14ac:dyDescent="0.2">
      <c r="G45" s="267" t="s">
        <v>98</v>
      </c>
      <c r="H45" s="268" t="s">
        <v>99</v>
      </c>
      <c r="I45" s="61" t="s">
        <v>106</v>
      </c>
      <c r="J45" s="61" t="s">
        <v>107</v>
      </c>
      <c r="K45" s="71">
        <f>SUMIFS('Op 2'!E:E,'Op 2'!C:C,I45)</f>
        <v>2261976.4170612651</v>
      </c>
      <c r="L45" s="71">
        <f>SUMIFS('SC - Op 1'!H:H,'SC - Op 1'!D:D,I45)</f>
        <v>432487.4580030879</v>
      </c>
      <c r="M45" s="71">
        <f t="shared" si="9"/>
        <v>2694463.875064353</v>
      </c>
      <c r="N45" s="311" t="e">
        <f>SUMIFS('Op 2'!S:S,'Op 2'!C:C,I45)-K45</f>
        <v>#REF!</v>
      </c>
      <c r="O45" s="311">
        <f>SUMIFS('SC - Op 1'!X:X,'SC - Op 1'!D:D,I45)-L45</f>
        <v>17557.162504398206</v>
      </c>
      <c r="P45" s="309" t="e">
        <f t="shared" si="10"/>
        <v>#REF!</v>
      </c>
      <c r="Q45" s="305" t="e">
        <f t="shared" si="11"/>
        <v>#REF!</v>
      </c>
      <c r="S45" s="311" t="e">
        <f>SUMIFS('Op 2'!Q:Q,'Op 2'!C:C,I45)</f>
        <v>#REF!</v>
      </c>
      <c r="T45" s="311">
        <f>IF($C$10="On",$K45*$E$10*(1+SUMIFS('Op 2'!$O:$O,'Op 2'!$C:$C,$I45)),0)</f>
        <v>0</v>
      </c>
      <c r="U45" s="311" t="e">
        <f>IF($C$11="On",$K45*$E$11*(1+SUMIFS('Op 2'!$O:$O,'Op 2'!$C:$C,$I45)),0)</f>
        <v>#REF!</v>
      </c>
      <c r="V45" s="311" t="e">
        <f>IF($C$14="On",$K45*$E$14*(1+SUMIFS('Op 2'!$O:$O,'Op 2'!$C:$C,$I45)),0)</f>
        <v>#REF!</v>
      </c>
      <c r="W45" s="311">
        <f>SUMIFS('SC - Op 1'!AK:AK,'SC - Op 1'!$D:$D,$I45)</f>
        <v>409.74690804031138</v>
      </c>
      <c r="X45" s="311">
        <f>SUMIFS('SC - Op 2'!AD:AD,'SC - Op 2'!$D:$D,$I45)</f>
        <v>-749.56652291445062</v>
      </c>
      <c r="Y45" s="311">
        <f t="shared" si="0"/>
        <v>-339.81961487413923</v>
      </c>
      <c r="Z45" s="311">
        <f>SUMIFS('SC - Op 2'!AJ:AJ,'SC - Op 2'!$D:$D,$I45)</f>
        <v>0</v>
      </c>
      <c r="AA45" s="311" t="e">
        <f t="shared" si="1"/>
        <v>#REF!</v>
      </c>
      <c r="AB45" s="286"/>
      <c r="AC45" s="311" t="e">
        <f t="shared" si="2"/>
        <v>#REF!</v>
      </c>
      <c r="AD45" s="311">
        <f t="shared" si="3"/>
        <v>17217.342889524065</v>
      </c>
      <c r="AE45" s="311" t="e">
        <f t="shared" si="12"/>
        <v>#REF!</v>
      </c>
      <c r="AF45" s="305" t="e">
        <f t="shared" si="13"/>
        <v>#REF!</v>
      </c>
      <c r="AG45" s="286"/>
      <c r="AH45" s="311">
        <f>SUMIFS('Op 2'!BG:BG,'Op 2'!C:C,I45)</f>
        <v>-70000</v>
      </c>
      <c r="AI45" s="311" t="e">
        <f t="shared" si="4"/>
        <v>#REF!</v>
      </c>
      <c r="AJ45" s="311" t="e" cm="1">
        <f t="array" ref="AJ45">-SUMPRODUCT(S45:Z45,1-$S$1:$Z$1)</f>
        <v>#REF!</v>
      </c>
      <c r="AK45" s="311">
        <f t="shared" si="5"/>
        <v>-10868.231022028049</v>
      </c>
      <c r="AL45" s="311" t="e">
        <f t="shared" si="6"/>
        <v>#REF!</v>
      </c>
      <c r="AM45" s="311" t="e">
        <f t="shared" si="7"/>
        <v>#REF!</v>
      </c>
      <c r="AN45" s="286"/>
      <c r="AO45" s="303" t="e">
        <f t="shared" si="14"/>
        <v>#REF!</v>
      </c>
      <c r="AP45" s="305">
        <f t="shared" si="14"/>
        <v>4.0595772616076303E-2</v>
      </c>
      <c r="AQ45" s="305" t="e">
        <f t="shared" si="14"/>
        <v>#REF!</v>
      </c>
      <c r="AR45" s="286"/>
      <c r="AS45" s="305" t="e">
        <f t="shared" si="15"/>
        <v>#REF!</v>
      </c>
      <c r="AT45" s="305">
        <f t="shared" si="15"/>
        <v>-7.8573287753402193E-4</v>
      </c>
      <c r="AU45" s="305" t="e">
        <f t="shared" si="15"/>
        <v>#REF!</v>
      </c>
      <c r="AV45" s="286"/>
      <c r="AW45" s="305" t="e">
        <f t="shared" si="16"/>
        <v>#REF!</v>
      </c>
      <c r="AX45" s="305">
        <f t="shared" si="16"/>
        <v>3.9810039738542281E-2</v>
      </c>
      <c r="AY45" s="305" t="e">
        <f t="shared" si="16"/>
        <v>#REF!</v>
      </c>
    </row>
    <row r="46" spans="7:51" x14ac:dyDescent="0.2">
      <c r="G46" s="267" t="s">
        <v>98</v>
      </c>
      <c r="H46" s="268" t="s">
        <v>99</v>
      </c>
      <c r="I46" s="61" t="s">
        <v>108</v>
      </c>
      <c r="J46" s="61" t="s">
        <v>109</v>
      </c>
      <c r="K46" s="71">
        <f>SUMIFS('Op 2'!E:E,'Op 2'!C:C,I46)</f>
        <v>1451965.4129123772</v>
      </c>
      <c r="L46" s="71">
        <f>SUMIFS('SC - Op 1'!H:H,'SC - Op 1'!D:D,I46)</f>
        <v>239578.45737310644</v>
      </c>
      <c r="M46" s="71">
        <f t="shared" si="9"/>
        <v>1691543.8702854835</v>
      </c>
      <c r="N46" s="311" t="e">
        <f>SUMIFS('Op 2'!S:S,'Op 2'!C:C,I46)-K46</f>
        <v>#REF!</v>
      </c>
      <c r="O46" s="311">
        <f>SUMIFS('SC - Op 1'!X:X,'SC - Op 1'!D:D,I46)-L46</f>
        <v>9319.7973384211946</v>
      </c>
      <c r="P46" s="309" t="e">
        <f t="shared" si="10"/>
        <v>#REF!</v>
      </c>
      <c r="Q46" s="305" t="e">
        <f t="shared" si="11"/>
        <v>#REF!</v>
      </c>
      <c r="S46" s="311" t="e">
        <f>SUMIFS('Op 2'!Q:Q,'Op 2'!C:C,I46)</f>
        <v>#REF!</v>
      </c>
      <c r="T46" s="311">
        <f>IF($C$10="On",$K46*$E$10*(1+SUMIFS('Op 2'!$O:$O,'Op 2'!$C:$C,$I46)),0)</f>
        <v>0</v>
      </c>
      <c r="U46" s="311" t="e">
        <f>IF($C$11="On",$K46*$E$11*(1+SUMIFS('Op 2'!$O:$O,'Op 2'!$C:$C,$I46)),0)</f>
        <v>#REF!</v>
      </c>
      <c r="V46" s="311" t="e">
        <f>IF($C$14="On",$K46*$E$14*(1+SUMIFS('Op 2'!$O:$O,'Op 2'!$C:$C,$I46)),0)</f>
        <v>#REF!</v>
      </c>
      <c r="W46" s="311">
        <f>SUMIFS('SC - Op 1'!AK:AK,'SC - Op 1'!$D:$D,$I46)</f>
        <v>2308.6495275299599</v>
      </c>
      <c r="X46" s="311">
        <f>SUMIFS('SC - Op 2'!AD:AD,'SC - Op 2'!$D:$D,$I46)</f>
        <v>-0.39588545070728287</v>
      </c>
      <c r="Y46" s="311">
        <f t="shared" si="0"/>
        <v>2308.2536420792526</v>
      </c>
      <c r="Z46" s="311">
        <f>SUMIFS('SC - Op 2'!AJ:AJ,'SC - Op 2'!$D:$D,$I46)</f>
        <v>1242.7894461742601</v>
      </c>
      <c r="AA46" s="311" t="e">
        <f t="shared" si="1"/>
        <v>#REF!</v>
      </c>
      <c r="AB46" s="286"/>
      <c r="AC46" s="311" t="e">
        <f t="shared" si="2"/>
        <v>#REF!</v>
      </c>
      <c r="AD46" s="311">
        <f t="shared" si="3"/>
        <v>12870.840426674707</v>
      </c>
      <c r="AE46" s="311" t="e">
        <f t="shared" si="12"/>
        <v>#REF!</v>
      </c>
      <c r="AF46" s="305" t="e">
        <f t="shared" si="13"/>
        <v>#REF!</v>
      </c>
      <c r="AG46" s="286"/>
      <c r="AH46" s="311">
        <f>SUMIFS('Op 2'!BG:BG,'Op 2'!C:C,I46)</f>
        <v>-20000</v>
      </c>
      <c r="AI46" s="311" t="e">
        <f t="shared" si="4"/>
        <v>#REF!</v>
      </c>
      <c r="AJ46" s="311" t="e" cm="1">
        <f t="array" ref="AJ46">-SUMPRODUCT(S46:Z46,1-$S$1:$Z$1)</f>
        <v>#REF!</v>
      </c>
      <c r="AK46" s="311">
        <f t="shared" si="5"/>
        <v>-6822.9118735982347</v>
      </c>
      <c r="AL46" s="311" t="e">
        <f t="shared" si="6"/>
        <v>#REF!</v>
      </c>
      <c r="AM46" s="311" t="e">
        <f t="shared" si="7"/>
        <v>#REF!</v>
      </c>
      <c r="AN46" s="286"/>
      <c r="AO46" s="303" t="e">
        <f t="shared" si="14"/>
        <v>#REF!</v>
      </c>
      <c r="AP46" s="305">
        <f t="shared" si="14"/>
        <v>3.8900815376346841E-2</v>
      </c>
      <c r="AQ46" s="305" t="e">
        <f t="shared" si="14"/>
        <v>#REF!</v>
      </c>
      <c r="AR46" s="286"/>
      <c r="AS46" s="305" t="e">
        <f t="shared" si="15"/>
        <v>#REF!</v>
      </c>
      <c r="AT46" s="305">
        <f t="shared" si="15"/>
        <v>1.4822046719848901E-2</v>
      </c>
      <c r="AU46" s="305" t="e">
        <f t="shared" si="15"/>
        <v>#REF!</v>
      </c>
      <c r="AV46" s="286"/>
      <c r="AW46" s="305" t="e">
        <f t="shared" si="16"/>
        <v>#REF!</v>
      </c>
      <c r="AX46" s="305">
        <f t="shared" si="16"/>
        <v>5.3722862096195742E-2</v>
      </c>
      <c r="AY46" s="305" t="e">
        <f t="shared" si="16"/>
        <v>#REF!</v>
      </c>
    </row>
    <row r="47" spans="7:51" x14ac:dyDescent="0.2">
      <c r="G47" s="267" t="s">
        <v>98</v>
      </c>
      <c r="H47" s="268" t="s">
        <v>99</v>
      </c>
      <c r="I47" s="61" t="s">
        <v>110</v>
      </c>
      <c r="J47" s="61" t="s">
        <v>111</v>
      </c>
      <c r="K47" s="71">
        <f>SUMIFS('Op 2'!E:E,'Op 2'!C:C,I47)</f>
        <v>1065172.6958849912</v>
      </c>
      <c r="L47" s="71">
        <f>SUMIFS('SC - Op 1'!H:H,'SC - Op 1'!D:D,I47)</f>
        <v>209135.47852404614</v>
      </c>
      <c r="M47" s="71">
        <f t="shared" si="9"/>
        <v>1274308.1744090375</v>
      </c>
      <c r="N47" s="311" t="e">
        <f>SUMIFS('Op 2'!S:S,'Op 2'!C:C,I47)-K47</f>
        <v>#REF!</v>
      </c>
      <c r="O47" s="311">
        <f>SUMIFS('SC - Op 1'!X:X,'SC - Op 1'!D:D,I47)-L47</f>
        <v>8611.3431091747771</v>
      </c>
      <c r="P47" s="309" t="e">
        <f t="shared" si="10"/>
        <v>#REF!</v>
      </c>
      <c r="Q47" s="305" t="e">
        <f t="shared" si="11"/>
        <v>#REF!</v>
      </c>
      <c r="S47" s="311" t="e">
        <f>SUMIFS('Op 2'!Q:Q,'Op 2'!C:C,I47)</f>
        <v>#REF!</v>
      </c>
      <c r="T47" s="311">
        <f>IF($C$10="On",$K47*$E$10*(1+SUMIFS('Op 2'!$O:$O,'Op 2'!$C:$C,$I47)),0)</f>
        <v>0</v>
      </c>
      <c r="U47" s="311" t="e">
        <f>IF($C$11="On",$K47*$E$11*(1+SUMIFS('Op 2'!$O:$O,'Op 2'!$C:$C,$I47)),0)</f>
        <v>#REF!</v>
      </c>
      <c r="V47" s="311" t="e">
        <f>IF($C$14="On",$K47*$E$14*(1+SUMIFS('Op 2'!$O:$O,'Op 2'!$C:$C,$I47)),0)</f>
        <v>#REF!</v>
      </c>
      <c r="W47" s="311">
        <f>SUMIFS('SC - Op 1'!AK:AK,'SC - Op 1'!$D:$D,$I47)</f>
        <v>198.24911368556752</v>
      </c>
      <c r="X47" s="311">
        <f>SUMIFS('SC - Op 2'!AD:AD,'SC - Op 2'!$D:$D,$I47)</f>
        <v>-460.09413084492553</v>
      </c>
      <c r="Y47" s="311">
        <f t="shared" si="0"/>
        <v>-261.84501715935801</v>
      </c>
      <c r="Z47" s="311">
        <f>SUMIFS('SC - Op 2'!AJ:AJ,'SC - Op 2'!$D:$D,$I47)</f>
        <v>0</v>
      </c>
      <c r="AA47" s="311" t="e">
        <f t="shared" si="1"/>
        <v>#REF!</v>
      </c>
      <c r="AB47" s="286"/>
      <c r="AC47" s="311" t="e">
        <f t="shared" si="2"/>
        <v>#REF!</v>
      </c>
      <c r="AD47" s="311">
        <f t="shared" si="3"/>
        <v>8349.4980920154194</v>
      </c>
      <c r="AE47" s="311" t="e">
        <f t="shared" si="12"/>
        <v>#REF!</v>
      </c>
      <c r="AF47" s="305" t="e">
        <f t="shared" si="13"/>
        <v>#REF!</v>
      </c>
      <c r="AG47" s="286"/>
      <c r="AH47" s="311">
        <f>SUMIFS('Op 2'!BG:BG,'Op 2'!C:C,I47)</f>
        <v>0</v>
      </c>
      <c r="AI47" s="311" t="e">
        <f t="shared" si="4"/>
        <v>#REF!</v>
      </c>
      <c r="AJ47" s="311" t="e" cm="1">
        <f t="array" ref="AJ47">-SUMPRODUCT(S47:Z47,1-$S$1:$Z$1)</f>
        <v>#REF!</v>
      </c>
      <c r="AK47" s="311">
        <f t="shared" si="5"/>
        <v>-5139.974508808531</v>
      </c>
      <c r="AL47" s="311" t="e">
        <f t="shared" si="6"/>
        <v>#REF!</v>
      </c>
      <c r="AM47" s="311" t="e">
        <f t="shared" si="7"/>
        <v>#REF!</v>
      </c>
      <c r="AN47" s="286"/>
      <c r="AO47" s="303" t="e">
        <f t="shared" si="14"/>
        <v>#REF!</v>
      </c>
      <c r="AP47" s="305">
        <f t="shared" si="14"/>
        <v>4.1175907454576895E-2</v>
      </c>
      <c r="AQ47" s="305" t="e">
        <f t="shared" si="14"/>
        <v>#REF!</v>
      </c>
      <c r="AR47" s="286"/>
      <c r="AS47" s="305" t="e">
        <f t="shared" si="15"/>
        <v>#REF!</v>
      </c>
      <c r="AT47" s="305">
        <f t="shared" si="15"/>
        <v>-1.2520353744247745E-3</v>
      </c>
      <c r="AU47" s="305" t="e">
        <f t="shared" si="15"/>
        <v>#REF!</v>
      </c>
      <c r="AV47" s="286"/>
      <c r="AW47" s="305" t="e">
        <f t="shared" si="16"/>
        <v>#REF!</v>
      </c>
      <c r="AX47" s="305">
        <f t="shared" si="16"/>
        <v>3.992387208015212E-2</v>
      </c>
      <c r="AY47" s="305" t="e">
        <f t="shared" si="16"/>
        <v>#REF!</v>
      </c>
    </row>
    <row r="48" spans="7:51" x14ac:dyDescent="0.2">
      <c r="G48" s="267" t="s">
        <v>98</v>
      </c>
      <c r="H48" s="268" t="s">
        <v>99</v>
      </c>
      <c r="I48" s="61" t="s">
        <v>112</v>
      </c>
      <c r="J48" s="61" t="s">
        <v>113</v>
      </c>
      <c r="K48" s="71">
        <f>SUMIFS('Op 2'!E:E,'Op 2'!C:C,I48)</f>
        <v>1058710.3515852729</v>
      </c>
      <c r="L48" s="71">
        <f>SUMIFS('SC - Op 1'!H:H,'SC - Op 1'!D:D,I48)</f>
        <v>174234.92301504573</v>
      </c>
      <c r="M48" s="71">
        <f t="shared" si="9"/>
        <v>1232945.2746003186</v>
      </c>
      <c r="N48" s="311" t="e">
        <f>SUMIFS('Op 2'!S:S,'Op 2'!C:C,I48)-K48</f>
        <v>#REF!</v>
      </c>
      <c r="O48" s="311">
        <f>SUMIFS('SC - Op 1'!X:X,'SC - Op 1'!D:D,I48)-L48</f>
        <v>7428.3418745901436</v>
      </c>
      <c r="P48" s="309" t="e">
        <f t="shared" si="10"/>
        <v>#REF!</v>
      </c>
      <c r="Q48" s="305" t="e">
        <f t="shared" si="11"/>
        <v>#REF!</v>
      </c>
      <c r="S48" s="311" t="e">
        <f>SUMIFS('Op 2'!Q:Q,'Op 2'!C:C,I48)</f>
        <v>#REF!</v>
      </c>
      <c r="T48" s="311">
        <f>IF($C$10="On",$K48*$E$10*(1+SUMIFS('Op 2'!$O:$O,'Op 2'!$C:$C,$I48)),0)</f>
        <v>0</v>
      </c>
      <c r="U48" s="311" t="e">
        <f>IF($C$11="On",$K48*$E$11*(1+SUMIFS('Op 2'!$O:$O,'Op 2'!$C:$C,$I48)),0)</f>
        <v>#REF!</v>
      </c>
      <c r="V48" s="311" t="e">
        <f>IF($C$14="On",$K48*$E$14*(1+SUMIFS('Op 2'!$O:$O,'Op 2'!$C:$C,$I48)),0)</f>
        <v>#REF!</v>
      </c>
      <c r="W48" s="311">
        <f>SUMIFS('SC - Op 1'!AK:AK,'SC - Op 1'!$D:$D,$I48)</f>
        <v>1739.1703327767259</v>
      </c>
      <c r="X48" s="311">
        <f>SUMIFS('SC - Op 2'!AD:AD,'SC - Op 2'!$D:$D,$I48)</f>
        <v>0.45019655709620565</v>
      </c>
      <c r="Y48" s="311">
        <f t="shared" si="0"/>
        <v>1739.6205293338221</v>
      </c>
      <c r="Z48" s="311">
        <f>SUMIFS('SC - Op 2'!AJ:AJ,'SC - Op 2'!$D:$D,$I48)</f>
        <v>904.09266547517939</v>
      </c>
      <c r="AA48" s="311" t="e">
        <f t="shared" si="1"/>
        <v>#REF!</v>
      </c>
      <c r="AB48" s="286"/>
      <c r="AC48" s="311" t="e">
        <f t="shared" si="2"/>
        <v>#REF!</v>
      </c>
      <c r="AD48" s="311">
        <f t="shared" si="3"/>
        <v>10072.055069399144</v>
      </c>
      <c r="AE48" s="311" t="e">
        <f t="shared" si="12"/>
        <v>#REF!</v>
      </c>
      <c r="AF48" s="305" t="e">
        <f t="shared" si="13"/>
        <v>#REF!</v>
      </c>
      <c r="AG48" s="286"/>
      <c r="AH48" s="311">
        <f>SUMIFS('Op 2'!BG:BG,'Op 2'!C:C,I48)</f>
        <v>0</v>
      </c>
      <c r="AI48" s="311" t="e">
        <f t="shared" si="4"/>
        <v>#REF!</v>
      </c>
      <c r="AJ48" s="311" t="e" cm="1">
        <f t="array" ref="AJ48">-SUMPRODUCT(S48:Z48,1-$S$1:$Z$1)</f>
        <v>#REF!</v>
      </c>
      <c r="AK48" s="311">
        <f t="shared" si="5"/>
        <v>-4973.1355487384435</v>
      </c>
      <c r="AL48" s="311" t="e">
        <f t="shared" si="6"/>
        <v>#REF!</v>
      </c>
      <c r="AM48" s="311" t="e">
        <f t="shared" si="7"/>
        <v>#REF!</v>
      </c>
      <c r="AN48" s="286"/>
      <c r="AO48" s="303" t="e">
        <f t="shared" si="14"/>
        <v>#REF!</v>
      </c>
      <c r="AP48" s="305">
        <f t="shared" si="14"/>
        <v>4.2634058350912135E-2</v>
      </c>
      <c r="AQ48" s="305" t="e">
        <f t="shared" si="14"/>
        <v>#REF!</v>
      </c>
      <c r="AR48" s="286"/>
      <c r="AS48" s="305" t="e">
        <f t="shared" si="15"/>
        <v>#REF!</v>
      </c>
      <c r="AT48" s="305">
        <f t="shared" si="15"/>
        <v>1.5173268074281002E-2</v>
      </c>
      <c r="AU48" s="305" t="e">
        <f t="shared" si="15"/>
        <v>#REF!</v>
      </c>
      <c r="AV48" s="286"/>
      <c r="AW48" s="305" t="e">
        <f t="shared" si="16"/>
        <v>#REF!</v>
      </c>
      <c r="AX48" s="305">
        <f t="shared" si="16"/>
        <v>5.7807326425193137E-2</v>
      </c>
      <c r="AY48" s="305" t="e">
        <f t="shared" si="16"/>
        <v>#REF!</v>
      </c>
    </row>
    <row r="49" spans="7:51" x14ac:dyDescent="0.2">
      <c r="AB49" s="286"/>
      <c r="AG49" s="286"/>
      <c r="AN49" s="286"/>
      <c r="AR49" s="286"/>
      <c r="AV49" s="286"/>
    </row>
    <row r="50" spans="7:51" hidden="1" outlineLevel="1" x14ac:dyDescent="0.2">
      <c r="AB50" s="286"/>
      <c r="AG50" s="286"/>
      <c r="AN50" s="286"/>
      <c r="AR50" s="286"/>
      <c r="AV50" s="286"/>
    </row>
    <row r="51" spans="7:51" hidden="1" outlineLevel="1" x14ac:dyDescent="0.2">
      <c r="H51" s="272" t="s">
        <v>114</v>
      </c>
      <c r="I51" s="272" t="s">
        <v>13</v>
      </c>
      <c r="J51" s="272" t="s">
        <v>14</v>
      </c>
      <c r="AB51" s="286"/>
      <c r="AG51" s="286"/>
      <c r="AN51" s="286"/>
      <c r="AR51" s="286"/>
      <c r="AV51" s="286"/>
    </row>
    <row r="52" spans="7:51" hidden="1" outlineLevel="1" x14ac:dyDescent="0.2">
      <c r="H52" s="273">
        <v>1</v>
      </c>
      <c r="I52" s="274" t="s">
        <v>17</v>
      </c>
      <c r="J52" s="274" t="s">
        <v>18</v>
      </c>
      <c r="K52" s="276">
        <f t="shared" ref="K52:P58" si="17">SUMIFS(K$7:K$48,$G$7:$G$48,$I52)</f>
        <v>16103414.606958285</v>
      </c>
      <c r="L52" s="276">
        <f t="shared" si="17"/>
        <v>2645278.6028940454</v>
      </c>
      <c r="M52" s="276">
        <f t="shared" si="17"/>
        <v>18748693.20985233</v>
      </c>
      <c r="N52" s="276" t="e">
        <f t="shared" si="17"/>
        <v>#REF!</v>
      </c>
      <c r="O52" s="276">
        <f t="shared" si="17"/>
        <v>98531.304448026232</v>
      </c>
      <c r="P52" s="276" t="e">
        <f t="shared" si="17"/>
        <v>#REF!</v>
      </c>
      <c r="Q52" s="281"/>
      <c r="S52" s="276" t="e">
        <f t="shared" ref="S52:X58" si="18">SUMIFS(S$7:S$48,$G$7:$G$48,$I52)</f>
        <v>#REF!</v>
      </c>
      <c r="T52" s="276">
        <f t="shared" si="18"/>
        <v>0</v>
      </c>
      <c r="U52" s="276" t="e">
        <f t="shared" si="18"/>
        <v>#REF!</v>
      </c>
      <c r="V52" s="276" t="e">
        <f t="shared" si="18"/>
        <v>#REF!</v>
      </c>
      <c r="W52" s="276">
        <f t="shared" si="18"/>
        <v>20223.680499314931</v>
      </c>
      <c r="X52" s="276">
        <f t="shared" si="18"/>
        <v>-530.5168415675289</v>
      </c>
      <c r="Y52" s="276"/>
      <c r="Z52" s="276">
        <f t="shared" ref="Z52:AA58" si="19">SUMIFS(Z$7:Z$48,$G$7:$G$48,$I52)</f>
        <v>11201.98117585521</v>
      </c>
      <c r="AA52" s="276" t="e">
        <f t="shared" si="19"/>
        <v>#REF!</v>
      </c>
      <c r="AB52" s="286"/>
      <c r="AC52" s="276" t="e">
        <f t="shared" ref="AC52:AE58" si="20">SUMIFS(AC$7:AC$48,$G$7:$G$48,$I52)</f>
        <v>#REF!</v>
      </c>
      <c r="AD52" s="276">
        <f t="shared" si="20"/>
        <v>129426.44928162884</v>
      </c>
      <c r="AE52" s="276" t="e">
        <f t="shared" si="20"/>
        <v>#REF!</v>
      </c>
      <c r="AF52" s="281"/>
      <c r="AG52" s="286"/>
      <c r="AH52" s="276">
        <f t="shared" ref="AH52:AI58" si="21">SUMIFS(AH$7:AH$48,$G$7:$G$48,$I52)</f>
        <v>-105017.77082265612</v>
      </c>
      <c r="AI52" s="276" t="e">
        <f t="shared" si="21"/>
        <v>#REF!</v>
      </c>
      <c r="AJ52" s="276"/>
      <c r="AK52" s="276"/>
      <c r="AL52" s="276"/>
      <c r="AM52" s="276" t="e">
        <f t="shared" ref="AM52:AM58" si="22">SUMIFS(AM$7:AM$48,$G$7:$G$48,$I52)</f>
        <v>#REF!</v>
      </c>
      <c r="AN52" s="286"/>
      <c r="AO52" s="281" t="e">
        <f t="shared" ref="AO52:AQ59" si="23">N52/K52</f>
        <v>#REF!</v>
      </c>
      <c r="AP52" s="281">
        <f t="shared" si="23"/>
        <v>3.7247987542873125E-2</v>
      </c>
      <c r="AQ52" s="281" t="e">
        <f t="shared" si="23"/>
        <v>#REF!</v>
      </c>
      <c r="AR52" s="286"/>
      <c r="AS52" s="281" t="e">
        <f t="shared" ref="AS52:AU59" si="24">AW52-AO52</f>
        <v>#REF!</v>
      </c>
      <c r="AT52" s="281">
        <f t="shared" si="24"/>
        <v>1.1679353849459194E-2</v>
      </c>
      <c r="AU52" s="281" t="e">
        <f t="shared" si="24"/>
        <v>#REF!</v>
      </c>
      <c r="AV52" s="286"/>
      <c r="AW52" s="281" t="e">
        <f t="shared" ref="AW52:AY59" si="25">AC52/K52</f>
        <v>#REF!</v>
      </c>
      <c r="AX52" s="281">
        <f t="shared" si="25"/>
        <v>4.8927341392332319E-2</v>
      </c>
      <c r="AY52" s="281" t="e">
        <f t="shared" si="25"/>
        <v>#REF!</v>
      </c>
    </row>
    <row r="53" spans="7:51" hidden="1" outlineLevel="1" x14ac:dyDescent="0.2">
      <c r="H53" s="273">
        <v>2</v>
      </c>
      <c r="I53" s="274" t="s">
        <v>27</v>
      </c>
      <c r="J53" s="274" t="s">
        <v>28</v>
      </c>
      <c r="K53" s="276">
        <f t="shared" si="17"/>
        <v>14450049.427944031</v>
      </c>
      <c r="L53" s="276">
        <f t="shared" si="17"/>
        <v>2660474.209257625</v>
      </c>
      <c r="M53" s="276">
        <f t="shared" si="17"/>
        <v>17110523.637201659</v>
      </c>
      <c r="N53" s="276" t="e">
        <f t="shared" si="17"/>
        <v>#REF!</v>
      </c>
      <c r="O53" s="276">
        <f t="shared" si="17"/>
        <v>98699.328690314665</v>
      </c>
      <c r="P53" s="276" t="e">
        <f t="shared" si="17"/>
        <v>#REF!</v>
      </c>
      <c r="Q53" s="281"/>
      <c r="S53" s="276" t="e">
        <f t="shared" si="18"/>
        <v>#REF!</v>
      </c>
      <c r="T53" s="276">
        <f t="shared" si="18"/>
        <v>0</v>
      </c>
      <c r="U53" s="276" t="e">
        <f t="shared" si="18"/>
        <v>#REF!</v>
      </c>
      <c r="V53" s="276" t="e">
        <f t="shared" si="18"/>
        <v>#REF!</v>
      </c>
      <c r="W53" s="276">
        <f t="shared" si="18"/>
        <v>7198.6265292499265</v>
      </c>
      <c r="X53" s="276">
        <f t="shared" si="18"/>
        <v>-5564.9275982871186</v>
      </c>
      <c r="Y53" s="276"/>
      <c r="Z53" s="276">
        <f t="shared" si="19"/>
        <v>3119.3073123340096</v>
      </c>
      <c r="AA53" s="276" t="e">
        <f t="shared" si="19"/>
        <v>#REF!</v>
      </c>
      <c r="AB53" s="286"/>
      <c r="AC53" s="276" t="e">
        <f t="shared" si="20"/>
        <v>#REF!</v>
      </c>
      <c r="AD53" s="276">
        <f t="shared" si="20"/>
        <v>103452.33493361149</v>
      </c>
      <c r="AE53" s="276" t="e">
        <f t="shared" si="20"/>
        <v>#REF!</v>
      </c>
      <c r="AF53" s="281"/>
      <c r="AG53" s="286"/>
      <c r="AH53" s="276">
        <f t="shared" si="21"/>
        <v>-421165.06055570475</v>
      </c>
      <c r="AI53" s="276" t="e">
        <f t="shared" si="21"/>
        <v>#REF!</v>
      </c>
      <c r="AJ53" s="276"/>
      <c r="AK53" s="276"/>
      <c r="AL53" s="276"/>
      <c r="AM53" s="276" t="e">
        <f t="shared" si="22"/>
        <v>#REF!</v>
      </c>
      <c r="AN53" s="286"/>
      <c r="AO53" s="281" t="e">
        <f t="shared" si="23"/>
        <v>#REF!</v>
      </c>
      <c r="AP53" s="281">
        <f t="shared" si="23"/>
        <v>3.7098397100363389E-2</v>
      </c>
      <c r="AQ53" s="281" t="e">
        <f t="shared" si="23"/>
        <v>#REF!</v>
      </c>
      <c r="AR53" s="286"/>
      <c r="AS53" s="281" t="e">
        <f t="shared" si="24"/>
        <v>#REF!</v>
      </c>
      <c r="AT53" s="281">
        <f t="shared" si="24"/>
        <v>1.7865259609575815E-3</v>
      </c>
      <c r="AU53" s="281" t="e">
        <f t="shared" si="24"/>
        <v>#REF!</v>
      </c>
      <c r="AV53" s="286"/>
      <c r="AW53" s="281" t="e">
        <f t="shared" si="25"/>
        <v>#REF!</v>
      </c>
      <c r="AX53" s="281">
        <f t="shared" si="25"/>
        <v>3.8884923061320971E-2</v>
      </c>
      <c r="AY53" s="281" t="e">
        <f t="shared" si="25"/>
        <v>#REF!</v>
      </c>
    </row>
    <row r="54" spans="7:51" hidden="1" outlineLevel="1" x14ac:dyDescent="0.2">
      <c r="H54" s="273">
        <v>3</v>
      </c>
      <c r="I54" s="274" t="s">
        <v>34</v>
      </c>
      <c r="J54" s="274" t="s">
        <v>35</v>
      </c>
      <c r="K54" s="276">
        <f t="shared" si="17"/>
        <v>19536186.067950472</v>
      </c>
      <c r="L54" s="276">
        <f t="shared" si="17"/>
        <v>3629650.2502132724</v>
      </c>
      <c r="M54" s="276">
        <f t="shared" si="17"/>
        <v>23165836.318163749</v>
      </c>
      <c r="N54" s="276" t="e">
        <f t="shared" si="17"/>
        <v>#REF!</v>
      </c>
      <c r="O54" s="276">
        <f t="shared" si="17"/>
        <v>140375.86138399524</v>
      </c>
      <c r="P54" s="276" t="e">
        <f t="shared" si="17"/>
        <v>#REF!</v>
      </c>
      <c r="Q54" s="281"/>
      <c r="S54" s="276" t="e">
        <f t="shared" si="18"/>
        <v>#REF!</v>
      </c>
      <c r="T54" s="276">
        <f t="shared" si="18"/>
        <v>0</v>
      </c>
      <c r="U54" s="276" t="e">
        <f t="shared" si="18"/>
        <v>#REF!</v>
      </c>
      <c r="V54" s="276" t="e">
        <f t="shared" si="18"/>
        <v>#REF!</v>
      </c>
      <c r="W54" s="276">
        <f t="shared" si="18"/>
        <v>13537.493427100659</v>
      </c>
      <c r="X54" s="276">
        <f t="shared" si="18"/>
        <v>-4549.191039063764</v>
      </c>
      <c r="Y54" s="276"/>
      <c r="Z54" s="276">
        <f t="shared" si="19"/>
        <v>7850.8571576222403</v>
      </c>
      <c r="AA54" s="276" t="e">
        <f t="shared" si="19"/>
        <v>#REF!</v>
      </c>
      <c r="AB54" s="286"/>
      <c r="AC54" s="276" t="e">
        <f t="shared" si="20"/>
        <v>#REF!</v>
      </c>
      <c r="AD54" s="276">
        <f t="shared" si="20"/>
        <v>157215.02092965436</v>
      </c>
      <c r="AE54" s="276" t="e">
        <f t="shared" si="20"/>
        <v>#REF!</v>
      </c>
      <c r="AF54" s="281"/>
      <c r="AG54" s="286"/>
      <c r="AH54" s="276">
        <f t="shared" si="21"/>
        <v>-497354.00760084507</v>
      </c>
      <c r="AI54" s="276" t="e">
        <f t="shared" si="21"/>
        <v>#REF!</v>
      </c>
      <c r="AJ54" s="276"/>
      <c r="AK54" s="276"/>
      <c r="AL54" s="276"/>
      <c r="AM54" s="276" t="e">
        <f t="shared" si="22"/>
        <v>#REF!</v>
      </c>
      <c r="AN54" s="286"/>
      <c r="AO54" s="281" t="e">
        <f t="shared" si="23"/>
        <v>#REF!</v>
      </c>
      <c r="AP54" s="281">
        <f t="shared" si="23"/>
        <v>3.8674762499705584E-2</v>
      </c>
      <c r="AQ54" s="281" t="e">
        <f t="shared" si="23"/>
        <v>#REF!</v>
      </c>
      <c r="AR54" s="286"/>
      <c r="AS54" s="281" t="e">
        <f t="shared" si="24"/>
        <v>#REF!</v>
      </c>
      <c r="AT54" s="281">
        <f t="shared" si="24"/>
        <v>4.639333926090998E-3</v>
      </c>
      <c r="AU54" s="281" t="e">
        <f t="shared" si="24"/>
        <v>#REF!</v>
      </c>
      <c r="AV54" s="286"/>
      <c r="AW54" s="281" t="e">
        <f t="shared" si="25"/>
        <v>#REF!</v>
      </c>
      <c r="AX54" s="281">
        <f t="shared" si="25"/>
        <v>4.3314096425796582E-2</v>
      </c>
      <c r="AY54" s="281" t="e">
        <f t="shared" si="25"/>
        <v>#REF!</v>
      </c>
    </row>
    <row r="55" spans="7:51" hidden="1" outlineLevel="1" x14ac:dyDescent="0.2">
      <c r="H55" s="273">
        <v>4</v>
      </c>
      <c r="I55" s="274" t="s">
        <v>58</v>
      </c>
      <c r="J55" s="274" t="s">
        <v>59</v>
      </c>
      <c r="K55" s="276">
        <f t="shared" si="17"/>
        <v>11559699.774078418</v>
      </c>
      <c r="L55" s="276">
        <f t="shared" si="17"/>
        <v>2191775.2460433934</v>
      </c>
      <c r="M55" s="276">
        <f t="shared" si="17"/>
        <v>13751475.020121811</v>
      </c>
      <c r="N55" s="276" t="e">
        <f t="shared" si="17"/>
        <v>#REF!</v>
      </c>
      <c r="O55" s="276">
        <f t="shared" si="17"/>
        <v>85710.815829959</v>
      </c>
      <c r="P55" s="276" t="e">
        <f t="shared" si="17"/>
        <v>#REF!</v>
      </c>
      <c r="Q55" s="281"/>
      <c r="S55" s="276" t="e">
        <f t="shared" si="18"/>
        <v>#REF!</v>
      </c>
      <c r="T55" s="276">
        <f t="shared" si="18"/>
        <v>0</v>
      </c>
      <c r="U55" s="276" t="e">
        <f t="shared" si="18"/>
        <v>#REF!</v>
      </c>
      <c r="V55" s="276" t="e">
        <f t="shared" si="18"/>
        <v>#REF!</v>
      </c>
      <c r="W55" s="276">
        <f t="shared" si="18"/>
        <v>16906.138595913166</v>
      </c>
      <c r="X55" s="276">
        <f t="shared" si="18"/>
        <v>-782.92485811386723</v>
      </c>
      <c r="Y55" s="276"/>
      <c r="Z55" s="276">
        <f t="shared" si="19"/>
        <v>9693.2147042017677</v>
      </c>
      <c r="AA55" s="276" t="e">
        <f t="shared" si="19"/>
        <v>#REF!</v>
      </c>
      <c r="AB55" s="286"/>
      <c r="AC55" s="276" t="e">
        <f t="shared" si="20"/>
        <v>#REF!</v>
      </c>
      <c r="AD55" s="276">
        <f t="shared" si="20"/>
        <v>111527.24427196005</v>
      </c>
      <c r="AE55" s="276" t="e">
        <f t="shared" si="20"/>
        <v>#REF!</v>
      </c>
      <c r="AF55" s="281"/>
      <c r="AG55" s="286"/>
      <c r="AH55" s="276">
        <f t="shared" si="21"/>
        <v>-50310.300445076602</v>
      </c>
      <c r="AI55" s="276" t="e">
        <f t="shared" si="21"/>
        <v>#REF!</v>
      </c>
      <c r="AJ55" s="276"/>
      <c r="AK55" s="276"/>
      <c r="AL55" s="276"/>
      <c r="AM55" s="276" t="e">
        <f t="shared" si="22"/>
        <v>#REF!</v>
      </c>
      <c r="AN55" s="286"/>
      <c r="AO55" s="281" t="e">
        <f t="shared" si="23"/>
        <v>#REF!</v>
      </c>
      <c r="AP55" s="281">
        <f t="shared" si="23"/>
        <v>3.9105659206930411E-2</v>
      </c>
      <c r="AQ55" s="281" t="e">
        <f t="shared" si="23"/>
        <v>#REF!</v>
      </c>
      <c r="AR55" s="286"/>
      <c r="AS55" s="281" t="e">
        <f t="shared" si="24"/>
        <v>#REF!</v>
      </c>
      <c r="AT55" s="281">
        <f t="shared" si="24"/>
        <v>1.1778775441781741E-2</v>
      </c>
      <c r="AU55" s="281" t="e">
        <f t="shared" si="24"/>
        <v>#REF!</v>
      </c>
      <c r="AV55" s="286"/>
      <c r="AW55" s="281" t="e">
        <f t="shared" si="25"/>
        <v>#REF!</v>
      </c>
      <c r="AX55" s="281">
        <f t="shared" si="25"/>
        <v>5.0884434648712153E-2</v>
      </c>
      <c r="AY55" s="281" t="e">
        <f t="shared" si="25"/>
        <v>#REF!</v>
      </c>
    </row>
    <row r="56" spans="7:51" hidden="1" outlineLevel="1" x14ac:dyDescent="0.2">
      <c r="H56" s="273">
        <v>5</v>
      </c>
      <c r="I56" s="274" t="s">
        <v>72</v>
      </c>
      <c r="J56" s="274" t="s">
        <v>73</v>
      </c>
      <c r="K56" s="276">
        <f t="shared" si="17"/>
        <v>16796669.95379521</v>
      </c>
      <c r="L56" s="276">
        <f t="shared" si="17"/>
        <v>3741662.583626274</v>
      </c>
      <c r="M56" s="276">
        <f t="shared" si="17"/>
        <v>20538332.537421484</v>
      </c>
      <c r="N56" s="276" t="e">
        <f t="shared" si="17"/>
        <v>#REF!</v>
      </c>
      <c r="O56" s="276">
        <f t="shared" si="17"/>
        <v>144835.55576449563</v>
      </c>
      <c r="P56" s="276" t="e">
        <f t="shared" si="17"/>
        <v>#REF!</v>
      </c>
      <c r="Q56" s="281"/>
      <c r="S56" s="276" t="e">
        <f t="shared" si="18"/>
        <v>#REF!</v>
      </c>
      <c r="T56" s="276">
        <f t="shared" si="18"/>
        <v>0</v>
      </c>
      <c r="U56" s="276" t="e">
        <f t="shared" si="18"/>
        <v>#REF!</v>
      </c>
      <c r="V56" s="276" t="e">
        <f t="shared" si="18"/>
        <v>#REF!</v>
      </c>
      <c r="W56" s="276">
        <f t="shared" si="18"/>
        <v>6758.6542650782212</v>
      </c>
      <c r="X56" s="276">
        <f t="shared" si="18"/>
        <v>-15134.787084932788</v>
      </c>
      <c r="Y56" s="276"/>
      <c r="Z56" s="276">
        <f t="shared" si="19"/>
        <v>4359.756819003228</v>
      </c>
      <c r="AA56" s="276" t="e">
        <f t="shared" si="19"/>
        <v>#REF!</v>
      </c>
      <c r="AB56" s="286"/>
      <c r="AC56" s="276" t="e">
        <f t="shared" si="20"/>
        <v>#REF!</v>
      </c>
      <c r="AD56" s="276">
        <f t="shared" si="20"/>
        <v>140819.17976364429</v>
      </c>
      <c r="AE56" s="276" t="e">
        <f t="shared" si="20"/>
        <v>#REF!</v>
      </c>
      <c r="AF56" s="281"/>
      <c r="AG56" s="286"/>
      <c r="AH56" s="276">
        <f t="shared" si="21"/>
        <v>-106600</v>
      </c>
      <c r="AI56" s="276" t="e">
        <f t="shared" si="21"/>
        <v>#REF!</v>
      </c>
      <c r="AJ56" s="276"/>
      <c r="AK56" s="276"/>
      <c r="AL56" s="276"/>
      <c r="AM56" s="276" t="e">
        <f t="shared" si="22"/>
        <v>#REF!</v>
      </c>
      <c r="AN56" s="286"/>
      <c r="AO56" s="281" t="e">
        <f t="shared" si="23"/>
        <v>#REF!</v>
      </c>
      <c r="AP56" s="281">
        <f t="shared" si="23"/>
        <v>3.8708876743270268E-2</v>
      </c>
      <c r="AQ56" s="281" t="e">
        <f t="shared" si="23"/>
        <v>#REF!</v>
      </c>
      <c r="AR56" s="286"/>
      <c r="AS56" s="281" t="e">
        <f t="shared" si="24"/>
        <v>#REF!</v>
      </c>
      <c r="AT56" s="281">
        <f t="shared" si="24"/>
        <v>-1.0734201470830665E-3</v>
      </c>
      <c r="AU56" s="281" t="e">
        <f t="shared" si="24"/>
        <v>#REF!</v>
      </c>
      <c r="AV56" s="286"/>
      <c r="AW56" s="281" t="e">
        <f t="shared" si="25"/>
        <v>#REF!</v>
      </c>
      <c r="AX56" s="281">
        <f t="shared" si="25"/>
        <v>3.7635456596187201E-2</v>
      </c>
      <c r="AY56" s="281" t="e">
        <f t="shared" si="25"/>
        <v>#REF!</v>
      </c>
    </row>
    <row r="57" spans="7:51" hidden="1" outlineLevel="1" x14ac:dyDescent="0.2">
      <c r="H57" s="273">
        <v>6</v>
      </c>
      <c r="I57" s="274" t="s">
        <v>84</v>
      </c>
      <c r="J57" s="274" t="s">
        <v>85</v>
      </c>
      <c r="K57" s="276">
        <f t="shared" si="17"/>
        <v>15582342.155601533</v>
      </c>
      <c r="L57" s="276">
        <f t="shared" si="17"/>
        <v>2977566.3767320681</v>
      </c>
      <c r="M57" s="276">
        <f t="shared" si="17"/>
        <v>18559908.532333601</v>
      </c>
      <c r="N57" s="276" t="e">
        <f t="shared" si="17"/>
        <v>#REF!</v>
      </c>
      <c r="O57" s="276">
        <f t="shared" si="17"/>
        <v>114415.40389559782</v>
      </c>
      <c r="P57" s="276" t="e">
        <f t="shared" si="17"/>
        <v>#REF!</v>
      </c>
      <c r="Q57" s="281"/>
      <c r="S57" s="276" t="e">
        <f t="shared" si="18"/>
        <v>#REF!</v>
      </c>
      <c r="T57" s="276">
        <f t="shared" si="18"/>
        <v>0</v>
      </c>
      <c r="U57" s="276" t="e">
        <f t="shared" si="18"/>
        <v>#REF!</v>
      </c>
      <c r="V57" s="276" t="e">
        <f t="shared" si="18"/>
        <v>#REF!</v>
      </c>
      <c r="W57" s="276">
        <f t="shared" si="18"/>
        <v>11769.307285905334</v>
      </c>
      <c r="X57" s="276">
        <f t="shared" si="18"/>
        <v>-1701.1145466397575</v>
      </c>
      <c r="Y57" s="276"/>
      <c r="Z57" s="276">
        <f t="shared" si="19"/>
        <v>6163.557310855952</v>
      </c>
      <c r="AA57" s="276" t="e">
        <f t="shared" si="19"/>
        <v>#REF!</v>
      </c>
      <c r="AB57" s="286"/>
      <c r="AC57" s="276" t="e">
        <f t="shared" si="20"/>
        <v>#REF!</v>
      </c>
      <c r="AD57" s="276">
        <f t="shared" si="20"/>
        <v>130647.15394571934</v>
      </c>
      <c r="AE57" s="276" t="e">
        <f t="shared" si="20"/>
        <v>#REF!</v>
      </c>
      <c r="AF57" s="281"/>
      <c r="AG57" s="286"/>
      <c r="AH57" s="276">
        <f t="shared" si="21"/>
        <v>-300400</v>
      </c>
      <c r="AI57" s="276" t="e">
        <f t="shared" si="21"/>
        <v>#REF!</v>
      </c>
      <c r="AJ57" s="276"/>
      <c r="AK57" s="276"/>
      <c r="AL57" s="276"/>
      <c r="AM57" s="276" t="e">
        <f t="shared" si="22"/>
        <v>#REF!</v>
      </c>
      <c r="AN57" s="286"/>
      <c r="AO57" s="281" t="e">
        <f t="shared" si="23"/>
        <v>#REF!</v>
      </c>
      <c r="AP57" s="281">
        <f t="shared" si="23"/>
        <v>3.8425811357115994E-2</v>
      </c>
      <c r="AQ57" s="281" t="e">
        <f t="shared" si="23"/>
        <v>#REF!</v>
      </c>
      <c r="AR57" s="286"/>
      <c r="AS57" s="281" t="e">
        <f t="shared" si="24"/>
        <v>#REF!</v>
      </c>
      <c r="AT57" s="281">
        <f t="shared" si="24"/>
        <v>5.4513478446569993E-3</v>
      </c>
      <c r="AU57" s="281" t="e">
        <f t="shared" si="24"/>
        <v>#REF!</v>
      </c>
      <c r="AV57" s="286"/>
      <c r="AW57" s="281" t="e">
        <f t="shared" si="25"/>
        <v>#REF!</v>
      </c>
      <c r="AX57" s="281">
        <f t="shared" si="25"/>
        <v>4.3877159201772993E-2</v>
      </c>
      <c r="AY57" s="281" t="e">
        <f t="shared" si="25"/>
        <v>#REF!</v>
      </c>
    </row>
    <row r="58" spans="7:51" hidden="1" outlineLevel="1" x14ac:dyDescent="0.2">
      <c r="H58" s="273">
        <v>7</v>
      </c>
      <c r="I58" s="274" t="s">
        <v>98</v>
      </c>
      <c r="J58" s="274" t="s">
        <v>99</v>
      </c>
      <c r="K58" s="276">
        <f t="shared" si="17"/>
        <v>10165711.523301041</v>
      </c>
      <c r="L58" s="276">
        <f t="shared" si="17"/>
        <v>1920073.1334201174</v>
      </c>
      <c r="M58" s="276">
        <f t="shared" si="17"/>
        <v>12085784.656721156</v>
      </c>
      <c r="N58" s="276" t="e">
        <f t="shared" si="17"/>
        <v>#REF!</v>
      </c>
      <c r="O58" s="276">
        <f t="shared" si="17"/>
        <v>76657.714272191137</v>
      </c>
      <c r="P58" s="276" t="e">
        <f t="shared" si="17"/>
        <v>#REF!</v>
      </c>
      <c r="Q58" s="281"/>
      <c r="S58" s="276" t="e">
        <f t="shared" si="18"/>
        <v>#REF!</v>
      </c>
      <c r="T58" s="276">
        <f t="shared" si="18"/>
        <v>0</v>
      </c>
      <c r="U58" s="276" t="e">
        <f t="shared" si="18"/>
        <v>#REF!</v>
      </c>
      <c r="V58" s="276" t="e">
        <f t="shared" si="18"/>
        <v>#REF!</v>
      </c>
      <c r="W58" s="276">
        <f t="shared" si="18"/>
        <v>9259.7456324005343</v>
      </c>
      <c r="X58" s="276">
        <f t="shared" si="18"/>
        <v>-2132.6739188959473</v>
      </c>
      <c r="Y58" s="276"/>
      <c r="Z58" s="276">
        <f t="shared" si="19"/>
        <v>4678.7947492191934</v>
      </c>
      <c r="AA58" s="276" t="e">
        <f t="shared" si="19"/>
        <v>#REF!</v>
      </c>
      <c r="AB58" s="286"/>
      <c r="AC58" s="276" t="e">
        <f t="shared" si="20"/>
        <v>#REF!</v>
      </c>
      <c r="AD58" s="276">
        <f t="shared" si="20"/>
        <v>88463.580734914911</v>
      </c>
      <c r="AE58" s="276" t="e">
        <f t="shared" si="20"/>
        <v>#REF!</v>
      </c>
      <c r="AF58" s="281"/>
      <c r="AG58" s="286"/>
      <c r="AH58" s="276">
        <f t="shared" si="21"/>
        <v>-100000</v>
      </c>
      <c r="AI58" s="276" t="e">
        <f t="shared" si="21"/>
        <v>#REF!</v>
      </c>
      <c r="AJ58" s="276"/>
      <c r="AK58" s="276"/>
      <c r="AL58" s="276"/>
      <c r="AM58" s="276" t="e">
        <f t="shared" si="22"/>
        <v>#REF!</v>
      </c>
      <c r="AN58" s="286"/>
      <c r="AO58" s="281" t="e">
        <f t="shared" si="23"/>
        <v>#REF!</v>
      </c>
      <c r="AP58" s="281">
        <f t="shared" si="23"/>
        <v>3.9924372117870893E-2</v>
      </c>
      <c r="AQ58" s="281" t="e">
        <f t="shared" si="23"/>
        <v>#REF!</v>
      </c>
      <c r="AR58" s="286"/>
      <c r="AS58" s="281" t="e">
        <f t="shared" si="24"/>
        <v>#REF!</v>
      </c>
      <c r="AT58" s="281">
        <f t="shared" si="24"/>
        <v>6.148654578429863E-3</v>
      </c>
      <c r="AU58" s="281" t="e">
        <f t="shared" si="24"/>
        <v>#REF!</v>
      </c>
      <c r="AV58" s="286"/>
      <c r="AW58" s="281" t="e">
        <f t="shared" si="25"/>
        <v>#REF!</v>
      </c>
      <c r="AX58" s="281">
        <f t="shared" si="25"/>
        <v>4.6073026696300756E-2</v>
      </c>
      <c r="AY58" s="281" t="e">
        <f t="shared" si="25"/>
        <v>#REF!</v>
      </c>
    </row>
    <row r="59" spans="7:51" s="82" customFormat="1" ht="15" hidden="1" outlineLevel="1" x14ac:dyDescent="0.25">
      <c r="G59" s="277"/>
      <c r="H59" s="278"/>
      <c r="I59" s="279" t="s">
        <v>115</v>
      </c>
      <c r="J59" s="279" t="s">
        <v>116</v>
      </c>
      <c r="K59" s="280">
        <f t="shared" ref="K59:P59" si="26">SUM(K52:K58)</f>
        <v>104194073.50962898</v>
      </c>
      <c r="L59" s="280">
        <f t="shared" si="26"/>
        <v>19766480.402186796</v>
      </c>
      <c r="M59" s="280">
        <f t="shared" si="26"/>
        <v>123960553.91181579</v>
      </c>
      <c r="N59" s="282" t="e">
        <f t="shared" si="26"/>
        <v>#REF!</v>
      </c>
      <c r="O59" s="282">
        <f t="shared" si="26"/>
        <v>759225.98428457975</v>
      </c>
      <c r="P59" s="282" t="e">
        <f t="shared" si="26"/>
        <v>#REF!</v>
      </c>
      <c r="Q59" s="283"/>
      <c r="S59" s="282" t="e">
        <f t="shared" ref="S59:X59" si="27">SUM(S52:S58)</f>
        <v>#REF!</v>
      </c>
      <c r="T59" s="282">
        <f t="shared" si="27"/>
        <v>0</v>
      </c>
      <c r="U59" s="282" t="e">
        <f t="shared" si="27"/>
        <v>#REF!</v>
      </c>
      <c r="V59" s="282" t="e">
        <f t="shared" si="27"/>
        <v>#REF!</v>
      </c>
      <c r="W59" s="282">
        <f t="shared" si="27"/>
        <v>85653.646234962769</v>
      </c>
      <c r="X59" s="282">
        <f t="shared" si="27"/>
        <v>-30396.135887500772</v>
      </c>
      <c r="Y59" s="282"/>
      <c r="Z59" s="282">
        <f>SUM(Z52:Z58)</f>
        <v>47067.469229091606</v>
      </c>
      <c r="AA59" s="282" t="e">
        <f>SUM(AA52:AA58)</f>
        <v>#REF!</v>
      </c>
      <c r="AB59" s="287"/>
      <c r="AC59" s="282" t="e">
        <f>SUM(AC52:AC58)</f>
        <v>#REF!</v>
      </c>
      <c r="AD59" s="282">
        <f>SUM(AD52:AD58)</f>
        <v>861550.9638611332</v>
      </c>
      <c r="AE59" s="282" t="e">
        <f>SUM(AE52:AE58)</f>
        <v>#REF!</v>
      </c>
      <c r="AF59" s="283"/>
      <c r="AG59" s="287"/>
      <c r="AH59" s="282">
        <f>SUM(AH52:AH58)</f>
        <v>-1580847.1394242826</v>
      </c>
      <c r="AI59" s="282" t="e">
        <f>SUM(AI52:AI58)</f>
        <v>#REF!</v>
      </c>
      <c r="AJ59" s="282"/>
      <c r="AK59" s="282"/>
      <c r="AL59" s="282"/>
      <c r="AM59" s="282" t="e">
        <f>SUM(AM52:AM58)</f>
        <v>#REF!</v>
      </c>
      <c r="AN59" s="287"/>
      <c r="AO59" s="283" t="e">
        <f t="shared" si="23"/>
        <v>#REF!</v>
      </c>
      <c r="AP59" s="283">
        <f t="shared" si="23"/>
        <v>3.84097709271796E-2</v>
      </c>
      <c r="AQ59" s="283" t="e">
        <f t="shared" si="23"/>
        <v>#REF!</v>
      </c>
      <c r="AR59" s="287"/>
      <c r="AS59" s="283" t="e">
        <f t="shared" si="24"/>
        <v>#REF!</v>
      </c>
      <c r="AT59" s="283">
        <f t="shared" si="24"/>
        <v>5.1766919296989816E-3</v>
      </c>
      <c r="AU59" s="283" t="e">
        <f t="shared" si="24"/>
        <v>#REF!</v>
      </c>
      <c r="AV59" s="287"/>
      <c r="AW59" s="283" t="e">
        <f t="shared" si="25"/>
        <v>#REF!</v>
      </c>
      <c r="AX59" s="283">
        <f t="shared" si="25"/>
        <v>4.3586462856878581E-2</v>
      </c>
      <c r="AY59" s="283" t="e">
        <f t="shared" si="25"/>
        <v>#REF!</v>
      </c>
    </row>
    <row r="60" spans="7:51" hidden="1" outlineLevel="1" x14ac:dyDescent="0.2"/>
    <row r="61" spans="7:51" ht="15" collapsed="1" x14ac:dyDescent="0.25">
      <c r="J61" s="318" t="s">
        <v>115</v>
      </c>
      <c r="K61" s="319">
        <f t="shared" ref="K61:P61" si="28">SUM(K7:K48)</f>
        <v>104194073.50962901</v>
      </c>
      <c r="L61" s="319">
        <f t="shared" si="28"/>
        <v>19766480.402186796</v>
      </c>
      <c r="M61" s="319">
        <f t="shared" si="28"/>
        <v>123960553.91181576</v>
      </c>
      <c r="N61" s="319" t="e">
        <f t="shared" si="28"/>
        <v>#REF!</v>
      </c>
      <c r="O61" s="319">
        <f t="shared" si="28"/>
        <v>759225.98428457964</v>
      </c>
      <c r="P61" s="319" t="e">
        <f t="shared" si="28"/>
        <v>#REF!</v>
      </c>
      <c r="Q61" s="416" t="e">
        <f>AQ61</f>
        <v>#REF!</v>
      </c>
      <c r="R61" s="318"/>
      <c r="S61" s="319" t="e">
        <f t="shared" ref="S61:AA61" si="29">SUM(S7:S48)</f>
        <v>#REF!</v>
      </c>
      <c r="T61" s="319">
        <f t="shared" si="29"/>
        <v>0</v>
      </c>
      <c r="U61" s="319" t="e">
        <f t="shared" si="29"/>
        <v>#REF!</v>
      </c>
      <c r="V61" s="319" t="e">
        <f t="shared" si="29"/>
        <v>#REF!</v>
      </c>
      <c r="W61" s="319">
        <f t="shared" si="29"/>
        <v>85653.646234962784</v>
      </c>
      <c r="X61" s="319">
        <f t="shared" si="29"/>
        <v>-30396.135887500772</v>
      </c>
      <c r="Y61" s="319">
        <f t="shared" si="29"/>
        <v>55257.510347461997</v>
      </c>
      <c r="Z61" s="319">
        <f t="shared" si="29"/>
        <v>47067.469229091606</v>
      </c>
      <c r="AA61" s="319" t="e">
        <f t="shared" si="29"/>
        <v>#REF!</v>
      </c>
      <c r="AB61" s="313"/>
      <c r="AC61" s="319" t="e">
        <f>SUM(AC7:AC48)</f>
        <v>#REF!</v>
      </c>
      <c r="AD61" s="319">
        <f>SUM(AD7:AD48)</f>
        <v>861550.96386113332</v>
      </c>
      <c r="AE61" s="319" t="e">
        <f>SUM(AE7:AE48)</f>
        <v>#REF!</v>
      </c>
      <c r="AF61" s="416" t="e">
        <f>AY61</f>
        <v>#REF!</v>
      </c>
      <c r="AG61" s="313" t="s">
        <v>115</v>
      </c>
      <c r="AH61" s="317">
        <f>SUM(AH7:AH48)</f>
        <v>-1580847.1394242826</v>
      </c>
      <c r="AI61" s="317" t="e">
        <f>SUM(AI7:AI48)</f>
        <v>#REF!</v>
      </c>
      <c r="AJ61" s="317" t="e">
        <f>SUM(AJ7:AJ48)</f>
        <v>#REF!</v>
      </c>
      <c r="AK61" s="317">
        <f>SUM(AK7:AK48)</f>
        <v>-500000.00000000012</v>
      </c>
      <c r="AL61" s="317" t="e">
        <f>AM61-AH61</f>
        <v>#REF!</v>
      </c>
      <c r="AM61" s="317" t="e">
        <f>SUM(AM7:AM48)</f>
        <v>#REF!</v>
      </c>
      <c r="AN61" s="287"/>
      <c r="AO61" s="307" t="e">
        <f>N61/K61</f>
        <v>#REF!</v>
      </c>
      <c r="AP61" s="307">
        <f>O61/L61</f>
        <v>3.8409770927179593E-2</v>
      </c>
      <c r="AQ61" s="307" t="e">
        <f>P61/M61</f>
        <v>#REF!</v>
      </c>
      <c r="AR61" s="308"/>
      <c r="AS61" s="307" t="e">
        <f>AW61-AO61</f>
        <v>#REF!</v>
      </c>
      <c r="AT61" s="307">
        <f t="shared" ref="AT61:AU61" si="30">AX61-AP61</f>
        <v>5.1766919296989955E-3</v>
      </c>
      <c r="AU61" s="307" t="e">
        <f t="shared" si="30"/>
        <v>#REF!</v>
      </c>
      <c r="AV61" s="308"/>
      <c r="AW61" s="307" t="e">
        <f>AC61/K61</f>
        <v>#REF!</v>
      </c>
      <c r="AX61" s="307">
        <f>AD61/L61</f>
        <v>4.3586462856878588E-2</v>
      </c>
      <c r="AY61" s="307" t="e">
        <f>AE61/M61</f>
        <v>#REF!</v>
      </c>
    </row>
    <row r="62" spans="7:51" ht="15" x14ac:dyDescent="0.25">
      <c r="J62" s="313" t="s">
        <v>252</v>
      </c>
      <c r="K62" s="314"/>
      <c r="L62" s="314"/>
      <c r="M62" s="314"/>
      <c r="N62" s="314"/>
      <c r="O62" s="315"/>
      <c r="P62" s="314"/>
      <c r="Q62" s="314"/>
      <c r="R62" s="314"/>
      <c r="S62" s="314" t="s">
        <v>7</v>
      </c>
      <c r="T62" s="314" t="s">
        <v>7</v>
      </c>
      <c r="U62" s="314" t="s">
        <v>7</v>
      </c>
      <c r="V62" s="314" t="s">
        <v>7</v>
      </c>
      <c r="W62" s="314" t="s">
        <v>333</v>
      </c>
      <c r="X62" s="314" t="s">
        <v>333</v>
      </c>
      <c r="Y62" s="314"/>
      <c r="Z62" s="314" t="s">
        <v>333</v>
      </c>
      <c r="AA62" s="314" t="s">
        <v>334</v>
      </c>
      <c r="AB62" s="316"/>
      <c r="AC62" s="314"/>
      <c r="AD62" s="314"/>
      <c r="AE62" s="314"/>
      <c r="AF62" s="314"/>
      <c r="AG62" s="316" t="s">
        <v>252</v>
      </c>
      <c r="AH62" s="317">
        <f>SUMIFS(AH$7:AH$48,AH$7:AH$48,"&lt;0")</f>
        <v>-1580847.1394242826</v>
      </c>
      <c r="AI62" s="317"/>
      <c r="AJ62" s="317"/>
      <c r="AK62" s="317"/>
      <c r="AL62" s="317">
        <f>AM62-AH62</f>
        <v>1580847.1394242826</v>
      </c>
      <c r="AM62" s="317">
        <f t="shared" ref="AM62" si="31">SUMIFS(AM$7:AM$48,AM$7:AM$48,"&lt;0")</f>
        <v>0</v>
      </c>
      <c r="AN62" s="286"/>
      <c r="AO62" s="61" t="e">
        <f>AL62/$AL$61</f>
        <v>#REF!</v>
      </c>
      <c r="AR62" s="286"/>
      <c r="AV62" s="286"/>
    </row>
    <row r="63" spans="7:51" ht="15" x14ac:dyDescent="0.25">
      <c r="G63" s="82"/>
      <c r="H63" s="82"/>
      <c r="I63" s="82"/>
      <c r="J63" s="313" t="s">
        <v>384</v>
      </c>
      <c r="K63" s="314"/>
      <c r="L63" s="314"/>
      <c r="M63" s="314"/>
      <c r="N63" s="314"/>
      <c r="O63" s="314"/>
      <c r="P63" s="314"/>
      <c r="Q63" s="415"/>
      <c r="R63" s="314"/>
      <c r="S63" s="314"/>
      <c r="T63" s="314"/>
      <c r="U63" s="314"/>
      <c r="V63" s="314"/>
      <c r="W63" s="314"/>
      <c r="X63" s="314"/>
      <c r="Y63" s="314"/>
      <c r="Z63" s="314"/>
      <c r="AA63" s="314"/>
      <c r="AB63" s="316"/>
      <c r="AC63" s="315"/>
      <c r="AD63" s="315"/>
      <c r="AE63" s="314"/>
      <c r="AF63" s="415"/>
      <c r="AG63" s="316" t="s">
        <v>384</v>
      </c>
      <c r="AH63" s="317">
        <f>SUMIFS(AH$7:AH$48,AH$7:AH$48,"&gt;0")</f>
        <v>0</v>
      </c>
      <c r="AI63" s="317"/>
      <c r="AJ63" s="317"/>
      <c r="AK63" s="317"/>
      <c r="AL63" s="317">
        <f>AM63-AH63</f>
        <v>0</v>
      </c>
      <c r="AM63" s="317">
        <f t="shared" ref="AM63" si="32">SUMIFS(AM$7:AM$48,AM$7:AM$48,"&gt;0")</f>
        <v>0</v>
      </c>
      <c r="AN63" s="286"/>
      <c r="AO63" s="262"/>
      <c r="AP63" s="262"/>
      <c r="AQ63" s="262"/>
      <c r="AR63" s="286"/>
      <c r="AS63" s="262"/>
      <c r="AT63" s="262"/>
      <c r="AU63" s="262"/>
      <c r="AV63" s="286"/>
      <c r="AW63" s="262"/>
      <c r="AX63" s="262"/>
      <c r="AY63" s="262"/>
    </row>
  </sheetData>
  <conditionalFormatting sqref="Q7:Q48">
    <cfRule type="colorScale" priority="1">
      <colorScale>
        <cfvo type="min"/>
        <cfvo type="percentile" val="50"/>
        <cfvo type="max"/>
        <color rgb="FFF8696B"/>
        <color rgb="FFFFEB84"/>
        <color rgb="FF63BE7B"/>
      </colorScale>
    </cfRule>
  </conditionalFormatting>
  <conditionalFormatting sqref="AF7:AF48">
    <cfRule type="colorScale" priority="2">
      <colorScale>
        <cfvo type="min"/>
        <cfvo type="percentile" val="50"/>
        <cfvo type="max"/>
        <color rgb="FFF8696B"/>
        <color rgb="FFFFEB84"/>
        <color rgb="FF63BE7B"/>
      </colorScale>
    </cfRule>
  </conditionalFormatting>
  <conditionalFormatting sqref="AQ7:AQ48">
    <cfRule type="colorScale" priority="5">
      <colorScale>
        <cfvo type="min"/>
        <cfvo type="percentile" val="50"/>
        <cfvo type="max"/>
        <color rgb="FFF8696B"/>
        <color rgb="FFFFEB84"/>
        <color rgb="FF63BE7B"/>
      </colorScale>
    </cfRule>
  </conditionalFormatting>
  <conditionalFormatting sqref="AU7:AU48">
    <cfRule type="colorScale" priority="4">
      <colorScale>
        <cfvo type="min"/>
        <cfvo type="percentile" val="50"/>
        <cfvo type="max"/>
        <color rgb="FFF8696B"/>
        <color rgb="FFFFEB84"/>
        <color rgb="FF63BE7B"/>
      </colorScale>
    </cfRule>
  </conditionalFormatting>
  <conditionalFormatting sqref="AY7:AY48">
    <cfRule type="colorScale" priority="3">
      <colorScale>
        <cfvo type="min"/>
        <cfvo type="percentile" val="50"/>
        <cfvo type="max"/>
        <color rgb="FFF8696B"/>
        <color rgb="FFFFEB84"/>
        <color rgb="FF63BE7B"/>
      </colorScale>
    </cfRule>
  </conditionalFormatting>
  <dataValidations count="5">
    <dataValidation type="list" allowBlank="1" showInputMessage="1" showErrorMessage="1" sqref="D11" xr:uid="{251D43ED-0297-4D9F-A546-26C95EB9FE14}">
      <formula1>"MHIS included, MHIS on top"</formula1>
    </dataValidation>
    <dataValidation type="list" allowBlank="1" showInputMessage="1" showErrorMessage="1" sqref="C7:C14" xr:uid="{E231A389-B2C0-49AF-B584-FC2C143E91CC}">
      <formula1>"On, Off"</formula1>
    </dataValidation>
    <dataValidation type="list" allowBlank="1" showInputMessage="1" showErrorMessage="1" sqref="D12" xr:uid="{1E6E3CCC-A98D-4B9E-B48C-848365FC1CAF}">
      <formula1>"In floor, Not in floor"</formula1>
    </dataValidation>
    <dataValidation type="list" allowBlank="1" showInputMessage="1" showErrorMessage="1" sqref="D14" xr:uid="{F385C518-BE6F-4BE0-A7BF-671674BCE6DB}">
      <formula1>"300,675"</formula1>
    </dataValidation>
    <dataValidation type="list" allowBlank="1" showInputMessage="1" showErrorMessage="1" sqref="D9" xr:uid="{80DBACDB-C814-4884-8745-C726FDD1520E}">
      <formula1>"150,200"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8ABA-197D-4998-9B6A-6E48CA9F7A3B}">
  <sheetPr codeName="Sheet36"/>
  <dimension ref="A1:BA58"/>
  <sheetViews>
    <sheetView topLeftCell="AB1" workbookViewId="0">
      <selection activeCell="J5" sqref="J4:BB61"/>
    </sheetView>
  </sheetViews>
  <sheetFormatPr defaultRowHeight="15" x14ac:dyDescent="0.25"/>
  <cols>
    <col min="12" max="12" width="11" customWidth="1"/>
    <col min="34" max="34" width="10" customWidth="1"/>
    <col min="37" max="37" width="11.42578125" customWidth="1"/>
    <col min="43" max="43" width="10.7109375" customWidth="1"/>
    <col min="44" max="44" width="12.5703125" customWidth="1"/>
    <col min="45" max="45" width="11.5703125" customWidth="1"/>
    <col min="46" max="46" width="11.7109375" bestFit="1" customWidth="1"/>
    <col min="47" max="47" width="14.28515625" bestFit="1" customWidth="1"/>
    <col min="48" max="48" width="15.7109375" bestFit="1" customWidth="1"/>
  </cols>
  <sheetData>
    <row r="1" spans="1:53" ht="25.5" x14ac:dyDescent="0.35">
      <c r="A1" s="478" t="s">
        <v>1164</v>
      </c>
      <c r="B1" s="478"/>
      <c r="C1" s="478"/>
      <c r="D1" s="478"/>
      <c r="E1" s="478"/>
      <c r="F1" s="479" t="s">
        <v>1165</v>
      </c>
      <c r="G1" s="478"/>
      <c r="H1" s="478"/>
      <c r="I1" s="478"/>
      <c r="J1" s="478"/>
      <c r="K1" s="478"/>
      <c r="L1" s="478"/>
      <c r="M1" s="478"/>
      <c r="N1" s="478"/>
      <c r="O1" s="478"/>
      <c r="P1" s="479" t="s">
        <v>1166</v>
      </c>
      <c r="Q1" s="478"/>
      <c r="R1" s="478"/>
      <c r="S1" s="478"/>
      <c r="T1" s="480">
        <v>-1.8681847690840137E-3</v>
      </c>
      <c r="U1" s="480">
        <v>-4.8340229353189823E-3</v>
      </c>
      <c r="V1" s="481">
        <v>-134584.7441152028</v>
      </c>
      <c r="W1" s="481">
        <v>7660.2989224660269</v>
      </c>
      <c r="X1" s="482">
        <v>-5.691803311606336E-2</v>
      </c>
      <c r="Y1" s="478"/>
      <c r="Z1" s="478"/>
      <c r="AA1" s="478"/>
      <c r="AB1" s="478"/>
      <c r="AC1" s="478"/>
      <c r="AD1" s="478"/>
      <c r="AE1" s="478"/>
      <c r="AF1" s="478"/>
      <c r="AG1" s="483" t="s">
        <v>1167</v>
      </c>
      <c r="AH1" s="478"/>
      <c r="AI1" s="478"/>
      <c r="AJ1" s="478"/>
      <c r="AK1" s="478"/>
      <c r="AL1" s="478"/>
      <c r="AM1" s="478"/>
      <c r="AN1" s="478"/>
      <c r="AO1" s="478"/>
      <c r="AP1" s="478"/>
      <c r="AQ1" s="478"/>
      <c r="AR1" s="478"/>
      <c r="AS1" s="478"/>
      <c r="AT1" s="478">
        <v>58000</v>
      </c>
      <c r="AU1" s="478">
        <v>116000</v>
      </c>
      <c r="AV1" s="513">
        <f>AT1-AT2</f>
        <v>31337.141822528152</v>
      </c>
      <c r="AW1" s="69">
        <f>AU1-AU2</f>
        <v>62679.845350442542</v>
      </c>
      <c r="BA1" s="486">
        <f>SUM(BA4:BA45)</f>
        <v>26662.858177471848</v>
      </c>
    </row>
    <row r="2" spans="1:53" x14ac:dyDescent="0.25">
      <c r="F2" s="70"/>
      <c r="G2" s="41"/>
      <c r="P2" s="484"/>
      <c r="Q2" s="52"/>
      <c r="W2" s="52"/>
      <c r="AB2" s="485"/>
      <c r="AC2" s="485"/>
      <c r="AD2" s="485"/>
      <c r="AE2" s="52"/>
      <c r="AT2" s="486">
        <v>26662.858177471848</v>
      </c>
      <c r="AU2" s="486">
        <v>53320.154649557458</v>
      </c>
      <c r="BA2" s="241">
        <f>'Share of £1bn'!V3</f>
        <v>4.0000000000000001E-3</v>
      </c>
    </row>
    <row r="3" spans="1:53" ht="127.5" x14ac:dyDescent="0.25">
      <c r="A3" s="487" t="s">
        <v>114</v>
      </c>
      <c r="B3" s="487" t="s">
        <v>13</v>
      </c>
      <c r="C3" s="487" t="s">
        <v>14</v>
      </c>
      <c r="D3" s="487" t="s">
        <v>15</v>
      </c>
      <c r="E3" s="487" t="s">
        <v>16</v>
      </c>
      <c r="F3" s="488" t="s">
        <v>1168</v>
      </c>
      <c r="G3" s="489" t="s">
        <v>1169</v>
      </c>
      <c r="H3" s="489" t="s">
        <v>1170</v>
      </c>
      <c r="I3" s="489" t="s">
        <v>143</v>
      </c>
      <c r="J3" s="489" t="s">
        <v>1171</v>
      </c>
      <c r="K3" s="489" t="s">
        <v>1172</v>
      </c>
      <c r="L3" s="489" t="s">
        <v>331</v>
      </c>
      <c r="M3" s="489" t="s">
        <v>1173</v>
      </c>
      <c r="N3" s="489" t="s">
        <v>1174</v>
      </c>
      <c r="O3" s="489" t="s">
        <v>315</v>
      </c>
      <c r="P3" s="489" t="s">
        <v>316</v>
      </c>
      <c r="Q3" s="488" t="s">
        <v>317</v>
      </c>
      <c r="R3" s="489" t="s">
        <v>1175</v>
      </c>
      <c r="S3" s="489" t="s">
        <v>1176</v>
      </c>
      <c r="T3" s="489" t="s">
        <v>1177</v>
      </c>
      <c r="U3" s="489" t="s">
        <v>318</v>
      </c>
      <c r="V3" s="489" t="s">
        <v>1178</v>
      </c>
      <c r="W3" s="489" t="s">
        <v>1179</v>
      </c>
      <c r="X3" s="489" t="s">
        <v>320</v>
      </c>
      <c r="Y3" s="489" t="s">
        <v>1180</v>
      </c>
      <c r="Z3" s="489" t="s">
        <v>1181</v>
      </c>
      <c r="AA3" s="489" t="s">
        <v>323</v>
      </c>
      <c r="AB3" s="489" t="s">
        <v>1182</v>
      </c>
      <c r="AC3" s="489" t="s">
        <v>1183</v>
      </c>
      <c r="AD3" s="489" t="s">
        <v>1184</v>
      </c>
      <c r="AE3" s="489" t="s">
        <v>1185</v>
      </c>
      <c r="AF3" s="489" t="s">
        <v>1186</v>
      </c>
      <c r="AG3" s="489" t="s">
        <v>1187</v>
      </c>
      <c r="AH3" s="489" t="s">
        <v>324</v>
      </c>
      <c r="AI3" s="489" t="s">
        <v>325</v>
      </c>
      <c r="AJ3" s="489" t="s">
        <v>326</v>
      </c>
      <c r="AK3" s="489" t="s">
        <v>319</v>
      </c>
      <c r="AL3" s="489" t="s">
        <v>322</v>
      </c>
      <c r="AM3" s="489" t="s">
        <v>321</v>
      </c>
      <c r="AN3" s="490" t="s">
        <v>1188</v>
      </c>
      <c r="AO3" s="489" t="s">
        <v>1189</v>
      </c>
      <c r="AP3" t="s">
        <v>1193</v>
      </c>
      <c r="AQ3" s="489" t="s">
        <v>1190</v>
      </c>
      <c r="AR3" s="489" t="s">
        <v>1191</v>
      </c>
      <c r="AS3" s="489" t="s">
        <v>1192</v>
      </c>
      <c r="AT3" s="489" t="s">
        <v>1191</v>
      </c>
      <c r="AU3" s="489" t="s">
        <v>1192</v>
      </c>
      <c r="AV3" s="489" t="s">
        <v>1191</v>
      </c>
      <c r="AW3" s="489" t="s">
        <v>1192</v>
      </c>
      <c r="AY3" s="489" t="s">
        <v>1082</v>
      </c>
      <c r="BA3" s="489" t="s">
        <v>343</v>
      </c>
    </row>
    <row r="4" spans="1:53" x14ac:dyDescent="0.25">
      <c r="A4" s="14">
        <v>1</v>
      </c>
      <c r="B4" s="51" t="s">
        <v>17</v>
      </c>
      <c r="C4" s="51" t="s">
        <v>18</v>
      </c>
      <c r="D4" s="4" t="s">
        <v>19</v>
      </c>
      <c r="E4" s="4" t="s">
        <v>20</v>
      </c>
      <c r="F4" s="491">
        <v>340469.92096067203</v>
      </c>
      <c r="G4" s="492">
        <v>178003.15861086579</v>
      </c>
      <c r="H4" s="493">
        <v>518473.07957153779</v>
      </c>
      <c r="I4" s="493"/>
      <c r="J4" s="4"/>
      <c r="K4" s="4"/>
      <c r="L4" s="493">
        <v>518473.07957153779</v>
      </c>
      <c r="M4" s="493">
        <v>1778520.1856956834</v>
      </c>
      <c r="N4" s="493">
        <v>291.51936747275801</v>
      </c>
      <c r="O4" s="493">
        <v>556632.7577288131</v>
      </c>
      <c r="P4" s="10">
        <v>-6.855449598937613E-2</v>
      </c>
      <c r="Q4" s="494">
        <v>5.2701106326733749E-2</v>
      </c>
      <c r="R4" s="493">
        <v>545797.18446558644</v>
      </c>
      <c r="S4" s="493">
        <v>585967.91987882229</v>
      </c>
      <c r="T4" s="10">
        <v>-6.8554495989376241E-2</v>
      </c>
      <c r="U4" s="251">
        <v>1.0126218019110228E-3</v>
      </c>
      <c r="V4" s="493">
        <v>546350</v>
      </c>
      <c r="W4" s="493">
        <v>552.81553441355936</v>
      </c>
      <c r="X4" s="493">
        <v>306.71934862352771</v>
      </c>
      <c r="Y4" s="10">
        <v>-6.7611073123278187E-2</v>
      </c>
      <c r="Z4" s="495">
        <v>0.35552985049360653</v>
      </c>
      <c r="AA4" s="496">
        <v>194243.73381718193</v>
      </c>
      <c r="AB4" s="495">
        <v>9.1237567541258002E-2</v>
      </c>
      <c r="AC4" s="496">
        <v>109.0478841596192</v>
      </c>
      <c r="AD4" s="497">
        <v>352106.2661828181</v>
      </c>
      <c r="AE4" s="497">
        <v>1781270.0843682305</v>
      </c>
      <c r="AF4" s="497">
        <v>197.67146446390856</v>
      </c>
      <c r="AG4" s="498">
        <v>3.417730761446669E-2</v>
      </c>
      <c r="AH4" s="499">
        <v>352106.2661828181</v>
      </c>
      <c r="AI4" s="499">
        <v>197.67146446390856</v>
      </c>
      <c r="AJ4" s="498">
        <v>3.417730761446669E-2</v>
      </c>
      <c r="AK4" s="486">
        <v>546350</v>
      </c>
      <c r="AL4" s="500">
        <v>5.3767344008486484E-2</v>
      </c>
      <c r="AM4" s="500">
        <v>-6.7611073123278187E-2</v>
      </c>
      <c r="AN4" s="501"/>
      <c r="AO4" s="502"/>
      <c r="AQ4" s="486">
        <v>543309</v>
      </c>
      <c r="AR4" s="486">
        <v>544829</v>
      </c>
      <c r="AS4" s="486">
        <v>546350</v>
      </c>
      <c r="AT4" s="486">
        <v>1520</v>
      </c>
      <c r="AU4" s="486">
        <v>3041</v>
      </c>
      <c r="AV4" s="500">
        <v>2.7976713067517749E-3</v>
      </c>
      <c r="AW4" s="500">
        <v>5.5971831867316756E-3</v>
      </c>
      <c r="AY4" s="69">
        <f>AQ4-L4</f>
        <v>24835.92042846221</v>
      </c>
      <c r="BA4" s="69">
        <f>IF($BA$2=0,0,IF($BA$2=0.4%,AT4,IF($BA$2=0.8%,AU4,"Check")))</f>
        <v>1520</v>
      </c>
    </row>
    <row r="5" spans="1:53" x14ac:dyDescent="0.25">
      <c r="A5" s="14">
        <v>2</v>
      </c>
      <c r="B5" s="14" t="s">
        <v>17</v>
      </c>
      <c r="C5" s="14" t="s">
        <v>18</v>
      </c>
      <c r="D5" s="4" t="s">
        <v>21</v>
      </c>
      <c r="E5" s="4" t="s">
        <v>22</v>
      </c>
      <c r="F5" s="491">
        <v>632219.03070435999</v>
      </c>
      <c r="G5" s="492">
        <v>312707.64401268255</v>
      </c>
      <c r="H5" s="493">
        <v>944926.6747170426</v>
      </c>
      <c r="I5" s="493"/>
      <c r="J5" s="4"/>
      <c r="K5" s="4"/>
      <c r="L5" s="493">
        <v>944926.6747170426</v>
      </c>
      <c r="M5" s="493">
        <v>3155794.4371152315</v>
      </c>
      <c r="N5" s="493">
        <v>299.4259269880763</v>
      </c>
      <c r="O5" s="493">
        <v>1010955.6111500415</v>
      </c>
      <c r="P5" s="10">
        <v>-6.5313388347373436E-2</v>
      </c>
      <c r="Q5" s="494">
        <v>5.1634680563385826E-2</v>
      </c>
      <c r="R5" s="493">
        <v>993717.6617218795</v>
      </c>
      <c r="S5" s="493">
        <v>1063155.9811955362</v>
      </c>
      <c r="T5" s="10">
        <v>-6.5313388347373214E-2</v>
      </c>
      <c r="U5" s="251">
        <v>9.6474724294495166E-4</v>
      </c>
      <c r="V5" s="493">
        <v>994676</v>
      </c>
      <c r="W5" s="493">
        <v>958.33827812050004</v>
      </c>
      <c r="X5" s="493">
        <v>314.6759038038507</v>
      </c>
      <c r="Y5" s="10">
        <v>-6.4411979433656952E-2</v>
      </c>
      <c r="Z5" s="495">
        <v>0.3427006763530554</v>
      </c>
      <c r="AA5" s="496">
        <v>340876.13795215171</v>
      </c>
      <c r="AB5" s="495">
        <v>9.0079326421348194E-2</v>
      </c>
      <c r="AC5" s="496">
        <v>107.83964506558861</v>
      </c>
      <c r="AD5" s="497">
        <v>653799.86204784829</v>
      </c>
      <c r="AE5" s="497">
        <v>3160953.8193938704</v>
      </c>
      <c r="AF5" s="497">
        <v>206.83625873826205</v>
      </c>
      <c r="AG5" s="498">
        <v>3.413505493411817E-2</v>
      </c>
      <c r="AH5" s="499">
        <v>653799.86204784829</v>
      </c>
      <c r="AI5" s="499">
        <v>206.83625873826205</v>
      </c>
      <c r="AJ5" s="498">
        <v>3.413505493411817E-2</v>
      </c>
      <c r="AK5" s="486">
        <v>994676</v>
      </c>
      <c r="AL5" s="500">
        <v>5.2648873837596755E-2</v>
      </c>
      <c r="AM5" s="500">
        <v>-6.4411979433656952E-2</v>
      </c>
      <c r="AN5" s="501"/>
      <c r="AO5" s="502"/>
      <c r="AQ5" s="486">
        <v>989139</v>
      </c>
      <c r="AR5" s="486">
        <v>991908</v>
      </c>
      <c r="AS5" s="486">
        <v>994676</v>
      </c>
      <c r="AT5" s="486">
        <v>2769</v>
      </c>
      <c r="AU5" s="486">
        <v>5537</v>
      </c>
      <c r="AV5" s="500">
        <v>2.799404330432831E-3</v>
      </c>
      <c r="AW5" s="500">
        <v>5.597797680609095E-3</v>
      </c>
      <c r="AY5" s="69">
        <f t="shared" ref="AY5:AY45" si="0">AQ5-L5</f>
        <v>44212.325282957405</v>
      </c>
      <c r="BA5" s="69">
        <f t="shared" ref="BA5:BA45" si="1">IF($BA$2=0,0,IF($BA$2=0.4%,AT5,IF($BA$2=0.8%,AU5,"Check")))</f>
        <v>2769</v>
      </c>
    </row>
    <row r="6" spans="1:53" x14ac:dyDescent="0.25">
      <c r="A6" s="14">
        <v>3</v>
      </c>
      <c r="B6" s="14" t="s">
        <v>17</v>
      </c>
      <c r="C6" s="14" t="s">
        <v>18</v>
      </c>
      <c r="D6" s="4" t="s">
        <v>23</v>
      </c>
      <c r="E6" s="4" t="s">
        <v>24</v>
      </c>
      <c r="F6" s="491">
        <v>338550.89971950202</v>
      </c>
      <c r="G6" s="492">
        <v>146295.6365761818</v>
      </c>
      <c r="H6" s="493">
        <v>484846.53629568382</v>
      </c>
      <c r="I6" s="493"/>
      <c r="J6" s="4"/>
      <c r="K6" s="4"/>
      <c r="L6" s="493">
        <v>484846.53629568382</v>
      </c>
      <c r="M6" s="493">
        <v>1487587.4897634543</v>
      </c>
      <c r="N6" s="493">
        <v>325.92808129408292</v>
      </c>
      <c r="O6" s="493">
        <v>461725.4418771104</v>
      </c>
      <c r="P6" s="10">
        <v>5.0075417816649592E-2</v>
      </c>
      <c r="Q6" s="494">
        <v>5.2876884647695244E-2</v>
      </c>
      <c r="R6" s="493">
        <v>510483.7106672253</v>
      </c>
      <c r="S6" s="493">
        <v>486140.04480615241</v>
      </c>
      <c r="T6" s="10">
        <v>5.0075417816649814E-2</v>
      </c>
      <c r="U6" s="251">
        <v>-1.15E-2</v>
      </c>
      <c r="V6" s="493">
        <v>504613</v>
      </c>
      <c r="W6" s="493">
        <v>-5870.7106672252994</v>
      </c>
      <c r="X6" s="493">
        <v>337.77943964620022</v>
      </c>
      <c r="Y6" s="10">
        <v>3.7999246083942007E-2</v>
      </c>
      <c r="Z6" s="495">
        <v>0.31246519477523338</v>
      </c>
      <c r="AA6" s="496">
        <v>157673.99933111484</v>
      </c>
      <c r="AB6" s="495">
        <v>7.7776501208276949E-2</v>
      </c>
      <c r="AC6" s="496">
        <v>105.54431840011912</v>
      </c>
      <c r="AD6" s="497">
        <v>346939.00066888519</v>
      </c>
      <c r="AE6" s="497">
        <v>1493912.715731147</v>
      </c>
      <c r="AF6" s="497">
        <v>232.23512124608109</v>
      </c>
      <c r="AG6" s="498">
        <v>2.4776483997924537E-2</v>
      </c>
      <c r="AH6" s="499">
        <v>344644.81591445307</v>
      </c>
      <c r="AI6" s="499">
        <v>230.69943262768058</v>
      </c>
      <c r="AJ6" s="498">
        <v>1.8000000000000016E-2</v>
      </c>
      <c r="AK6" s="486">
        <v>502318.81524556794</v>
      </c>
      <c r="AL6" s="500">
        <v>3.6036720161755742E-2</v>
      </c>
      <c r="AM6" s="500">
        <v>3.3280061192792365E-2</v>
      </c>
      <c r="AN6" s="501"/>
      <c r="AO6" s="502"/>
      <c r="AQ6" s="486">
        <v>502318.7957187437</v>
      </c>
      <c r="AR6" s="486">
        <v>502318.92572970374</v>
      </c>
      <c r="AS6" s="486">
        <v>502318.81524556794</v>
      </c>
      <c r="AT6" s="486">
        <v>0.13001096004154533</v>
      </c>
      <c r="AU6" s="486">
        <v>1.9526824238710105E-2</v>
      </c>
      <c r="AV6" s="500">
        <v>2.5882161119517524E-7</v>
      </c>
      <c r="AW6" s="500">
        <v>3.8873369671087292E-8</v>
      </c>
      <c r="AY6" s="69">
        <f t="shared" si="0"/>
        <v>17472.259423059877</v>
      </c>
      <c r="BA6" s="69">
        <f t="shared" si="1"/>
        <v>0.13001096004154533</v>
      </c>
    </row>
    <row r="7" spans="1:53" x14ac:dyDescent="0.25">
      <c r="A7" s="14">
        <v>4</v>
      </c>
      <c r="B7" s="14" t="s">
        <v>17</v>
      </c>
      <c r="C7" s="14" t="s">
        <v>18</v>
      </c>
      <c r="D7" s="4" t="s">
        <v>25</v>
      </c>
      <c r="E7" s="4" t="s">
        <v>26</v>
      </c>
      <c r="F7" s="491">
        <v>483559.027201947</v>
      </c>
      <c r="G7" s="492">
        <v>213473.28510783444</v>
      </c>
      <c r="H7" s="493">
        <v>697032.31230978144</v>
      </c>
      <c r="I7" s="493"/>
      <c r="J7" s="4"/>
      <c r="K7" s="4"/>
      <c r="L7" s="493">
        <v>697032.31230978144</v>
      </c>
      <c r="M7" s="493">
        <v>2629900.5115979468</v>
      </c>
      <c r="N7" s="493">
        <v>265.04132351617341</v>
      </c>
      <c r="O7" s="493">
        <v>772062.39396838204</v>
      </c>
      <c r="P7" s="10">
        <v>-9.7181370631132302E-2</v>
      </c>
      <c r="Q7" s="494">
        <v>5.2350708972051407E-2</v>
      </c>
      <c r="R7" s="493">
        <v>733522.44803562691</v>
      </c>
      <c r="S7" s="493">
        <v>812480.4076632862</v>
      </c>
      <c r="T7" s="10">
        <v>-9.7181370631132302E-2</v>
      </c>
      <c r="U7" s="251">
        <v>1.4354707626459721E-3</v>
      </c>
      <c r="V7" s="493">
        <v>734575</v>
      </c>
      <c r="W7" s="493">
        <v>1052.551964373095</v>
      </c>
      <c r="X7" s="493">
        <v>278.46504775458118</v>
      </c>
      <c r="Y7" s="10">
        <v>-9.5885890820855746E-2</v>
      </c>
      <c r="Z7" s="495">
        <v>0.31715035024755883</v>
      </c>
      <c r="AA7" s="496">
        <v>232970.71853310053</v>
      </c>
      <c r="AB7" s="495">
        <v>9.1334301692209907E-2</v>
      </c>
      <c r="AC7" s="496">
        <v>88.31528742706864</v>
      </c>
      <c r="AD7" s="497">
        <v>501604.2814668995</v>
      </c>
      <c r="AE7" s="497">
        <v>2637943.2748321104</v>
      </c>
      <c r="AF7" s="497">
        <v>190.14976032751261</v>
      </c>
      <c r="AG7" s="498">
        <v>3.7317583272861388E-2</v>
      </c>
      <c r="AH7" s="499">
        <v>501604.2814668995</v>
      </c>
      <c r="AI7" s="499">
        <v>190.14976032751261</v>
      </c>
      <c r="AJ7" s="498">
        <v>3.7317583272861388E-2</v>
      </c>
      <c r="AK7" s="486">
        <v>734575</v>
      </c>
      <c r="AL7" s="500">
        <v>5.3860756563511414E-2</v>
      </c>
      <c r="AM7" s="500">
        <v>-9.5885890820855746E-2</v>
      </c>
      <c r="AN7" s="501"/>
      <c r="AO7" s="502"/>
      <c r="AQ7" s="486">
        <v>730486</v>
      </c>
      <c r="AR7" s="486">
        <v>732531</v>
      </c>
      <c r="AS7" s="486">
        <v>734575</v>
      </c>
      <c r="AT7" s="486">
        <v>2045</v>
      </c>
      <c r="AU7" s="486">
        <v>4089</v>
      </c>
      <c r="AV7" s="500">
        <v>2.7995060822520899E-3</v>
      </c>
      <c r="AW7" s="500">
        <v>5.5976432128747164E-3</v>
      </c>
      <c r="AY7" s="69">
        <f t="shared" si="0"/>
        <v>33453.687690218561</v>
      </c>
      <c r="BA7" s="69">
        <f t="shared" si="1"/>
        <v>2045</v>
      </c>
    </row>
    <row r="8" spans="1:53" x14ac:dyDescent="0.25">
      <c r="A8" s="14">
        <v>5</v>
      </c>
      <c r="B8" s="51" t="s">
        <v>27</v>
      </c>
      <c r="C8" s="51" t="s">
        <v>28</v>
      </c>
      <c r="D8" s="4" t="s">
        <v>29</v>
      </c>
      <c r="E8" s="4" t="s">
        <v>30</v>
      </c>
      <c r="F8" s="491">
        <v>656461.58820716804</v>
      </c>
      <c r="G8" s="492">
        <v>285285.46328207728</v>
      </c>
      <c r="H8" s="493">
        <v>941747.05148924538</v>
      </c>
      <c r="I8" s="493"/>
      <c r="J8" s="4"/>
      <c r="K8" s="4"/>
      <c r="L8" s="493">
        <v>941747.05148924538</v>
      </c>
      <c r="M8" s="493">
        <v>2727995.2891305815</v>
      </c>
      <c r="N8" s="493">
        <v>345.21579096618689</v>
      </c>
      <c r="O8" s="493">
        <v>887624.7498719322</v>
      </c>
      <c r="P8" s="10">
        <v>6.0974304316234962E-2</v>
      </c>
      <c r="Q8" s="494">
        <v>5.3349478933212069E-2</v>
      </c>
      <c r="R8" s="493">
        <v>991988.76597308542</v>
      </c>
      <c r="S8" s="493">
        <v>934979.0677658224</v>
      </c>
      <c r="T8" s="10">
        <v>6.0974304316234962E-2</v>
      </c>
      <c r="U8" s="251">
        <v>-1.15E-2</v>
      </c>
      <c r="V8" s="493">
        <v>980581</v>
      </c>
      <c r="W8" s="493">
        <v>-11407.765973085421</v>
      </c>
      <c r="X8" s="493">
        <v>358.07194314817895</v>
      </c>
      <c r="Y8" s="10">
        <v>4.8773211942750416E-2</v>
      </c>
      <c r="Z8" s="495">
        <v>0.31370392075962811</v>
      </c>
      <c r="AA8" s="496">
        <v>307612.10432239692</v>
      </c>
      <c r="AB8" s="495">
        <v>7.8260703449316793E-2</v>
      </c>
      <c r="AC8" s="496">
        <v>112.32857247960241</v>
      </c>
      <c r="AD8" s="497">
        <v>672968.89567760308</v>
      </c>
      <c r="AE8" s="497">
        <v>2738502.7471817625</v>
      </c>
      <c r="AF8" s="497">
        <v>245.74337066857657</v>
      </c>
      <c r="AG8" s="498">
        <v>2.5145884796576423E-2</v>
      </c>
      <c r="AH8" s="499">
        <v>668277.89679489704</v>
      </c>
      <c r="AI8" s="499">
        <v>244.0303912357337</v>
      </c>
      <c r="AJ8" s="498">
        <v>1.8000000000000016E-2</v>
      </c>
      <c r="AK8" s="486">
        <v>975890.00111729396</v>
      </c>
      <c r="AL8" s="500">
        <v>3.6254904726334081E-2</v>
      </c>
      <c r="AM8" s="500">
        <v>4.3755988515582711E-2</v>
      </c>
      <c r="AN8" s="501"/>
      <c r="AO8" s="502"/>
      <c r="AQ8" s="486">
        <v>975889.81902537122</v>
      </c>
      <c r="AR8" s="486">
        <v>975889.99650678621</v>
      </c>
      <c r="AS8" s="486">
        <v>975890.00111729396</v>
      </c>
      <c r="AT8" s="486">
        <v>0.17748141498304904</v>
      </c>
      <c r="AU8" s="486">
        <v>0.18209192273207009</v>
      </c>
      <c r="AV8" s="500">
        <v>1.8186624301532431E-7</v>
      </c>
      <c r="AW8" s="500">
        <v>1.8659065724645711E-7</v>
      </c>
      <c r="AY8" s="69">
        <f t="shared" si="0"/>
        <v>34142.767536125844</v>
      </c>
      <c r="BA8" s="69">
        <f t="shared" si="1"/>
        <v>0.17748141498304904</v>
      </c>
    </row>
    <row r="9" spans="1:53" x14ac:dyDescent="0.25">
      <c r="A9" s="14">
        <v>6</v>
      </c>
      <c r="B9" s="14" t="s">
        <v>27</v>
      </c>
      <c r="C9" s="14" t="s">
        <v>28</v>
      </c>
      <c r="D9" s="4" t="s">
        <v>31</v>
      </c>
      <c r="E9" s="4" t="s">
        <v>8</v>
      </c>
      <c r="F9" s="491">
        <v>833679.61241630698</v>
      </c>
      <c r="G9" s="492">
        <v>283212.33324573527</v>
      </c>
      <c r="H9" s="493">
        <v>1116891.9456620421</v>
      </c>
      <c r="I9" s="493"/>
      <c r="J9" s="4"/>
      <c r="K9" s="4"/>
      <c r="L9" s="493">
        <v>1116891.9456620421</v>
      </c>
      <c r="M9" s="493">
        <v>3174138.2247730484</v>
      </c>
      <c r="N9" s="493">
        <v>351.87249784684479</v>
      </c>
      <c r="O9" s="493">
        <v>1026930.2315623323</v>
      </c>
      <c r="P9" s="10">
        <v>8.7602556955447275E-2</v>
      </c>
      <c r="Q9" s="494">
        <v>5.2554462980650696E-2</v>
      </c>
      <c r="R9" s="493">
        <v>1175589.6020737248</v>
      </c>
      <c r="S9" s="493">
        <v>1080899.9984006856</v>
      </c>
      <c r="T9" s="10">
        <v>8.7602556955447497E-2</v>
      </c>
      <c r="U9" s="251">
        <v>-1.15E-2</v>
      </c>
      <c r="V9" s="493">
        <v>1162070</v>
      </c>
      <c r="W9" s="493">
        <v>-13519.602073724847</v>
      </c>
      <c r="X9" s="493">
        <v>364.64245063607274</v>
      </c>
      <c r="Y9" s="10">
        <v>7.509482997447936E-2</v>
      </c>
      <c r="Z9" s="495">
        <v>0.26258842356611506</v>
      </c>
      <c r="AA9" s="496">
        <v>305146.12937347533</v>
      </c>
      <c r="AB9" s="495">
        <v>7.7446472321206272E-2</v>
      </c>
      <c r="AC9" s="496">
        <v>95.750886277811261</v>
      </c>
      <c r="AD9" s="497">
        <v>856923.87062652456</v>
      </c>
      <c r="AE9" s="497">
        <v>3186875.247171347</v>
      </c>
      <c r="AF9" s="497">
        <v>268.89156435826146</v>
      </c>
      <c r="AG9" s="498">
        <v>2.7881524105942024E-2</v>
      </c>
      <c r="AH9" s="499">
        <v>848685.84543980053</v>
      </c>
      <c r="AI9" s="499">
        <v>266.30657920892554</v>
      </c>
      <c r="AJ9" s="498">
        <v>1.8000000000000016E-2</v>
      </c>
      <c r="AK9" s="486">
        <v>1153831.974813276</v>
      </c>
      <c r="AL9" s="500">
        <v>3.3073950702847466E-2</v>
      </c>
      <c r="AM9" s="500">
        <v>6.7473380072626155E-2</v>
      </c>
      <c r="AN9" s="501"/>
      <c r="AO9" s="502"/>
      <c r="AQ9" s="486">
        <v>1153832.1556248425</v>
      </c>
      <c r="AR9" s="486">
        <v>1153831.9944283729</v>
      </c>
      <c r="AS9" s="486">
        <v>1153831.974813276</v>
      </c>
      <c r="AT9" s="486">
        <v>-0.16119646956212819</v>
      </c>
      <c r="AU9" s="486">
        <v>-0.18081156653352082</v>
      </c>
      <c r="AV9" s="500">
        <v>-1.3970530182948002E-7</v>
      </c>
      <c r="AW9" s="500">
        <v>-1.5670525877795866E-7</v>
      </c>
      <c r="AY9" s="69">
        <f t="shared" si="0"/>
        <v>36940.209962800378</v>
      </c>
      <c r="BA9" s="69">
        <f t="shared" si="1"/>
        <v>-0.16119646956212819</v>
      </c>
    </row>
    <row r="10" spans="1:53" x14ac:dyDescent="0.25">
      <c r="A10" s="14">
        <v>7</v>
      </c>
      <c r="B10" s="14" t="s">
        <v>27</v>
      </c>
      <c r="C10" s="14" t="s">
        <v>28</v>
      </c>
      <c r="D10" s="4" t="s">
        <v>32</v>
      </c>
      <c r="E10" s="4" t="s">
        <v>33</v>
      </c>
      <c r="F10" s="491">
        <v>423281.82473633997</v>
      </c>
      <c r="G10" s="492">
        <v>178553.38736999765</v>
      </c>
      <c r="H10" s="493">
        <v>601835.21210633765</v>
      </c>
      <c r="I10" s="493"/>
      <c r="J10" s="4"/>
      <c r="K10" s="4"/>
      <c r="L10" s="493">
        <v>601835.21210633765</v>
      </c>
      <c r="M10" s="493">
        <v>1820286.0427751455</v>
      </c>
      <c r="N10" s="493">
        <v>330.62672457170544</v>
      </c>
      <c r="O10" s="493">
        <v>633029.47029281431</v>
      </c>
      <c r="P10" s="10">
        <v>-4.927773452955897E-2</v>
      </c>
      <c r="Q10" s="494">
        <v>5.2384784732617318E-2</v>
      </c>
      <c r="R10" s="493">
        <v>633362.22013703722</v>
      </c>
      <c r="S10" s="493">
        <v>666190.58282350597</v>
      </c>
      <c r="T10" s="10">
        <v>-4.9277734529558748E-2</v>
      </c>
      <c r="U10" s="251">
        <v>7.278838187527142E-4</v>
      </c>
      <c r="V10" s="493">
        <v>633823</v>
      </c>
      <c r="W10" s="493">
        <v>460.77986296277959</v>
      </c>
      <c r="X10" s="493">
        <v>347.30601920867502</v>
      </c>
      <c r="Y10" s="10">
        <v>-4.8586070800224923E-2</v>
      </c>
      <c r="Z10" s="495">
        <v>0.30723102724660079</v>
      </c>
      <c r="AA10" s="496">
        <v>194730.09138252225</v>
      </c>
      <c r="AB10" s="495">
        <v>9.0598695722323708E-2</v>
      </c>
      <c r="AC10" s="496">
        <v>106.7031850504089</v>
      </c>
      <c r="AD10" s="497">
        <v>439092.90861747775</v>
      </c>
      <c r="AE10" s="497">
        <v>1824969.8103250389</v>
      </c>
      <c r="AF10" s="497">
        <v>240.60283415826615</v>
      </c>
      <c r="AG10" s="498">
        <v>3.7353561993800355E-2</v>
      </c>
      <c r="AH10" s="499">
        <v>439092.90861747775</v>
      </c>
      <c r="AI10" s="499">
        <v>240.60283415826615</v>
      </c>
      <c r="AJ10" s="498">
        <v>3.7353561993800355E-2</v>
      </c>
      <c r="AK10" s="486">
        <v>633823</v>
      </c>
      <c r="AL10" s="500">
        <v>5.3150409364898454E-2</v>
      </c>
      <c r="AM10" s="500">
        <v>-4.8586070800224923E-2</v>
      </c>
      <c r="AN10" s="501"/>
      <c r="AO10" s="502"/>
      <c r="AQ10" s="486">
        <v>630295</v>
      </c>
      <c r="AR10" s="486">
        <v>632059</v>
      </c>
      <c r="AS10" s="486">
        <v>633823</v>
      </c>
      <c r="AT10" s="486">
        <v>1764</v>
      </c>
      <c r="AU10" s="486">
        <v>3528</v>
      </c>
      <c r="AV10" s="500">
        <v>2.7986895025345275E-3</v>
      </c>
      <c r="AW10" s="500">
        <v>5.597379005069055E-3</v>
      </c>
      <c r="AY10" s="69">
        <f t="shared" si="0"/>
        <v>28459.787893662346</v>
      </c>
      <c r="BA10" s="69">
        <f t="shared" si="1"/>
        <v>1764</v>
      </c>
    </row>
    <row r="11" spans="1:53" x14ac:dyDescent="0.25">
      <c r="A11" s="14">
        <v>8</v>
      </c>
      <c r="B11" s="51" t="s">
        <v>34</v>
      </c>
      <c r="C11" s="51" t="s">
        <v>35</v>
      </c>
      <c r="D11" s="4" t="s">
        <v>36</v>
      </c>
      <c r="E11" s="4" t="s">
        <v>37</v>
      </c>
      <c r="F11" s="491">
        <v>410779.90850156202</v>
      </c>
      <c r="G11" s="492">
        <v>134182.18185765084</v>
      </c>
      <c r="H11" s="493">
        <v>544962.09035921283</v>
      </c>
      <c r="I11" s="493"/>
      <c r="J11" s="4"/>
      <c r="K11" s="4"/>
      <c r="L11" s="493">
        <v>544962.09035921283</v>
      </c>
      <c r="M11" s="493">
        <v>1575772.937408302</v>
      </c>
      <c r="N11" s="493">
        <v>345.83795508984969</v>
      </c>
      <c r="O11" s="493">
        <v>465992.61050089134</v>
      </c>
      <c r="P11" s="10">
        <v>0.16946509038724433</v>
      </c>
      <c r="Q11" s="494">
        <v>5.1412277473848134E-2</v>
      </c>
      <c r="R11" s="493">
        <v>572979.83256148896</v>
      </c>
      <c r="S11" s="493">
        <v>489950.35189272591</v>
      </c>
      <c r="T11" s="10">
        <v>0.16946509038724455</v>
      </c>
      <c r="U11" s="251">
        <v>-1.2222202616756772E-2</v>
      </c>
      <c r="V11" s="493">
        <v>565977</v>
      </c>
      <c r="W11" s="493">
        <v>-7002.8325614889618</v>
      </c>
      <c r="X11" s="493">
        <v>357.80556305206318</v>
      </c>
      <c r="Y11" s="10">
        <v>0.1551721471646581</v>
      </c>
      <c r="Z11" s="495">
        <v>0.25497824661306395</v>
      </c>
      <c r="AA11" s="496">
        <v>144311.82308332209</v>
      </c>
      <c r="AB11" s="495">
        <v>7.5491701546613887E-2</v>
      </c>
      <c r="AC11" s="496">
        <v>91.232635095415162</v>
      </c>
      <c r="AD11" s="497">
        <v>421665.17691667791</v>
      </c>
      <c r="AE11" s="497">
        <v>1581800.4481882425</v>
      </c>
      <c r="AF11" s="497">
        <v>266.57292795664802</v>
      </c>
      <c r="AG11" s="498">
        <v>2.6499028287004123E-2</v>
      </c>
      <c r="AH11" s="499">
        <v>418173.94685459015</v>
      </c>
      <c r="AI11" s="499">
        <v>264.36580374822682</v>
      </c>
      <c r="AJ11" s="498">
        <v>1.8000000000000016E-2</v>
      </c>
      <c r="AK11" s="486">
        <v>562485.76993791224</v>
      </c>
      <c r="AL11" s="500">
        <v>3.215577723424512E-2</v>
      </c>
      <c r="AM11" s="500">
        <v>0.1480464658612346</v>
      </c>
      <c r="AN11" s="501"/>
      <c r="AO11" s="502"/>
      <c r="AQ11" s="486">
        <v>562485.64730615623</v>
      </c>
      <c r="AR11" s="486">
        <v>562485.54758878238</v>
      </c>
      <c r="AS11" s="486">
        <v>562485.76993791224</v>
      </c>
      <c r="AT11" s="486">
        <v>-9.9717373843304813E-2</v>
      </c>
      <c r="AU11" s="486">
        <v>0.12263175600674003</v>
      </c>
      <c r="AV11" s="500">
        <v>-1.7727985473206126E-7</v>
      </c>
      <c r="AW11" s="500">
        <v>2.1801757359329134E-7</v>
      </c>
      <c r="AY11" s="69">
        <f t="shared" si="0"/>
        <v>17523.556946943398</v>
      </c>
      <c r="BA11" s="69">
        <f t="shared" si="1"/>
        <v>-9.9717373843304813E-2</v>
      </c>
    </row>
    <row r="12" spans="1:53" x14ac:dyDescent="0.25">
      <c r="A12" s="14">
        <v>9</v>
      </c>
      <c r="B12" s="14" t="s">
        <v>34</v>
      </c>
      <c r="C12" s="14" t="s">
        <v>35</v>
      </c>
      <c r="D12" s="4" t="s">
        <v>38</v>
      </c>
      <c r="E12" s="4" t="s">
        <v>39</v>
      </c>
      <c r="F12" s="491">
        <v>286749.12745323998</v>
      </c>
      <c r="G12" s="492">
        <v>126079.12107806749</v>
      </c>
      <c r="H12" s="493">
        <v>412828.24853130744</v>
      </c>
      <c r="I12" s="493"/>
      <c r="J12" s="4"/>
      <c r="K12" s="4"/>
      <c r="L12" s="493">
        <v>412828.24853130744</v>
      </c>
      <c r="M12" s="493">
        <v>1295518.3073457249</v>
      </c>
      <c r="N12" s="493">
        <v>318.65875317278648</v>
      </c>
      <c r="O12" s="493">
        <v>402614.85385812121</v>
      </c>
      <c r="P12" s="10">
        <v>2.536765490720172E-2</v>
      </c>
      <c r="Q12" s="494">
        <v>5.2763271884702867E-2</v>
      </c>
      <c r="R12" s="493">
        <v>434610.41765025049</v>
      </c>
      <c r="S12" s="493">
        <v>423858.13085705711</v>
      </c>
      <c r="T12" s="10">
        <v>2.536765490720172E-2</v>
      </c>
      <c r="U12" s="251">
        <v>-1.15E-2</v>
      </c>
      <c r="V12" s="493">
        <v>429612</v>
      </c>
      <c r="W12" s="493">
        <v>-4998.4176502504852</v>
      </c>
      <c r="X12" s="493">
        <v>329.97704641037382</v>
      </c>
      <c r="Y12" s="10">
        <v>1.3574988242665897E-2</v>
      </c>
      <c r="Z12" s="495">
        <v>0.31626296533402126</v>
      </c>
      <c r="AA12" s="496">
        <v>135870.36506307955</v>
      </c>
      <c r="AB12" s="495">
        <v>7.7659519683273892E-2</v>
      </c>
      <c r="AC12" s="496">
        <v>104.35951918990679</v>
      </c>
      <c r="AD12" s="497">
        <v>293741.63493692048</v>
      </c>
      <c r="AE12" s="497">
        <v>1301945.1039807047</v>
      </c>
      <c r="AF12" s="497">
        <v>225.61752722046708</v>
      </c>
      <c r="AG12" s="498">
        <v>2.4385453395392664E-2</v>
      </c>
      <c r="AH12" s="499">
        <v>291910.61174739833</v>
      </c>
      <c r="AI12" s="499">
        <v>224.21115210993148</v>
      </c>
      <c r="AJ12" s="498">
        <v>1.8000000000000016E-2</v>
      </c>
      <c r="AK12" s="486">
        <v>427780.97681047791</v>
      </c>
      <c r="AL12" s="500">
        <v>3.6220215870320871E-2</v>
      </c>
      <c r="AM12" s="500">
        <v>9.2550918994727116E-3</v>
      </c>
      <c r="AN12" s="501"/>
      <c r="AO12" s="502"/>
      <c r="AQ12" s="486">
        <v>427781.1178147145</v>
      </c>
      <c r="AR12" s="486">
        <v>427781.17428046948</v>
      </c>
      <c r="AS12" s="486">
        <v>427780.97681047791</v>
      </c>
      <c r="AT12" s="486">
        <v>5.6465754983946681E-2</v>
      </c>
      <c r="AU12" s="486">
        <v>-0.14100423658965155</v>
      </c>
      <c r="AV12" s="500">
        <v>1.3199683817835966E-7</v>
      </c>
      <c r="AW12" s="500">
        <v>-3.2961771971133366E-7</v>
      </c>
      <c r="AY12" s="69">
        <f t="shared" si="0"/>
        <v>14952.869283407053</v>
      </c>
      <c r="BA12" s="69">
        <f t="shared" si="1"/>
        <v>5.6465754983946681E-2</v>
      </c>
    </row>
    <row r="13" spans="1:53" x14ac:dyDescent="0.25">
      <c r="A13" s="14">
        <v>10</v>
      </c>
      <c r="B13" s="14" t="s">
        <v>34</v>
      </c>
      <c r="C13" s="14" t="s">
        <v>35</v>
      </c>
      <c r="D13" s="4" t="s">
        <v>40</v>
      </c>
      <c r="E13" s="4" t="s">
        <v>41</v>
      </c>
      <c r="F13" s="491">
        <v>217587.63253251501</v>
      </c>
      <c r="G13" s="492">
        <v>95467.567461257422</v>
      </c>
      <c r="H13" s="493">
        <v>313055.19999377243</v>
      </c>
      <c r="I13" s="493"/>
      <c r="J13" s="4"/>
      <c r="K13" s="4"/>
      <c r="L13" s="493">
        <v>313055.19999377243</v>
      </c>
      <c r="M13" s="493">
        <v>1062934.5628429083</v>
      </c>
      <c r="N13" s="493">
        <v>294.51972956498827</v>
      </c>
      <c r="O13" s="493">
        <v>311549.16418860533</v>
      </c>
      <c r="P13" s="10">
        <v>4.8340229353187603E-3</v>
      </c>
      <c r="Q13" s="494">
        <v>5.6147140481989544E-2</v>
      </c>
      <c r="R13" s="493">
        <v>330632.35428644012</v>
      </c>
      <c r="S13" s="493">
        <v>329041.75887734932</v>
      </c>
      <c r="T13" s="10">
        <v>4.8340229353189823E-3</v>
      </c>
      <c r="U13" s="251">
        <v>-4.8340229353189823E-3</v>
      </c>
      <c r="V13" s="493">
        <v>329034</v>
      </c>
      <c r="W13" s="493">
        <v>-1598.3542864401243</v>
      </c>
      <c r="X13" s="493">
        <v>306.66496738007845</v>
      </c>
      <c r="Y13" s="10">
        <v>-2.3580220868568702E-5</v>
      </c>
      <c r="Z13" s="495">
        <v>0.31579809641433515</v>
      </c>
      <c r="AA13" s="496">
        <v>103908.31085559435</v>
      </c>
      <c r="AB13" s="495">
        <v>8.8414773925839629E-2</v>
      </c>
      <c r="AC13" s="496">
        <v>96.844212935592935</v>
      </c>
      <c r="AD13" s="497">
        <v>225125.68914440562</v>
      </c>
      <c r="AE13" s="497">
        <v>1072942.901861358</v>
      </c>
      <c r="AF13" s="497">
        <v>209.82075444448546</v>
      </c>
      <c r="AG13" s="498">
        <v>3.4643773288742352E-2</v>
      </c>
      <c r="AH13" s="499">
        <v>225125.68914440562</v>
      </c>
      <c r="AI13" s="499">
        <v>209.82075444448546</v>
      </c>
      <c r="AJ13" s="498">
        <v>3.4643773288742352E-2</v>
      </c>
      <c r="AK13" s="486">
        <v>329034</v>
      </c>
      <c r="AL13" s="500">
        <v>5.1041477690022097E-2</v>
      </c>
      <c r="AM13" s="500">
        <v>-2.3580220868568702E-5</v>
      </c>
      <c r="AN13" s="501"/>
      <c r="AO13" s="502"/>
      <c r="AQ13" s="486">
        <v>327202</v>
      </c>
      <c r="AR13" s="486">
        <v>328118</v>
      </c>
      <c r="AS13" s="486">
        <v>329034</v>
      </c>
      <c r="AT13" s="486">
        <v>916</v>
      </c>
      <c r="AU13" s="486">
        <v>1832</v>
      </c>
      <c r="AV13" s="500">
        <v>2.7994938906241405E-3</v>
      </c>
      <c r="AW13" s="500">
        <v>5.5989877812482811E-3</v>
      </c>
      <c r="AY13" s="69">
        <f t="shared" si="0"/>
        <v>14146.800006227568</v>
      </c>
      <c r="BA13" s="69">
        <f t="shared" si="1"/>
        <v>916</v>
      </c>
    </row>
    <row r="14" spans="1:53" x14ac:dyDescent="0.25">
      <c r="A14" s="14">
        <v>11</v>
      </c>
      <c r="B14" s="14" t="s">
        <v>34</v>
      </c>
      <c r="C14" s="14" t="s">
        <v>35</v>
      </c>
      <c r="D14" s="4" t="s">
        <v>42</v>
      </c>
      <c r="E14" s="4" t="s">
        <v>43</v>
      </c>
      <c r="F14" s="491">
        <v>220334.603605059</v>
      </c>
      <c r="G14" s="492">
        <v>101767.4993358691</v>
      </c>
      <c r="H14" s="493">
        <v>322102.10294092807</v>
      </c>
      <c r="I14" s="493"/>
      <c r="J14" s="4"/>
      <c r="K14" s="4"/>
      <c r="L14" s="493">
        <v>322102.10294092807</v>
      </c>
      <c r="M14" s="493">
        <v>1115046.61883134</v>
      </c>
      <c r="N14" s="493">
        <v>288.86873203428701</v>
      </c>
      <c r="O14" s="493">
        <v>350328.11184992513</v>
      </c>
      <c r="P14" s="10">
        <v>-8.0570208196962034E-2</v>
      </c>
      <c r="Q14" s="494">
        <v>5.4023165300672193E-2</v>
      </c>
      <c r="R14" s="493">
        <v>339503.07809179998</v>
      </c>
      <c r="S14" s="493">
        <v>369253.94534586597</v>
      </c>
      <c r="T14" s="10">
        <v>-8.0570208196961812E-2</v>
      </c>
      <c r="U14" s="251">
        <v>1.1901064726286827E-3</v>
      </c>
      <c r="V14" s="493">
        <v>339907</v>
      </c>
      <c r="W14" s="493">
        <v>403.92190820001997</v>
      </c>
      <c r="X14" s="493">
        <v>303.53648839168153</v>
      </c>
      <c r="Y14" s="10">
        <v>-7.9476321690693963E-2</v>
      </c>
      <c r="Z14" s="495">
        <v>0.3271825371479411</v>
      </c>
      <c r="AA14" s="496">
        <v>111211.63465434521</v>
      </c>
      <c r="AB14" s="495">
        <v>9.2801094456562039E-2</v>
      </c>
      <c r="AC14" s="496">
        <v>99.311838388966933</v>
      </c>
      <c r="AD14" s="497">
        <v>228695.36534565478</v>
      </c>
      <c r="AE14" s="497">
        <v>1119822.5353433825</v>
      </c>
      <c r="AF14" s="497">
        <v>204.22465000271458</v>
      </c>
      <c r="AG14" s="498">
        <v>3.7945749799618955E-2</v>
      </c>
      <c r="AH14" s="499">
        <v>228695.36534565478</v>
      </c>
      <c r="AI14" s="499">
        <v>204.22465000271458</v>
      </c>
      <c r="AJ14" s="498">
        <v>3.7945749799618955E-2</v>
      </c>
      <c r="AK14" s="486">
        <v>339907</v>
      </c>
      <c r="AL14" s="500">
        <v>5.5277183528159801E-2</v>
      </c>
      <c r="AM14" s="500">
        <v>-7.9476321690693963E-2</v>
      </c>
      <c r="AN14" s="501"/>
      <c r="AO14" s="502"/>
      <c r="AQ14" s="486">
        <v>338015</v>
      </c>
      <c r="AR14" s="486">
        <v>338961</v>
      </c>
      <c r="AS14" s="486">
        <v>339907</v>
      </c>
      <c r="AT14" s="486">
        <v>946</v>
      </c>
      <c r="AU14" s="486">
        <v>1892</v>
      </c>
      <c r="AV14" s="500">
        <v>2.7986923657234149E-3</v>
      </c>
      <c r="AW14" s="500">
        <v>5.5973847314468297E-3</v>
      </c>
      <c r="AY14" s="69">
        <f t="shared" si="0"/>
        <v>15912.897059071925</v>
      </c>
      <c r="BA14" s="69">
        <f t="shared" si="1"/>
        <v>946</v>
      </c>
    </row>
    <row r="15" spans="1:53" x14ac:dyDescent="0.25">
      <c r="A15" s="14">
        <v>12</v>
      </c>
      <c r="B15" s="14" t="s">
        <v>34</v>
      </c>
      <c r="C15" s="14" t="s">
        <v>35</v>
      </c>
      <c r="D15" s="4" t="s">
        <v>44</v>
      </c>
      <c r="E15" s="4" t="s">
        <v>45</v>
      </c>
      <c r="F15" s="491">
        <v>166532.93561281278</v>
      </c>
      <c r="G15" s="492">
        <v>88264.187473495389</v>
      </c>
      <c r="H15" s="493">
        <v>254797.12308630819</v>
      </c>
      <c r="I15" s="493"/>
      <c r="J15" s="4"/>
      <c r="K15" s="4"/>
      <c r="L15" s="493">
        <v>254797.12308630819</v>
      </c>
      <c r="M15" s="493">
        <v>821213.64971055801</v>
      </c>
      <c r="N15" s="493">
        <v>310.26898198308453</v>
      </c>
      <c r="O15" s="493">
        <v>255274.02212638748</v>
      </c>
      <c r="P15" s="10">
        <v>-1.8681847690839026E-3</v>
      </c>
      <c r="Q15" s="494">
        <v>5.5616323410292212E-2</v>
      </c>
      <c r="R15" s="493">
        <v>268968.00228788832</v>
      </c>
      <c r="S15" s="493">
        <v>269471.42469921475</v>
      </c>
      <c r="T15" s="10">
        <v>-1.8681847690840137E-3</v>
      </c>
      <c r="U15" s="251">
        <v>2.759504828779959E-5</v>
      </c>
      <c r="V15" s="493">
        <v>268975</v>
      </c>
      <c r="W15" s="493">
        <v>6.9977121116826311</v>
      </c>
      <c r="X15" s="493">
        <v>325.63697090726646</v>
      </c>
      <c r="Y15" s="10">
        <v>-1.8422164790529161E-3</v>
      </c>
      <c r="Z15" s="495">
        <v>0.35872742541100161</v>
      </c>
      <c r="AA15" s="496">
        <v>96488.709249924155</v>
      </c>
      <c r="AB15" s="495">
        <v>9.318073401965532E-2</v>
      </c>
      <c r="AC15" s="496">
        <v>116.81491219220094</v>
      </c>
      <c r="AD15" s="497">
        <v>172486.29075007586</v>
      </c>
      <c r="AE15" s="497">
        <v>825996.50540477969</v>
      </c>
      <c r="AF15" s="497">
        <v>208.82205871506554</v>
      </c>
      <c r="AG15" s="498">
        <v>3.5748815183950011E-2</v>
      </c>
      <c r="AH15" s="499">
        <v>172486.29075007586</v>
      </c>
      <c r="AI15" s="499">
        <v>208.82205871506554</v>
      </c>
      <c r="AJ15" s="498">
        <v>3.5748815183950011E-2</v>
      </c>
      <c r="AK15" s="486">
        <v>268975</v>
      </c>
      <c r="AL15" s="500">
        <v>5.5643787268701894E-2</v>
      </c>
      <c r="AM15" s="500">
        <v>-1.8422164790529161E-3</v>
      </c>
      <c r="AN15" s="501"/>
      <c r="AO15" s="502"/>
      <c r="AQ15" s="486">
        <v>267478</v>
      </c>
      <c r="AR15" s="486">
        <v>268227</v>
      </c>
      <c r="AS15" s="486">
        <v>268975</v>
      </c>
      <c r="AT15" s="486">
        <v>749</v>
      </c>
      <c r="AU15" s="486">
        <v>1497</v>
      </c>
      <c r="AV15" s="500">
        <v>2.8002302993143362E-3</v>
      </c>
      <c r="AW15" s="500">
        <v>5.5967219733959427E-3</v>
      </c>
      <c r="AY15" s="69">
        <f t="shared" si="0"/>
        <v>12680.876913691813</v>
      </c>
      <c r="BA15" s="69">
        <f t="shared" si="1"/>
        <v>749</v>
      </c>
    </row>
    <row r="16" spans="1:53" x14ac:dyDescent="0.25">
      <c r="A16" s="14">
        <v>13</v>
      </c>
      <c r="B16" s="14" t="s">
        <v>34</v>
      </c>
      <c r="C16" s="14" t="s">
        <v>35</v>
      </c>
      <c r="D16" s="4" t="s">
        <v>46</v>
      </c>
      <c r="E16" s="4" t="s">
        <v>47</v>
      </c>
      <c r="F16" s="491">
        <v>264944.15775333234</v>
      </c>
      <c r="G16" s="492">
        <v>94846.66415394198</v>
      </c>
      <c r="H16" s="493">
        <v>359790.82190727431</v>
      </c>
      <c r="I16" s="493"/>
      <c r="J16" s="4"/>
      <c r="K16" s="4"/>
      <c r="L16" s="493">
        <v>359790.82190727431</v>
      </c>
      <c r="M16" s="493">
        <v>1196729.1771267892</v>
      </c>
      <c r="N16" s="493">
        <v>300.64514911476562</v>
      </c>
      <c r="O16" s="493">
        <v>331371.71101393778</v>
      </c>
      <c r="P16" s="10">
        <v>8.5762030821457724E-2</v>
      </c>
      <c r="Q16" s="494">
        <v>5.690643024802533E-2</v>
      </c>
      <c r="R16" s="493">
        <v>380265.23321802029</v>
      </c>
      <c r="S16" s="493">
        <v>350228.89217292122</v>
      </c>
      <c r="T16" s="10">
        <v>8.5762030821457724E-2</v>
      </c>
      <c r="U16" s="251">
        <v>-1.15E-2</v>
      </c>
      <c r="V16" s="493">
        <v>375892</v>
      </c>
      <c r="W16" s="493">
        <v>-4373.2332180202939</v>
      </c>
      <c r="X16" s="493">
        <v>311.69468471607263</v>
      </c>
      <c r="Y16" s="10">
        <v>7.3275244848754362E-2</v>
      </c>
      <c r="Z16" s="495">
        <v>0.27298988370019134</v>
      </c>
      <c r="AA16" s="496">
        <v>102614.71336383233</v>
      </c>
      <c r="AB16" s="495">
        <v>8.1901132519350606E-2</v>
      </c>
      <c r="AC16" s="496">
        <v>85.08949573060849</v>
      </c>
      <c r="AD16" s="497">
        <v>273277.28663616767</v>
      </c>
      <c r="AE16" s="497">
        <v>1205962.1752690638</v>
      </c>
      <c r="AF16" s="497">
        <v>226.60518898546417</v>
      </c>
      <c r="AG16" s="498">
        <v>3.1452397190028236E-2</v>
      </c>
      <c r="AH16" s="499">
        <v>269713.15259289235</v>
      </c>
      <c r="AI16" s="499">
        <v>223.64976126445782</v>
      </c>
      <c r="AJ16" s="498">
        <v>1.8000000000000016E-2</v>
      </c>
      <c r="AK16" s="486">
        <v>372327.86595672468</v>
      </c>
      <c r="AL16" s="500">
        <v>3.4845369270374071E-2</v>
      </c>
      <c r="AM16" s="500">
        <v>6.309865998403219E-2</v>
      </c>
      <c r="AN16" s="501"/>
      <c r="AO16" s="502"/>
      <c r="AQ16" s="486">
        <v>372327.97849870462</v>
      </c>
      <c r="AR16" s="486">
        <v>372327.89834997471</v>
      </c>
      <c r="AS16" s="486">
        <v>372327.86595672468</v>
      </c>
      <c r="AT16" s="486">
        <v>-8.01487299031578E-2</v>
      </c>
      <c r="AU16" s="486">
        <v>-0.11254197993548587</v>
      </c>
      <c r="AV16" s="500">
        <v>-2.1526378497348581E-7</v>
      </c>
      <c r="AW16" s="500">
        <v>-3.0226570774851779E-7</v>
      </c>
      <c r="AY16" s="69">
        <f t="shared" si="0"/>
        <v>12537.156591430306</v>
      </c>
      <c r="BA16" s="69">
        <f t="shared" si="1"/>
        <v>-8.01487299031578E-2</v>
      </c>
    </row>
    <row r="17" spans="1:53" x14ac:dyDescent="0.25">
      <c r="A17" s="14">
        <v>14</v>
      </c>
      <c r="B17" s="14" t="s">
        <v>34</v>
      </c>
      <c r="C17" s="14" t="s">
        <v>35</v>
      </c>
      <c r="D17" s="4" t="s">
        <v>48</v>
      </c>
      <c r="E17" s="4" t="s">
        <v>49</v>
      </c>
      <c r="F17" s="491">
        <v>165219.35948591257</v>
      </c>
      <c r="G17" s="492">
        <v>79397.900751294699</v>
      </c>
      <c r="H17" s="493">
        <v>244617.26023720729</v>
      </c>
      <c r="I17" s="493"/>
      <c r="J17" s="4"/>
      <c r="K17" s="4"/>
      <c r="L17" s="493">
        <v>244617.26023720729</v>
      </c>
      <c r="M17" s="493">
        <v>810765.05003801675</v>
      </c>
      <c r="N17" s="493">
        <v>301.71164904769535</v>
      </c>
      <c r="O17" s="493">
        <v>246950.74431256208</v>
      </c>
      <c r="P17" s="10">
        <v>-9.4491882656621007E-3</v>
      </c>
      <c r="Q17" s="494">
        <v>5.5533719530886927E-2</v>
      </c>
      <c r="R17" s="493">
        <v>258201.76655963433</v>
      </c>
      <c r="S17" s="493">
        <v>260664.83768515961</v>
      </c>
      <c r="T17" s="10">
        <v>-9.4491882656618786E-3</v>
      </c>
      <c r="U17" s="251">
        <v>1.3957442046767929E-4</v>
      </c>
      <c r="V17" s="493">
        <v>258238</v>
      </c>
      <c r="W17" s="493">
        <v>36.233440365671413</v>
      </c>
      <c r="X17" s="493">
        <v>316.72526225947774</v>
      </c>
      <c r="Y17" s="10">
        <v>-9.3101843221786718E-3</v>
      </c>
      <c r="Z17" s="495">
        <v>0.3361216566499784</v>
      </c>
      <c r="AA17" s="496">
        <v>86799.384369977124</v>
      </c>
      <c r="AB17" s="495">
        <v>9.3220142455236576E-2</v>
      </c>
      <c r="AC17" s="496">
        <v>106.45821985355452</v>
      </c>
      <c r="AD17" s="497">
        <v>171438.61563002289</v>
      </c>
      <c r="AE17" s="497">
        <v>815337.55204041186</v>
      </c>
      <c r="AF17" s="497">
        <v>210.26704240592321</v>
      </c>
      <c r="AG17" s="498">
        <v>3.764241771340715E-2</v>
      </c>
      <c r="AH17" s="499">
        <v>171438.61563002289</v>
      </c>
      <c r="AI17" s="499">
        <v>210.26704240592321</v>
      </c>
      <c r="AJ17" s="498">
        <v>3.764241771340715E-2</v>
      </c>
      <c r="AK17" s="486">
        <v>258238</v>
      </c>
      <c r="AL17" s="500">
        <v>5.5681842522414815E-2</v>
      </c>
      <c r="AM17" s="500">
        <v>-9.3101843221786718E-3</v>
      </c>
      <c r="AN17" s="501"/>
      <c r="AO17" s="502"/>
      <c r="AQ17" s="486">
        <v>256800</v>
      </c>
      <c r="AR17" s="486">
        <v>257519</v>
      </c>
      <c r="AS17" s="486">
        <v>258238</v>
      </c>
      <c r="AT17" s="486">
        <v>719</v>
      </c>
      <c r="AU17" s="486">
        <v>1438</v>
      </c>
      <c r="AV17" s="500">
        <v>2.7998442367601246E-3</v>
      </c>
      <c r="AW17" s="500">
        <v>5.5996884735202493E-3</v>
      </c>
      <c r="AY17" s="69">
        <f t="shared" si="0"/>
        <v>12182.739762792713</v>
      </c>
      <c r="BA17" s="69">
        <f t="shared" si="1"/>
        <v>719</v>
      </c>
    </row>
    <row r="18" spans="1:53" x14ac:dyDescent="0.25">
      <c r="A18" s="14">
        <v>15</v>
      </c>
      <c r="B18" s="14" t="s">
        <v>34</v>
      </c>
      <c r="C18" s="14" t="s">
        <v>35</v>
      </c>
      <c r="D18" s="4" t="s">
        <v>50</v>
      </c>
      <c r="E18" s="4" t="s">
        <v>51</v>
      </c>
      <c r="F18" s="491">
        <v>161848.85166701238</v>
      </c>
      <c r="G18" s="492">
        <v>65537.846735118539</v>
      </c>
      <c r="H18" s="493">
        <v>227386.69840213092</v>
      </c>
      <c r="I18" s="493"/>
      <c r="J18" s="4"/>
      <c r="K18" s="4"/>
      <c r="L18" s="493">
        <v>227386.69840213092</v>
      </c>
      <c r="M18" s="493">
        <v>819532.81733902346</v>
      </c>
      <c r="N18" s="493">
        <v>277.45892976005842</v>
      </c>
      <c r="O18" s="493">
        <v>251721.69411984814</v>
      </c>
      <c r="P18" s="10">
        <v>-9.6674209200781069E-2</v>
      </c>
      <c r="Q18" s="494">
        <v>5.76778340418449E-2</v>
      </c>
      <c r="R18" s="493">
        <v>240501.87065589207</v>
      </c>
      <c r="S18" s="493">
        <v>266240.45621802477</v>
      </c>
      <c r="T18" s="10">
        <v>-9.6674209200781069E-2</v>
      </c>
      <c r="U18" s="251">
        <v>1.4279794564369436E-3</v>
      </c>
      <c r="V18" s="493">
        <v>240845</v>
      </c>
      <c r="W18" s="493">
        <v>343.12934410793241</v>
      </c>
      <c r="X18" s="493">
        <v>291.74422732189629</v>
      </c>
      <c r="Y18" s="10">
        <v>-9.5385414293417514E-2</v>
      </c>
      <c r="Z18" s="495">
        <v>0.29847068726695519</v>
      </c>
      <c r="AA18" s="496">
        <v>71885.17267480983</v>
      </c>
      <c r="AB18" s="495">
        <v>9.6849778500428974E-2</v>
      </c>
      <c r="AC18" s="496">
        <v>87.07710003493321</v>
      </c>
      <c r="AD18" s="497">
        <v>168959.82732519018</v>
      </c>
      <c r="AE18" s="497">
        <v>825534.75765696436</v>
      </c>
      <c r="AF18" s="497">
        <v>204.66712728696314</v>
      </c>
      <c r="AG18" s="498">
        <v>4.3935904301674711E-2</v>
      </c>
      <c r="AH18" s="499">
        <v>168959.82732519018</v>
      </c>
      <c r="AI18" s="499">
        <v>204.66712728696314</v>
      </c>
      <c r="AJ18" s="498">
        <v>4.3935904301674711E-2</v>
      </c>
      <c r="AK18" s="486">
        <v>240845</v>
      </c>
      <c r="AL18" s="500">
        <v>5.918684642699823E-2</v>
      </c>
      <c r="AM18" s="500">
        <v>-9.5385414293417514E-2</v>
      </c>
      <c r="AN18" s="501"/>
      <c r="AO18" s="502"/>
      <c r="AQ18" s="486">
        <v>239505</v>
      </c>
      <c r="AR18" s="486">
        <v>240175</v>
      </c>
      <c r="AS18" s="486">
        <v>240845</v>
      </c>
      <c r="AT18" s="486">
        <v>670</v>
      </c>
      <c r="AU18" s="486">
        <v>1340</v>
      </c>
      <c r="AV18" s="500">
        <v>2.7974363791987639E-3</v>
      </c>
      <c r="AW18" s="500">
        <v>5.5948727583975278E-3</v>
      </c>
      <c r="AY18" s="69">
        <f t="shared" si="0"/>
        <v>12118.301597869082</v>
      </c>
      <c r="BA18" s="69">
        <f t="shared" si="1"/>
        <v>670</v>
      </c>
    </row>
    <row r="19" spans="1:53" x14ac:dyDescent="0.25">
      <c r="A19" s="14">
        <v>16</v>
      </c>
      <c r="B19" s="14" t="s">
        <v>34</v>
      </c>
      <c r="C19" s="14" t="s">
        <v>35</v>
      </c>
      <c r="D19" s="4" t="s">
        <v>52</v>
      </c>
      <c r="E19" s="4" t="s">
        <v>53</v>
      </c>
      <c r="F19" s="491">
        <v>284417.56187980756</v>
      </c>
      <c r="G19" s="492">
        <v>121263.93790013848</v>
      </c>
      <c r="H19" s="493">
        <v>405681.49977994605</v>
      </c>
      <c r="I19" s="493"/>
      <c r="J19" s="4"/>
      <c r="K19" s="4"/>
      <c r="L19" s="493">
        <v>405681.49977994605</v>
      </c>
      <c r="M19" s="493">
        <v>1249094.4773167758</v>
      </c>
      <c r="N19" s="493">
        <v>324.78047669492935</v>
      </c>
      <c r="O19" s="493">
        <v>386045.27316086693</v>
      </c>
      <c r="P19" s="10">
        <v>5.0865087553854327E-2</v>
      </c>
      <c r="Q19" s="494">
        <v>5.496543669040288E-2</v>
      </c>
      <c r="R19" s="493">
        <v>427979.96057256835</v>
      </c>
      <c r="S19" s="493">
        <v>407264.42018241988</v>
      </c>
      <c r="T19" s="10">
        <v>5.0865087553854327E-2</v>
      </c>
      <c r="U19" s="251">
        <v>-1.15E-2</v>
      </c>
      <c r="V19" s="493">
        <v>423058</v>
      </c>
      <c r="W19" s="493">
        <v>-4921.9605725683505</v>
      </c>
      <c r="X19" s="493">
        <v>336.78094363217224</v>
      </c>
      <c r="Y19" s="10">
        <v>3.8779670000403943E-2</v>
      </c>
      <c r="Z19" s="495">
        <v>0.30954303559855484</v>
      </c>
      <c r="AA19" s="496">
        <v>130954.65755425341</v>
      </c>
      <c r="AB19" s="495">
        <v>7.9914274778832395E-2</v>
      </c>
      <c r="AC19" s="496">
        <v>104.24819562364839</v>
      </c>
      <c r="AD19" s="497">
        <v>292103.34244574659</v>
      </c>
      <c r="AE19" s="497">
        <v>1256181.5268920276</v>
      </c>
      <c r="AF19" s="497">
        <v>232.53274800852387</v>
      </c>
      <c r="AG19" s="498">
        <v>2.7022876207577484E-2</v>
      </c>
      <c r="AH19" s="499">
        <v>289537.07799364411</v>
      </c>
      <c r="AI19" s="499">
        <v>230.48983908400578</v>
      </c>
      <c r="AJ19" s="498">
        <v>1.8000000000000016E-2</v>
      </c>
      <c r="AK19" s="486">
        <v>420491.73554789752</v>
      </c>
      <c r="AL19" s="500">
        <v>3.6507052394513906E-2</v>
      </c>
      <c r="AM19" s="500">
        <v>3.2478445722199156E-2</v>
      </c>
      <c r="AN19" s="501"/>
      <c r="AO19" s="502"/>
      <c r="AQ19" s="486">
        <v>420491.72322061559</v>
      </c>
      <c r="AR19" s="486">
        <v>420491.85433310911</v>
      </c>
      <c r="AS19" s="486">
        <v>420491.73554789752</v>
      </c>
      <c r="AT19" s="486">
        <v>0.13111249351641163</v>
      </c>
      <c r="AU19" s="486">
        <v>1.2327281932812184E-2</v>
      </c>
      <c r="AV19" s="500">
        <v>3.1180754881974698E-7</v>
      </c>
      <c r="AW19" s="500">
        <v>2.931634857969497E-8</v>
      </c>
      <c r="AY19" s="69">
        <f t="shared" si="0"/>
        <v>14810.223440669535</v>
      </c>
      <c r="BA19" s="69">
        <f t="shared" si="1"/>
        <v>0.13111249351641163</v>
      </c>
    </row>
    <row r="20" spans="1:53" x14ac:dyDescent="0.25">
      <c r="A20" s="14">
        <v>17</v>
      </c>
      <c r="B20" s="14" t="s">
        <v>34</v>
      </c>
      <c r="C20" s="14" t="s">
        <v>35</v>
      </c>
      <c r="D20" s="4" t="s">
        <v>54</v>
      </c>
      <c r="E20" s="4" t="s">
        <v>55</v>
      </c>
      <c r="F20" s="491">
        <v>104267.72502064651</v>
      </c>
      <c r="G20" s="492">
        <v>50204.010052273348</v>
      </c>
      <c r="H20" s="493">
        <v>154471.73507291987</v>
      </c>
      <c r="I20" s="493"/>
      <c r="J20" s="4"/>
      <c r="K20" s="4"/>
      <c r="L20" s="493">
        <v>154471.73507291987</v>
      </c>
      <c r="M20" s="493">
        <v>524267.47102407139</v>
      </c>
      <c r="N20" s="493">
        <v>294.64298971512466</v>
      </c>
      <c r="O20" s="493">
        <v>166986.00346393083</v>
      </c>
      <c r="P20" s="10">
        <v>-7.4942019878414867E-2</v>
      </c>
      <c r="Q20" s="494">
        <v>5.9638952873506623E-2</v>
      </c>
      <c r="R20" s="493">
        <v>163684.26760122253</v>
      </c>
      <c r="S20" s="493">
        <v>176944.87385505138</v>
      </c>
      <c r="T20" s="10">
        <v>-7.4942019878414756E-2</v>
      </c>
      <c r="U20" s="251">
        <v>1.1069722286324189E-3</v>
      </c>
      <c r="V20" s="493">
        <v>163865</v>
      </c>
      <c r="W20" s="493">
        <v>180.73239877747255</v>
      </c>
      <c r="X20" s="493">
        <v>309.91150635218099</v>
      </c>
      <c r="Y20" s="10">
        <v>-7.3920614765964232E-2</v>
      </c>
      <c r="Z20" s="495">
        <v>0.33656112928355292</v>
      </c>
      <c r="AA20" s="496">
        <v>55150.589450049396</v>
      </c>
      <c r="AB20" s="495">
        <v>9.8529567511152605E-2</v>
      </c>
      <c r="AC20" s="496">
        <v>104.30416655585702</v>
      </c>
      <c r="AD20" s="497">
        <v>108714.41054995061</v>
      </c>
      <c r="AE20" s="497">
        <v>528747.71230270201</v>
      </c>
      <c r="AF20" s="497">
        <v>205.60733979632397</v>
      </c>
      <c r="AG20" s="498">
        <v>4.2646806846736052E-2</v>
      </c>
      <c r="AH20" s="499">
        <v>108714.41054995061</v>
      </c>
      <c r="AI20" s="499">
        <v>205.60733979632397</v>
      </c>
      <c r="AJ20" s="498">
        <v>4.2646806846736052E-2</v>
      </c>
      <c r="AK20" s="486">
        <v>163865</v>
      </c>
      <c r="AL20" s="500">
        <v>6.0808955907991624E-2</v>
      </c>
      <c r="AM20" s="500">
        <v>-7.3920614765964232E-2</v>
      </c>
      <c r="AN20" s="501"/>
      <c r="AO20" s="502"/>
      <c r="AQ20" s="486">
        <v>162953</v>
      </c>
      <c r="AR20" s="486">
        <v>163409</v>
      </c>
      <c r="AS20" s="486">
        <v>163865</v>
      </c>
      <c r="AT20" s="486">
        <v>456</v>
      </c>
      <c r="AU20" s="486">
        <v>912</v>
      </c>
      <c r="AV20" s="500">
        <v>2.7983528993022529E-3</v>
      </c>
      <c r="AW20" s="500">
        <v>5.5967057986045059E-3</v>
      </c>
      <c r="AY20" s="69">
        <f t="shared" si="0"/>
        <v>8481.2649270801339</v>
      </c>
      <c r="BA20" s="69">
        <f t="shared" si="1"/>
        <v>456</v>
      </c>
    </row>
    <row r="21" spans="1:53" x14ac:dyDescent="0.25">
      <c r="A21" s="14">
        <v>18</v>
      </c>
      <c r="B21" s="14" t="s">
        <v>34</v>
      </c>
      <c r="C21" s="14" t="s">
        <v>35</v>
      </c>
      <c r="D21" s="4" t="s">
        <v>56</v>
      </c>
      <c r="E21" s="4" t="s">
        <v>57</v>
      </c>
      <c r="F21" s="491">
        <v>267217.54103889439</v>
      </c>
      <c r="G21" s="492">
        <v>122739.92886337009</v>
      </c>
      <c r="H21" s="493">
        <v>389957.46990226448</v>
      </c>
      <c r="I21" s="493"/>
      <c r="J21" s="4"/>
      <c r="K21" s="4"/>
      <c r="L21" s="493">
        <v>389957.46990226448</v>
      </c>
      <c r="M21" s="493">
        <v>1175827.7033264695</v>
      </c>
      <c r="N21" s="493">
        <v>331.64507759007313</v>
      </c>
      <c r="O21" s="493">
        <v>381147.36814734543</v>
      </c>
      <c r="P21" s="10">
        <v>2.3114686053697708E-2</v>
      </c>
      <c r="Q21" s="494">
        <v>5.2519788007255874E-2</v>
      </c>
      <c r="R21" s="493">
        <v>410437.95355337724</v>
      </c>
      <c r="S21" s="493">
        <v>401165.14712196757</v>
      </c>
      <c r="T21" s="10">
        <v>2.3114686053697486E-2</v>
      </c>
      <c r="U21" s="251">
        <v>-1.15E-2</v>
      </c>
      <c r="V21" s="493">
        <v>405718</v>
      </c>
      <c r="W21" s="493">
        <v>-4719.9535533772432</v>
      </c>
      <c r="X21" s="493">
        <v>343.79381339233942</v>
      </c>
      <c r="Y21" s="10">
        <v>1.1349073843267332E-2</v>
      </c>
      <c r="Z21" s="495">
        <v>0.3259441541666212</v>
      </c>
      <c r="AA21" s="496">
        <v>132241.41034017323</v>
      </c>
      <c r="AB21" s="495">
        <v>7.7411495711227518E-2</v>
      </c>
      <c r="AC21" s="496">
        <v>112.05758371388329</v>
      </c>
      <c r="AD21" s="497">
        <v>273476.58965982677</v>
      </c>
      <c r="AE21" s="497">
        <v>1180120.1307162335</v>
      </c>
      <c r="AF21" s="497">
        <v>231.73622967845614</v>
      </c>
      <c r="AG21" s="498">
        <v>2.3423045495435391E-2</v>
      </c>
      <c r="AH21" s="499">
        <v>272027.45677759446</v>
      </c>
      <c r="AI21" s="499">
        <v>230.50827597737589</v>
      </c>
      <c r="AJ21" s="498">
        <v>1.8000000000000016E-2</v>
      </c>
      <c r="AK21" s="486">
        <v>404268.86711776769</v>
      </c>
      <c r="AL21" s="500">
        <v>3.6699892475684726E-2</v>
      </c>
      <c r="AM21" s="500">
        <v>7.7367638192569199E-3</v>
      </c>
      <c r="AN21" s="501"/>
      <c r="AO21" s="502"/>
      <c r="AQ21" s="486">
        <v>404268.68257022917</v>
      </c>
      <c r="AR21" s="486">
        <v>404268.907959203</v>
      </c>
      <c r="AS21" s="486">
        <v>404268.86711776769</v>
      </c>
      <c r="AT21" s="486">
        <v>0.2253889738349244</v>
      </c>
      <c r="AU21" s="486">
        <v>0.18454753851983696</v>
      </c>
      <c r="AV21" s="500">
        <v>5.5752271583829663E-7</v>
      </c>
      <c r="AW21" s="500">
        <v>4.5649724175153622E-7</v>
      </c>
      <c r="AY21" s="69">
        <f t="shared" si="0"/>
        <v>14311.21266796469</v>
      </c>
      <c r="BA21" s="69">
        <f t="shared" si="1"/>
        <v>0.2253889738349244</v>
      </c>
    </row>
    <row r="22" spans="1:53" x14ac:dyDescent="0.25">
      <c r="A22" s="14">
        <v>19</v>
      </c>
      <c r="B22" s="51" t="s">
        <v>58</v>
      </c>
      <c r="C22" s="51" t="s">
        <v>59</v>
      </c>
      <c r="D22" s="4" t="s">
        <v>60</v>
      </c>
      <c r="E22" s="4" t="s">
        <v>61</v>
      </c>
      <c r="F22" s="491">
        <v>215401.3318750975</v>
      </c>
      <c r="G22" s="492">
        <v>97657.04703425942</v>
      </c>
      <c r="H22" s="493">
        <v>313058.37890935689</v>
      </c>
      <c r="I22" s="493"/>
      <c r="J22" s="4"/>
      <c r="K22" s="4"/>
      <c r="L22" s="493">
        <v>313058.37890935689</v>
      </c>
      <c r="M22" s="493">
        <v>1081772.6109554258</v>
      </c>
      <c r="N22" s="493">
        <v>289.39388531279462</v>
      </c>
      <c r="O22" s="493">
        <v>352197.72267391061</v>
      </c>
      <c r="P22" s="10">
        <v>-0.11112889506327583</v>
      </c>
      <c r="Q22" s="494">
        <v>5.3477696739288039E-2</v>
      </c>
      <c r="R22" s="493">
        <v>329800.0199583646</v>
      </c>
      <c r="S22" s="493">
        <v>371032.44567933376</v>
      </c>
      <c r="T22" s="10">
        <v>-0.1111288950632755</v>
      </c>
      <c r="U22" s="251">
        <v>1.6414903258977179E-3</v>
      </c>
      <c r="V22" s="493">
        <v>330341</v>
      </c>
      <c r="W22" s="493">
        <v>540.98004163539736</v>
      </c>
      <c r="X22" s="493">
        <v>304.49403193434654</v>
      </c>
      <c r="Y22" s="10">
        <v>-0.10967085534751719</v>
      </c>
      <c r="Z22" s="495">
        <v>0.32303741694306065</v>
      </c>
      <c r="AA22" s="496">
        <v>106712.5033503876</v>
      </c>
      <c r="AB22" s="495">
        <v>9.2727115872666133E-2</v>
      </c>
      <c r="AC22" s="496">
        <v>98.362965550649136</v>
      </c>
      <c r="AD22" s="497">
        <v>223628.49664961241</v>
      </c>
      <c r="AE22" s="497">
        <v>1084884.9742684823</v>
      </c>
      <c r="AF22" s="497">
        <v>206.13106638369743</v>
      </c>
      <c r="AG22" s="498">
        <v>3.8194586369992845E-2</v>
      </c>
      <c r="AH22" s="499">
        <v>223628.49664961241</v>
      </c>
      <c r="AI22" s="499">
        <v>206.13106638369743</v>
      </c>
      <c r="AJ22" s="498">
        <v>3.8194586369992845E-2</v>
      </c>
      <c r="AK22" s="486">
        <v>330341</v>
      </c>
      <c r="AL22" s="500">
        <v>5.5205745173960485E-2</v>
      </c>
      <c r="AM22" s="500">
        <v>-0.10967085534751719</v>
      </c>
      <c r="AN22" s="501"/>
      <c r="AO22" s="502"/>
      <c r="AQ22" s="486">
        <v>328503</v>
      </c>
      <c r="AR22" s="486">
        <v>329422</v>
      </c>
      <c r="AS22" s="486">
        <v>330341</v>
      </c>
      <c r="AT22" s="486">
        <v>919</v>
      </c>
      <c r="AU22" s="486">
        <v>1838</v>
      </c>
      <c r="AV22" s="500">
        <v>2.7975391396730014E-3</v>
      </c>
      <c r="AW22" s="500">
        <v>5.5950782793460028E-3</v>
      </c>
      <c r="AY22" s="69">
        <f t="shared" si="0"/>
        <v>15444.621090643108</v>
      </c>
      <c r="BA22" s="69">
        <f t="shared" si="1"/>
        <v>919</v>
      </c>
    </row>
    <row r="23" spans="1:53" x14ac:dyDescent="0.25">
      <c r="A23" s="14">
        <v>20</v>
      </c>
      <c r="B23" s="14" t="s">
        <v>58</v>
      </c>
      <c r="C23" s="14" t="s">
        <v>59</v>
      </c>
      <c r="D23" s="4" t="s">
        <v>62</v>
      </c>
      <c r="E23" s="4" t="s">
        <v>63</v>
      </c>
      <c r="F23" s="491">
        <v>225281.4780183362</v>
      </c>
      <c r="G23" s="492">
        <v>96534.13785101012</v>
      </c>
      <c r="H23" s="493">
        <v>321815.61586934631</v>
      </c>
      <c r="I23" s="493"/>
      <c r="J23" s="4"/>
      <c r="K23" s="4"/>
      <c r="L23" s="493">
        <v>321815.61586934631</v>
      </c>
      <c r="M23" s="493">
        <v>1018923.8499516812</v>
      </c>
      <c r="N23" s="493">
        <v>315.83873111283754</v>
      </c>
      <c r="O23" s="493">
        <v>289548.07963351405</v>
      </c>
      <c r="P23" s="10">
        <v>0.11144103002400785</v>
      </c>
      <c r="Q23" s="494">
        <v>5.4695328089934714E-2</v>
      </c>
      <c r="R23" s="493">
        <v>339417.4265637846</v>
      </c>
      <c r="S23" s="493">
        <v>305385.00684687955</v>
      </c>
      <c r="T23" s="10">
        <v>0.11144103002400807</v>
      </c>
      <c r="U23" s="251">
        <v>-1.1500510323681693E-2</v>
      </c>
      <c r="V23" s="493">
        <v>335514</v>
      </c>
      <c r="W23" s="493">
        <v>-3903.4265637845965</v>
      </c>
      <c r="X23" s="493">
        <v>328.14016007522753</v>
      </c>
      <c r="Y23" s="10">
        <v>9.8659045066436857E-2</v>
      </c>
      <c r="Z23" s="495">
        <v>0.31063356521406377</v>
      </c>
      <c r="AA23" s="496">
        <v>104221.90999923139</v>
      </c>
      <c r="AB23" s="495">
        <v>7.9637859925641097E-2</v>
      </c>
      <c r="AC23" s="496">
        <v>101.93134781408151</v>
      </c>
      <c r="AD23" s="497">
        <v>231292.09000076863</v>
      </c>
      <c r="AE23" s="497">
        <v>1022471.6167721805</v>
      </c>
      <c r="AF23" s="497">
        <v>226.20881226114602</v>
      </c>
      <c r="AG23" s="498">
        <v>2.6680453427881057E-2</v>
      </c>
      <c r="AH23" s="499">
        <v>229336.54462266626</v>
      </c>
      <c r="AI23" s="499">
        <v>224.2962453536403</v>
      </c>
      <c r="AJ23" s="498">
        <v>1.8000000000000016E-2</v>
      </c>
      <c r="AK23" s="486">
        <v>333558.45462189766</v>
      </c>
      <c r="AL23" s="500">
        <v>3.6489337911180808E-2</v>
      </c>
      <c r="AM23" s="500">
        <v>9.2255504177860104E-2</v>
      </c>
      <c r="AN23" s="501"/>
      <c r="AO23" s="502"/>
      <c r="AQ23" s="486">
        <v>333558.34374772524</v>
      </c>
      <c r="AR23" s="486">
        <v>333558.37524735404</v>
      </c>
      <c r="AS23" s="486">
        <v>333558.45462189766</v>
      </c>
      <c r="AT23" s="486">
        <v>3.1499628792516887E-2</v>
      </c>
      <c r="AU23" s="486">
        <v>0.11087417241651565</v>
      </c>
      <c r="AV23" s="500">
        <v>9.443513970779423E-8</v>
      </c>
      <c r="AW23" s="500">
        <v>3.3239813812114171E-7</v>
      </c>
      <c r="AY23" s="69">
        <f t="shared" si="0"/>
        <v>11742.727878378937</v>
      </c>
      <c r="BA23" s="69">
        <f t="shared" si="1"/>
        <v>3.1499628792516887E-2</v>
      </c>
    </row>
    <row r="24" spans="1:53" x14ac:dyDescent="0.25">
      <c r="A24" s="14">
        <v>21</v>
      </c>
      <c r="B24" s="14" t="s">
        <v>58</v>
      </c>
      <c r="C24" s="14" t="s">
        <v>59</v>
      </c>
      <c r="D24" s="4" t="s">
        <v>64</v>
      </c>
      <c r="E24" s="4" t="s">
        <v>65</v>
      </c>
      <c r="F24" s="491">
        <v>353396.97367806395</v>
      </c>
      <c r="G24" s="492">
        <v>155929.0304516154</v>
      </c>
      <c r="H24" s="493">
        <v>509326.00412967935</v>
      </c>
      <c r="I24" s="493"/>
      <c r="J24" s="4"/>
      <c r="K24" s="4"/>
      <c r="L24" s="493">
        <v>509326.00412967935</v>
      </c>
      <c r="M24" s="493">
        <v>1616951.7607857957</v>
      </c>
      <c r="N24" s="493">
        <v>314.991465102311</v>
      </c>
      <c r="O24" s="493">
        <v>517065.39012524346</v>
      </c>
      <c r="P24" s="10">
        <v>-1.4967905691172789E-2</v>
      </c>
      <c r="Q24" s="494">
        <v>5.2924651041438731E-2</v>
      </c>
      <c r="R24" s="493">
        <v>536281.90516457299</v>
      </c>
      <c r="S24" s="493">
        <v>544430.89546322729</v>
      </c>
      <c r="T24" s="10">
        <v>-1.4967905691172678E-2</v>
      </c>
      <c r="U24" s="251">
        <v>2.2109166456680466E-4</v>
      </c>
      <c r="V24" s="493">
        <v>536400</v>
      </c>
      <c r="W24" s="493">
        <v>118.09483542700764</v>
      </c>
      <c r="X24" s="493">
        <v>330.84399717998679</v>
      </c>
      <c r="Y24" s="10">
        <v>-1.4750991411672576E-2</v>
      </c>
      <c r="Z24" s="495">
        <v>0.31703389875217142</v>
      </c>
      <c r="AA24" s="496">
        <v>170056.98329066474</v>
      </c>
      <c r="AB24" s="495">
        <v>9.060501946385946E-2</v>
      </c>
      <c r="AC24" s="496">
        <v>104.88876230472361</v>
      </c>
      <c r="AD24" s="497">
        <v>366343.01670933521</v>
      </c>
      <c r="AE24" s="497">
        <v>1621307.9414228753</v>
      </c>
      <c r="AF24" s="497">
        <v>225.95523487526316</v>
      </c>
      <c r="AG24" s="498">
        <v>3.6633146278906237E-2</v>
      </c>
      <c r="AH24" s="499">
        <v>366343.01670933521</v>
      </c>
      <c r="AI24" s="499">
        <v>225.95523487526316</v>
      </c>
      <c r="AJ24" s="498">
        <v>3.6633146278906237E-2</v>
      </c>
      <c r="AK24" s="486">
        <v>536400</v>
      </c>
      <c r="AL24" s="500">
        <v>5.3156515965808282E-2</v>
      </c>
      <c r="AM24" s="500">
        <v>-1.4750991411672576E-2</v>
      </c>
      <c r="AN24" s="501"/>
      <c r="AO24" s="502"/>
      <c r="AQ24" s="486">
        <v>533415</v>
      </c>
      <c r="AR24" s="486">
        <v>534908</v>
      </c>
      <c r="AS24" s="486">
        <v>536400</v>
      </c>
      <c r="AT24" s="486">
        <v>1493</v>
      </c>
      <c r="AU24" s="486">
        <v>2985</v>
      </c>
      <c r="AV24" s="500">
        <v>2.7989464113307651E-3</v>
      </c>
      <c r="AW24" s="500">
        <v>5.5960181097269484E-3</v>
      </c>
      <c r="AY24" s="69">
        <f t="shared" si="0"/>
        <v>24088.99587032065</v>
      </c>
      <c r="BA24" s="69">
        <f t="shared" si="1"/>
        <v>1493</v>
      </c>
    </row>
    <row r="25" spans="1:53" x14ac:dyDescent="0.25">
      <c r="A25" s="14">
        <v>22</v>
      </c>
      <c r="B25" s="14" t="s">
        <v>58</v>
      </c>
      <c r="C25" s="14" t="s">
        <v>59</v>
      </c>
      <c r="D25" s="4" t="s">
        <v>66</v>
      </c>
      <c r="E25" s="4" t="s">
        <v>67</v>
      </c>
      <c r="F25" s="491">
        <v>264012.42820264836</v>
      </c>
      <c r="G25" s="492">
        <v>127875.16578077592</v>
      </c>
      <c r="H25" s="493">
        <v>391887.59398342425</v>
      </c>
      <c r="I25" s="493"/>
      <c r="J25" s="4"/>
      <c r="K25" s="4"/>
      <c r="L25" s="493">
        <v>391887.59398342425</v>
      </c>
      <c r="M25" s="493">
        <v>1260070.4582445947</v>
      </c>
      <c r="N25" s="493">
        <v>311.00450885053141</v>
      </c>
      <c r="O25" s="493">
        <v>408911.44752427546</v>
      </c>
      <c r="P25" s="10">
        <v>-4.1632127552116427E-2</v>
      </c>
      <c r="Q25" s="494">
        <v>5.3936428929825864E-2</v>
      </c>
      <c r="R25" s="493">
        <v>413024.61134479166</v>
      </c>
      <c r="S25" s="493">
        <v>430966.67075226072</v>
      </c>
      <c r="T25" s="10">
        <v>-4.1632127552116427E-2</v>
      </c>
      <c r="U25" s="251">
        <v>6.1495018540792378E-4</v>
      </c>
      <c r="V25" s="493">
        <v>413279</v>
      </c>
      <c r="W25" s="493">
        <v>254.38865520834224</v>
      </c>
      <c r="X25" s="493">
        <v>326.31274778153147</v>
      </c>
      <c r="Y25" s="10">
        <v>-4.1041853007766305E-2</v>
      </c>
      <c r="Z25" s="495">
        <v>0.33790861759443436</v>
      </c>
      <c r="AA25" s="496">
        <v>139650.53557081023</v>
      </c>
      <c r="AB25" s="495">
        <v>9.2084883864170575E-2</v>
      </c>
      <c r="AC25" s="496">
        <v>110.26388950629863</v>
      </c>
      <c r="AD25" s="497">
        <v>273628.46442918974</v>
      </c>
      <c r="AE25" s="497">
        <v>1266511.9668468882</v>
      </c>
      <c r="AF25" s="497">
        <v>216.04885827523285</v>
      </c>
      <c r="AG25" s="498">
        <v>3.6422664993484233E-2</v>
      </c>
      <c r="AH25" s="499">
        <v>273628.46442918974</v>
      </c>
      <c r="AI25" s="499">
        <v>216.04885827523285</v>
      </c>
      <c r="AJ25" s="498">
        <v>3.6422664993484233E-2</v>
      </c>
      <c r="AK25" s="486">
        <v>413279</v>
      </c>
      <c r="AL25" s="500">
        <v>5.4585565720869811E-2</v>
      </c>
      <c r="AM25" s="500">
        <v>-4.1041853007766305E-2</v>
      </c>
      <c r="AN25" s="501"/>
      <c r="AO25" s="502"/>
      <c r="AQ25" s="486">
        <v>410978</v>
      </c>
      <c r="AR25" s="486">
        <v>412128</v>
      </c>
      <c r="AS25" s="486">
        <v>413279</v>
      </c>
      <c r="AT25" s="486">
        <v>1150</v>
      </c>
      <c r="AU25" s="486">
        <v>2301</v>
      </c>
      <c r="AV25" s="500">
        <v>2.7982033101528548E-3</v>
      </c>
      <c r="AW25" s="500">
        <v>5.5988398405754083E-3</v>
      </c>
      <c r="AY25" s="69">
        <f t="shared" si="0"/>
        <v>19090.406016575755</v>
      </c>
      <c r="BA25" s="69">
        <f t="shared" si="1"/>
        <v>1150</v>
      </c>
    </row>
    <row r="26" spans="1:53" x14ac:dyDescent="0.25">
      <c r="A26" s="14">
        <v>23</v>
      </c>
      <c r="B26" s="14" t="s">
        <v>58</v>
      </c>
      <c r="C26" s="14" t="s">
        <v>59</v>
      </c>
      <c r="D26" s="4" t="s">
        <v>68</v>
      </c>
      <c r="E26" s="4" t="s">
        <v>69</v>
      </c>
      <c r="F26" s="491">
        <v>212340.75368856272</v>
      </c>
      <c r="G26" s="492">
        <v>117451.84689111999</v>
      </c>
      <c r="H26" s="493">
        <v>329792.60057968274</v>
      </c>
      <c r="I26" s="493"/>
      <c r="J26" s="4"/>
      <c r="K26" s="4"/>
      <c r="L26" s="493">
        <v>329792.60057968274</v>
      </c>
      <c r="M26" s="493">
        <v>1088059.4525075634</v>
      </c>
      <c r="N26" s="493">
        <v>303.10163642219749</v>
      </c>
      <c r="O26" s="493">
        <v>362631.50583898759</v>
      </c>
      <c r="P26" s="10">
        <v>-9.0557231598860866E-2</v>
      </c>
      <c r="Q26" s="494">
        <v>5.5678539151365669E-2</v>
      </c>
      <c r="R26" s="493">
        <v>348154.97080288932</v>
      </c>
      <c r="S26" s="493">
        <v>382822.29833436228</v>
      </c>
      <c r="T26" s="10">
        <v>-9.0557231598860644E-2</v>
      </c>
      <c r="U26" s="251">
        <v>1.3376252821102018E-3</v>
      </c>
      <c r="V26" s="493">
        <v>348621</v>
      </c>
      <c r="W26" s="493">
        <v>466.02919711067807</v>
      </c>
      <c r="X26" s="493">
        <v>318.61629967226395</v>
      </c>
      <c r="Y26" s="10">
        <v>-8.9339880365303048E-2</v>
      </c>
      <c r="Z26" s="495">
        <v>0.36880221101145222</v>
      </c>
      <c r="AA26" s="496">
        <v>128572.19560502349</v>
      </c>
      <c r="AB26" s="495">
        <v>9.4680066838048749E-2</v>
      </c>
      <c r="AC26" s="496">
        <v>117.5063957834184</v>
      </c>
      <c r="AD26" s="497">
        <v>220048.80439497653</v>
      </c>
      <c r="AE26" s="497">
        <v>1094171.8937750503</v>
      </c>
      <c r="AF26" s="497">
        <v>201.10990388884559</v>
      </c>
      <c r="AG26" s="498">
        <v>3.6300383098946343E-2</v>
      </c>
      <c r="AH26" s="499">
        <v>220048.80439497653</v>
      </c>
      <c r="AI26" s="499">
        <v>201.10990388884559</v>
      </c>
      <c r="AJ26" s="498">
        <v>3.6300383098946343E-2</v>
      </c>
      <c r="AK26" s="486">
        <v>348621</v>
      </c>
      <c r="AL26" s="500">
        <v>5.7091636947651958E-2</v>
      </c>
      <c r="AM26" s="500">
        <v>-8.9339880365303048E-2</v>
      </c>
      <c r="AN26" s="501"/>
      <c r="AO26" s="502"/>
      <c r="AQ26" s="486">
        <v>346680</v>
      </c>
      <c r="AR26" s="486">
        <v>347650</v>
      </c>
      <c r="AS26" s="486">
        <v>348621</v>
      </c>
      <c r="AT26" s="486">
        <v>970</v>
      </c>
      <c r="AU26" s="486">
        <v>1941</v>
      </c>
      <c r="AV26" s="500">
        <v>2.7979693088727355E-3</v>
      </c>
      <c r="AW26" s="500">
        <v>5.5988231221876083E-3</v>
      </c>
      <c r="AY26" s="69">
        <f t="shared" si="0"/>
        <v>16887.399420317262</v>
      </c>
      <c r="BA26" s="69">
        <f t="shared" si="1"/>
        <v>970</v>
      </c>
    </row>
    <row r="27" spans="1:53" x14ac:dyDescent="0.25">
      <c r="A27" s="14">
        <v>24</v>
      </c>
      <c r="B27" s="14" t="s">
        <v>58</v>
      </c>
      <c r="C27" s="14" t="s">
        <v>59</v>
      </c>
      <c r="D27" s="4" t="s">
        <v>70</v>
      </c>
      <c r="E27" s="4" t="s">
        <v>71</v>
      </c>
      <c r="F27" s="491">
        <v>214825.0295943963</v>
      </c>
      <c r="G27" s="492">
        <v>111070.02297750764</v>
      </c>
      <c r="H27" s="493">
        <v>325895.05257190391</v>
      </c>
      <c r="I27" s="493"/>
      <c r="J27" s="4"/>
      <c r="K27" s="4"/>
      <c r="L27" s="493">
        <v>325895.05257190391</v>
      </c>
      <c r="M27" s="493">
        <v>1053326.6979788165</v>
      </c>
      <c r="N27" s="493">
        <v>309.39598625692292</v>
      </c>
      <c r="O27" s="493">
        <v>346758.62199155206</v>
      </c>
      <c r="P27" s="10">
        <v>-6.0167413573804174E-2</v>
      </c>
      <c r="Q27" s="494">
        <v>5.455937609353656E-2</v>
      </c>
      <c r="R27" s="493">
        <v>343675.68331219727</v>
      </c>
      <c r="S27" s="493">
        <v>365677.55606246553</v>
      </c>
      <c r="T27" s="10">
        <v>-6.0167413573803952E-2</v>
      </c>
      <c r="U27" s="251">
        <v>8.88735798726794E-4</v>
      </c>
      <c r="V27" s="493">
        <v>343981</v>
      </c>
      <c r="W27" s="493">
        <v>305.31668780272594</v>
      </c>
      <c r="X27" s="493">
        <v>324.95922310941216</v>
      </c>
      <c r="Y27" s="10">
        <v>-5.9332479400948768E-2</v>
      </c>
      <c r="Z27" s="495">
        <v>0.35293413737519935</v>
      </c>
      <c r="AA27" s="496">
        <v>121402.63750845844</v>
      </c>
      <c r="AB27" s="495">
        <v>9.3027931875401038E-2</v>
      </c>
      <c r="AC27" s="496">
        <v>114.68920309023532</v>
      </c>
      <c r="AD27" s="497">
        <v>222578.36249154157</v>
      </c>
      <c r="AE27" s="497">
        <v>1058535.8886218881</v>
      </c>
      <c r="AF27" s="497">
        <v>210.27002001917685</v>
      </c>
      <c r="AG27" s="498">
        <v>3.6091385216071359E-2</v>
      </c>
      <c r="AH27" s="499">
        <v>222578.36249154157</v>
      </c>
      <c r="AI27" s="499">
        <v>210.27002001917685</v>
      </c>
      <c r="AJ27" s="498">
        <v>3.6091385216071359E-2</v>
      </c>
      <c r="AK27" s="486">
        <v>343981</v>
      </c>
      <c r="AL27" s="500">
        <v>5.5496231947570474E-2</v>
      </c>
      <c r="AM27" s="500">
        <v>-5.9332479400948768E-2</v>
      </c>
      <c r="AN27" s="501"/>
      <c r="AO27" s="502"/>
      <c r="AQ27" s="486">
        <v>342066</v>
      </c>
      <c r="AR27" s="486">
        <v>343024</v>
      </c>
      <c r="AS27" s="486">
        <v>343981</v>
      </c>
      <c r="AT27" s="486">
        <v>958</v>
      </c>
      <c r="AU27" s="486">
        <v>1915</v>
      </c>
      <c r="AV27" s="500">
        <v>2.800629118357276E-3</v>
      </c>
      <c r="AW27" s="500">
        <v>5.5983348242736779E-3</v>
      </c>
      <c r="AY27" s="69">
        <f t="shared" si="0"/>
        <v>16170.947428096086</v>
      </c>
      <c r="BA27" s="69">
        <f t="shared" si="1"/>
        <v>958</v>
      </c>
    </row>
    <row r="28" spans="1:53" x14ac:dyDescent="0.25">
      <c r="A28" s="14">
        <v>25</v>
      </c>
      <c r="B28" s="51" t="s">
        <v>72</v>
      </c>
      <c r="C28" s="51" t="s">
        <v>73</v>
      </c>
      <c r="D28" s="4" t="s">
        <v>74</v>
      </c>
      <c r="E28" s="4" t="s">
        <v>75</v>
      </c>
      <c r="F28" s="491">
        <v>519117.57979195454</v>
      </c>
      <c r="G28" s="492">
        <v>175431.34680375853</v>
      </c>
      <c r="H28" s="493">
        <v>694548.92659571301</v>
      </c>
      <c r="I28" s="493"/>
      <c r="J28" s="4"/>
      <c r="K28" s="4"/>
      <c r="L28" s="493">
        <v>694548.92659571301</v>
      </c>
      <c r="M28" s="493">
        <v>1756250.1210873972</v>
      </c>
      <c r="N28" s="493">
        <v>395.47267115100732</v>
      </c>
      <c r="O28" s="493">
        <v>566567.54444987886</v>
      </c>
      <c r="P28" s="10">
        <v>0.22588901076234524</v>
      </c>
      <c r="Q28" s="494">
        <v>5.6784632308902738E-2</v>
      </c>
      <c r="R28" s="493">
        <v>733988.63201299368</v>
      </c>
      <c r="S28" s="493">
        <v>598739.87413962302</v>
      </c>
      <c r="T28" s="10">
        <v>0.22588901076234547</v>
      </c>
      <c r="U28" s="251">
        <v>-1.2923992671173451E-2</v>
      </c>
      <c r="V28" s="493">
        <v>724503</v>
      </c>
      <c r="W28" s="493">
        <v>-9485.6320129936794</v>
      </c>
      <c r="X28" s="493">
        <v>410.98920908510229</v>
      </c>
      <c r="Y28" s="10">
        <v>0.21004635116559767</v>
      </c>
      <c r="Z28" s="495">
        <v>0.26156457569516872</v>
      </c>
      <c r="AA28" s="496">
        <v>189504.31978487683</v>
      </c>
      <c r="AB28" s="495">
        <v>8.0219260910427082E-2</v>
      </c>
      <c r="AC28" s="496">
        <v>107.50021808963777</v>
      </c>
      <c r="AD28" s="497">
        <v>534998.68021512311</v>
      </c>
      <c r="AE28" s="497">
        <v>1762827.3054000777</v>
      </c>
      <c r="AF28" s="497">
        <v>303.48899099546452</v>
      </c>
      <c r="AG28" s="498">
        <v>3.0592492031445317E-2</v>
      </c>
      <c r="AH28" s="499">
        <v>528461.69622820977</v>
      </c>
      <c r="AI28" s="499">
        <v>299.78075254982178</v>
      </c>
      <c r="AJ28" s="498">
        <v>1.8000000000000016E-2</v>
      </c>
      <c r="AK28" s="486">
        <v>717966.01601308654</v>
      </c>
      <c r="AL28" s="500">
        <v>3.3715536113706035E-2</v>
      </c>
      <c r="AM28" s="500">
        <v>0.19912844796713935</v>
      </c>
      <c r="AN28" s="501"/>
      <c r="AO28" s="502"/>
      <c r="AQ28" s="486">
        <v>717966.00541809294</v>
      </c>
      <c r="AR28" s="486">
        <v>717965.83577681077</v>
      </c>
      <c r="AS28" s="486">
        <v>717966.01601308654</v>
      </c>
      <c r="AT28" s="486">
        <v>-0.16964128217659891</v>
      </c>
      <c r="AU28" s="486">
        <v>1.0594993596896529E-2</v>
      </c>
      <c r="AV28" s="500">
        <v>-2.3628038221365612E-7</v>
      </c>
      <c r="AW28" s="500">
        <v>1.4756957177557103E-8</v>
      </c>
      <c r="AY28" s="69">
        <f t="shared" si="0"/>
        <v>23417.078822379932</v>
      </c>
      <c r="BA28" s="69">
        <f t="shared" si="1"/>
        <v>-0.16964128217659891</v>
      </c>
    </row>
    <row r="29" spans="1:53" x14ac:dyDescent="0.25">
      <c r="A29" s="14">
        <v>26</v>
      </c>
      <c r="B29" s="14" t="s">
        <v>72</v>
      </c>
      <c r="C29" s="14" t="s">
        <v>73</v>
      </c>
      <c r="D29" s="4" t="s">
        <v>76</v>
      </c>
      <c r="E29" s="4" t="s">
        <v>77</v>
      </c>
      <c r="F29" s="491">
        <v>587091.44454259949</v>
      </c>
      <c r="G29" s="492">
        <v>190385.26054006696</v>
      </c>
      <c r="H29" s="493">
        <v>777476.70508266648</v>
      </c>
      <c r="I29" s="493"/>
      <c r="J29" s="4"/>
      <c r="K29" s="4"/>
      <c r="L29" s="493">
        <v>777476.70508266648</v>
      </c>
      <c r="M29" s="493">
        <v>2373322.3501459686</v>
      </c>
      <c r="N29" s="493">
        <v>327.5900153364538</v>
      </c>
      <c r="O29" s="493">
        <v>762851.98649754655</v>
      </c>
      <c r="P29" s="10">
        <v>1.917110900145369E-2</v>
      </c>
      <c r="Q29" s="494">
        <v>5.7744059395061997E-2</v>
      </c>
      <c r="R29" s="493">
        <v>822371.36611923703</v>
      </c>
      <c r="S29" s="493">
        <v>806902.15691550192</v>
      </c>
      <c r="T29" s="10">
        <v>1.917110900145369E-2</v>
      </c>
      <c r="U29" s="251">
        <v>-1.15E-2</v>
      </c>
      <c r="V29" s="493">
        <v>812914</v>
      </c>
      <c r="W29" s="493">
        <v>-9457.3661192370346</v>
      </c>
      <c r="X29" s="493">
        <v>340.80290585242318</v>
      </c>
      <c r="Y29" s="10">
        <v>7.4505230070014417E-3</v>
      </c>
      <c r="Z29" s="495">
        <v>0.25358321884959517</v>
      </c>
      <c r="AA29" s="496">
        <v>206141.34876789982</v>
      </c>
      <c r="AB29" s="495">
        <v>8.2758970852772284E-2</v>
      </c>
      <c r="AC29" s="496">
        <v>86.421897859353024</v>
      </c>
      <c r="AD29" s="497">
        <v>606772.65123210009</v>
      </c>
      <c r="AE29" s="497">
        <v>2385290.6945341998</v>
      </c>
      <c r="AF29" s="497">
        <v>254.38100799307011</v>
      </c>
      <c r="AG29" s="498">
        <v>3.3523238794314514E-2</v>
      </c>
      <c r="AH29" s="499">
        <v>597659.09054436628</v>
      </c>
      <c r="AI29" s="499">
        <v>250.56027423151346</v>
      </c>
      <c r="AJ29" s="498">
        <v>1.8000000000000016E-2</v>
      </c>
      <c r="AK29" s="486">
        <v>803800.43931226607</v>
      </c>
      <c r="AL29" s="500">
        <v>3.3857907327011993E-2</v>
      </c>
      <c r="AM29" s="500">
        <v>-3.8439822928378886E-3</v>
      </c>
      <c r="AN29" s="501"/>
      <c r="AO29" s="502"/>
      <c r="AQ29" s="486">
        <v>803800.46512646298</v>
      </c>
      <c r="AR29" s="486">
        <v>803800.53167664807</v>
      </c>
      <c r="AS29" s="486">
        <v>803800.43931226607</v>
      </c>
      <c r="AT29" s="486">
        <v>6.6550185088999569E-2</v>
      </c>
      <c r="AU29" s="486">
        <v>-2.581419690977782E-2</v>
      </c>
      <c r="AV29" s="500">
        <v>8.2794409777467767E-8</v>
      </c>
      <c r="AW29" s="500">
        <v>-3.211518035849412E-8</v>
      </c>
      <c r="AY29" s="69">
        <f t="shared" si="0"/>
        <v>26323.760043796501</v>
      </c>
      <c r="BA29" s="69">
        <f t="shared" si="1"/>
        <v>6.6550185088999569E-2</v>
      </c>
    </row>
    <row r="30" spans="1:53" x14ac:dyDescent="0.25">
      <c r="A30" s="14">
        <v>27</v>
      </c>
      <c r="B30" s="14" t="s">
        <v>72</v>
      </c>
      <c r="C30" s="14" t="s">
        <v>73</v>
      </c>
      <c r="D30" s="4" t="s">
        <v>78</v>
      </c>
      <c r="E30" s="4" t="s">
        <v>79</v>
      </c>
      <c r="F30" s="491">
        <v>618903.41749570286</v>
      </c>
      <c r="G30" s="492">
        <v>222666.03533366945</v>
      </c>
      <c r="H30" s="493">
        <v>841569.45282937237</v>
      </c>
      <c r="I30" s="493"/>
      <c r="J30" s="4"/>
      <c r="K30" s="4"/>
      <c r="L30" s="493">
        <v>841569.45282937237</v>
      </c>
      <c r="M30" s="493">
        <v>2772680.5400048918</v>
      </c>
      <c r="N30" s="493">
        <v>303.52196752817679</v>
      </c>
      <c r="O30" s="493">
        <v>855946.08207718923</v>
      </c>
      <c r="P30" s="10">
        <v>-1.6796185587914625E-2</v>
      </c>
      <c r="Q30" s="494">
        <v>5.4371410074159909E-2</v>
      </c>
      <c r="R30" s="493">
        <v>887326.77065504459</v>
      </c>
      <c r="S30" s="493">
        <v>902485.07750717842</v>
      </c>
      <c r="T30" s="10">
        <v>-1.6796185587914292E-2</v>
      </c>
      <c r="U30" s="251">
        <v>2.4809727604009298E-4</v>
      </c>
      <c r="V30" s="493">
        <v>887547</v>
      </c>
      <c r="W30" s="493">
        <v>220.22934495541267</v>
      </c>
      <c r="X30" s="493">
        <v>319.91218399333434</v>
      </c>
      <c r="Y30" s="10">
        <v>-1.6552160118192716E-2</v>
      </c>
      <c r="Z30" s="495">
        <v>0.27399244402731376</v>
      </c>
      <c r="AA30" s="496">
        <v>243181.17171911025</v>
      </c>
      <c r="AB30" s="495">
        <v>9.2134107272797472E-2</v>
      </c>
      <c r="AC30" s="496">
        <v>87.653521166449366</v>
      </c>
      <c r="AD30" s="497">
        <v>644365.82828088966</v>
      </c>
      <c r="AE30" s="497">
        <v>2774345.7248833412</v>
      </c>
      <c r="AF30" s="497">
        <v>232.25866282688494</v>
      </c>
      <c r="AG30" s="498">
        <v>4.1141170117005466E-2</v>
      </c>
      <c r="AH30" s="499">
        <v>644365.82828088966</v>
      </c>
      <c r="AI30" s="499">
        <v>232.25866282688494</v>
      </c>
      <c r="AJ30" s="498">
        <v>4.1141170117005466E-2</v>
      </c>
      <c r="AK30" s="486">
        <v>887546.99999999988</v>
      </c>
      <c r="AL30" s="500">
        <v>5.4633098927307833E-2</v>
      </c>
      <c r="AM30" s="500">
        <v>-1.6552160118192938E-2</v>
      </c>
      <c r="AN30" s="501"/>
      <c r="AO30" s="502"/>
      <c r="AQ30" s="486">
        <v>882606</v>
      </c>
      <c r="AR30" s="486">
        <v>885077</v>
      </c>
      <c r="AS30" s="486">
        <v>887546.99999999988</v>
      </c>
      <c r="AT30" s="486">
        <v>2471</v>
      </c>
      <c r="AU30" s="486">
        <v>4940.9999999998836</v>
      </c>
      <c r="AV30" s="500">
        <v>2.7996637231108784E-3</v>
      </c>
      <c r="AW30" s="500">
        <v>5.5981944378350971E-3</v>
      </c>
      <c r="AY30" s="69">
        <f t="shared" si="0"/>
        <v>41036.547170627629</v>
      </c>
      <c r="BA30" s="69">
        <f t="shared" si="1"/>
        <v>2471</v>
      </c>
    </row>
    <row r="31" spans="1:53" x14ac:dyDescent="0.25">
      <c r="A31" s="14">
        <v>28</v>
      </c>
      <c r="B31" s="14" t="s">
        <v>72</v>
      </c>
      <c r="C31" s="14" t="s">
        <v>73</v>
      </c>
      <c r="D31" s="4" t="s">
        <v>80</v>
      </c>
      <c r="E31" s="4" t="s">
        <v>81</v>
      </c>
      <c r="F31" s="491">
        <v>662181.49835869868</v>
      </c>
      <c r="G31" s="492">
        <v>200634.77557067154</v>
      </c>
      <c r="H31" s="493">
        <v>862816.27392937022</v>
      </c>
      <c r="I31" s="493"/>
      <c r="J31" s="4"/>
      <c r="K31" s="4"/>
      <c r="L31" s="493">
        <v>862816.27392937022</v>
      </c>
      <c r="M31" s="493">
        <v>2063560.5000813094</v>
      </c>
      <c r="N31" s="493">
        <v>418.120173309856</v>
      </c>
      <c r="O31" s="493">
        <v>689332.83993470273</v>
      </c>
      <c r="P31" s="10">
        <v>0.25166860469189412</v>
      </c>
      <c r="Q31" s="494">
        <v>5.6480480776663677E-2</v>
      </c>
      <c r="R31" s="493">
        <v>911548.5519028306</v>
      </c>
      <c r="S31" s="493">
        <v>728266.69014935743</v>
      </c>
      <c r="T31" s="10">
        <v>0.25166860469189456</v>
      </c>
      <c r="U31" s="251">
        <v>-1.3244634386715106E-2</v>
      </c>
      <c r="V31" s="493">
        <v>899475</v>
      </c>
      <c r="W31" s="493">
        <v>-12073.551902830601</v>
      </c>
      <c r="X31" s="493">
        <v>433.82237596894919</v>
      </c>
      <c r="Y31" s="10">
        <v>0.23509012861144329</v>
      </c>
      <c r="Z31" s="495">
        <v>0.24080331185551099</v>
      </c>
      <c r="AA31" s="496">
        <v>216596.55893123575</v>
      </c>
      <c r="AB31" s="495">
        <v>7.9556414460871139E-2</v>
      </c>
      <c r="AC31" s="496">
        <v>104.46586489034961</v>
      </c>
      <c r="AD31" s="497">
        <v>682878.44106876431</v>
      </c>
      <c r="AE31" s="497">
        <v>2073371.6143410266</v>
      </c>
      <c r="AF31" s="497">
        <v>329.35651107859957</v>
      </c>
      <c r="AG31" s="498">
        <v>3.1255694641673992E-2</v>
      </c>
      <c r="AH31" s="499">
        <v>674100.76532915526</v>
      </c>
      <c r="AI31" s="499">
        <v>325.12298358217981</v>
      </c>
      <c r="AJ31" s="498">
        <v>1.8000000000000016E-2</v>
      </c>
      <c r="AK31" s="486">
        <v>890697.32426039106</v>
      </c>
      <c r="AL31" s="500">
        <v>3.2314006090830016E-2</v>
      </c>
      <c r="AM31" s="500">
        <v>0.22303729706176911</v>
      </c>
      <c r="AN31" s="501"/>
      <c r="AO31" s="502"/>
      <c r="AQ31" s="486">
        <v>890697.31086524599</v>
      </c>
      <c r="AR31" s="486">
        <v>890697.38825018471</v>
      </c>
      <c r="AS31" s="486">
        <v>890697.32426039106</v>
      </c>
      <c r="AT31" s="486">
        <v>7.7384938718751073E-2</v>
      </c>
      <c r="AU31" s="486">
        <v>1.3395145069807768E-2</v>
      </c>
      <c r="AV31" s="500">
        <v>8.688129825336217E-8</v>
      </c>
      <c r="AW31" s="500">
        <v>1.5038941856460061E-8</v>
      </c>
      <c r="AY31" s="69">
        <f t="shared" si="0"/>
        <v>27881.036935875774</v>
      </c>
      <c r="BA31" s="69">
        <f t="shared" si="1"/>
        <v>7.7384938718751073E-2</v>
      </c>
    </row>
    <row r="32" spans="1:53" x14ac:dyDescent="0.25">
      <c r="A32" s="14">
        <v>29</v>
      </c>
      <c r="B32" s="14" t="s">
        <v>72</v>
      </c>
      <c r="C32" s="14" t="s">
        <v>73</v>
      </c>
      <c r="D32" s="4" t="s">
        <v>82</v>
      </c>
      <c r="E32" s="4" t="s">
        <v>83</v>
      </c>
      <c r="F32" s="491">
        <v>430252.11224097438</v>
      </c>
      <c r="G32" s="492">
        <v>134999.1129481775</v>
      </c>
      <c r="H32" s="493">
        <v>565251.22518915194</v>
      </c>
      <c r="I32" s="493"/>
      <c r="J32" s="4"/>
      <c r="K32" s="4"/>
      <c r="L32" s="493">
        <v>565251.22518915194</v>
      </c>
      <c r="M32" s="493">
        <v>1735501.2603578325</v>
      </c>
      <c r="N32" s="493">
        <v>325.69911535103478</v>
      </c>
      <c r="O32" s="493">
        <v>534689.44240284723</v>
      </c>
      <c r="P32" s="10">
        <v>5.7158006802907391E-2</v>
      </c>
      <c r="Q32" s="494">
        <v>5.5023108822016997E-2</v>
      </c>
      <c r="R32" s="493">
        <v>596353.10486451304</v>
      </c>
      <c r="S32" s="493">
        <v>564109.71777816257</v>
      </c>
      <c r="T32" s="10">
        <v>5.7158006802907613E-2</v>
      </c>
      <c r="U32" s="251">
        <v>-1.15E-2</v>
      </c>
      <c r="V32" s="493">
        <v>589495</v>
      </c>
      <c r="W32" s="493">
        <v>-6858.1048645130359</v>
      </c>
      <c r="X32" s="493">
        <v>338.86490694642242</v>
      </c>
      <c r="Y32" s="10">
        <v>4.5000611444563354E-2</v>
      </c>
      <c r="Z32" s="495">
        <v>0.24732269803091267</v>
      </c>
      <c r="AA32" s="496">
        <v>145795.49387573288</v>
      </c>
      <c r="AB32" s="495">
        <v>7.997371754360949E-2</v>
      </c>
      <c r="AC32" s="496">
        <v>83.808983053983368</v>
      </c>
      <c r="AD32" s="497">
        <v>443699.50612426712</v>
      </c>
      <c r="AE32" s="497">
        <v>1739616.5490019433</v>
      </c>
      <c r="AF32" s="497">
        <v>255.05592389243904</v>
      </c>
      <c r="AG32" s="498">
        <v>3.1254684174010894E-2</v>
      </c>
      <c r="AH32" s="499">
        <v>437996.65026131191</v>
      </c>
      <c r="AI32" s="499">
        <v>251.77769808674233</v>
      </c>
      <c r="AJ32" s="498">
        <v>1.8000000000000016E-2</v>
      </c>
      <c r="AK32" s="486">
        <v>583792.14413704479</v>
      </c>
      <c r="AL32" s="500">
        <v>3.2801200814183806E-2</v>
      </c>
      <c r="AM32" s="500">
        <v>3.4891131527399644E-2</v>
      </c>
      <c r="AN32" s="501"/>
      <c r="AO32" s="502"/>
      <c r="AQ32" s="486">
        <v>583792.25235481968</v>
      </c>
      <c r="AR32" s="486">
        <v>583792.04038598784</v>
      </c>
      <c r="AS32" s="486">
        <v>583792.14413704479</v>
      </c>
      <c r="AT32" s="486">
        <v>-0.21196883183438331</v>
      </c>
      <c r="AU32" s="486">
        <v>-0.10821777489036322</v>
      </c>
      <c r="AV32" s="500">
        <v>-3.6308949113211597E-7</v>
      </c>
      <c r="AW32" s="500">
        <v>-1.8537035127453211E-7</v>
      </c>
      <c r="AY32" s="69">
        <f t="shared" si="0"/>
        <v>18541.027165667736</v>
      </c>
      <c r="BA32" s="69">
        <f t="shared" si="1"/>
        <v>-0.21196883183438331</v>
      </c>
    </row>
    <row r="33" spans="1:53" x14ac:dyDescent="0.25">
      <c r="A33" s="14">
        <v>30</v>
      </c>
      <c r="B33" s="51" t="s">
        <v>84</v>
      </c>
      <c r="C33" s="51" t="s">
        <v>85</v>
      </c>
      <c r="D33" s="4" t="s">
        <v>86</v>
      </c>
      <c r="E33" s="4" t="s">
        <v>87</v>
      </c>
      <c r="F33" s="491">
        <v>408729.9822829123</v>
      </c>
      <c r="G33" s="492">
        <v>168368.60691046776</v>
      </c>
      <c r="H33" s="493">
        <v>577098.58919338009</v>
      </c>
      <c r="I33" s="493"/>
      <c r="J33" s="4"/>
      <c r="K33" s="4"/>
      <c r="L33" s="493">
        <v>577098.58919338009</v>
      </c>
      <c r="M33" s="493">
        <v>1949151.9435312424</v>
      </c>
      <c r="N33" s="493">
        <v>296.07675846340703</v>
      </c>
      <c r="O33" s="493">
        <v>554768.73001401825</v>
      </c>
      <c r="P33" s="10">
        <v>4.0250753099940528E-2</v>
      </c>
      <c r="Q33" s="494">
        <v>5.3280300856914931E-2</v>
      </c>
      <c r="R33" s="493">
        <v>607846.57564970455</v>
      </c>
      <c r="S33" s="493">
        <v>584326.97485517361</v>
      </c>
      <c r="T33" s="10">
        <v>4.025075309994075E-2</v>
      </c>
      <c r="U33" s="251">
        <v>-1.15E-2</v>
      </c>
      <c r="V33" s="493">
        <v>600856</v>
      </c>
      <c r="W33" s="493">
        <v>-6990.5756497045513</v>
      </c>
      <c r="X33" s="493">
        <v>307.46349633150106</v>
      </c>
      <c r="Y33" s="10">
        <v>2.8287287522406723E-2</v>
      </c>
      <c r="Z33" s="495">
        <v>0.3021243151678028</v>
      </c>
      <c r="AA33" s="496">
        <v>181533.20751446532</v>
      </c>
      <c r="AB33" s="495">
        <v>7.8189163915800552E-2</v>
      </c>
      <c r="AC33" s="496">
        <v>92.892198268252997</v>
      </c>
      <c r="AD33" s="497">
        <v>419322.79248553468</v>
      </c>
      <c r="AE33" s="497">
        <v>1954235.2414810536</v>
      </c>
      <c r="AF33" s="497">
        <v>214.57129806324804</v>
      </c>
      <c r="AG33" s="498">
        <v>2.5916401198310623E-2</v>
      </c>
      <c r="AH33" s="499">
        <v>416087.12196400471</v>
      </c>
      <c r="AI33" s="499">
        <v>212.91557594093192</v>
      </c>
      <c r="AJ33" s="498">
        <v>1.8000000000000016E-2</v>
      </c>
      <c r="AK33" s="486">
        <v>597620.32947847003</v>
      </c>
      <c r="AL33" s="500">
        <v>3.5560198325512271E-2</v>
      </c>
      <c r="AM33" s="500">
        <v>2.2749856151328851E-2</v>
      </c>
      <c r="AN33" s="501"/>
      <c r="AO33" s="502"/>
      <c r="AQ33" s="486">
        <v>597620.5349621895</v>
      </c>
      <c r="AR33" s="486">
        <v>597620.38996988174</v>
      </c>
      <c r="AS33" s="486">
        <v>597620.32947847003</v>
      </c>
      <c r="AT33" s="486">
        <v>-0.14499230775982141</v>
      </c>
      <c r="AU33" s="486">
        <v>-0.2054837194737047</v>
      </c>
      <c r="AV33" s="500">
        <v>-2.4261600677592988E-7</v>
      </c>
      <c r="AW33" s="500">
        <v>-3.4383644378402312E-7</v>
      </c>
      <c r="AY33" s="69">
        <f t="shared" si="0"/>
        <v>20521.945768809412</v>
      </c>
      <c r="BA33" s="69">
        <f t="shared" si="1"/>
        <v>-0.14499230775982141</v>
      </c>
    </row>
    <row r="34" spans="1:53" x14ac:dyDescent="0.25">
      <c r="A34" s="14">
        <v>31</v>
      </c>
      <c r="B34" s="14" t="s">
        <v>84</v>
      </c>
      <c r="C34" s="14" t="s">
        <v>85</v>
      </c>
      <c r="D34" s="4" t="s">
        <v>88</v>
      </c>
      <c r="E34" s="4" t="s">
        <v>89</v>
      </c>
      <c r="F34" s="491">
        <v>149682.1038893176</v>
      </c>
      <c r="G34" s="492">
        <v>73480.373885464505</v>
      </c>
      <c r="H34" s="493">
        <v>223162.47777478211</v>
      </c>
      <c r="I34" s="493"/>
      <c r="J34" s="4"/>
      <c r="K34" s="4"/>
      <c r="L34" s="493">
        <v>223162.47777478211</v>
      </c>
      <c r="M34" s="493">
        <v>813125.99415979814</v>
      </c>
      <c r="N34" s="493">
        <v>274.45005986480061</v>
      </c>
      <c r="O34" s="493">
        <v>242322.31602513581</v>
      </c>
      <c r="P34" s="10">
        <v>-7.9067576460297051E-2</v>
      </c>
      <c r="Q34" s="494">
        <v>5.2271969681219277E-2</v>
      </c>
      <c r="R34" s="493">
        <v>234827.6200470113</v>
      </c>
      <c r="S34" s="493">
        <v>254988.98078148454</v>
      </c>
      <c r="T34" s="10">
        <v>-7.9067576460297051E-2</v>
      </c>
      <c r="U34" s="251">
        <v>1.1679110260014336E-3</v>
      </c>
      <c r="V34" s="493">
        <v>235102</v>
      </c>
      <c r="W34" s="493">
        <v>274.37995298870374</v>
      </c>
      <c r="X34" s="493">
        <v>288.92026796481048</v>
      </c>
      <c r="Y34" s="10">
        <v>-7.7991530145872789E-2</v>
      </c>
      <c r="Z34" s="495">
        <v>0.34097674117481419</v>
      </c>
      <c r="AA34" s="496">
        <v>80164.313803681172</v>
      </c>
      <c r="AB34" s="495">
        <v>9.0962246989040541E-2</v>
      </c>
      <c r="AC34" s="496">
        <v>98.515091429995152</v>
      </c>
      <c r="AD34" s="497">
        <v>154937.68619631886</v>
      </c>
      <c r="AE34" s="497">
        <v>813726.2285407912</v>
      </c>
      <c r="AF34" s="497">
        <v>190.40517653481538</v>
      </c>
      <c r="AG34" s="498">
        <v>3.5111627712605564E-2</v>
      </c>
      <c r="AH34" s="499">
        <v>154937.68619631886</v>
      </c>
      <c r="AI34" s="499">
        <v>190.40517653481538</v>
      </c>
      <c r="AJ34" s="498">
        <v>3.5111627712605564E-2</v>
      </c>
      <c r="AK34" s="486">
        <v>235102.00000000003</v>
      </c>
      <c r="AL34" s="500">
        <v>5.3501477238782957E-2</v>
      </c>
      <c r="AM34" s="500">
        <v>-7.7991530145872678E-2</v>
      </c>
      <c r="AN34" s="501"/>
      <c r="AO34" s="502"/>
      <c r="AQ34" s="486">
        <v>233793</v>
      </c>
      <c r="AR34" s="486">
        <v>234448</v>
      </c>
      <c r="AS34" s="486">
        <v>235102.00000000003</v>
      </c>
      <c r="AT34" s="486">
        <v>655</v>
      </c>
      <c r="AU34" s="486">
        <v>1309.0000000000291</v>
      </c>
      <c r="AV34" s="500">
        <v>2.8016236585355421E-3</v>
      </c>
      <c r="AW34" s="500">
        <v>5.5989700290429104E-3</v>
      </c>
      <c r="AY34" s="69">
        <f t="shared" si="0"/>
        <v>10630.522225217894</v>
      </c>
      <c r="BA34" s="69">
        <f t="shared" si="1"/>
        <v>655</v>
      </c>
    </row>
    <row r="35" spans="1:53" x14ac:dyDescent="0.25">
      <c r="A35" s="14">
        <v>32</v>
      </c>
      <c r="B35" s="14" t="s">
        <v>84</v>
      </c>
      <c r="C35" s="14" t="s">
        <v>85</v>
      </c>
      <c r="D35" s="4" t="s">
        <v>90</v>
      </c>
      <c r="E35" s="4" t="s">
        <v>91</v>
      </c>
      <c r="F35" s="491">
        <v>423725.55508800212</v>
      </c>
      <c r="G35" s="492">
        <v>196268.45116821025</v>
      </c>
      <c r="H35" s="493">
        <v>619994.00625621236</v>
      </c>
      <c r="I35" s="493"/>
      <c r="J35" s="4"/>
      <c r="K35" s="4"/>
      <c r="L35" s="493">
        <v>619994.00625621236</v>
      </c>
      <c r="M35" s="493">
        <v>1927865.7660121997</v>
      </c>
      <c r="N35" s="493">
        <v>321.59604531941721</v>
      </c>
      <c r="O35" s="493">
        <v>592484.46841431514</v>
      </c>
      <c r="P35" s="10">
        <v>4.6430816854190038E-2</v>
      </c>
      <c r="Q35" s="494">
        <v>5.3378199105052815E-2</v>
      </c>
      <c r="R35" s="493">
        <v>653088.16976609582</v>
      </c>
      <c r="S35" s="493">
        <v>624110.22233598598</v>
      </c>
      <c r="T35" s="10">
        <v>4.6430816854189816E-2</v>
      </c>
      <c r="U35" s="251">
        <v>-1.15E-2</v>
      </c>
      <c r="V35" s="493">
        <v>645578</v>
      </c>
      <c r="W35" s="493">
        <v>-7510.1697660958162</v>
      </c>
      <c r="X35" s="493">
        <v>333.75394982269029</v>
      </c>
      <c r="Y35" s="10">
        <v>3.4397413943425104E-2</v>
      </c>
      <c r="Z35" s="495">
        <v>0.3278216088526465</v>
      </c>
      <c r="AA35" s="496">
        <v>211634.41859987381</v>
      </c>
      <c r="AB35" s="495">
        <v>7.8290562442428824E-2</v>
      </c>
      <c r="AC35" s="496">
        <v>109.41175679179977</v>
      </c>
      <c r="AD35" s="497">
        <v>433943.58140012622</v>
      </c>
      <c r="AE35" s="497">
        <v>1934293.2131379088</v>
      </c>
      <c r="AF35" s="497">
        <v>224.34219303089054</v>
      </c>
      <c r="AG35" s="498">
        <v>2.4114727538682379E-2</v>
      </c>
      <c r="AH35" s="499">
        <v>431352.61507958616</v>
      </c>
      <c r="AI35" s="499">
        <v>223.00270308027604</v>
      </c>
      <c r="AJ35" s="498">
        <v>1.8000000000000016E-2</v>
      </c>
      <c r="AK35" s="486">
        <v>642987.03367945994</v>
      </c>
      <c r="AL35" s="500">
        <v>3.7085886623468012E-2</v>
      </c>
      <c r="AM35" s="500">
        <v>3.0245957633604936E-2</v>
      </c>
      <c r="AN35" s="501"/>
      <c r="AO35" s="502"/>
      <c r="AQ35" s="486">
        <v>642986.9091373937</v>
      </c>
      <c r="AR35" s="486">
        <v>642986.92266030132</v>
      </c>
      <c r="AS35" s="486">
        <v>642987.03367945994</v>
      </c>
      <c r="AT35" s="486">
        <v>1.3522907625883818E-2</v>
      </c>
      <c r="AU35" s="486">
        <v>0.12454206624533981</v>
      </c>
      <c r="AV35" s="500">
        <v>2.1031388716802379E-8</v>
      </c>
      <c r="AW35" s="500">
        <v>1.9369300443833394E-7</v>
      </c>
      <c r="AY35" s="69">
        <f t="shared" si="0"/>
        <v>22992.902881181333</v>
      </c>
      <c r="BA35" s="69">
        <f t="shared" si="1"/>
        <v>1.3522907625883818E-2</v>
      </c>
    </row>
    <row r="36" spans="1:53" x14ac:dyDescent="0.25">
      <c r="A36" s="14">
        <v>33</v>
      </c>
      <c r="B36" s="14" t="s">
        <v>84</v>
      </c>
      <c r="C36" s="14" t="s">
        <v>85</v>
      </c>
      <c r="D36" s="4" t="s">
        <v>92</v>
      </c>
      <c r="E36" s="4" t="s">
        <v>93</v>
      </c>
      <c r="F36" s="491">
        <v>423289.57047475222</v>
      </c>
      <c r="G36" s="492">
        <v>190656.00150667373</v>
      </c>
      <c r="H36" s="493">
        <v>613945.57198142598</v>
      </c>
      <c r="I36" s="493"/>
      <c r="J36" s="4"/>
      <c r="K36" s="4"/>
      <c r="L36" s="493">
        <v>613945.57198142598</v>
      </c>
      <c r="M36" s="493">
        <v>1978055.8617441</v>
      </c>
      <c r="N36" s="493">
        <v>310.37827791177506</v>
      </c>
      <c r="O36" s="493">
        <v>633600.87376469444</v>
      </c>
      <c r="P36" s="10">
        <v>-3.1021582509003887E-2</v>
      </c>
      <c r="Q36" s="494">
        <v>5.5569444879298491E-2</v>
      </c>
      <c r="R36" s="493">
        <v>648062.18660253717</v>
      </c>
      <c r="S36" s="493">
        <v>668809.72259483696</v>
      </c>
      <c r="T36" s="10">
        <v>-3.1021582509003998E-2</v>
      </c>
      <c r="U36" s="251">
        <v>4.5822130737081237E-4</v>
      </c>
      <c r="V36" s="493">
        <v>648359</v>
      </c>
      <c r="W36" s="493">
        <v>296.81339746282902</v>
      </c>
      <c r="X36" s="493">
        <v>325.76612895892845</v>
      </c>
      <c r="Y36" s="10">
        <v>-3.0577789024197499E-2</v>
      </c>
      <c r="Z36" s="495">
        <v>0.32158455493985155</v>
      </c>
      <c r="AA36" s="496">
        <v>208502.24045624721</v>
      </c>
      <c r="AB36" s="495">
        <v>9.3604391199554104E-2</v>
      </c>
      <c r="AC36" s="496">
        <v>104.7613555957353</v>
      </c>
      <c r="AD36" s="497">
        <v>439856.75954375282</v>
      </c>
      <c r="AE36" s="497">
        <v>1990259.091919722</v>
      </c>
      <c r="AF36" s="497">
        <v>221.00477336319318</v>
      </c>
      <c r="AG36" s="498">
        <v>3.9139138369082005E-2</v>
      </c>
      <c r="AH36" s="499">
        <v>439856.75954375282</v>
      </c>
      <c r="AI36" s="499">
        <v>221.00477336319318</v>
      </c>
      <c r="AJ36" s="498">
        <v>3.9139138369082005E-2</v>
      </c>
      <c r="AK36" s="486">
        <v>648359</v>
      </c>
      <c r="AL36" s="500">
        <v>5.6052897177040206E-2</v>
      </c>
      <c r="AM36" s="500">
        <v>-3.0577789024197499E-2</v>
      </c>
      <c r="AN36" s="501"/>
      <c r="AO36" s="502"/>
      <c r="AQ36" s="486">
        <v>644750</v>
      </c>
      <c r="AR36" s="486">
        <v>646555</v>
      </c>
      <c r="AS36" s="486">
        <v>648359</v>
      </c>
      <c r="AT36" s="486">
        <v>1805</v>
      </c>
      <c r="AU36" s="486">
        <v>3609</v>
      </c>
      <c r="AV36" s="500">
        <v>2.7995347033734005E-3</v>
      </c>
      <c r="AW36" s="500">
        <v>5.5975184179914697E-3</v>
      </c>
      <c r="AY36" s="69">
        <f t="shared" si="0"/>
        <v>30804.428018574021</v>
      </c>
      <c r="BA36" s="69">
        <f t="shared" si="1"/>
        <v>1805</v>
      </c>
    </row>
    <row r="37" spans="1:53" x14ac:dyDescent="0.25">
      <c r="A37" s="14">
        <v>34</v>
      </c>
      <c r="B37" s="14" t="s">
        <v>84</v>
      </c>
      <c r="C37" s="14" t="s">
        <v>85</v>
      </c>
      <c r="D37" s="4" t="s">
        <v>94</v>
      </c>
      <c r="E37" s="4" t="s">
        <v>95</v>
      </c>
      <c r="F37" s="491">
        <v>248343.14258779713</v>
      </c>
      <c r="G37" s="492">
        <v>104043.19078370059</v>
      </c>
      <c r="H37" s="493">
        <v>352386.33337149769</v>
      </c>
      <c r="I37" s="493"/>
      <c r="J37" s="4"/>
      <c r="K37" s="4"/>
      <c r="L37" s="493">
        <v>352386.33337149769</v>
      </c>
      <c r="M37" s="493">
        <v>1127226.6776216491</v>
      </c>
      <c r="N37" s="493">
        <v>312.61355002261161</v>
      </c>
      <c r="O37" s="493">
        <v>353623.63679092546</v>
      </c>
      <c r="P37" s="10">
        <v>-3.4989273642906937E-3</v>
      </c>
      <c r="Q37" s="494">
        <v>5.1681270546220626E-2</v>
      </c>
      <c r="R37" s="493">
        <v>370598.10680326074</v>
      </c>
      <c r="S37" s="493">
        <v>371899.35563545575</v>
      </c>
      <c r="T37" s="10">
        <v>-3.4989273642908048E-3</v>
      </c>
      <c r="U37" s="251">
        <v>5.1682826651267564E-5</v>
      </c>
      <c r="V37" s="493">
        <v>370617</v>
      </c>
      <c r="W37" s="493">
        <v>18.893196739256382</v>
      </c>
      <c r="X37" s="493">
        <v>328.4216001065559</v>
      </c>
      <c r="Y37" s="10">
        <v>-3.448125456589235E-3</v>
      </c>
      <c r="Z37" s="495">
        <v>0.30575191012987635</v>
      </c>
      <c r="AA37" s="496">
        <v>113316.85567660438</v>
      </c>
      <c r="AB37" s="495">
        <v>8.9132838228531241E-2</v>
      </c>
      <c r="AC37" s="496">
        <v>100.41553156048987</v>
      </c>
      <c r="AD37" s="497">
        <v>257300.14432339562</v>
      </c>
      <c r="AE37" s="497">
        <v>1128479.3688349179</v>
      </c>
      <c r="AF37" s="497">
        <v>228.00606854606602</v>
      </c>
      <c r="AG37" s="498">
        <v>3.6067038704046039E-2</v>
      </c>
      <c r="AH37" s="499">
        <v>257300.14432339562</v>
      </c>
      <c r="AI37" s="499">
        <v>228.00606854606602</v>
      </c>
      <c r="AJ37" s="498">
        <v>3.6067038704046039E-2</v>
      </c>
      <c r="AK37" s="486">
        <v>370617</v>
      </c>
      <c r="AL37" s="500">
        <v>5.1734885556083521E-2</v>
      </c>
      <c r="AM37" s="500">
        <v>-3.448125456589235E-3</v>
      </c>
      <c r="AN37" s="501"/>
      <c r="AO37" s="502"/>
      <c r="AQ37" s="486">
        <v>368554</v>
      </c>
      <c r="AR37" s="486">
        <v>369586</v>
      </c>
      <c r="AS37" s="486">
        <v>370617</v>
      </c>
      <c r="AT37" s="486">
        <v>1032</v>
      </c>
      <c r="AU37" s="486">
        <v>2063</v>
      </c>
      <c r="AV37" s="500">
        <v>2.800132409361993E-3</v>
      </c>
      <c r="AW37" s="500">
        <v>5.5975515121257672E-3</v>
      </c>
      <c r="AY37" s="69">
        <f t="shared" si="0"/>
        <v>16167.666628502309</v>
      </c>
      <c r="BA37" s="69">
        <f t="shared" si="1"/>
        <v>1032</v>
      </c>
    </row>
    <row r="38" spans="1:53" x14ac:dyDescent="0.25">
      <c r="A38" s="14">
        <v>35</v>
      </c>
      <c r="B38" s="14" t="s">
        <v>84</v>
      </c>
      <c r="C38" s="14" t="s">
        <v>85</v>
      </c>
      <c r="D38" s="4" t="s">
        <v>96</v>
      </c>
      <c r="E38" s="4" t="s">
        <v>97</v>
      </c>
      <c r="F38" s="491">
        <v>390439.27085392177</v>
      </c>
      <c r="G38" s="492">
        <v>200540.12730084799</v>
      </c>
      <c r="H38" s="493">
        <v>590979.39815476979</v>
      </c>
      <c r="I38" s="493"/>
      <c r="J38" s="4"/>
      <c r="K38" s="4"/>
      <c r="L38" s="493">
        <v>590979.39815476979</v>
      </c>
      <c r="M38" s="493">
        <v>1829097.1375743607</v>
      </c>
      <c r="N38" s="493">
        <v>323.09896834593013</v>
      </c>
      <c r="O38" s="493">
        <v>576261.67009925761</v>
      </c>
      <c r="P38" s="10">
        <v>2.5540008678656578E-2</v>
      </c>
      <c r="Q38" s="494">
        <v>5.546946909081707E-2</v>
      </c>
      <c r="R38" s="493">
        <v>623760.71161402552</v>
      </c>
      <c r="S38" s="493">
        <v>608226.5989970509</v>
      </c>
      <c r="T38" s="10">
        <v>2.55400086786568E-2</v>
      </c>
      <c r="U38" s="251">
        <v>-1.15E-2</v>
      </c>
      <c r="V38" s="493">
        <v>616587</v>
      </c>
      <c r="W38" s="493">
        <v>-7173.7116140255239</v>
      </c>
      <c r="X38" s="493">
        <v>335.51493309601796</v>
      </c>
      <c r="Y38" s="10">
        <v>1.374553664166478E-2</v>
      </c>
      <c r="Z38" s="495">
        <v>0.35140142469892593</v>
      </c>
      <c r="AA38" s="496">
        <v>216669.55025083665</v>
      </c>
      <c r="AB38" s="495">
        <v>8.0429902818359489E-2</v>
      </c>
      <c r="AC38" s="496">
        <v>117.90042549770551</v>
      </c>
      <c r="AD38" s="497">
        <v>399917.44974916341</v>
      </c>
      <c r="AE38" s="497">
        <v>1837733.4037276506</v>
      </c>
      <c r="AF38" s="497">
        <v>217.61450759831243</v>
      </c>
      <c r="AG38" s="498">
        <v>2.4275680247307418E-2</v>
      </c>
      <c r="AH38" s="499">
        <v>397467.17772929237</v>
      </c>
      <c r="AI38" s="499">
        <v>216.28119558749469</v>
      </c>
      <c r="AJ38" s="498">
        <v>1.8000000000000016E-2</v>
      </c>
      <c r="AK38" s="486">
        <v>614136.72798012896</v>
      </c>
      <c r="AL38" s="500">
        <v>3.9184665146811959E-2</v>
      </c>
      <c r="AM38" s="500">
        <v>9.7169854012035817E-3</v>
      </c>
      <c r="AN38" s="501"/>
      <c r="AO38" s="502"/>
      <c r="AQ38" s="486">
        <v>614136.81393849885</v>
      </c>
      <c r="AR38" s="486">
        <v>614136.72075347428</v>
      </c>
      <c r="AS38" s="486">
        <v>614136.72798012896</v>
      </c>
      <c r="AT38" s="486">
        <v>-9.3185024568811059E-2</v>
      </c>
      <c r="AU38" s="486">
        <v>-8.5958369891159236E-2</v>
      </c>
      <c r="AV38" s="500">
        <v>-1.5173333116314835E-7</v>
      </c>
      <c r="AW38" s="500">
        <v>-1.3996615728000848E-7</v>
      </c>
      <c r="AY38" s="69">
        <f t="shared" si="0"/>
        <v>23157.415783729055</v>
      </c>
      <c r="BA38" s="69">
        <f t="shared" si="1"/>
        <v>-9.3185024568811059E-2</v>
      </c>
    </row>
    <row r="39" spans="1:53" x14ac:dyDescent="0.25">
      <c r="A39" s="14">
        <v>36</v>
      </c>
      <c r="B39" s="51" t="s">
        <v>98</v>
      </c>
      <c r="C39" s="51" t="s">
        <v>99</v>
      </c>
      <c r="D39" s="4" t="s">
        <v>100</v>
      </c>
      <c r="E39" s="4" t="s">
        <v>101</v>
      </c>
      <c r="F39" s="491">
        <v>188664.90512205023</v>
      </c>
      <c r="G39" s="492">
        <v>95992.245448609654</v>
      </c>
      <c r="H39" s="493">
        <v>284657.1505706599</v>
      </c>
      <c r="I39" s="493"/>
      <c r="J39" s="4"/>
      <c r="K39" s="4"/>
      <c r="L39" s="493">
        <v>284657.1505706599</v>
      </c>
      <c r="M39" s="493">
        <v>986638.34830112441</v>
      </c>
      <c r="N39" s="493">
        <v>288.51214942213238</v>
      </c>
      <c r="O39" s="493">
        <v>297455.51604424382</v>
      </c>
      <c r="P39" s="10">
        <v>-4.3026149401379055E-2</v>
      </c>
      <c r="Q39" s="494">
        <v>5.6014854208940701E-2</v>
      </c>
      <c r="R39" s="493">
        <v>300602.17935940792</v>
      </c>
      <c r="S39" s="493">
        <v>314117.44340910739</v>
      </c>
      <c r="T39" s="10">
        <v>-4.3026149401379055E-2</v>
      </c>
      <c r="U39" s="251">
        <v>6.3554135009422541E-4</v>
      </c>
      <c r="V39" s="493">
        <v>300793</v>
      </c>
      <c r="W39" s="493">
        <v>190.82064059207914</v>
      </c>
      <c r="X39" s="493">
        <v>303.23492918805891</v>
      </c>
      <c r="Y39" s="10">
        <v>-4.2418667567447388E-2</v>
      </c>
      <c r="Z39" s="495">
        <v>0.34921157153432647</v>
      </c>
      <c r="AA39" s="496">
        <v>105040.39623652466</v>
      </c>
      <c r="AB39" s="495">
        <v>9.4259184641732441E-2</v>
      </c>
      <c r="AC39" s="496">
        <v>105.89314616586223</v>
      </c>
      <c r="AD39" s="497">
        <v>195752.60376347534</v>
      </c>
      <c r="AE39" s="497">
        <v>991947.07155076961</v>
      </c>
      <c r="AF39" s="497">
        <v>197.34178302219667</v>
      </c>
      <c r="AG39" s="498">
        <v>3.7567658048750285E-2</v>
      </c>
      <c r="AH39" s="499">
        <v>195752.60376347534</v>
      </c>
      <c r="AI39" s="499">
        <v>197.34178302219667</v>
      </c>
      <c r="AJ39" s="498">
        <v>3.7567658048750285E-2</v>
      </c>
      <c r="AK39" s="486">
        <v>300793</v>
      </c>
      <c r="AL39" s="500">
        <v>5.6685206737270288E-2</v>
      </c>
      <c r="AM39" s="500">
        <v>-4.2418667567447388E-2</v>
      </c>
      <c r="AN39" s="501"/>
      <c r="AO39" s="502"/>
      <c r="AQ39" s="486">
        <v>299119</v>
      </c>
      <c r="AR39" s="486">
        <v>299956</v>
      </c>
      <c r="AS39" s="486">
        <v>300793</v>
      </c>
      <c r="AT39" s="486">
        <v>837</v>
      </c>
      <c r="AU39" s="486">
        <v>1674</v>
      </c>
      <c r="AV39" s="500">
        <v>2.7982174318582236E-3</v>
      </c>
      <c r="AW39" s="500">
        <v>5.5964348637164473E-3</v>
      </c>
      <c r="AY39" s="69">
        <f t="shared" si="0"/>
        <v>14461.849429340102</v>
      </c>
      <c r="BA39" s="69">
        <f t="shared" si="1"/>
        <v>837</v>
      </c>
    </row>
    <row r="40" spans="1:53" x14ac:dyDescent="0.25">
      <c r="A40" s="14">
        <v>37</v>
      </c>
      <c r="B40" s="14" t="s">
        <v>98</v>
      </c>
      <c r="C40" s="14" t="s">
        <v>99</v>
      </c>
      <c r="D40" s="4" t="s">
        <v>102</v>
      </c>
      <c r="E40" s="4" t="s">
        <v>103</v>
      </c>
      <c r="F40" s="491">
        <v>281613.19586086075</v>
      </c>
      <c r="G40" s="492">
        <v>94566.573520020524</v>
      </c>
      <c r="H40" s="493">
        <v>376179.76938088128</v>
      </c>
      <c r="I40" s="493"/>
      <c r="J40" s="4"/>
      <c r="K40" s="4"/>
      <c r="L40" s="493">
        <v>376179.76938088128</v>
      </c>
      <c r="M40" s="493">
        <v>1067330.3097975091</v>
      </c>
      <c r="N40" s="493">
        <v>352.44925205229958</v>
      </c>
      <c r="O40" s="493">
        <v>317436.33654626424</v>
      </c>
      <c r="P40" s="10">
        <v>0.18505579252126858</v>
      </c>
      <c r="Q40" s="494">
        <v>5.3815645061925377E-2</v>
      </c>
      <c r="R40" s="493">
        <v>396424.12632935971</v>
      </c>
      <c r="S40" s="493">
        <v>334519.3777635959</v>
      </c>
      <c r="T40" s="10">
        <v>0.18505579252126836</v>
      </c>
      <c r="U40" s="251">
        <v>-1.2416116822403834E-2</v>
      </c>
      <c r="V40" s="493">
        <v>391502</v>
      </c>
      <c r="W40" s="493">
        <v>-4922.1263293597149</v>
      </c>
      <c r="X40" s="493">
        <v>364.20466140775824</v>
      </c>
      <c r="Y40" s="10">
        <v>0.17034176799370226</v>
      </c>
      <c r="Z40" s="495">
        <v>0.26032554753414444</v>
      </c>
      <c r="AA40" s="496">
        <v>101917.97251071261</v>
      </c>
      <c r="AB40" s="495">
        <v>7.7737817043098678E-2</v>
      </c>
      <c r="AC40" s="496">
        <v>94.811777895462356</v>
      </c>
      <c r="AD40" s="497">
        <v>289584.02748928743</v>
      </c>
      <c r="AE40" s="497">
        <v>1074950.5469993972</v>
      </c>
      <c r="AF40" s="497">
        <v>269.39288351229595</v>
      </c>
      <c r="AG40" s="498">
        <v>2.8304183701550967E-2</v>
      </c>
      <c r="AH40" s="499">
        <v>286682.23338635627</v>
      </c>
      <c r="AI40" s="499">
        <v>266.69341597769056</v>
      </c>
      <c r="AJ40" s="498">
        <v>1.8000000000000016E-2</v>
      </c>
      <c r="AK40" s="486">
        <v>388600.2058970689</v>
      </c>
      <c r="AL40" s="500">
        <v>3.3017289942596451E-2</v>
      </c>
      <c r="AM40" s="500">
        <v>0.16166725077341204</v>
      </c>
      <c r="AN40" s="501"/>
      <c r="AO40" s="502"/>
      <c r="AQ40" s="486">
        <v>388600.28530201374</v>
      </c>
      <c r="AR40" s="486">
        <v>388600.09140307724</v>
      </c>
      <c r="AS40" s="486">
        <v>388600.2058970689</v>
      </c>
      <c r="AT40" s="486">
        <v>-0.19389893650077283</v>
      </c>
      <c r="AU40" s="486">
        <v>-7.9404944845009595E-2</v>
      </c>
      <c r="AV40" s="500">
        <v>-4.9896756084488664E-7</v>
      </c>
      <c r="AW40" s="500">
        <v>-2.0433578627791633E-7</v>
      </c>
      <c r="AY40" s="69">
        <f t="shared" si="0"/>
        <v>12420.515921132464</v>
      </c>
      <c r="BA40" s="69">
        <f t="shared" si="1"/>
        <v>-0.19389893650077283</v>
      </c>
    </row>
    <row r="41" spans="1:53" x14ac:dyDescent="0.25">
      <c r="A41" s="14">
        <v>38</v>
      </c>
      <c r="B41" s="14" t="s">
        <v>98</v>
      </c>
      <c r="C41" s="14" t="s">
        <v>99</v>
      </c>
      <c r="D41" s="4" t="s">
        <v>104</v>
      </c>
      <c r="E41" s="4" t="s">
        <v>105</v>
      </c>
      <c r="F41" s="491">
        <v>136301.59114967679</v>
      </c>
      <c r="G41" s="492">
        <v>67498.305403613427</v>
      </c>
      <c r="H41" s="493">
        <v>203799.89655329022</v>
      </c>
      <c r="I41" s="493"/>
      <c r="J41" s="4"/>
      <c r="K41" s="4"/>
      <c r="L41" s="493">
        <v>203799.89655329022</v>
      </c>
      <c r="M41" s="493">
        <v>603061.03920000431</v>
      </c>
      <c r="N41" s="493">
        <v>337.94240268554353</v>
      </c>
      <c r="O41" s="493">
        <v>219997.59560761249</v>
      </c>
      <c r="P41" s="10">
        <v>-7.3626709462827344E-2</v>
      </c>
      <c r="Q41" s="494">
        <v>5.8832293749559117E-2</v>
      </c>
      <c r="R41" s="493">
        <v>215789.91193344316</v>
      </c>
      <c r="S41" s="493">
        <v>232940.55877659624</v>
      </c>
      <c r="T41" s="10">
        <v>-7.3626709462827233E-2</v>
      </c>
      <c r="U41" s="251">
        <v>1.0875437143696785E-3</v>
      </c>
      <c r="V41" s="493">
        <v>216025</v>
      </c>
      <c r="W41" s="493">
        <v>235.0880665568402</v>
      </c>
      <c r="X41" s="493">
        <v>355.25074671363552</v>
      </c>
      <c r="Y41" s="10">
        <v>-7.2617490339324076E-2</v>
      </c>
      <c r="Z41" s="495">
        <v>0.34297580452785426</v>
      </c>
      <c r="AA41" s="496">
        <v>74091.348173129722</v>
      </c>
      <c r="AB41" s="495">
        <v>9.7677159894496324E-2</v>
      </c>
      <c r="AC41" s="496">
        <v>121.84241066323014</v>
      </c>
      <c r="AD41" s="497">
        <v>141933.65182687028</v>
      </c>
      <c r="AE41" s="497">
        <v>608091.61415819859</v>
      </c>
      <c r="AF41" s="497">
        <v>233.40833605040541</v>
      </c>
      <c r="AG41" s="498">
        <v>4.1320579090003084E-2</v>
      </c>
      <c r="AH41" s="499">
        <v>141933.65182687028</v>
      </c>
      <c r="AI41" s="499">
        <v>233.40833605040541</v>
      </c>
      <c r="AJ41" s="498">
        <v>4.1320579090003084E-2</v>
      </c>
      <c r="AK41" s="486">
        <v>216025</v>
      </c>
      <c r="AL41" s="500">
        <v>5.9985817723480217E-2</v>
      </c>
      <c r="AM41" s="500">
        <v>-7.2617490339324076E-2</v>
      </c>
      <c r="AN41" s="501"/>
      <c r="AO41" s="502"/>
      <c r="AQ41" s="486">
        <v>214822</v>
      </c>
      <c r="AR41" s="486">
        <v>215423</v>
      </c>
      <c r="AS41" s="486">
        <v>216025</v>
      </c>
      <c r="AT41" s="486">
        <v>601</v>
      </c>
      <c r="AU41" s="486">
        <v>1203</v>
      </c>
      <c r="AV41" s="500">
        <v>2.7976650436175067E-3</v>
      </c>
      <c r="AW41" s="500">
        <v>5.5999851039465233E-3</v>
      </c>
      <c r="AY41" s="69">
        <f t="shared" si="0"/>
        <v>11022.103446709778</v>
      </c>
      <c r="BA41" s="69">
        <f t="shared" si="1"/>
        <v>601</v>
      </c>
    </row>
    <row r="42" spans="1:53" x14ac:dyDescent="0.25">
      <c r="A42" s="14">
        <v>39</v>
      </c>
      <c r="B42" s="14" t="s">
        <v>98</v>
      </c>
      <c r="C42" s="14" t="s">
        <v>99</v>
      </c>
      <c r="D42" s="4" t="s">
        <v>106</v>
      </c>
      <c r="E42" s="4" t="s">
        <v>107</v>
      </c>
      <c r="F42" s="491">
        <v>289635.69871315442</v>
      </c>
      <c r="G42" s="492">
        <v>142851.75928993348</v>
      </c>
      <c r="H42" s="493">
        <v>432487.4580030879</v>
      </c>
      <c r="I42" s="493"/>
      <c r="J42" s="4"/>
      <c r="K42" s="4"/>
      <c r="L42" s="493">
        <v>432487.4580030879</v>
      </c>
      <c r="M42" s="493">
        <v>1279569.6952032682</v>
      </c>
      <c r="N42" s="493">
        <v>337.99445206021727</v>
      </c>
      <c r="O42" s="493">
        <v>414632.16863335361</v>
      </c>
      <c r="P42" s="10">
        <v>4.3062962115520742E-2</v>
      </c>
      <c r="Q42" s="494">
        <v>5.6612873189885393E-2</v>
      </c>
      <c r="R42" s="493">
        <v>456971.8156192326</v>
      </c>
      <c r="S42" s="493">
        <v>438105.68701664073</v>
      </c>
      <c r="T42" s="10">
        <v>4.3062962115520964E-2</v>
      </c>
      <c r="U42" s="251">
        <v>-1.15E-2</v>
      </c>
      <c r="V42" s="493">
        <v>451717</v>
      </c>
      <c r="W42" s="493">
        <v>-5254.8156192325987</v>
      </c>
      <c r="X42" s="493">
        <v>350.82916589202239</v>
      </c>
      <c r="Y42" s="10">
        <v>3.1068560365075326E-2</v>
      </c>
      <c r="Z42" s="495">
        <v>0.342047679757784</v>
      </c>
      <c r="AA42" s="496">
        <v>154508.75175714691</v>
      </c>
      <c r="AB42" s="495">
        <v>8.1602022440299571E-2</v>
      </c>
      <c r="AC42" s="496">
        <v>120.00030218472494</v>
      </c>
      <c r="AD42" s="497">
        <v>297208.24824285303</v>
      </c>
      <c r="AE42" s="497">
        <v>1287569.6889437884</v>
      </c>
      <c r="AF42" s="497">
        <v>230.82886370729739</v>
      </c>
      <c r="AG42" s="498">
        <v>2.6145083507810973E-2</v>
      </c>
      <c r="AH42" s="499">
        <v>294849.14128999121</v>
      </c>
      <c r="AI42" s="499">
        <v>228.99664680042301</v>
      </c>
      <c r="AJ42" s="498">
        <v>1.8000000000000016E-2</v>
      </c>
      <c r="AK42" s="486">
        <v>449357.89304713812</v>
      </c>
      <c r="AL42" s="500">
        <v>3.9007917413248494E-2</v>
      </c>
      <c r="AM42" s="500">
        <v>2.5683770752033208E-2</v>
      </c>
      <c r="AN42" s="501"/>
      <c r="AO42" s="502"/>
      <c r="AQ42" s="486">
        <v>449357.71806170489</v>
      </c>
      <c r="AR42" s="486">
        <v>449357.59858087532</v>
      </c>
      <c r="AS42" s="486">
        <v>449357.89304713812</v>
      </c>
      <c r="AT42" s="486">
        <v>-0.11948082956951112</v>
      </c>
      <c r="AU42" s="486">
        <v>0.17498543323017657</v>
      </c>
      <c r="AV42" s="500">
        <v>-2.658924610995649E-7</v>
      </c>
      <c r="AW42" s="500">
        <v>3.894123238496327E-7</v>
      </c>
      <c r="AY42" s="69">
        <f t="shared" si="0"/>
        <v>16870.260058616986</v>
      </c>
      <c r="BA42" s="69">
        <f t="shared" si="1"/>
        <v>-0.11948082956951112</v>
      </c>
    </row>
    <row r="43" spans="1:53" x14ac:dyDescent="0.25">
      <c r="A43" s="14">
        <v>40</v>
      </c>
      <c r="B43" s="14" t="s">
        <v>98</v>
      </c>
      <c r="C43" s="14" t="s">
        <v>99</v>
      </c>
      <c r="D43" s="4" t="s">
        <v>108</v>
      </c>
      <c r="E43" s="4" t="s">
        <v>109</v>
      </c>
      <c r="F43" s="491">
        <v>152458.84586998943</v>
      </c>
      <c r="G43" s="492">
        <v>87119.611503117019</v>
      </c>
      <c r="H43" s="493">
        <v>239578.45737310644</v>
      </c>
      <c r="I43" s="493"/>
      <c r="J43" s="4"/>
      <c r="K43" s="4"/>
      <c r="L43" s="493">
        <v>239578.45737310644</v>
      </c>
      <c r="M43" s="493">
        <v>822117.05780385411</v>
      </c>
      <c r="N43" s="493">
        <v>291.41647785912573</v>
      </c>
      <c r="O43" s="493">
        <v>268255.03526958398</v>
      </c>
      <c r="P43" s="10">
        <v>-0.10690042730291682</v>
      </c>
      <c r="Q43" s="494">
        <v>5.3722559318398533E-2</v>
      </c>
      <c r="R43" s="493">
        <v>252449.22526074358</v>
      </c>
      <c r="S43" s="493">
        <v>282666.38231431326</v>
      </c>
      <c r="T43" s="10">
        <v>-0.1069004273029166</v>
      </c>
      <c r="U43" s="251">
        <v>1.5790314224950754E-3</v>
      </c>
      <c r="V43" s="493">
        <v>252848</v>
      </c>
      <c r="W43" s="493">
        <v>398.77473925641971</v>
      </c>
      <c r="X43" s="493">
        <v>306.82477736212491</v>
      </c>
      <c r="Y43" s="10">
        <v>-0.10548966619297673</v>
      </c>
      <c r="Z43" s="495">
        <v>0.37656741661016369</v>
      </c>
      <c r="AA43" s="496">
        <v>95214.318155046669</v>
      </c>
      <c r="AB43" s="495">
        <v>9.2914861674285865E-2</v>
      </c>
      <c r="AC43" s="496">
        <v>115.54021376324398</v>
      </c>
      <c r="AD43" s="497">
        <v>157633.68184495333</v>
      </c>
      <c r="AE43" s="497">
        <v>824079.47028860822</v>
      </c>
      <c r="AF43" s="497">
        <v>191.28456359888085</v>
      </c>
      <c r="AG43" s="498">
        <v>3.3942510488219169E-2</v>
      </c>
      <c r="AH43" s="499">
        <v>157633.68184495333</v>
      </c>
      <c r="AI43" s="499">
        <v>191.28456359888085</v>
      </c>
      <c r="AJ43" s="498">
        <v>3.3942510488219169E-2</v>
      </c>
      <c r="AK43" s="486">
        <v>252848</v>
      </c>
      <c r="AL43" s="500">
        <v>5.5387044279312292E-2</v>
      </c>
      <c r="AM43" s="500">
        <v>-0.10548966619297673</v>
      </c>
      <c r="AN43" s="501"/>
      <c r="AO43" s="502"/>
      <c r="AQ43" s="486">
        <v>251440</v>
      </c>
      <c r="AR43" s="486">
        <v>252144</v>
      </c>
      <c r="AS43" s="486">
        <v>252848</v>
      </c>
      <c r="AT43" s="486">
        <v>704</v>
      </c>
      <c r="AU43" s="486">
        <v>1408</v>
      </c>
      <c r="AV43" s="500">
        <v>2.7998727330575883E-3</v>
      </c>
      <c r="AW43" s="500">
        <v>5.5997454661151766E-3</v>
      </c>
      <c r="AY43" s="69">
        <f t="shared" si="0"/>
        <v>11861.542626893555</v>
      </c>
      <c r="BA43" s="69">
        <f t="shared" si="1"/>
        <v>704</v>
      </c>
    </row>
    <row r="44" spans="1:53" x14ac:dyDescent="0.25">
      <c r="A44" s="14">
        <v>41</v>
      </c>
      <c r="B44" s="14" t="s">
        <v>98</v>
      </c>
      <c r="C44" s="14" t="s">
        <v>99</v>
      </c>
      <c r="D44" s="4" t="s">
        <v>110</v>
      </c>
      <c r="E44" s="4" t="s">
        <v>111</v>
      </c>
      <c r="F44" s="491">
        <v>140329.77799926963</v>
      </c>
      <c r="G44" s="492">
        <v>68805.700524776519</v>
      </c>
      <c r="H44" s="493">
        <v>209135.47852404614</v>
      </c>
      <c r="I44" s="493"/>
      <c r="J44" s="4"/>
      <c r="K44" s="4"/>
      <c r="L44" s="493">
        <v>209135.47852404614</v>
      </c>
      <c r="M44" s="493">
        <v>680101.0209091882</v>
      </c>
      <c r="N44" s="493">
        <v>307.50649108637543</v>
      </c>
      <c r="O44" s="493">
        <v>203161.48164592529</v>
      </c>
      <c r="P44" s="10">
        <v>2.940516494427059E-2</v>
      </c>
      <c r="Q44" s="494">
        <v>5.7201937603442055E-2</v>
      </c>
      <c r="R44" s="493">
        <v>221098.43311724463</v>
      </c>
      <c r="S44" s="493">
        <v>214782.71204245836</v>
      </c>
      <c r="T44" s="10">
        <v>2.940516494427059E-2</v>
      </c>
      <c r="U44" s="251">
        <v>-1.15E-2</v>
      </c>
      <c r="V44" s="493">
        <v>218556</v>
      </c>
      <c r="W44" s="493">
        <v>-2542.4331172446255</v>
      </c>
      <c r="X44" s="493">
        <v>319.19421903060464</v>
      </c>
      <c r="Y44" s="10">
        <v>1.7567931430141126E-2</v>
      </c>
      <c r="Z44" s="495">
        <v>0.34069932999793356</v>
      </c>
      <c r="AA44" s="496">
        <v>74461.882767028364</v>
      </c>
      <c r="AB44" s="495">
        <v>8.2205139968236862E-2</v>
      </c>
      <c r="AC44" s="496">
        <v>108.74925656294064</v>
      </c>
      <c r="AD44" s="497">
        <v>144094.11723297165</v>
      </c>
      <c r="AE44" s="497">
        <v>684711.64880039589</v>
      </c>
      <c r="AF44" s="497">
        <v>210.444962467664</v>
      </c>
      <c r="AG44" s="498">
        <v>2.6824949681895749E-2</v>
      </c>
      <c r="AH44" s="499">
        <v>142855.71400325649</v>
      </c>
      <c r="AI44" s="499">
        <v>208.63631318897154</v>
      </c>
      <c r="AJ44" s="498">
        <v>1.8000000000000016E-2</v>
      </c>
      <c r="AK44" s="486">
        <v>217317.59677028487</v>
      </c>
      <c r="AL44" s="500">
        <v>3.9123530373627924E-2</v>
      </c>
      <c r="AM44" s="500">
        <v>1.1802089207838096E-2</v>
      </c>
      <c r="AN44" s="501"/>
      <c r="AO44" s="502"/>
      <c r="AQ44" s="486">
        <v>217317.45840107225</v>
      </c>
      <c r="AR44" s="486">
        <v>217317.68139107223</v>
      </c>
      <c r="AS44" s="486">
        <v>217317.59677028487</v>
      </c>
      <c r="AT44" s="486">
        <v>0.22298999998020008</v>
      </c>
      <c r="AU44" s="486">
        <v>0.13836921262554824</v>
      </c>
      <c r="AV44" s="500">
        <v>1.0261025580773121E-6</v>
      </c>
      <c r="AW44" s="500">
        <v>6.3671466454471261E-7</v>
      </c>
      <c r="AY44" s="69">
        <f t="shared" si="0"/>
        <v>8181.9798770261114</v>
      </c>
      <c r="BA44" s="69">
        <f t="shared" si="1"/>
        <v>0.22298999998020008</v>
      </c>
    </row>
    <row r="45" spans="1:53" x14ac:dyDescent="0.25">
      <c r="A45" s="14">
        <v>42</v>
      </c>
      <c r="B45" s="14" t="s">
        <v>98</v>
      </c>
      <c r="C45" s="14" t="s">
        <v>99</v>
      </c>
      <c r="D45" s="4" t="s">
        <v>112</v>
      </c>
      <c r="E45" s="4" t="s">
        <v>113</v>
      </c>
      <c r="F45" s="491">
        <v>113697.50578722892</v>
      </c>
      <c r="G45" s="492">
        <v>60537.417227816812</v>
      </c>
      <c r="H45" s="493">
        <v>174234.92301504573</v>
      </c>
      <c r="I45" s="493"/>
      <c r="J45" s="4"/>
      <c r="K45" s="4"/>
      <c r="L45" s="493">
        <v>174234.92301504573</v>
      </c>
      <c r="M45" s="493">
        <v>598861.91661941737</v>
      </c>
      <c r="N45" s="493">
        <v>290.9434014415275</v>
      </c>
      <c r="O45" s="493">
        <v>199554.31557651729</v>
      </c>
      <c r="P45" s="10">
        <v>-0.12687970434677498</v>
      </c>
      <c r="Q45" s="494">
        <v>5.7509063557777074E-2</v>
      </c>
      <c r="R45" s="493">
        <v>184255.01027670238</v>
      </c>
      <c r="S45" s="493">
        <v>211030.49739423595</v>
      </c>
      <c r="T45" s="10">
        <v>-0.1268797043467752</v>
      </c>
      <c r="U45" s="251">
        <v>1.8741462975889987E-3</v>
      </c>
      <c r="V45" s="493">
        <v>184600</v>
      </c>
      <c r="W45" s="493">
        <v>344.98972329762182</v>
      </c>
      <c r="X45" s="493">
        <v>306.44166545257963</v>
      </c>
      <c r="Y45" s="10">
        <v>-0.12524491824923245</v>
      </c>
      <c r="Z45" s="495">
        <v>0.35980173523269354</v>
      </c>
      <c r="AA45" s="496">
        <v>66419.400323955226</v>
      </c>
      <c r="AB45" s="495">
        <v>9.7162769168084973E-2</v>
      </c>
      <c r="AC45" s="496">
        <v>110.25824297743469</v>
      </c>
      <c r="AD45" s="497">
        <v>118180.59967604477</v>
      </c>
      <c r="AE45" s="497">
        <v>602398.50128528289</v>
      </c>
      <c r="AF45" s="497">
        <v>196.18342247514488</v>
      </c>
      <c r="AG45" s="498">
        <v>3.9430010867656407E-2</v>
      </c>
      <c r="AH45" s="499">
        <v>118180.59967604477</v>
      </c>
      <c r="AI45" s="499">
        <v>196.18342247514488</v>
      </c>
      <c r="AJ45" s="498">
        <v>3.9430010867656407E-2</v>
      </c>
      <c r="AK45" s="486">
        <v>184600</v>
      </c>
      <c r="AL45" s="500">
        <v>5.9489089819606544E-2</v>
      </c>
      <c r="AM45" s="500">
        <v>-0.12524491824923245</v>
      </c>
      <c r="AN45" s="501"/>
      <c r="AO45" s="502"/>
      <c r="AQ45" s="486">
        <v>183573</v>
      </c>
      <c r="AR45" s="486">
        <v>184087</v>
      </c>
      <c r="AS45" s="486">
        <v>184600</v>
      </c>
      <c r="AT45" s="486">
        <v>514</v>
      </c>
      <c r="AU45" s="486">
        <v>1027</v>
      </c>
      <c r="AV45" s="500">
        <v>2.7999760313335838E-3</v>
      </c>
      <c r="AW45" s="500">
        <v>5.5945046384816939E-3</v>
      </c>
      <c r="AY45" s="69">
        <f t="shared" si="0"/>
        <v>9338.0769849542703</v>
      </c>
      <c r="BA45" s="69">
        <f t="shared" si="1"/>
        <v>514</v>
      </c>
    </row>
    <row r="46" spans="1:53" x14ac:dyDescent="0.25">
      <c r="F46" s="70"/>
      <c r="P46" s="70"/>
    </row>
    <row r="47" spans="1:53" x14ac:dyDescent="0.25">
      <c r="F47" s="70"/>
      <c r="P47" s="70"/>
    </row>
    <row r="48" spans="1:53" ht="127.5" x14ac:dyDescent="0.25">
      <c r="D48" s="487" t="s">
        <v>13</v>
      </c>
      <c r="E48" s="487" t="s">
        <v>14</v>
      </c>
      <c r="F48" s="488" t="s">
        <v>1168</v>
      </c>
      <c r="G48" s="489" t="s">
        <v>1169</v>
      </c>
      <c r="H48" s="489" t="s">
        <v>1170</v>
      </c>
      <c r="I48" s="489" t="s">
        <v>143</v>
      </c>
      <c r="J48" s="489" t="s">
        <v>1171</v>
      </c>
      <c r="K48" s="489" t="s">
        <v>1172</v>
      </c>
      <c r="L48" s="489" t="s">
        <v>331</v>
      </c>
      <c r="M48" s="489" t="s">
        <v>1173</v>
      </c>
      <c r="N48" s="489" t="s">
        <v>1174</v>
      </c>
      <c r="O48" s="489" t="s">
        <v>315</v>
      </c>
      <c r="P48" s="489" t="s">
        <v>316</v>
      </c>
      <c r="Q48" s="488" t="s">
        <v>317</v>
      </c>
      <c r="R48" s="489" t="s">
        <v>1175</v>
      </c>
      <c r="S48" s="489" t="s">
        <v>1176</v>
      </c>
      <c r="T48" s="489" t="s">
        <v>1177</v>
      </c>
      <c r="U48" s="489" t="s">
        <v>318</v>
      </c>
      <c r="V48" s="489" t="s">
        <v>1178</v>
      </c>
      <c r="W48" s="489" t="s">
        <v>1179</v>
      </c>
      <c r="X48" s="489" t="s">
        <v>320</v>
      </c>
      <c r="Y48" s="489" t="s">
        <v>1180</v>
      </c>
      <c r="Z48" s="489" t="s">
        <v>1181</v>
      </c>
      <c r="AA48" s="489" t="s">
        <v>323</v>
      </c>
      <c r="AB48" s="489" t="s">
        <v>1182</v>
      </c>
      <c r="AC48" s="489" t="s">
        <v>1183</v>
      </c>
      <c r="AD48" s="489" t="s">
        <v>1184</v>
      </c>
      <c r="AE48" s="489" t="s">
        <v>1185</v>
      </c>
      <c r="AF48" s="489" t="s">
        <v>1186</v>
      </c>
      <c r="AG48" s="489" t="s">
        <v>1187</v>
      </c>
      <c r="AH48" s="489" t="s">
        <v>324</v>
      </c>
      <c r="AI48" s="490" t="s">
        <v>325</v>
      </c>
      <c r="AJ48" s="489" t="s">
        <v>326</v>
      </c>
      <c r="AK48" s="489" t="s">
        <v>319</v>
      </c>
      <c r="AL48" s="489" t="s">
        <v>322</v>
      </c>
      <c r="AM48" s="489" t="s">
        <v>321</v>
      </c>
      <c r="AN48" s="489" t="s">
        <v>1188</v>
      </c>
      <c r="AO48" s="489" t="s">
        <v>1189</v>
      </c>
      <c r="AQ48" s="489" t="s">
        <v>319</v>
      </c>
      <c r="AR48" s="489" t="s">
        <v>319</v>
      </c>
      <c r="AS48" s="489" t="s">
        <v>319</v>
      </c>
      <c r="AT48" s="489"/>
      <c r="AU48" s="489"/>
      <c r="AV48" s="489"/>
      <c r="AW48" s="489"/>
    </row>
    <row r="49" spans="4:49" x14ac:dyDescent="0.25">
      <c r="D49" s="4" t="s">
        <v>58</v>
      </c>
      <c r="E49" s="4" t="s">
        <v>59</v>
      </c>
      <c r="F49" s="503">
        <v>1485257.9950571049</v>
      </c>
      <c r="G49" s="497">
        <v>706517.25098628853</v>
      </c>
      <c r="H49" s="493">
        <v>2191775.2460433934</v>
      </c>
      <c r="I49" s="504">
        <v>0</v>
      </c>
      <c r="J49" s="504">
        <v>0</v>
      </c>
      <c r="K49" s="504">
        <v>0</v>
      </c>
      <c r="L49" s="493">
        <v>2191775.2460433934</v>
      </c>
      <c r="M49" s="493">
        <v>7119104.8304238785</v>
      </c>
      <c r="N49" s="493">
        <v>307.87230954609964</v>
      </c>
      <c r="O49" s="493">
        <v>2277112.7677874831</v>
      </c>
      <c r="P49" s="10">
        <v>-3.7476194833779064E-2</v>
      </c>
      <c r="Q49" s="494">
        <v>5.4101975700869609E-2</v>
      </c>
      <c r="R49" s="493">
        <v>2310354.6171466005</v>
      </c>
      <c r="S49" s="493">
        <v>2400314.8731385292</v>
      </c>
      <c r="T49" s="10">
        <v>-3.7478522921578716E-2</v>
      </c>
      <c r="U49" s="505">
        <v>-9.602929048790898E-4</v>
      </c>
      <c r="V49" s="493">
        <v>2308136</v>
      </c>
      <c r="W49" s="493">
        <v>-2218.6171466004453</v>
      </c>
      <c r="X49" s="493">
        <v>322.91177487398716</v>
      </c>
      <c r="Y49" s="10">
        <v>-3.8402825466810842E-2</v>
      </c>
      <c r="Z49" s="495">
        <v>0.33386973961871219</v>
      </c>
      <c r="AA49" s="496">
        <v>770616.76532457594</v>
      </c>
      <c r="AB49" s="495">
        <v>9.0726042780703953E-2</v>
      </c>
      <c r="AC49" s="496">
        <v>107.8104701969943</v>
      </c>
      <c r="AD49" s="497">
        <v>1537519.2346754239</v>
      </c>
      <c r="AE49" s="497">
        <v>7147884.2817073651</v>
      </c>
      <c r="AF49" s="497">
        <v>215.10130467699281</v>
      </c>
      <c r="AG49" s="498">
        <v>3.5186640834281357E-2</v>
      </c>
      <c r="AH49" s="497">
        <v>1535563.6892973215</v>
      </c>
      <c r="AI49" s="499">
        <v>214.82772087218683</v>
      </c>
      <c r="AJ49" s="498">
        <v>3.3870004004443954E-2</v>
      </c>
      <c r="AK49" s="486">
        <v>2306180.4546218975</v>
      </c>
      <c r="AL49" s="75">
        <v>5.2197509204024994E-2</v>
      </c>
      <c r="AM49" s="75">
        <v>-3.9217529154225605E-2</v>
      </c>
      <c r="AN49" s="4"/>
      <c r="AO49" s="4"/>
      <c r="AQ49" s="486">
        <v>2295155.6532466449</v>
      </c>
      <c r="AR49" s="486">
        <v>2300936.65330825</v>
      </c>
      <c r="AS49" s="486">
        <v>2306717.6533698556</v>
      </c>
      <c r="AT49" s="486"/>
      <c r="AU49" s="486"/>
      <c r="AV49" s="75"/>
      <c r="AW49" s="75"/>
    </row>
    <row r="50" spans="4:49" x14ac:dyDescent="0.25">
      <c r="D50" s="4" t="s">
        <v>72</v>
      </c>
      <c r="E50" s="4" t="s">
        <v>73</v>
      </c>
      <c r="F50" s="503">
        <v>2817546.0524299298</v>
      </c>
      <c r="G50" s="497">
        <v>924116.53119634406</v>
      </c>
      <c r="H50" s="493">
        <v>3741662.583626274</v>
      </c>
      <c r="I50" s="504">
        <v>0</v>
      </c>
      <c r="J50" s="504">
        <v>0</v>
      </c>
      <c r="K50" s="504">
        <v>0</v>
      </c>
      <c r="L50" s="493">
        <v>3741662.583626274</v>
      </c>
      <c r="M50" s="493">
        <v>10701314.771677401</v>
      </c>
      <c r="N50" s="493">
        <v>349.64512898257442</v>
      </c>
      <c r="O50" s="493">
        <v>3409387.8953621648</v>
      </c>
      <c r="P50" s="10">
        <v>9.7458751676835265E-2</v>
      </c>
      <c r="Q50" s="494">
        <v>5.6104963298131638E-2</v>
      </c>
      <c r="R50" s="493">
        <v>3951588.4255546187</v>
      </c>
      <c r="S50" s="493">
        <v>3600503.5164898233</v>
      </c>
      <c r="T50" s="10">
        <v>9.7509947555077581E-2</v>
      </c>
      <c r="U50" s="505">
        <v>-9.5289340638591291E-3</v>
      </c>
      <c r="V50" s="493">
        <v>3913934</v>
      </c>
      <c r="W50" s="493">
        <v>-37654.425554618938</v>
      </c>
      <c r="X50" s="493">
        <v>364.58027484771424</v>
      </c>
      <c r="Y50" s="10">
        <v>8.7051847630395862E-2</v>
      </c>
      <c r="Z50" s="495">
        <v>0.25580883404749682</v>
      </c>
      <c r="AA50" s="496">
        <v>1001218.8930788555</v>
      </c>
      <c r="AB50" s="495">
        <v>8.343359227942404E-2</v>
      </c>
      <c r="AC50" s="496">
        <v>93.262855025509708</v>
      </c>
      <c r="AD50" s="497">
        <v>2912715.1069211448</v>
      </c>
      <c r="AE50" s="497">
        <v>10735451.888160588</v>
      </c>
      <c r="AF50" s="497">
        <v>271.31741982220456</v>
      </c>
      <c r="AG50" s="498">
        <v>3.3777284459694412E-2</v>
      </c>
      <c r="AH50" s="499">
        <v>2882584.030643933</v>
      </c>
      <c r="AI50" s="499">
        <v>268.51073067757324</v>
      </c>
      <c r="AJ50" s="498">
        <v>2.3083199707742974E-2</v>
      </c>
      <c r="AK50" s="486">
        <v>3883802.9237227882</v>
      </c>
      <c r="AL50" s="75">
        <v>3.7988551057096531E-2</v>
      </c>
      <c r="AM50" s="75">
        <v>7.8683274696300654E-2</v>
      </c>
      <c r="AN50" s="4"/>
      <c r="AO50" s="4"/>
      <c r="AQ50" s="486">
        <v>3879097.0855261199</v>
      </c>
      <c r="AR50" s="486">
        <v>3883684.1533628125</v>
      </c>
      <c r="AS50" s="486">
        <v>3888270.2357436456</v>
      </c>
      <c r="AT50" s="486"/>
      <c r="AU50" s="486"/>
      <c r="AV50" s="75"/>
      <c r="AW50" s="75"/>
    </row>
    <row r="51" spans="4:49" x14ac:dyDescent="0.25">
      <c r="D51" s="4" t="s">
        <v>34</v>
      </c>
      <c r="E51" s="4" t="s">
        <v>35</v>
      </c>
      <c r="F51" s="503">
        <v>2549899.404550795</v>
      </c>
      <c r="G51" s="497">
        <v>1079750.8456624774</v>
      </c>
      <c r="H51" s="493">
        <v>3629650.2502132724</v>
      </c>
      <c r="I51" s="504">
        <v>0</v>
      </c>
      <c r="J51" s="504">
        <v>0</v>
      </c>
      <c r="K51" s="504">
        <v>0</v>
      </c>
      <c r="L51" s="493">
        <v>3629650.2502132724</v>
      </c>
      <c r="M51" s="493">
        <v>11646702.772309979</v>
      </c>
      <c r="N51" s="493">
        <v>311.64616468471758</v>
      </c>
      <c r="O51" s="493">
        <v>3549981.5567424218</v>
      </c>
      <c r="P51" s="10">
        <v>2.2442002077317058E-2</v>
      </c>
      <c r="Q51" s="494">
        <v>5.4582252605101411E-2</v>
      </c>
      <c r="R51" s="493">
        <v>3827764.7370385826</v>
      </c>
      <c r="S51" s="493">
        <v>3744084.2389077577</v>
      </c>
      <c r="T51" s="10">
        <v>2.2350057528416123E-2</v>
      </c>
      <c r="U51" s="505">
        <v>-6.960651677667129E-3</v>
      </c>
      <c r="V51" s="493">
        <v>3801121</v>
      </c>
      <c r="W51" s="493">
        <v>-26643.73703858268</v>
      </c>
      <c r="X51" s="493">
        <v>324.48301294899665</v>
      </c>
      <c r="Y51" s="10">
        <v>1.5233834885318043E-2</v>
      </c>
      <c r="Z51" s="495">
        <v>0.30818192071743067</v>
      </c>
      <c r="AA51" s="496">
        <v>1171436.7706593608</v>
      </c>
      <c r="AB51" s="495">
        <v>8.4913964518017915E-2</v>
      </c>
      <c r="AC51" s="496">
        <v>99.999798170800702</v>
      </c>
      <c r="AD51" s="497">
        <v>2629684.2293406399</v>
      </c>
      <c r="AE51" s="497">
        <v>11714391.34965587</v>
      </c>
      <c r="AF51" s="497">
        <v>224.48321477819599</v>
      </c>
      <c r="AG51" s="498">
        <v>3.1289400925955446E-2</v>
      </c>
      <c r="AH51" s="499">
        <v>2616782.4447114198</v>
      </c>
      <c r="AI51" s="499">
        <v>223.38185285130433</v>
      </c>
      <c r="AJ51" s="498">
        <v>2.6229677939944906E-2</v>
      </c>
      <c r="AK51" s="486">
        <v>3788219.2153707799</v>
      </c>
      <c r="AL51" s="75">
        <v>4.3687119757114479E-2</v>
      </c>
      <c r="AM51" s="75">
        <v>1.1787922933031325E-2</v>
      </c>
      <c r="AN51" s="4"/>
      <c r="AO51" s="4"/>
      <c r="AQ51" s="486">
        <v>3779148.9035326755</v>
      </c>
      <c r="AR51" s="486">
        <v>3785408.6329132193</v>
      </c>
      <c r="AS51" s="486">
        <v>3791666.6634365432</v>
      </c>
      <c r="AT51" s="486"/>
      <c r="AU51" s="486"/>
      <c r="AV51" s="75"/>
      <c r="AW51" s="75"/>
    </row>
    <row r="52" spans="4:49" x14ac:dyDescent="0.25">
      <c r="D52" s="4" t="s">
        <v>17</v>
      </c>
      <c r="E52" s="4" t="s">
        <v>18</v>
      </c>
      <c r="F52" s="503">
        <v>1794798.8785864811</v>
      </c>
      <c r="G52" s="497">
        <v>850479.72430756455</v>
      </c>
      <c r="H52" s="493">
        <v>2645278.6028940454</v>
      </c>
      <c r="I52" s="504">
        <v>0</v>
      </c>
      <c r="J52" s="504">
        <v>0</v>
      </c>
      <c r="K52" s="504">
        <v>0</v>
      </c>
      <c r="L52" s="493">
        <v>2645278.6028940454</v>
      </c>
      <c r="M52" s="493">
        <v>9051802.6241723169</v>
      </c>
      <c r="N52" s="493">
        <v>292.23776884285809</v>
      </c>
      <c r="O52" s="493">
        <v>2801376.2047243468</v>
      </c>
      <c r="P52" s="10">
        <v>-5.5721756173645054E-2</v>
      </c>
      <c r="Q52" s="494">
        <v>5.2260053759566105E-2</v>
      </c>
      <c r="R52" s="493">
        <v>2783521.004890318</v>
      </c>
      <c r="S52" s="493">
        <v>2947744.353543797</v>
      </c>
      <c r="T52" s="10">
        <v>-5.5711530226849049E-2</v>
      </c>
      <c r="U52" s="505">
        <v>-1.1880653620029991E-3</v>
      </c>
      <c r="V52" s="493">
        <v>2780214</v>
      </c>
      <c r="W52" s="493">
        <v>-3307.004890318145</v>
      </c>
      <c r="X52" s="493">
        <v>306.39073408849504</v>
      </c>
      <c r="Y52" s="10">
        <v>-5.6833406649525409E-2</v>
      </c>
      <c r="Z52" s="495">
        <v>0.33298321267123643</v>
      </c>
      <c r="AA52" s="496">
        <v>925764.58963354898</v>
      </c>
      <c r="AB52" s="495">
        <v>8.8520470475976554E-2</v>
      </c>
      <c r="AC52" s="496">
        <v>102.0229709694856</v>
      </c>
      <c r="AD52" s="497">
        <v>1854449.4103664509</v>
      </c>
      <c r="AE52" s="497">
        <v>9074079.8943253588</v>
      </c>
      <c r="AF52" s="497">
        <v>204.36776311900942</v>
      </c>
      <c r="AG52" s="498">
        <v>3.3235217879648227E-2</v>
      </c>
      <c r="AH52" s="499">
        <v>1852155.225612019</v>
      </c>
      <c r="AI52" s="499">
        <v>204.11493475721963</v>
      </c>
      <c r="AJ52" s="498">
        <v>3.1956977302498357E-2</v>
      </c>
      <c r="AK52" s="486">
        <v>2777919.8152455678</v>
      </c>
      <c r="AL52" s="75">
        <v>5.0142624752798293E-2</v>
      </c>
      <c r="AM52" s="75">
        <v>-5.7611691493553385E-2</v>
      </c>
      <c r="AN52" s="4"/>
      <c r="AO52" s="4"/>
      <c r="AQ52" s="486">
        <v>2765182.9142488684</v>
      </c>
      <c r="AR52" s="486">
        <v>2771957.2417355878</v>
      </c>
      <c r="AS52" s="486">
        <v>2778730.2558219605</v>
      </c>
      <c r="AT52" s="486"/>
      <c r="AU52" s="486"/>
      <c r="AV52" s="75"/>
      <c r="AW52" s="75"/>
    </row>
    <row r="53" spans="4:49" x14ac:dyDescent="0.25">
      <c r="D53" s="4" t="s">
        <v>27</v>
      </c>
      <c r="E53" s="4" t="s">
        <v>28</v>
      </c>
      <c r="F53" s="503">
        <v>1913423.025359815</v>
      </c>
      <c r="G53" s="497">
        <v>747051.18389781017</v>
      </c>
      <c r="H53" s="493">
        <v>2660474.209257625</v>
      </c>
      <c r="I53" s="504">
        <v>0</v>
      </c>
      <c r="J53" s="504">
        <v>0</v>
      </c>
      <c r="K53" s="504">
        <v>0</v>
      </c>
      <c r="L53" s="493">
        <v>2660474.209257625</v>
      </c>
      <c r="M53" s="493">
        <v>7722419.5566787757</v>
      </c>
      <c r="N53" s="493">
        <v>344.51303632638036</v>
      </c>
      <c r="O53" s="493">
        <v>2547584.4517270788</v>
      </c>
      <c r="P53" s="10">
        <v>4.4312469191753356E-2</v>
      </c>
      <c r="Q53" s="494">
        <v>5.2797496941501265E-2</v>
      </c>
      <c r="R53" s="493">
        <v>2800940.5881838477</v>
      </c>
      <c r="S53" s="493">
        <v>2682069.6489900141</v>
      </c>
      <c r="T53" s="10">
        <v>4.4320601159107298E-2</v>
      </c>
      <c r="U53" s="505">
        <v>-8.7351328646753101E-3</v>
      </c>
      <c r="V53" s="493">
        <v>2776474</v>
      </c>
      <c r="W53" s="493">
        <v>-24466.588183847489</v>
      </c>
      <c r="X53" s="493">
        <v>358.23863263582911</v>
      </c>
      <c r="Y53" s="10">
        <v>3.5198321954664991E-2</v>
      </c>
      <c r="Z53" s="495">
        <v>0.29083230207752514</v>
      </c>
      <c r="AA53" s="496">
        <v>807488.3250783945</v>
      </c>
      <c r="AB53" s="495">
        <v>8.0900937557247143E-2</v>
      </c>
      <c r="AC53" s="496">
        <v>104.18736622258301</v>
      </c>
      <c r="AD53" s="497">
        <v>1968985.6749216053</v>
      </c>
      <c r="AE53" s="497">
        <v>7750347.8046781486</v>
      </c>
      <c r="AF53" s="497">
        <v>254.05126641324611</v>
      </c>
      <c r="AG53" s="498">
        <v>2.903835107312025E-2</v>
      </c>
      <c r="AH53" s="499">
        <v>1956056.6508521754</v>
      </c>
      <c r="AI53" s="499">
        <v>252.38308010790044</v>
      </c>
      <c r="AJ53" s="498">
        <v>2.2281338171073362E-2</v>
      </c>
      <c r="AK53" s="486">
        <v>2763544.9759305697</v>
      </c>
      <c r="AL53" s="75">
        <v>3.8741501915068532E-2</v>
      </c>
      <c r="AM53" s="75">
        <v>3.0377781938376147E-2</v>
      </c>
      <c r="AN53" s="4"/>
      <c r="AO53" s="4"/>
      <c r="AQ53" s="486">
        <v>2759919.851438758</v>
      </c>
      <c r="AR53" s="486">
        <v>2763394.5787234688</v>
      </c>
      <c r="AS53" s="486">
        <v>2766868.9913653997</v>
      </c>
      <c r="AT53" s="486"/>
      <c r="AU53" s="486"/>
      <c r="AV53" s="75"/>
      <c r="AW53" s="75"/>
    </row>
    <row r="54" spans="4:49" x14ac:dyDescent="0.25">
      <c r="D54" s="4" t="s">
        <v>84</v>
      </c>
      <c r="E54" s="4" t="s">
        <v>85</v>
      </c>
      <c r="F54" s="503">
        <v>2044209.6251767031</v>
      </c>
      <c r="G54" s="497">
        <v>933356.75155536481</v>
      </c>
      <c r="H54" s="493">
        <v>2977566.3767320681</v>
      </c>
      <c r="I54" s="504">
        <v>0</v>
      </c>
      <c r="J54" s="504">
        <v>0</v>
      </c>
      <c r="K54" s="504">
        <v>0</v>
      </c>
      <c r="L54" s="493">
        <v>2977566.3767320681</v>
      </c>
      <c r="M54" s="493">
        <v>9624523.3806433491</v>
      </c>
      <c r="N54" s="493">
        <v>309.37286543669171</v>
      </c>
      <c r="O54" s="493">
        <v>2953061.6951083466</v>
      </c>
      <c r="P54" s="10">
        <v>8.2980594900243787E-3</v>
      </c>
      <c r="Q54" s="494">
        <v>5.3942372202243405E-2</v>
      </c>
      <c r="R54" s="493">
        <v>3138183.3704826348</v>
      </c>
      <c r="S54" s="493">
        <v>3112361.855199988</v>
      </c>
      <c r="T54" s="10">
        <v>8.2964373951266435E-3</v>
      </c>
      <c r="U54" s="505">
        <v>-6.7186547099037375E-3</v>
      </c>
      <c r="V54" s="493">
        <v>3117099</v>
      </c>
      <c r="W54" s="493">
        <v>-21084.370482635102</v>
      </c>
      <c r="X54" s="493">
        <v>322.72359970279604</v>
      </c>
      <c r="Y54" s="10">
        <v>1.5220417870427383E-3</v>
      </c>
      <c r="Z54" s="495">
        <v>0.32460328860318799</v>
      </c>
      <c r="AA54" s="496">
        <v>1011820.5863017086</v>
      </c>
      <c r="AB54" s="495">
        <v>8.4066285067944335E-2</v>
      </c>
      <c r="AC54" s="496">
        <v>104.75714177338639</v>
      </c>
      <c r="AD54" s="497">
        <v>2105278.4136982914</v>
      </c>
      <c r="AE54" s="497">
        <v>9658726.5476420447</v>
      </c>
      <c r="AF54" s="497">
        <v>217.96645792940961</v>
      </c>
      <c r="AG54" s="498">
        <v>2.987403433065694E-2</v>
      </c>
      <c r="AH54" s="499">
        <v>2097001.5048363504</v>
      </c>
      <c r="AI54" s="499">
        <v>217.10952209826098</v>
      </c>
      <c r="AJ54" s="498">
        <v>2.5825081248741277E-2</v>
      </c>
      <c r="AK54" s="486">
        <v>3108822.0911380588</v>
      </c>
      <c r="AL54" s="75">
        <v>4.408154103017714E-2</v>
      </c>
      <c r="AM54" s="75">
        <v>-1.1373240730395695E-3</v>
      </c>
      <c r="AN54" s="4"/>
      <c r="AO54" s="4"/>
      <c r="AQ54" s="486">
        <v>3101484.4545886335</v>
      </c>
      <c r="AR54" s="486">
        <v>3106678.7862872183</v>
      </c>
      <c r="AS54" s="486">
        <v>3111870.1179858027</v>
      </c>
      <c r="AT54" s="486"/>
      <c r="AU54" s="486"/>
      <c r="AV54" s="75"/>
      <c r="AW54" s="75"/>
    </row>
    <row r="55" spans="4:49" x14ac:dyDescent="0.25">
      <c r="D55" s="4" t="s">
        <v>98</v>
      </c>
      <c r="E55" s="4" t="s">
        <v>99</v>
      </c>
      <c r="F55" s="503">
        <v>1302701.5205022302</v>
      </c>
      <c r="G55" s="497">
        <v>617371.6129178874</v>
      </c>
      <c r="H55" s="493">
        <v>1920073.1334201174</v>
      </c>
      <c r="I55" s="504">
        <v>0</v>
      </c>
      <c r="J55" s="504">
        <v>0</v>
      </c>
      <c r="K55" s="504">
        <v>0</v>
      </c>
      <c r="L55" s="493">
        <v>1920073.1334201174</v>
      </c>
      <c r="M55" s="493">
        <v>6037679.3878343655</v>
      </c>
      <c r="N55" s="493">
        <v>318.01508660578645</v>
      </c>
      <c r="O55" s="493">
        <v>1920492.4493235007</v>
      </c>
      <c r="P55" s="10">
        <v>-2.1833769954737736E-4</v>
      </c>
      <c r="Q55" s="494">
        <v>5.5996600652654216E-2</v>
      </c>
      <c r="R55" s="493">
        <v>2027590.7018961341</v>
      </c>
      <c r="S55" s="493">
        <v>2028162.6587169478</v>
      </c>
      <c r="T55" s="10">
        <v>-2.8200737172412449E-4</v>
      </c>
      <c r="U55" s="505">
        <v>-5.6962689192316951E-3</v>
      </c>
      <c r="V55" s="493">
        <v>2016041</v>
      </c>
      <c r="W55" s="493">
        <v>-11549.701896133978</v>
      </c>
      <c r="X55" s="493">
        <v>331.92697821621857</v>
      </c>
      <c r="Y55" s="10">
        <v>-5.9766699011292168E-3</v>
      </c>
      <c r="Z55" s="495">
        <v>0.33315496556049418</v>
      </c>
      <c r="AA55" s="496">
        <v>671654.06992354419</v>
      </c>
      <c r="AB55" s="495">
        <v>8.792509384923175E-2</v>
      </c>
      <c r="AC55" s="496">
        <v>110.5831209962232</v>
      </c>
      <c r="AD55" s="497">
        <v>1344386.9300764557</v>
      </c>
      <c r="AE55" s="497">
        <v>6073748.5420264415</v>
      </c>
      <c r="AF55" s="497">
        <v>221.34385721999536</v>
      </c>
      <c r="AG55" s="498">
        <v>3.1999202363834245E-2</v>
      </c>
      <c r="AH55" s="499">
        <v>1337887.6257909476</v>
      </c>
      <c r="AI55" s="499">
        <v>220.27379245841738</v>
      </c>
      <c r="AJ55" s="498">
        <v>2.7010105334913659E-2</v>
      </c>
      <c r="AK55" s="486">
        <v>2009541.6957144919</v>
      </c>
      <c r="AL55" s="75">
        <v>4.6596434655074459E-2</v>
      </c>
      <c r="AM55" s="75">
        <v>-9.181198027891857E-3</v>
      </c>
      <c r="AN55" s="4"/>
      <c r="AO55" s="4"/>
      <c r="AQ55" s="486">
        <v>2004083.920432793</v>
      </c>
      <c r="AR55" s="486">
        <v>2007663.6109689167</v>
      </c>
      <c r="AS55" s="486">
        <v>2011243.5639620803</v>
      </c>
      <c r="AT55" s="486"/>
      <c r="AU55" s="486"/>
      <c r="AV55" s="75"/>
      <c r="AW55" s="75"/>
    </row>
    <row r="56" spans="4:49" x14ac:dyDescent="0.25">
      <c r="D56" s="4" t="s">
        <v>115</v>
      </c>
      <c r="E56" s="4" t="s">
        <v>116</v>
      </c>
      <c r="F56" s="506">
        <v>13907836.501663059</v>
      </c>
      <c r="G56" s="250">
        <v>5858643.9005237361</v>
      </c>
      <c r="H56" s="250">
        <v>19766480.402186796</v>
      </c>
      <c r="I56" s="507">
        <v>0</v>
      </c>
      <c r="J56" s="507">
        <v>0</v>
      </c>
      <c r="K56" s="507">
        <v>0</v>
      </c>
      <c r="L56" s="250">
        <v>19766480.402186796</v>
      </c>
      <c r="M56" s="250">
        <v>61903547.323740073</v>
      </c>
      <c r="N56" s="250">
        <v>319.31094835023015</v>
      </c>
      <c r="O56" s="250">
        <v>19458997.020775344</v>
      </c>
      <c r="P56" s="251">
        <v>1.5801604835190997E-2</v>
      </c>
      <c r="Q56" s="508">
        <v>5.4307242420718493E-2</v>
      </c>
      <c r="R56" s="250">
        <v>20839943.445192736</v>
      </c>
      <c r="S56" s="250">
        <v>20515241.144986857</v>
      </c>
      <c r="T56" s="251">
        <v>1.5827369413360382E-2</v>
      </c>
      <c r="U56" s="251">
        <v>-6.0904409614419563E-3</v>
      </c>
      <c r="V56" s="250">
        <v>20713019</v>
      </c>
      <c r="W56" s="250">
        <v>-126924.44519273678</v>
      </c>
      <c r="X56" s="250">
        <v>333.24981416981814</v>
      </c>
      <c r="Y56" s="251">
        <v>9.6405327929314222E-3</v>
      </c>
      <c r="Z56" s="251">
        <v>0.30705325959484653</v>
      </c>
      <c r="AA56" s="250">
        <v>6359999.9999999888</v>
      </c>
      <c r="AB56" s="75">
        <v>8.5575451928633806E-2</v>
      </c>
      <c r="AC56" s="250">
        <v>102.32544170021954</v>
      </c>
      <c r="AD56" s="250">
        <v>14353019.000000013</v>
      </c>
      <c r="AE56" s="250">
        <v>62154630.308195814</v>
      </c>
      <c r="AF56" s="250">
        <v>230.92437246959861</v>
      </c>
      <c r="AG56" s="251">
        <v>3.2009471658925648E-2</v>
      </c>
      <c r="AH56" s="50">
        <v>14278031.171744168</v>
      </c>
      <c r="AI56" s="509">
        <v>229.71790035506723</v>
      </c>
      <c r="AJ56" s="251">
        <v>2.6617703626070188E-2</v>
      </c>
      <c r="AK56" s="250">
        <v>20638031.171744157</v>
      </c>
      <c r="AL56" s="251">
        <v>4.4092359986400931E-2</v>
      </c>
      <c r="AM56" s="251">
        <v>5.9853075033098335E-3</v>
      </c>
      <c r="AN56" s="4"/>
      <c r="AO56" s="4"/>
      <c r="AQ56" s="250">
        <v>20584072.783014491</v>
      </c>
      <c r="AR56" s="250">
        <v>20619723.657299474</v>
      </c>
      <c r="AS56" s="250">
        <v>20655367.481685285</v>
      </c>
      <c r="AT56" s="250"/>
      <c r="AU56" s="250"/>
      <c r="AV56" s="251"/>
      <c r="AW56" s="251"/>
    </row>
    <row r="57" spans="4:49" x14ac:dyDescent="0.25">
      <c r="F57">
        <v>14211027.337399315</v>
      </c>
    </row>
    <row r="58" spans="4:49" x14ac:dyDescent="0.25">
      <c r="R58">
        <v>5.4307242420718493E-2</v>
      </c>
      <c r="S58">
        <v>5.4280501871901032E-2</v>
      </c>
      <c r="AA58">
        <v>6360</v>
      </c>
      <c r="AK58">
        <v>20617934.965220544</v>
      </c>
      <c r="AQ58">
        <v>20617934.965220544</v>
      </c>
      <c r="AR58">
        <v>20617934.965220544</v>
      </c>
      <c r="AS58">
        <v>20617934.965220544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3BCB-05AD-4903-947F-78E808631B1B}">
  <sheetPr codeName="Sheet37">
    <tabColor rgb="FF0070C0"/>
  </sheetPr>
  <dimension ref="A1:CR72"/>
  <sheetViews>
    <sheetView zoomScaleNormal="100" workbookViewId="0">
      <pane xSplit="4" ySplit="4" topLeftCell="E49" activePane="bottomRight" state="frozen"/>
      <selection activeCell="J5" sqref="J4:BB61"/>
      <selection pane="topRight" activeCell="J5" sqref="J4:BB61"/>
      <selection pane="bottomLeft" activeCell="J5" sqref="J4:BB61"/>
      <selection pane="bottomRight" activeCell="J5" sqref="J4:BB61"/>
    </sheetView>
  </sheetViews>
  <sheetFormatPr defaultRowHeight="15" outlineLevelCol="1" x14ac:dyDescent="0.25"/>
  <cols>
    <col min="1" max="1" width="8.7109375" customWidth="1" outlineLevel="1"/>
    <col min="2" max="2" width="21.7109375" customWidth="1" outlineLevel="1"/>
    <col min="4" max="4" width="54" bestFit="1" customWidth="1"/>
    <col min="5" max="5" width="13.28515625" customWidth="1"/>
    <col min="6" max="6" width="13.28515625" style="41" customWidth="1"/>
    <col min="8" max="10" width="13.28515625" style="41" customWidth="1"/>
    <col min="11" max="12" width="13.28515625" customWidth="1"/>
    <col min="13" max="13" width="13.28515625" style="41" customWidth="1"/>
    <col min="14" max="14" width="13.28515625" customWidth="1"/>
    <col min="15" max="15" width="13.28515625" style="41" customWidth="1"/>
    <col min="16" max="18" width="13.28515625" customWidth="1"/>
    <col min="19" max="19" width="13.28515625" style="255" customWidth="1"/>
    <col min="20" max="24" width="13.28515625" customWidth="1"/>
    <col min="25" max="28" width="13.28515625" style="41" customWidth="1"/>
    <col min="29" max="30" width="13.28515625" customWidth="1"/>
    <col min="31" max="31" width="13.28515625" style="41" customWidth="1"/>
    <col min="32" max="39" width="13.28515625" customWidth="1"/>
    <col min="41" max="42" width="13.28515625" customWidth="1"/>
    <col min="44" max="44" width="13.28515625" customWidth="1"/>
    <col min="46" max="46" width="13.28515625" style="41" customWidth="1"/>
    <col min="47" max="47" width="13.28515625" customWidth="1"/>
    <col min="49" max="51" width="13.28515625" customWidth="1"/>
    <col min="53" max="55" width="13.28515625" customWidth="1"/>
    <col min="57" max="57" width="13.28515625" customWidth="1"/>
    <col min="59" max="59" width="13.28515625" customWidth="1"/>
    <col min="61" max="65" width="13.28515625" customWidth="1" outlineLevel="1"/>
    <col min="67" max="71" width="13.28515625" customWidth="1" outlineLevel="1"/>
    <col min="73" max="77" width="13.28515625" customWidth="1" outlineLevel="1"/>
    <col min="79" max="83" width="13.28515625" customWidth="1" outlineLevel="1"/>
    <col min="85" max="89" width="13.28515625" customWidth="1" outlineLevel="1"/>
  </cols>
  <sheetData>
    <row r="1" spans="1:96" ht="25.5" x14ac:dyDescent="0.35">
      <c r="A1" s="1" t="s">
        <v>12</v>
      </c>
      <c r="J1" s="90"/>
      <c r="M1" s="48">
        <f>COUNTIF(M5:M46,"&lt;0")</f>
        <v>0</v>
      </c>
      <c r="O1" s="41">
        <v>0.9</v>
      </c>
      <c r="AO1" t="s">
        <v>353</v>
      </c>
      <c r="AT1" s="41">
        <f>O2</f>
        <v>1</v>
      </c>
    </row>
    <row r="2" spans="1:96" x14ac:dyDescent="0.25">
      <c r="H2" s="41" t="e">
        <f>H57</f>
        <v>#REF!</v>
      </c>
      <c r="J2" s="41" t="e">
        <f>H57+SUM('Op 2 - Acute'!E10:E11,'Op 2 - Acute'!E14)</f>
        <v>#REF!</v>
      </c>
      <c r="M2" s="41" t="e">
        <f>MIN(M5:M46)</f>
        <v>#REF!</v>
      </c>
      <c r="O2" s="41">
        <f>'Op 2 - Acute'!E9</f>
        <v>1</v>
      </c>
      <c r="AE2" s="41" t="s">
        <v>144</v>
      </c>
      <c r="AG2" t="s">
        <v>145</v>
      </c>
      <c r="AO2" s="96">
        <v>4.8459581480066001E-3</v>
      </c>
      <c r="AT2" s="41">
        <v>0.45327004191740927</v>
      </c>
      <c r="AU2" s="97">
        <f>AT2-AT1</f>
        <v>-0.54672995808259073</v>
      </c>
    </row>
    <row r="3" spans="1:96" ht="114.75" x14ac:dyDescent="0.25">
      <c r="A3" s="25" t="s">
        <v>13</v>
      </c>
      <c r="B3" s="26" t="s">
        <v>14</v>
      </c>
      <c r="C3" s="26" t="s">
        <v>15</v>
      </c>
      <c r="D3" s="26" t="s">
        <v>16</v>
      </c>
      <c r="E3" s="27" t="s">
        <v>142</v>
      </c>
      <c r="F3" s="42" t="s">
        <v>146</v>
      </c>
      <c r="G3" s="36" t="s">
        <v>147</v>
      </c>
      <c r="H3" s="42" t="s">
        <v>127</v>
      </c>
      <c r="I3" s="42" t="s">
        <v>354</v>
      </c>
      <c r="J3" s="47" t="s">
        <v>128</v>
      </c>
      <c r="K3" s="47" t="s">
        <v>355</v>
      </c>
      <c r="L3" s="47" t="s">
        <v>356</v>
      </c>
      <c r="M3" s="42" t="s">
        <v>131</v>
      </c>
      <c r="N3" s="47" t="s">
        <v>357</v>
      </c>
      <c r="O3" s="47" t="s">
        <v>358</v>
      </c>
      <c r="P3" s="47" t="s">
        <v>359</v>
      </c>
      <c r="Q3" s="47" t="s">
        <v>355</v>
      </c>
      <c r="R3" s="47" t="s">
        <v>148</v>
      </c>
      <c r="S3" s="256" t="s">
        <v>360</v>
      </c>
      <c r="T3" s="59" t="s">
        <v>149</v>
      </c>
      <c r="U3" s="59" t="s">
        <v>150</v>
      </c>
      <c r="V3" s="47" t="s">
        <v>361</v>
      </c>
      <c r="W3" s="84" t="s">
        <v>362</v>
      </c>
      <c r="X3" s="84" t="s">
        <v>363</v>
      </c>
      <c r="Y3" s="84" t="s">
        <v>364</v>
      </c>
      <c r="Z3" s="84" t="s">
        <v>365</v>
      </c>
      <c r="AA3" s="84" t="s">
        <v>343</v>
      </c>
      <c r="AB3" s="42" t="s">
        <v>151</v>
      </c>
      <c r="AC3" s="27" t="s">
        <v>152</v>
      </c>
      <c r="AD3" s="27" t="s">
        <v>153</v>
      </c>
      <c r="AE3" s="62" t="s">
        <v>154</v>
      </c>
      <c r="AF3" s="47" t="s">
        <v>155</v>
      </c>
      <c r="AG3" s="47" t="s">
        <v>4</v>
      </c>
      <c r="AH3" s="47" t="s">
        <v>156</v>
      </c>
      <c r="AI3" s="47" t="s">
        <v>5</v>
      </c>
      <c r="AJ3" s="59" t="s">
        <v>6</v>
      </c>
      <c r="AK3" s="59" t="s">
        <v>157</v>
      </c>
      <c r="AL3" s="59" t="s">
        <v>158</v>
      </c>
      <c r="AM3" s="27" t="s">
        <v>159</v>
      </c>
      <c r="AO3" s="59" t="s">
        <v>164</v>
      </c>
      <c r="AP3" s="59" t="s">
        <v>366</v>
      </c>
      <c r="AR3" s="59" t="s">
        <v>177</v>
      </c>
      <c r="AT3" s="59" t="s">
        <v>367</v>
      </c>
      <c r="AU3" s="59" t="s">
        <v>368</v>
      </c>
      <c r="AW3" s="59" t="s">
        <v>369</v>
      </c>
      <c r="AX3" s="59" t="s">
        <v>370</v>
      </c>
      <c r="AY3" s="59" t="s">
        <v>371</v>
      </c>
      <c r="BA3" s="59" t="s">
        <v>372</v>
      </c>
      <c r="BB3" s="59" t="s">
        <v>373</v>
      </c>
      <c r="BC3" s="59" t="s">
        <v>374</v>
      </c>
      <c r="BE3" s="59" t="s">
        <v>375</v>
      </c>
      <c r="BG3" s="216" t="s">
        <v>252</v>
      </c>
      <c r="BI3" s="59" t="s">
        <v>371</v>
      </c>
      <c r="BJ3" s="59" t="s">
        <v>376</v>
      </c>
      <c r="BK3" s="59" t="s">
        <v>377</v>
      </c>
      <c r="BL3" s="59" t="s">
        <v>377</v>
      </c>
      <c r="BM3" s="59" t="s">
        <v>378</v>
      </c>
      <c r="BO3" s="59" t="s">
        <v>372</v>
      </c>
      <c r="BP3" s="59" t="s">
        <v>376</v>
      </c>
      <c r="BQ3" s="59" t="s">
        <v>377</v>
      </c>
      <c r="BR3" s="59" t="s">
        <v>377</v>
      </c>
      <c r="BS3" s="59" t="s">
        <v>378</v>
      </c>
      <c r="BU3" s="59" t="s">
        <v>375</v>
      </c>
      <c r="BV3" s="59" t="s">
        <v>376</v>
      </c>
      <c r="BW3" s="59" t="s">
        <v>377</v>
      </c>
      <c r="BX3" s="59" t="s">
        <v>377</v>
      </c>
      <c r="BY3" s="59" t="s">
        <v>378</v>
      </c>
      <c r="CA3" s="59" t="s">
        <v>2</v>
      </c>
      <c r="CB3" s="59" t="s">
        <v>376</v>
      </c>
      <c r="CC3" s="59" t="s">
        <v>377</v>
      </c>
      <c r="CD3" s="59" t="s">
        <v>377</v>
      </c>
      <c r="CE3" s="59" t="s">
        <v>378</v>
      </c>
      <c r="CG3" s="59" t="s">
        <v>177</v>
      </c>
      <c r="CH3" s="59" t="s">
        <v>376</v>
      </c>
      <c r="CI3" s="59" t="s">
        <v>377</v>
      </c>
      <c r="CJ3" s="59" t="s">
        <v>377</v>
      </c>
      <c r="CK3" s="59" t="s">
        <v>378</v>
      </c>
      <c r="CN3" s="59" t="s">
        <v>252</v>
      </c>
      <c r="CO3" s="59" t="s">
        <v>379</v>
      </c>
      <c r="CP3" s="59" t="s">
        <v>380</v>
      </c>
      <c r="CQ3" s="59" t="s">
        <v>2</v>
      </c>
      <c r="CR3" s="59" t="s">
        <v>177</v>
      </c>
    </row>
    <row r="4" spans="1:96" x14ac:dyDescent="0.25">
      <c r="AE4" s="63"/>
    </row>
    <row r="5" spans="1:96" x14ac:dyDescent="0.25">
      <c r="A5" s="10" t="s">
        <v>17</v>
      </c>
      <c r="B5" s="4" t="s">
        <v>18</v>
      </c>
      <c r="C5" s="4" t="s">
        <v>19</v>
      </c>
      <c r="D5" s="4" t="s">
        <v>20</v>
      </c>
      <c r="E5" s="11">
        <f>SUMIFS('ICB Core Baseline 2024-25'!Q:Q,'ICB Core Baseline 2024-25'!C:C,C5)</f>
        <v>3049118.4291022574</v>
      </c>
      <c r="F5" s="43" t="e">
        <f>SUMIFS(#REF!,#REF!,C5)</f>
        <v>#REF!</v>
      </c>
      <c r="H5" s="43" t="e">
        <f>SUMIFS(#REF!,#REF!,C5)</f>
        <v>#REF!</v>
      </c>
      <c r="I5" s="43" t="e">
        <f>H5-$H$57</f>
        <v>#REF!</v>
      </c>
      <c r="J5" s="43" t="e">
        <f>$J$2+I5</f>
        <v>#REF!</v>
      </c>
      <c r="K5" s="11" t="e">
        <f t="shared" ref="K5:K46" si="0">E5*(J5-H5)</f>
        <v>#REF!</v>
      </c>
      <c r="L5" s="11" t="e">
        <f t="shared" ref="L5:L46" si="1">E5*(1+J5)</f>
        <v>#REF!</v>
      </c>
      <c r="M5" s="43" t="e">
        <f>SUMIFS(#REF!,#REF!,C5)</f>
        <v>#REF!</v>
      </c>
      <c r="N5" s="11" t="e">
        <f t="shared" ref="N5:N46" si="2">L5*M5</f>
        <v>#REF!</v>
      </c>
      <c r="O5" s="43" t="e">
        <f>IF(M5&gt;0,M5,M5*$O$2)</f>
        <v>#REF!</v>
      </c>
      <c r="P5" s="11" t="e">
        <f t="shared" ref="P5:P46" si="3">L5*O5</f>
        <v>#REF!</v>
      </c>
      <c r="Q5" s="11" t="e">
        <f>P5-N5</f>
        <v>#REF!</v>
      </c>
      <c r="R5" s="11" t="e">
        <f t="shared" ref="R5:R46" si="4">E5*(1+J5)*(1+O5)</f>
        <v>#REF!</v>
      </c>
      <c r="S5" s="257" t="e">
        <f>E5*(1+H5)*(1+M5)</f>
        <v>#REF!</v>
      </c>
      <c r="T5" s="11" t="e">
        <f>(SUMIFS(#REF!,#REF!,C5)/SUMIFS(#REF!,#REF!,C5))*1000</f>
        <v>#REF!</v>
      </c>
      <c r="U5" s="11" t="e">
        <f>(R5/T5)*1000</f>
        <v>#REF!</v>
      </c>
      <c r="V5" s="11"/>
      <c r="W5" s="11" t="e">
        <f>(E5/(1+F5))*(1+J5)</f>
        <v>#REF!</v>
      </c>
      <c r="X5" s="11" t="e">
        <f>W5-R5</f>
        <v>#REF!</v>
      </c>
      <c r="Y5" s="43" t="e">
        <f>R5/W5-1</f>
        <v>#REF!</v>
      </c>
      <c r="Z5" s="43" t="e">
        <f ca="1">OFFSET(#REF!,MATCH(C5,#REF!,0)+1,0)</f>
        <v>#REF!</v>
      </c>
      <c r="AA5" s="43" t="e">
        <f ca="1">Y5-Z5</f>
        <v>#REF!</v>
      </c>
      <c r="AB5" s="43" t="e">
        <f t="shared" ref="AB5:AB46" si="5">R5/E5-1</f>
        <v>#REF!</v>
      </c>
      <c r="AC5" s="11" t="e">
        <f>SUMIFS(#REF!,#REF!,C5)/(1+1.8%)*(1+1.8%+2.3%)</f>
        <v>#REF!</v>
      </c>
      <c r="AD5" s="11" t="e">
        <f>SUM(R5,AC5)</f>
        <v>#REF!</v>
      </c>
      <c r="AE5" s="64"/>
      <c r="AF5" s="11" t="e">
        <f>(SUMIFS(#REF!,#REF!,C5)/(1+1.8%))*(1+1.8%+2.3%)</f>
        <v>#REF!</v>
      </c>
      <c r="AG5" s="11" t="e">
        <f>-SUMIFS(#REF!,#REF!,C5)/1000</f>
        <v>#REF!</v>
      </c>
      <c r="AH5" s="11" t="e">
        <f>SUMIFS(#REF!,#REF!,C5)</f>
        <v>#REF!</v>
      </c>
      <c r="AI5" s="11" t="e">
        <f>SUMIFS(#REF!,#REF!,C5)</f>
        <v>#REF!</v>
      </c>
      <c r="AJ5" s="11" t="e">
        <f>SUMIFS(#REF!,#REF!,C5)</f>
        <v>#REF!</v>
      </c>
      <c r="AK5" s="11" t="e">
        <f>SUMIFS(#REF!,#REF!,C5)</f>
        <v>#REF!</v>
      </c>
      <c r="AL5" s="11"/>
      <c r="AM5" s="11" t="e">
        <f>SUM(AD5,AF5:AL5)</f>
        <v>#REF!</v>
      </c>
      <c r="AO5" s="11" t="e">
        <f>E5*(1+J5+$AO$2)*(1+O5)</f>
        <v>#REF!</v>
      </c>
      <c r="AP5" s="11" t="e">
        <f>AO5-R5</f>
        <v>#REF!</v>
      </c>
      <c r="AR5" s="11" t="e">
        <f>500000*AI5/$AI$57</f>
        <v>#REF!</v>
      </c>
      <c r="AT5" s="43" t="e">
        <f>IF(M5&gt;0,M5,M5*$AT$2)</f>
        <v>#REF!</v>
      </c>
      <c r="AU5" s="11" t="e">
        <f>E5*(1+J5)*(1+AT5)-R5</f>
        <v>#REF!</v>
      </c>
      <c r="AW5" s="11" t="e">
        <f>'Share of £1bn'!$F$20*1000*$AP5/$AP$57</f>
        <v>#REF!</v>
      </c>
      <c r="AX5" s="11" t="e">
        <f>'Share of £1bn'!$F$27*1000*$AP5/$AP$57</f>
        <v>#REF!</v>
      </c>
      <c r="AY5" s="11" t="e">
        <f>'Share of £1bn'!$F$21*1000*$AP5/$AP$57</f>
        <v>#REF!</v>
      </c>
      <c r="BA5" s="11" t="e">
        <f>'Share of £1bn'!$F$43*1000*AP5/$AP$57</f>
        <v>#REF!</v>
      </c>
      <c r="BB5" s="11" t="e">
        <f>'Share of £1bn'!$F$50*1000*$AP5/$AP$57</f>
        <v>#REF!</v>
      </c>
      <c r="BC5" s="11" t="e">
        <f>'Share of £1bn'!$F$44*1000*AP5/$AP$57</f>
        <v>#REF!</v>
      </c>
      <c r="BE5" s="11" t="e">
        <f>'Share of £1bn'!$F$67*1000*AP5/$AP$57</f>
        <v>#REF!</v>
      </c>
      <c r="BG5" s="11">
        <f>SUMIFS('20-11 M6 deficits'!$BO:$BO,'20-11 M6 deficits'!$C:$C,$C5)*1000</f>
        <v>-30000</v>
      </c>
      <c r="BI5" s="11" t="e">
        <f>SUM(AW5:AY5)</f>
        <v>#REF!</v>
      </c>
      <c r="BJ5" s="11" t="e">
        <f>$BG5+BI5</f>
        <v>#REF!</v>
      </c>
      <c r="BK5" s="11" t="e">
        <f>IF(AND($BG5&lt;0,BJ5&lt;0),BI5,0)</f>
        <v>#REF!</v>
      </c>
      <c r="BL5" s="11" t="e">
        <f>IF(AND($BG5&lt;0,BJ5&gt;0),-$BG5,0)</f>
        <v>#REF!</v>
      </c>
      <c r="BM5" s="11" t="e">
        <f>IF(OR($BG5&gt;=0,BJ5&gt;=0),BI5-BL5,0)</f>
        <v>#REF!</v>
      </c>
      <c r="BO5" s="11" t="e">
        <f>SUM(BA5:BC5)</f>
        <v>#REF!</v>
      </c>
      <c r="BP5" s="11" t="e">
        <f>$BG5+BO5</f>
        <v>#REF!</v>
      </c>
      <c r="BQ5" s="11" t="e">
        <f>IF(AND($BG5&lt;0,BP5&lt;0),BO5,0)</f>
        <v>#REF!</v>
      </c>
      <c r="BR5" s="11" t="e">
        <f>IF(AND($BG5&lt;0,BP5&gt;0),-$BG5,0)</f>
        <v>#REF!</v>
      </c>
      <c r="BS5" s="11" t="e">
        <f>IF(OR($BG5&gt;=0,BP5&gt;=0),BO5-BR5,0)</f>
        <v>#REF!</v>
      </c>
      <c r="BU5" s="11" t="e">
        <f>SUM(BE5)</f>
        <v>#REF!</v>
      </c>
      <c r="BV5" s="11" t="e">
        <f>$BG5+BU5</f>
        <v>#REF!</v>
      </c>
      <c r="BW5" s="11" t="e">
        <f>IF(AND($BG5&lt;0,BV5&lt;0),BU5,0)</f>
        <v>#REF!</v>
      </c>
      <c r="BX5" s="11" t="e">
        <f>IF(AND($BG5&lt;0,BV5&gt;0),-$BG5,0)</f>
        <v>#REF!</v>
      </c>
      <c r="BY5" s="11" t="e">
        <f>IF(OR($BG5&gt;=0,BV5&gt;=0),BU5-BX5,0)</f>
        <v>#REF!</v>
      </c>
      <c r="CA5" s="11" t="e">
        <f>AU5</f>
        <v>#REF!</v>
      </c>
      <c r="CB5" s="11" t="e">
        <f>$BG5+CA5</f>
        <v>#REF!</v>
      </c>
      <c r="CC5" s="11" t="e">
        <f>IF(AND($BG5&lt;0,CB5&lt;0),CA5,0)</f>
        <v>#REF!</v>
      </c>
      <c r="CD5" s="11" t="e">
        <f>IF(AND($BG5&lt;0,CB5&gt;0),-$BG5,0)</f>
        <v>#REF!</v>
      </c>
      <c r="CE5" s="11" t="e">
        <f>IF(OR($BG5&gt;=0,CB5&gt;=0),CA5-CD5,0)</f>
        <v>#REF!</v>
      </c>
      <c r="CG5" s="11" t="e">
        <f>AR5</f>
        <v>#REF!</v>
      </c>
      <c r="CH5" s="11" t="e">
        <f>$BG5+CG5</f>
        <v>#REF!</v>
      </c>
      <c r="CI5" s="11" t="e">
        <f>IF(AND($BG5&lt;0,CH5&lt;0),CG5,0)</f>
        <v>#REF!</v>
      </c>
      <c r="CJ5" s="11" t="e">
        <f>IF(AND($BG5&lt;0,CH5&gt;0),-$BG5,0)</f>
        <v>#REF!</v>
      </c>
      <c r="CK5" s="11" t="e">
        <f>IF(OR($BG5&gt;=0,CH5&gt;=0),CG5-CJ5,0)</f>
        <v>#REF!</v>
      </c>
      <c r="CN5" s="209">
        <f>IF(BG5&lt;0,BG5/$BG$59,0)</f>
        <v>1.8977166894786224E-2</v>
      </c>
      <c r="CO5" s="209" t="e">
        <f>R5/$R$57</f>
        <v>#REF!</v>
      </c>
      <c r="CP5" s="209" t="e">
        <f>AP5/$AP$57</f>
        <v>#REF!</v>
      </c>
      <c r="CQ5" s="209" t="e">
        <f>CA5/$CA$57</f>
        <v>#REF!</v>
      </c>
      <c r="CR5" s="209" t="e">
        <f>CG5/$CG$57</f>
        <v>#REF!</v>
      </c>
    </row>
    <row r="6" spans="1:96" x14ac:dyDescent="0.25">
      <c r="A6" s="13" t="s">
        <v>17</v>
      </c>
      <c r="B6" s="14" t="s">
        <v>18</v>
      </c>
      <c r="C6" s="4" t="s">
        <v>21</v>
      </c>
      <c r="D6" s="4" t="s">
        <v>22</v>
      </c>
      <c r="E6" s="11">
        <f>SUMIFS('ICB Core Baseline 2024-25'!Q:Q,'ICB Core Baseline 2024-25'!C:C,C6)</f>
        <v>6016186.5103033921</v>
      </c>
      <c r="F6" s="43" t="e">
        <f>SUMIFS(#REF!,#REF!,C6)</f>
        <v>#REF!</v>
      </c>
      <c r="H6" s="43" t="e">
        <f>SUMIFS(#REF!,#REF!,C6)</f>
        <v>#REF!</v>
      </c>
      <c r="I6" s="43" t="e">
        <f t="shared" ref="I6:I46" si="6">H6-$H$57</f>
        <v>#REF!</v>
      </c>
      <c r="J6" s="43" t="e">
        <f t="shared" ref="J6:J46" si="7">$J$2+I6</f>
        <v>#REF!</v>
      </c>
      <c r="K6" s="11" t="e">
        <f t="shared" si="0"/>
        <v>#REF!</v>
      </c>
      <c r="L6" s="11" t="e">
        <f t="shared" si="1"/>
        <v>#REF!</v>
      </c>
      <c r="M6" s="43" t="e">
        <f>SUMIFS(#REF!,#REF!,C6)</f>
        <v>#REF!</v>
      </c>
      <c r="N6" s="11" t="e">
        <f t="shared" si="2"/>
        <v>#REF!</v>
      </c>
      <c r="O6" s="43" t="e">
        <f t="shared" ref="O6:O46" si="8">IF(M6&gt;0,M6,M6*$O$2)</f>
        <v>#REF!</v>
      </c>
      <c r="P6" s="11" t="e">
        <f t="shared" si="3"/>
        <v>#REF!</v>
      </c>
      <c r="Q6" s="11" t="e">
        <f t="shared" ref="Q6:Q46" si="9">P6-N6</f>
        <v>#REF!</v>
      </c>
      <c r="R6" s="11" t="e">
        <f t="shared" si="4"/>
        <v>#REF!</v>
      </c>
      <c r="S6" s="257" t="e">
        <f t="shared" ref="S6:S46" si="10">E6*(1+H6)*(1+M6)</f>
        <v>#REF!</v>
      </c>
      <c r="T6" s="11" t="e">
        <f>(SUMIFS(#REF!,#REF!,C6)/SUMIFS(#REF!,#REF!,C6))*1000</f>
        <v>#REF!</v>
      </c>
      <c r="U6" s="11" t="e">
        <f t="shared" ref="U6:U46" si="11">(R6/T6)*1000</f>
        <v>#REF!</v>
      </c>
      <c r="V6" s="11"/>
      <c r="W6" s="11" t="e">
        <f t="shared" ref="W6:W46" si="12">(E6/(1+F6))*(1+J6)</f>
        <v>#REF!</v>
      </c>
      <c r="X6" s="11" t="e">
        <f t="shared" ref="X6:X46" si="13">W6-R6</f>
        <v>#REF!</v>
      </c>
      <c r="Y6" s="43" t="e">
        <f t="shared" ref="Y6:Y46" si="14">R6/W6-1</f>
        <v>#REF!</v>
      </c>
      <c r="Z6" s="43" t="e">
        <f ca="1">OFFSET(#REF!,MATCH(C6,#REF!,0)+1,0)</f>
        <v>#REF!</v>
      </c>
      <c r="AA6" s="43" t="e">
        <f t="shared" ref="AA6:AA46" ca="1" si="15">Y6-Z6</f>
        <v>#REF!</v>
      </c>
      <c r="AB6" s="43" t="e">
        <f t="shared" si="5"/>
        <v>#REF!</v>
      </c>
      <c r="AC6" s="11" t="e">
        <f>SUMIFS(#REF!,#REF!,C6)/(1+1.8%)*(1+1.8%+2.3%)</f>
        <v>#REF!</v>
      </c>
      <c r="AD6" s="11" t="e">
        <f t="shared" ref="AD6:AD46" si="16">SUM(R6,AC6)</f>
        <v>#REF!</v>
      </c>
      <c r="AE6" s="64"/>
      <c r="AF6" s="11" t="e">
        <f>(SUMIFS(#REF!,#REF!,C6)/(1+1.8%))*(1+1.8%+2.3%)</f>
        <v>#REF!</v>
      </c>
      <c r="AG6" s="11" t="e">
        <f>-SUMIFS(#REF!,#REF!,C6)/1000</f>
        <v>#REF!</v>
      </c>
      <c r="AH6" s="11" t="e">
        <f>SUMIFS(#REF!,#REF!,C6)</f>
        <v>#REF!</v>
      </c>
      <c r="AI6" s="11" t="e">
        <f>SUMIFS(#REF!,#REF!,C6)</f>
        <v>#REF!</v>
      </c>
      <c r="AJ6" s="11" t="e">
        <f>SUMIFS(#REF!,#REF!,C6)</f>
        <v>#REF!</v>
      </c>
      <c r="AK6" s="11" t="e">
        <f>SUMIFS(#REF!,#REF!,C6)</f>
        <v>#REF!</v>
      </c>
      <c r="AL6" s="11"/>
      <c r="AM6" s="11" t="e">
        <f t="shared" ref="AM6:AM46" si="17">SUM(AD6,AF6:AL6)</f>
        <v>#REF!</v>
      </c>
      <c r="AO6" s="11" t="e">
        <f t="shared" ref="AO6:AO46" si="18">E6*(1+J6+$AO$2)*(1+O6)</f>
        <v>#REF!</v>
      </c>
      <c r="AP6" s="11" t="e">
        <f t="shared" ref="AP6:AP46" si="19">AO6-R6</f>
        <v>#REF!</v>
      </c>
      <c r="AR6" s="11" t="e">
        <f t="shared" ref="AR6:AR46" si="20">500000*AI6/$AI$57</f>
        <v>#REF!</v>
      </c>
      <c r="AT6" s="43" t="e">
        <f t="shared" ref="AT6:AT46" si="21">IF(M6&gt;0,M6,M6*$AT$2)</f>
        <v>#REF!</v>
      </c>
      <c r="AU6" s="11" t="e">
        <f t="shared" ref="AU6:AU46" si="22">E6*(1+J6)*(1+AT6)-R6</f>
        <v>#REF!</v>
      </c>
      <c r="AW6" s="11" t="e">
        <f>'Share of £1bn'!$F$20*1000*$AP6/$AP$57</f>
        <v>#REF!</v>
      </c>
      <c r="AX6" s="11" t="e">
        <f>'Share of £1bn'!$F$27*1000*$AP6/$AP$57</f>
        <v>#REF!</v>
      </c>
      <c r="AY6" s="11" t="e">
        <f>'Share of £1bn'!$F$21*1000*$AP6/$AP$57</f>
        <v>#REF!</v>
      </c>
      <c r="BA6" s="11" t="e">
        <f>'Share of £1bn'!$F$43*1000*AP6/$AP$57</f>
        <v>#REF!</v>
      </c>
      <c r="BB6" s="11" t="e">
        <f>'Share of £1bn'!$F$50*1000*$AP6/$AP$57</f>
        <v>#REF!</v>
      </c>
      <c r="BC6" s="11" t="e">
        <f>'Share of £1bn'!$F$44*1000*AP6/$AP$57</f>
        <v>#REF!</v>
      </c>
      <c r="BE6" s="11" t="e">
        <f>'Share of £1bn'!$F$67*1000*AP6/$AP$57</f>
        <v>#REF!</v>
      </c>
      <c r="BG6" s="11">
        <f>SUMIFS('20-11 M6 deficits'!$BO:$BO,'20-11 M6 deficits'!$C:$C,$C6)*1000</f>
        <v>-35000</v>
      </c>
      <c r="BI6" s="11" t="e">
        <f t="shared" ref="BI6:BI46" si="23">SUM(AW6:AY6)</f>
        <v>#REF!</v>
      </c>
      <c r="BJ6" s="11" t="e">
        <f t="shared" ref="BJ6:BJ46" si="24">$BG6+BI6</f>
        <v>#REF!</v>
      </c>
      <c r="BK6" s="11" t="e">
        <f t="shared" ref="BK6:BK46" si="25">IF(AND($BG6&lt;0,BJ6&lt;0),BI6,0)</f>
        <v>#REF!</v>
      </c>
      <c r="BL6" s="11" t="e">
        <f t="shared" ref="BL6:BL46" si="26">IF(AND($BG6&lt;0,BJ6&gt;0),-$BG6,0)</f>
        <v>#REF!</v>
      </c>
      <c r="BM6" s="11" t="e">
        <f t="shared" ref="BM6:BM46" si="27">IF(OR($BG6&gt;=0,BJ6&gt;=0),BI6-BL6,0)</f>
        <v>#REF!</v>
      </c>
      <c r="BO6" s="11" t="e">
        <f t="shared" ref="BO6:BO46" si="28">SUM(BA6:BC6)</f>
        <v>#REF!</v>
      </c>
      <c r="BP6" s="11" t="e">
        <f t="shared" ref="BP6:BP46" si="29">$BG6+BO6</f>
        <v>#REF!</v>
      </c>
      <c r="BQ6" s="11" t="e">
        <f t="shared" ref="BQ6:BQ46" si="30">IF(AND($BG6&lt;0,BP6&lt;0),BO6,0)</f>
        <v>#REF!</v>
      </c>
      <c r="BR6" s="11" t="e">
        <f t="shared" ref="BR6:BR46" si="31">IF(AND($BG6&lt;0,BP6&gt;0),-$BG6,0)</f>
        <v>#REF!</v>
      </c>
      <c r="BS6" s="11" t="e">
        <f t="shared" ref="BS6:BS46" si="32">IF(OR($BG6&gt;=0,BP6&gt;=0),BO6-BR6,0)</f>
        <v>#REF!</v>
      </c>
      <c r="BU6" s="11" t="e">
        <f>SUM(BE6)</f>
        <v>#REF!</v>
      </c>
      <c r="BV6" s="11" t="e">
        <f t="shared" ref="BV6:BV46" si="33">$BG6+BU6</f>
        <v>#REF!</v>
      </c>
      <c r="BW6" s="11" t="e">
        <f t="shared" ref="BW6:BW46" si="34">IF(AND($BG6&lt;0,BV6&lt;0),BU6,0)</f>
        <v>#REF!</v>
      </c>
      <c r="BX6" s="11" t="e">
        <f t="shared" ref="BX6:BX46" si="35">IF(AND($BG6&lt;0,BV6&gt;0),-$BG6,0)</f>
        <v>#REF!</v>
      </c>
      <c r="BY6" s="11" t="e">
        <f t="shared" ref="BY6:BY46" si="36">IF(OR($BG6&gt;=0,BV6&gt;=0),BU6-BX6,0)</f>
        <v>#REF!</v>
      </c>
      <c r="CA6" s="11" t="e">
        <f t="shared" ref="CA6:CA46" si="37">AU6</f>
        <v>#REF!</v>
      </c>
      <c r="CB6" s="11" t="e">
        <f t="shared" ref="CB6:CB46" si="38">$BG6+CA6</f>
        <v>#REF!</v>
      </c>
      <c r="CC6" s="11" t="e">
        <f t="shared" ref="CC6:CC46" si="39">IF(AND($BG6&lt;0,CB6&lt;0),CA6,0)</f>
        <v>#REF!</v>
      </c>
      <c r="CD6" s="11" t="e">
        <f t="shared" ref="CD6:CD46" si="40">IF(AND($BG6&lt;0,CB6&gt;0),-$BG6,0)</f>
        <v>#REF!</v>
      </c>
      <c r="CE6" s="11" t="e">
        <f t="shared" ref="CE6:CE46" si="41">IF(OR($BG6&gt;=0,CB6&gt;=0),CA6-CD6,0)</f>
        <v>#REF!</v>
      </c>
      <c r="CG6" s="11" t="e">
        <f t="shared" ref="CG6:CG46" si="42">AR6</f>
        <v>#REF!</v>
      </c>
      <c r="CH6" s="11" t="e">
        <f t="shared" ref="CH6:CH46" si="43">$BG6+CG6</f>
        <v>#REF!</v>
      </c>
      <c r="CI6" s="11" t="e">
        <f t="shared" ref="CI6:CI46" si="44">IF(AND($BG6&lt;0,CH6&lt;0),CG6,0)</f>
        <v>#REF!</v>
      </c>
      <c r="CJ6" s="11" t="e">
        <f t="shared" ref="CJ6:CJ46" si="45">IF(AND($BG6&lt;0,CH6&gt;0),-$BG6,0)</f>
        <v>#REF!</v>
      </c>
      <c r="CK6" s="11" t="e">
        <f t="shared" ref="CK6:CK46" si="46">IF(OR($BG6&gt;=0,CH6&gt;=0),CG6-CJ6,0)</f>
        <v>#REF!</v>
      </c>
      <c r="CN6" s="209">
        <f t="shared" ref="CN6:CN46" si="47">IF(BG6&lt;0,BG6/$BG$59,0)</f>
        <v>2.2140028043917261E-2</v>
      </c>
      <c r="CO6" s="209" t="e">
        <f t="shared" ref="CO6:CO46" si="48">R6/$R$57</f>
        <v>#REF!</v>
      </c>
      <c r="CP6" s="209" t="e">
        <f t="shared" ref="CP6:CP46" si="49">AP6/$AP$57</f>
        <v>#REF!</v>
      </c>
      <c r="CQ6" s="209" t="e">
        <f t="shared" ref="CQ6:CQ46" si="50">CA6/$CA$57</f>
        <v>#REF!</v>
      </c>
      <c r="CR6" s="209" t="e">
        <f t="shared" ref="CR6:CR46" si="51">CG6/$CG$57</f>
        <v>#REF!</v>
      </c>
    </row>
    <row r="7" spans="1:96" x14ac:dyDescent="0.25">
      <c r="A7" s="13" t="s">
        <v>17</v>
      </c>
      <c r="B7" s="14" t="s">
        <v>18</v>
      </c>
      <c r="C7" s="4" t="s">
        <v>23</v>
      </c>
      <c r="D7" s="4" t="s">
        <v>24</v>
      </c>
      <c r="E7" s="11">
        <f>SUMIFS('ICB Core Baseline 2024-25'!Q:Q,'ICB Core Baseline 2024-25'!C:C,C7)</f>
        <v>2625646.0761444462</v>
      </c>
      <c r="F7" s="43" t="e">
        <f>SUMIFS(#REF!,#REF!,C7)</f>
        <v>#REF!</v>
      </c>
      <c r="H7" s="43" t="e">
        <f>SUMIFS(#REF!,#REF!,C7)</f>
        <v>#REF!</v>
      </c>
      <c r="I7" s="43" t="e">
        <f t="shared" si="6"/>
        <v>#REF!</v>
      </c>
      <c r="J7" s="43" t="e">
        <f t="shared" si="7"/>
        <v>#REF!</v>
      </c>
      <c r="K7" s="11" t="e">
        <f t="shared" si="0"/>
        <v>#REF!</v>
      </c>
      <c r="L7" s="11" t="e">
        <f t="shared" si="1"/>
        <v>#REF!</v>
      </c>
      <c r="M7" s="43" t="e">
        <f>SUMIFS(#REF!,#REF!,C7)</f>
        <v>#REF!</v>
      </c>
      <c r="N7" s="11" t="e">
        <f t="shared" si="2"/>
        <v>#REF!</v>
      </c>
      <c r="O7" s="43" t="e">
        <f t="shared" si="8"/>
        <v>#REF!</v>
      </c>
      <c r="P7" s="11" t="e">
        <f t="shared" si="3"/>
        <v>#REF!</v>
      </c>
      <c r="Q7" s="11" t="e">
        <f t="shared" si="9"/>
        <v>#REF!</v>
      </c>
      <c r="R7" s="11" t="e">
        <f t="shared" si="4"/>
        <v>#REF!</v>
      </c>
      <c r="S7" s="257" t="e">
        <f t="shared" si="10"/>
        <v>#REF!</v>
      </c>
      <c r="T7" s="11" t="e">
        <f>(SUMIFS(#REF!,#REF!,C7)/SUMIFS(#REF!,#REF!,C7))*1000</f>
        <v>#REF!</v>
      </c>
      <c r="U7" s="11" t="e">
        <f t="shared" si="11"/>
        <v>#REF!</v>
      </c>
      <c r="V7" s="11"/>
      <c r="W7" s="11" t="e">
        <f t="shared" si="12"/>
        <v>#REF!</v>
      </c>
      <c r="X7" s="11" t="e">
        <f t="shared" si="13"/>
        <v>#REF!</v>
      </c>
      <c r="Y7" s="43" t="e">
        <f t="shared" si="14"/>
        <v>#REF!</v>
      </c>
      <c r="Z7" s="43" t="e">
        <f ca="1">OFFSET(#REF!,MATCH(C7,#REF!,0)+1,0)</f>
        <v>#REF!</v>
      </c>
      <c r="AA7" s="43" t="e">
        <f t="shared" ca="1" si="15"/>
        <v>#REF!</v>
      </c>
      <c r="AB7" s="43" t="e">
        <f t="shared" si="5"/>
        <v>#REF!</v>
      </c>
      <c r="AC7" s="11" t="e">
        <f>SUMIFS(#REF!,#REF!,C7)/(1+1.8%)*(1+1.8%+2.3%)</f>
        <v>#REF!</v>
      </c>
      <c r="AD7" s="11" t="e">
        <f t="shared" si="16"/>
        <v>#REF!</v>
      </c>
      <c r="AE7" s="64"/>
      <c r="AF7" s="11" t="e">
        <f>(SUMIFS(#REF!,#REF!,C7)/(1+1.8%))*(1+1.8%+2.3%)</f>
        <v>#REF!</v>
      </c>
      <c r="AG7" s="11" t="e">
        <f>-SUMIFS(#REF!,#REF!,C7)/1000</f>
        <v>#REF!</v>
      </c>
      <c r="AH7" s="11" t="e">
        <f>SUMIFS(#REF!,#REF!,C7)</f>
        <v>#REF!</v>
      </c>
      <c r="AI7" s="11" t="e">
        <f>SUMIFS(#REF!,#REF!,C7)</f>
        <v>#REF!</v>
      </c>
      <c r="AJ7" s="11" t="e">
        <f>SUMIFS(#REF!,#REF!,C7)</f>
        <v>#REF!</v>
      </c>
      <c r="AK7" s="11" t="e">
        <f>SUMIFS(#REF!,#REF!,C7)</f>
        <v>#REF!</v>
      </c>
      <c r="AL7" s="11"/>
      <c r="AM7" s="11" t="e">
        <f t="shared" si="17"/>
        <v>#REF!</v>
      </c>
      <c r="AO7" s="11" t="e">
        <f t="shared" si="18"/>
        <v>#REF!</v>
      </c>
      <c r="AP7" s="11" t="e">
        <f t="shared" si="19"/>
        <v>#REF!</v>
      </c>
      <c r="AR7" s="11" t="e">
        <f t="shared" si="20"/>
        <v>#REF!</v>
      </c>
      <c r="AT7" s="43" t="e">
        <f t="shared" si="21"/>
        <v>#REF!</v>
      </c>
      <c r="AU7" s="11" t="e">
        <f t="shared" si="22"/>
        <v>#REF!</v>
      </c>
      <c r="AW7" s="11" t="e">
        <f>'Share of £1bn'!$F$20*1000*$AP7/$AP$57</f>
        <v>#REF!</v>
      </c>
      <c r="AX7" s="11" t="e">
        <f>'Share of £1bn'!$F$27*1000*$AP7/$AP$57</f>
        <v>#REF!</v>
      </c>
      <c r="AY7" s="11" t="e">
        <f>'Share of £1bn'!$F$21*1000*$AP7/$AP$57</f>
        <v>#REF!</v>
      </c>
      <c r="BA7" s="11" t="e">
        <f>'Share of £1bn'!$F$43*1000*AP7/$AP$57</f>
        <v>#REF!</v>
      </c>
      <c r="BB7" s="11" t="e">
        <f>'Share of £1bn'!$F$50*1000*$AP7/$AP$57</f>
        <v>#REF!</v>
      </c>
      <c r="BC7" s="11" t="e">
        <f>'Share of £1bn'!$F$44*1000*AP7/$AP$57</f>
        <v>#REF!</v>
      </c>
      <c r="BE7" s="11" t="e">
        <f>'Share of £1bn'!$F$67*1000*AP7/$AP$57</f>
        <v>#REF!</v>
      </c>
      <c r="BG7" s="11">
        <f>SUMIFS('20-11 M6 deficits'!$BO:$BO,'20-11 M6 deficits'!$C:$C,$C7)*1000</f>
        <v>-40017.770822656123</v>
      </c>
      <c r="BI7" s="11" t="e">
        <f t="shared" si="23"/>
        <v>#REF!</v>
      </c>
      <c r="BJ7" s="11" t="e">
        <f t="shared" si="24"/>
        <v>#REF!</v>
      </c>
      <c r="BK7" s="11" t="e">
        <f t="shared" si="25"/>
        <v>#REF!</v>
      </c>
      <c r="BL7" s="11" t="e">
        <f t="shared" si="26"/>
        <v>#REF!</v>
      </c>
      <c r="BM7" s="11" t="e">
        <f t="shared" si="27"/>
        <v>#REF!</v>
      </c>
      <c r="BO7" s="11" t="e">
        <f t="shared" si="28"/>
        <v>#REF!</v>
      </c>
      <c r="BP7" s="11" t="e">
        <f t="shared" si="29"/>
        <v>#REF!</v>
      </c>
      <c r="BQ7" s="11" t="e">
        <f t="shared" si="30"/>
        <v>#REF!</v>
      </c>
      <c r="BR7" s="11" t="e">
        <f t="shared" si="31"/>
        <v>#REF!</v>
      </c>
      <c r="BS7" s="11" t="e">
        <f t="shared" si="32"/>
        <v>#REF!</v>
      </c>
      <c r="BU7" s="11" t="e">
        <f t="shared" ref="BU7:BU46" si="52">SUM(BE7)</f>
        <v>#REF!</v>
      </c>
      <c r="BV7" s="11" t="e">
        <f t="shared" si="33"/>
        <v>#REF!</v>
      </c>
      <c r="BW7" s="11" t="e">
        <f t="shared" si="34"/>
        <v>#REF!</v>
      </c>
      <c r="BX7" s="11" t="e">
        <f t="shared" si="35"/>
        <v>#REF!</v>
      </c>
      <c r="BY7" s="11" t="e">
        <f t="shared" si="36"/>
        <v>#REF!</v>
      </c>
      <c r="CA7" s="11" t="e">
        <f t="shared" si="37"/>
        <v>#REF!</v>
      </c>
      <c r="CB7" s="11" t="e">
        <f t="shared" si="38"/>
        <v>#REF!</v>
      </c>
      <c r="CC7" s="11" t="e">
        <f t="shared" si="39"/>
        <v>#REF!</v>
      </c>
      <c r="CD7" s="11" t="e">
        <f t="shared" si="40"/>
        <v>#REF!</v>
      </c>
      <c r="CE7" s="11" t="e">
        <f t="shared" si="41"/>
        <v>#REF!</v>
      </c>
      <c r="CG7" s="11" t="e">
        <f t="shared" si="42"/>
        <v>#REF!</v>
      </c>
      <c r="CH7" s="11" t="e">
        <f t="shared" si="43"/>
        <v>#REF!</v>
      </c>
      <c r="CI7" s="11" t="e">
        <f t="shared" si="44"/>
        <v>#REF!</v>
      </c>
      <c r="CJ7" s="11" t="e">
        <f t="shared" si="45"/>
        <v>#REF!</v>
      </c>
      <c r="CK7" s="11" t="e">
        <f t="shared" si="46"/>
        <v>#REF!</v>
      </c>
      <c r="CN7" s="209">
        <f t="shared" si="47"/>
        <v>2.5314130521961731E-2</v>
      </c>
      <c r="CO7" s="209" t="e">
        <f t="shared" si="48"/>
        <v>#REF!</v>
      </c>
      <c r="CP7" s="209" t="e">
        <f t="shared" si="49"/>
        <v>#REF!</v>
      </c>
      <c r="CQ7" s="209" t="e">
        <f t="shared" si="50"/>
        <v>#REF!</v>
      </c>
      <c r="CR7" s="209" t="e">
        <f t="shared" si="51"/>
        <v>#REF!</v>
      </c>
    </row>
    <row r="8" spans="1:96" x14ac:dyDescent="0.25">
      <c r="A8" s="15" t="s">
        <v>17</v>
      </c>
      <c r="B8" s="16" t="s">
        <v>18</v>
      </c>
      <c r="C8" s="17" t="s">
        <v>25</v>
      </c>
      <c r="D8" s="17" t="s">
        <v>26</v>
      </c>
      <c r="E8" s="18">
        <f>SUMIFS('ICB Core Baseline 2024-25'!Q:Q,'ICB Core Baseline 2024-25'!C:C,C8)</f>
        <v>4412463.5914081903</v>
      </c>
      <c r="F8" s="44" t="e">
        <f>SUMIFS(#REF!,#REF!,C8)</f>
        <v>#REF!</v>
      </c>
      <c r="H8" s="44" t="e">
        <f>SUMIFS(#REF!,#REF!,C8)</f>
        <v>#REF!</v>
      </c>
      <c r="I8" s="44" t="e">
        <f t="shared" si="6"/>
        <v>#REF!</v>
      </c>
      <c r="J8" s="44" t="e">
        <f t="shared" si="7"/>
        <v>#REF!</v>
      </c>
      <c r="K8" s="18" t="e">
        <f t="shared" si="0"/>
        <v>#REF!</v>
      </c>
      <c r="L8" s="18" t="e">
        <f t="shared" si="1"/>
        <v>#REF!</v>
      </c>
      <c r="M8" s="44" t="e">
        <f>SUMIFS(#REF!,#REF!,C8)</f>
        <v>#REF!</v>
      </c>
      <c r="N8" s="18" t="e">
        <f t="shared" si="2"/>
        <v>#REF!</v>
      </c>
      <c r="O8" s="44" t="e">
        <f t="shared" si="8"/>
        <v>#REF!</v>
      </c>
      <c r="P8" s="18" t="e">
        <f t="shared" si="3"/>
        <v>#REF!</v>
      </c>
      <c r="Q8" s="18" t="e">
        <f t="shared" si="9"/>
        <v>#REF!</v>
      </c>
      <c r="R8" s="18" t="e">
        <f t="shared" si="4"/>
        <v>#REF!</v>
      </c>
      <c r="S8" s="257" t="e">
        <f t="shared" si="10"/>
        <v>#REF!</v>
      </c>
      <c r="T8" s="18" t="e">
        <f>(SUMIFS(#REF!,#REF!,C8)/SUMIFS(#REF!,#REF!,C8))*1000</f>
        <v>#REF!</v>
      </c>
      <c r="U8" s="18" t="e">
        <f t="shared" si="11"/>
        <v>#REF!</v>
      </c>
      <c r="V8" s="18"/>
      <c r="W8" s="18" t="e">
        <f t="shared" si="12"/>
        <v>#REF!</v>
      </c>
      <c r="X8" s="18" t="e">
        <f t="shared" si="13"/>
        <v>#REF!</v>
      </c>
      <c r="Y8" s="44" t="e">
        <f t="shared" si="14"/>
        <v>#REF!</v>
      </c>
      <c r="Z8" s="44" t="e">
        <f ca="1">OFFSET(#REF!,MATCH(C8,#REF!,0)+1,0)</f>
        <v>#REF!</v>
      </c>
      <c r="AA8" s="44" t="e">
        <f t="shared" ca="1" si="15"/>
        <v>#REF!</v>
      </c>
      <c r="AB8" s="44" t="e">
        <f t="shared" si="5"/>
        <v>#REF!</v>
      </c>
      <c r="AC8" s="18" t="e">
        <f>SUMIFS(#REF!,#REF!,C8)/(1+1.8%)*(1+1.8%+2.3%)</f>
        <v>#REF!</v>
      </c>
      <c r="AD8" s="18" t="e">
        <f t="shared" si="16"/>
        <v>#REF!</v>
      </c>
      <c r="AE8" s="65"/>
      <c r="AF8" s="18" t="e">
        <f>(SUMIFS(#REF!,#REF!,C8)/(1+1.8%))*(1+1.8%+2.3%)</f>
        <v>#REF!</v>
      </c>
      <c r="AG8" s="18" t="e">
        <f>-SUMIFS(#REF!,#REF!,C8)/1000</f>
        <v>#REF!</v>
      </c>
      <c r="AH8" s="18" t="e">
        <f>SUMIFS(#REF!,#REF!,C8)</f>
        <v>#REF!</v>
      </c>
      <c r="AI8" s="18" t="e">
        <f>SUMIFS(#REF!,#REF!,C8)</f>
        <v>#REF!</v>
      </c>
      <c r="AJ8" s="18" t="e">
        <f>SUMIFS(#REF!,#REF!,C8)</f>
        <v>#REF!</v>
      </c>
      <c r="AK8" s="18" t="e">
        <f>SUMIFS(#REF!,#REF!,C8)</f>
        <v>#REF!</v>
      </c>
      <c r="AL8" s="18"/>
      <c r="AM8" s="18" t="e">
        <f t="shared" si="17"/>
        <v>#REF!</v>
      </c>
      <c r="AO8" s="18" t="e">
        <f t="shared" si="18"/>
        <v>#REF!</v>
      </c>
      <c r="AP8" s="18" t="e">
        <f t="shared" si="19"/>
        <v>#REF!</v>
      </c>
      <c r="AR8" s="18" t="e">
        <f t="shared" si="20"/>
        <v>#REF!</v>
      </c>
      <c r="AT8" s="44" t="e">
        <f t="shared" si="21"/>
        <v>#REF!</v>
      </c>
      <c r="AU8" s="18" t="e">
        <f t="shared" si="22"/>
        <v>#REF!</v>
      </c>
      <c r="AW8" s="18" t="e">
        <f>'Share of £1bn'!$F$20*1000*$AP8/$AP$57</f>
        <v>#REF!</v>
      </c>
      <c r="AX8" s="18" t="e">
        <f>'Share of £1bn'!$F$27*1000*$AP8/$AP$57</f>
        <v>#REF!</v>
      </c>
      <c r="AY8" s="18" t="e">
        <f>'Share of £1bn'!$F$21*1000*$AP8/$AP$57</f>
        <v>#REF!</v>
      </c>
      <c r="BA8" s="18" t="e">
        <f>'Share of £1bn'!$F$43*1000*AP8/$AP$57</f>
        <v>#REF!</v>
      </c>
      <c r="BB8" s="18" t="e">
        <f>'Share of £1bn'!$F$50*1000*$AP8/$AP$57</f>
        <v>#REF!</v>
      </c>
      <c r="BC8" s="18" t="e">
        <f>'Share of £1bn'!$F$44*1000*AP8/$AP$57</f>
        <v>#REF!</v>
      </c>
      <c r="BE8" s="18" t="e">
        <f>'Share of £1bn'!$F$67*1000*AP8/$AP$57</f>
        <v>#REF!</v>
      </c>
      <c r="BG8" s="11">
        <f>SUMIFS('20-11 M6 deficits'!$BO:$BO,'20-11 M6 deficits'!$C:$C,$C8)*1000</f>
        <v>0</v>
      </c>
      <c r="BI8" s="18" t="e">
        <f t="shared" si="23"/>
        <v>#REF!</v>
      </c>
      <c r="BJ8" s="18" t="e">
        <f t="shared" si="24"/>
        <v>#REF!</v>
      </c>
      <c r="BK8" s="18" t="e">
        <f t="shared" si="25"/>
        <v>#REF!</v>
      </c>
      <c r="BL8" s="18" t="e">
        <f t="shared" si="26"/>
        <v>#REF!</v>
      </c>
      <c r="BM8" s="18" t="e">
        <f t="shared" si="27"/>
        <v>#REF!</v>
      </c>
      <c r="BO8" s="18" t="e">
        <f t="shared" si="28"/>
        <v>#REF!</v>
      </c>
      <c r="BP8" s="18" t="e">
        <f t="shared" si="29"/>
        <v>#REF!</v>
      </c>
      <c r="BQ8" s="18" t="e">
        <f t="shared" si="30"/>
        <v>#REF!</v>
      </c>
      <c r="BR8" s="18" t="e">
        <f t="shared" si="31"/>
        <v>#REF!</v>
      </c>
      <c r="BS8" s="18" t="e">
        <f t="shared" si="32"/>
        <v>#REF!</v>
      </c>
      <c r="BU8" s="18" t="e">
        <f t="shared" si="52"/>
        <v>#REF!</v>
      </c>
      <c r="BV8" s="18" t="e">
        <f t="shared" si="33"/>
        <v>#REF!</v>
      </c>
      <c r="BW8" s="18" t="e">
        <f t="shared" si="34"/>
        <v>#REF!</v>
      </c>
      <c r="BX8" s="18" t="e">
        <f t="shared" si="35"/>
        <v>#REF!</v>
      </c>
      <c r="BY8" s="18" t="e">
        <f t="shared" si="36"/>
        <v>#REF!</v>
      </c>
      <c r="CA8" s="18" t="e">
        <f t="shared" si="37"/>
        <v>#REF!</v>
      </c>
      <c r="CB8" s="18" t="e">
        <f t="shared" si="38"/>
        <v>#REF!</v>
      </c>
      <c r="CC8" s="18" t="e">
        <f t="shared" si="39"/>
        <v>#REF!</v>
      </c>
      <c r="CD8" s="18" t="e">
        <f t="shared" si="40"/>
        <v>#REF!</v>
      </c>
      <c r="CE8" s="18" t="e">
        <f t="shared" si="41"/>
        <v>#REF!</v>
      </c>
      <c r="CG8" s="18" t="e">
        <f t="shared" si="42"/>
        <v>#REF!</v>
      </c>
      <c r="CH8" s="18" t="e">
        <f t="shared" si="43"/>
        <v>#REF!</v>
      </c>
      <c r="CI8" s="18" t="e">
        <f t="shared" si="44"/>
        <v>#REF!</v>
      </c>
      <c r="CJ8" s="18" t="e">
        <f t="shared" si="45"/>
        <v>#REF!</v>
      </c>
      <c r="CK8" s="18" t="e">
        <f t="shared" si="46"/>
        <v>#REF!</v>
      </c>
      <c r="CN8" s="209">
        <f t="shared" si="47"/>
        <v>0</v>
      </c>
      <c r="CO8" s="209" t="e">
        <f t="shared" si="48"/>
        <v>#REF!</v>
      </c>
      <c r="CP8" s="209" t="e">
        <f t="shared" si="49"/>
        <v>#REF!</v>
      </c>
      <c r="CQ8" s="209" t="e">
        <f t="shared" si="50"/>
        <v>#REF!</v>
      </c>
      <c r="CR8" s="209" t="e">
        <f t="shared" si="51"/>
        <v>#REF!</v>
      </c>
    </row>
    <row r="9" spans="1:96" x14ac:dyDescent="0.25">
      <c r="A9" s="10" t="s">
        <v>27</v>
      </c>
      <c r="B9" s="4" t="s">
        <v>28</v>
      </c>
      <c r="C9" s="4" t="s">
        <v>29</v>
      </c>
      <c r="D9" s="4" t="s">
        <v>30</v>
      </c>
      <c r="E9" s="11">
        <f>SUMIFS('ICB Core Baseline 2024-25'!Q:Q,'ICB Core Baseline 2024-25'!C:C,C9)</f>
        <v>5282103.6953610079</v>
      </c>
      <c r="F9" s="43" t="e">
        <f>SUMIFS(#REF!,#REF!,C9)</f>
        <v>#REF!</v>
      </c>
      <c r="H9" s="43" t="e">
        <f>SUMIFS(#REF!,#REF!,C9)</f>
        <v>#REF!</v>
      </c>
      <c r="I9" s="43" t="e">
        <f t="shared" si="6"/>
        <v>#REF!</v>
      </c>
      <c r="J9" s="43" t="e">
        <f t="shared" si="7"/>
        <v>#REF!</v>
      </c>
      <c r="K9" s="11" t="e">
        <f t="shared" si="0"/>
        <v>#REF!</v>
      </c>
      <c r="L9" s="11" t="e">
        <f t="shared" si="1"/>
        <v>#REF!</v>
      </c>
      <c r="M9" s="43" t="e">
        <f>SUMIFS(#REF!,#REF!,C9)</f>
        <v>#REF!</v>
      </c>
      <c r="N9" s="11" t="e">
        <f t="shared" si="2"/>
        <v>#REF!</v>
      </c>
      <c r="O9" s="43" t="e">
        <f t="shared" si="8"/>
        <v>#REF!</v>
      </c>
      <c r="P9" s="11" t="e">
        <f t="shared" si="3"/>
        <v>#REF!</v>
      </c>
      <c r="Q9" s="11" t="e">
        <f t="shared" si="9"/>
        <v>#REF!</v>
      </c>
      <c r="R9" s="11" t="e">
        <f t="shared" si="4"/>
        <v>#REF!</v>
      </c>
      <c r="S9" s="257" t="e">
        <f t="shared" si="10"/>
        <v>#REF!</v>
      </c>
      <c r="T9" s="11" t="e">
        <f>(SUMIFS(#REF!,#REF!,C9)/SUMIFS(#REF!,#REF!,C9))*1000</f>
        <v>#REF!</v>
      </c>
      <c r="U9" s="11" t="e">
        <f t="shared" si="11"/>
        <v>#REF!</v>
      </c>
      <c r="V9" s="11"/>
      <c r="W9" s="11" t="e">
        <f t="shared" si="12"/>
        <v>#REF!</v>
      </c>
      <c r="X9" s="11" t="e">
        <f t="shared" si="13"/>
        <v>#REF!</v>
      </c>
      <c r="Y9" s="43" t="e">
        <f t="shared" si="14"/>
        <v>#REF!</v>
      </c>
      <c r="Z9" s="43" t="e">
        <f ca="1">OFFSET(#REF!,MATCH(C9,#REF!,0)+1,0)</f>
        <v>#REF!</v>
      </c>
      <c r="AA9" s="43" t="e">
        <f t="shared" ca="1" si="15"/>
        <v>#REF!</v>
      </c>
      <c r="AB9" s="43" t="e">
        <f t="shared" si="5"/>
        <v>#REF!</v>
      </c>
      <c r="AC9" s="11" t="e">
        <f>SUMIFS(#REF!,#REF!,C9)/(1+1.8%)*(1+1.8%+2.3%)</f>
        <v>#REF!</v>
      </c>
      <c r="AD9" s="11" t="e">
        <f t="shared" si="16"/>
        <v>#REF!</v>
      </c>
      <c r="AE9" s="64"/>
      <c r="AF9" s="11" t="e">
        <f>(SUMIFS(#REF!,#REF!,C9)/(1+1.8%))*(1+1.8%+2.3%)</f>
        <v>#REF!</v>
      </c>
      <c r="AG9" s="11" t="e">
        <f>-SUMIFS(#REF!,#REF!,C9)/1000</f>
        <v>#REF!</v>
      </c>
      <c r="AH9" s="11" t="e">
        <f>SUMIFS(#REF!,#REF!,C9)</f>
        <v>#REF!</v>
      </c>
      <c r="AI9" s="11" t="e">
        <f>SUMIFS(#REF!,#REF!,C9)</f>
        <v>#REF!</v>
      </c>
      <c r="AJ9" s="11" t="e">
        <f>SUMIFS(#REF!,#REF!,C9)</f>
        <v>#REF!</v>
      </c>
      <c r="AK9" s="11" t="e">
        <f>SUMIFS(#REF!,#REF!,C9)</f>
        <v>#REF!</v>
      </c>
      <c r="AL9" s="11"/>
      <c r="AM9" s="11" t="e">
        <f t="shared" si="17"/>
        <v>#REF!</v>
      </c>
      <c r="AO9" s="11" t="e">
        <f t="shared" si="18"/>
        <v>#REF!</v>
      </c>
      <c r="AP9" s="11" t="e">
        <f t="shared" si="19"/>
        <v>#REF!</v>
      </c>
      <c r="AR9" s="11" t="e">
        <f t="shared" si="20"/>
        <v>#REF!</v>
      </c>
      <c r="AT9" s="43" t="e">
        <f t="shared" si="21"/>
        <v>#REF!</v>
      </c>
      <c r="AU9" s="11" t="e">
        <f t="shared" si="22"/>
        <v>#REF!</v>
      </c>
      <c r="AW9" s="11" t="e">
        <f>'Share of £1bn'!$F$20*1000*$AP9/$AP$57</f>
        <v>#REF!</v>
      </c>
      <c r="AX9" s="11" t="e">
        <f>'Share of £1bn'!$F$27*1000*$AP9/$AP$57</f>
        <v>#REF!</v>
      </c>
      <c r="AY9" s="11" t="e">
        <f>'Share of £1bn'!$F$21*1000*$AP9/$AP$57</f>
        <v>#REF!</v>
      </c>
      <c r="BA9" s="11" t="e">
        <f>'Share of £1bn'!$F$43*1000*AP9/$AP$57</f>
        <v>#REF!</v>
      </c>
      <c r="BB9" s="11" t="e">
        <f>'Share of £1bn'!$F$50*1000*$AP9/$AP$57</f>
        <v>#REF!</v>
      </c>
      <c r="BC9" s="11" t="e">
        <f>'Share of £1bn'!$F$44*1000*AP9/$AP$57</f>
        <v>#REF!</v>
      </c>
      <c r="BE9" s="11" t="e">
        <f>'Share of £1bn'!$F$67*1000*AP9/$AP$57</f>
        <v>#REF!</v>
      </c>
      <c r="BG9" s="11">
        <f>SUMIFS('20-11 M6 deficits'!$BO:$BO,'20-11 M6 deficits'!$C:$C,$C9)*1000</f>
        <v>-51200</v>
      </c>
      <c r="BI9" s="11" t="e">
        <f t="shared" si="23"/>
        <v>#REF!</v>
      </c>
      <c r="BJ9" s="11" t="e">
        <f t="shared" si="24"/>
        <v>#REF!</v>
      </c>
      <c r="BK9" s="11" t="e">
        <f t="shared" si="25"/>
        <v>#REF!</v>
      </c>
      <c r="BL9" s="11" t="e">
        <f t="shared" si="26"/>
        <v>#REF!</v>
      </c>
      <c r="BM9" s="11" t="e">
        <f t="shared" si="27"/>
        <v>#REF!</v>
      </c>
      <c r="BO9" s="11" t="e">
        <f t="shared" si="28"/>
        <v>#REF!</v>
      </c>
      <c r="BP9" s="11" t="e">
        <f t="shared" si="29"/>
        <v>#REF!</v>
      </c>
      <c r="BQ9" s="11" t="e">
        <f t="shared" si="30"/>
        <v>#REF!</v>
      </c>
      <c r="BR9" s="11" t="e">
        <f t="shared" si="31"/>
        <v>#REF!</v>
      </c>
      <c r="BS9" s="11" t="e">
        <f t="shared" si="32"/>
        <v>#REF!</v>
      </c>
      <c r="BU9" s="11" t="e">
        <f t="shared" si="52"/>
        <v>#REF!</v>
      </c>
      <c r="BV9" s="11" t="e">
        <f t="shared" si="33"/>
        <v>#REF!</v>
      </c>
      <c r="BW9" s="11" t="e">
        <f t="shared" si="34"/>
        <v>#REF!</v>
      </c>
      <c r="BX9" s="11" t="e">
        <f t="shared" si="35"/>
        <v>#REF!</v>
      </c>
      <c r="BY9" s="11" t="e">
        <f t="shared" si="36"/>
        <v>#REF!</v>
      </c>
      <c r="CA9" s="11" t="e">
        <f t="shared" si="37"/>
        <v>#REF!</v>
      </c>
      <c r="CB9" s="11" t="e">
        <f t="shared" si="38"/>
        <v>#REF!</v>
      </c>
      <c r="CC9" s="11" t="e">
        <f t="shared" si="39"/>
        <v>#REF!</v>
      </c>
      <c r="CD9" s="11" t="e">
        <f t="shared" si="40"/>
        <v>#REF!</v>
      </c>
      <c r="CE9" s="11" t="e">
        <f t="shared" si="41"/>
        <v>#REF!</v>
      </c>
      <c r="CG9" s="11" t="e">
        <f t="shared" si="42"/>
        <v>#REF!</v>
      </c>
      <c r="CH9" s="11" t="e">
        <f t="shared" si="43"/>
        <v>#REF!</v>
      </c>
      <c r="CI9" s="11" t="e">
        <f t="shared" si="44"/>
        <v>#REF!</v>
      </c>
      <c r="CJ9" s="11" t="e">
        <f t="shared" si="45"/>
        <v>#REF!</v>
      </c>
      <c r="CK9" s="11" t="e">
        <f t="shared" si="46"/>
        <v>#REF!</v>
      </c>
      <c r="CN9" s="209">
        <f t="shared" si="47"/>
        <v>3.2387698167101825E-2</v>
      </c>
      <c r="CO9" s="209" t="e">
        <f t="shared" si="48"/>
        <v>#REF!</v>
      </c>
      <c r="CP9" s="209" t="e">
        <f t="shared" si="49"/>
        <v>#REF!</v>
      </c>
      <c r="CQ9" s="209" t="e">
        <f t="shared" si="50"/>
        <v>#REF!</v>
      </c>
      <c r="CR9" s="209" t="e">
        <f t="shared" si="51"/>
        <v>#REF!</v>
      </c>
    </row>
    <row r="10" spans="1:96" x14ac:dyDescent="0.25">
      <c r="A10" s="13" t="s">
        <v>27</v>
      </c>
      <c r="B10" s="14" t="s">
        <v>28</v>
      </c>
      <c r="C10" s="4" t="s">
        <v>31</v>
      </c>
      <c r="D10" s="4" t="s">
        <v>8</v>
      </c>
      <c r="E10" s="11">
        <f>SUMIFS('ICB Core Baseline 2024-25'!Q:Q,'ICB Core Baseline 2024-25'!C:C,C10)</f>
        <v>5659485.1514335498</v>
      </c>
      <c r="F10" s="43" t="e">
        <f>SUMIFS(#REF!,#REF!,C10)</f>
        <v>#REF!</v>
      </c>
      <c r="H10" s="43" t="e">
        <f>SUMIFS(#REF!,#REF!,C10)</f>
        <v>#REF!</v>
      </c>
      <c r="I10" s="43" t="e">
        <f t="shared" si="6"/>
        <v>#REF!</v>
      </c>
      <c r="J10" s="43" t="e">
        <f t="shared" si="7"/>
        <v>#REF!</v>
      </c>
      <c r="K10" s="11" t="e">
        <f t="shared" si="0"/>
        <v>#REF!</v>
      </c>
      <c r="L10" s="11" t="e">
        <f t="shared" si="1"/>
        <v>#REF!</v>
      </c>
      <c r="M10" s="43" t="e">
        <f>SUMIFS(#REF!,#REF!,C10)</f>
        <v>#REF!</v>
      </c>
      <c r="N10" s="11" t="e">
        <f t="shared" si="2"/>
        <v>#REF!</v>
      </c>
      <c r="O10" s="43" t="e">
        <f t="shared" si="8"/>
        <v>#REF!</v>
      </c>
      <c r="P10" s="11" t="e">
        <f t="shared" si="3"/>
        <v>#REF!</v>
      </c>
      <c r="Q10" s="11" t="e">
        <f t="shared" si="9"/>
        <v>#REF!</v>
      </c>
      <c r="R10" s="11" t="e">
        <f t="shared" si="4"/>
        <v>#REF!</v>
      </c>
      <c r="S10" s="257" t="e">
        <f t="shared" si="10"/>
        <v>#REF!</v>
      </c>
      <c r="T10" s="11" t="e">
        <f>(SUMIFS(#REF!,#REF!,C10)/SUMIFS(#REF!,#REF!,C10))*1000</f>
        <v>#REF!</v>
      </c>
      <c r="U10" s="11" t="e">
        <f t="shared" si="11"/>
        <v>#REF!</v>
      </c>
      <c r="V10" s="11"/>
      <c r="W10" s="11" t="e">
        <f t="shared" si="12"/>
        <v>#REF!</v>
      </c>
      <c r="X10" s="11" t="e">
        <f t="shared" si="13"/>
        <v>#REF!</v>
      </c>
      <c r="Y10" s="43" t="e">
        <f t="shared" si="14"/>
        <v>#REF!</v>
      </c>
      <c r="Z10" s="43" t="e">
        <f ca="1">OFFSET(#REF!,MATCH(C10,#REF!,0)+1,0)</f>
        <v>#REF!</v>
      </c>
      <c r="AA10" s="43" t="e">
        <f t="shared" ca="1" si="15"/>
        <v>#REF!</v>
      </c>
      <c r="AB10" s="43" t="e">
        <f t="shared" si="5"/>
        <v>#REF!</v>
      </c>
      <c r="AC10" s="11" t="e">
        <f>SUMIFS(#REF!,#REF!,C10)/(1+1.8%)*(1+1.8%+2.3%)</f>
        <v>#REF!</v>
      </c>
      <c r="AD10" s="11" t="e">
        <f t="shared" si="16"/>
        <v>#REF!</v>
      </c>
      <c r="AE10" s="64"/>
      <c r="AF10" s="11" t="e">
        <f>(SUMIFS(#REF!,#REF!,C10)/(1+1.8%))*(1+1.8%+2.3%)</f>
        <v>#REF!</v>
      </c>
      <c r="AG10" s="11" t="e">
        <f>-SUMIFS(#REF!,#REF!,C10)/1000</f>
        <v>#REF!</v>
      </c>
      <c r="AH10" s="11" t="e">
        <f>SUMIFS(#REF!,#REF!,C10)</f>
        <v>#REF!</v>
      </c>
      <c r="AI10" s="11" t="e">
        <f>SUMIFS(#REF!,#REF!,C10)</f>
        <v>#REF!</v>
      </c>
      <c r="AJ10" s="11" t="e">
        <f>SUMIFS(#REF!,#REF!,C10)</f>
        <v>#REF!</v>
      </c>
      <c r="AK10" s="11" t="e">
        <f>SUMIFS(#REF!,#REF!,C10)</f>
        <v>#REF!</v>
      </c>
      <c r="AL10" s="11"/>
      <c r="AM10" s="11" t="e">
        <f t="shared" si="17"/>
        <v>#REF!</v>
      </c>
      <c r="AO10" s="11" t="e">
        <f t="shared" si="18"/>
        <v>#REF!</v>
      </c>
      <c r="AP10" s="11" t="e">
        <f t="shared" si="19"/>
        <v>#REF!</v>
      </c>
      <c r="AR10" s="11" t="e">
        <f t="shared" si="20"/>
        <v>#REF!</v>
      </c>
      <c r="AT10" s="43" t="e">
        <f t="shared" si="21"/>
        <v>#REF!</v>
      </c>
      <c r="AU10" s="11" t="e">
        <f t="shared" si="22"/>
        <v>#REF!</v>
      </c>
      <c r="AW10" s="11" t="e">
        <f>'Share of £1bn'!$F$20*1000*$AP10/$AP$57</f>
        <v>#REF!</v>
      </c>
      <c r="AX10" s="11" t="e">
        <f>'Share of £1bn'!$F$27*1000*$AP10/$AP$57</f>
        <v>#REF!</v>
      </c>
      <c r="AY10" s="11" t="e">
        <f>'Share of £1bn'!$F$21*1000*$AP10/$AP$57</f>
        <v>#REF!</v>
      </c>
      <c r="BA10" s="11" t="e">
        <f>'Share of £1bn'!$F$43*1000*AP10/$AP$57</f>
        <v>#REF!</v>
      </c>
      <c r="BB10" s="11" t="e">
        <f>'Share of £1bn'!$F$50*1000*$AP10/$AP$57</f>
        <v>#REF!</v>
      </c>
      <c r="BC10" s="11" t="e">
        <f>'Share of £1bn'!$F$44*1000*AP10/$AP$57</f>
        <v>#REF!</v>
      </c>
      <c r="BE10" s="11" t="e">
        <f>'Share of £1bn'!$F$67*1000*AP10/$AP$57</f>
        <v>#REF!</v>
      </c>
      <c r="BG10" s="11">
        <f>SUMIFS('20-11 M6 deficits'!$BO:$BO,'20-11 M6 deficits'!$C:$C,$C10)*1000</f>
        <v>-169956.59103814809</v>
      </c>
      <c r="BI10" s="11" t="e">
        <f t="shared" si="23"/>
        <v>#REF!</v>
      </c>
      <c r="BJ10" s="11" t="e">
        <f t="shared" si="24"/>
        <v>#REF!</v>
      </c>
      <c r="BK10" s="11" t="e">
        <f t="shared" si="25"/>
        <v>#REF!</v>
      </c>
      <c r="BL10" s="11" t="e">
        <f t="shared" si="26"/>
        <v>#REF!</v>
      </c>
      <c r="BM10" s="11" t="e">
        <f t="shared" si="27"/>
        <v>#REF!</v>
      </c>
      <c r="BO10" s="11" t="e">
        <f t="shared" si="28"/>
        <v>#REF!</v>
      </c>
      <c r="BP10" s="11" t="e">
        <f t="shared" si="29"/>
        <v>#REF!</v>
      </c>
      <c r="BQ10" s="11" t="e">
        <f t="shared" si="30"/>
        <v>#REF!</v>
      </c>
      <c r="BR10" s="11" t="e">
        <f t="shared" si="31"/>
        <v>#REF!</v>
      </c>
      <c r="BS10" s="11" t="e">
        <f t="shared" si="32"/>
        <v>#REF!</v>
      </c>
      <c r="BU10" s="11" t="e">
        <f t="shared" si="52"/>
        <v>#REF!</v>
      </c>
      <c r="BV10" s="11" t="e">
        <f t="shared" si="33"/>
        <v>#REF!</v>
      </c>
      <c r="BW10" s="11" t="e">
        <f t="shared" si="34"/>
        <v>#REF!</v>
      </c>
      <c r="BX10" s="11" t="e">
        <f t="shared" si="35"/>
        <v>#REF!</v>
      </c>
      <c r="BY10" s="11" t="e">
        <f t="shared" si="36"/>
        <v>#REF!</v>
      </c>
      <c r="CA10" s="11" t="e">
        <f t="shared" si="37"/>
        <v>#REF!</v>
      </c>
      <c r="CB10" s="11" t="e">
        <f t="shared" si="38"/>
        <v>#REF!</v>
      </c>
      <c r="CC10" s="11" t="e">
        <f t="shared" si="39"/>
        <v>#REF!</v>
      </c>
      <c r="CD10" s="11" t="e">
        <f t="shared" si="40"/>
        <v>#REF!</v>
      </c>
      <c r="CE10" s="11" t="e">
        <f t="shared" si="41"/>
        <v>#REF!</v>
      </c>
      <c r="CG10" s="11" t="e">
        <f t="shared" si="42"/>
        <v>#REF!</v>
      </c>
      <c r="CH10" s="11" t="e">
        <f t="shared" si="43"/>
        <v>#REF!</v>
      </c>
      <c r="CI10" s="11" t="e">
        <f t="shared" si="44"/>
        <v>#REF!</v>
      </c>
      <c r="CJ10" s="11" t="e">
        <f t="shared" si="45"/>
        <v>#REF!</v>
      </c>
      <c r="CK10" s="11" t="e">
        <f t="shared" si="46"/>
        <v>#REF!</v>
      </c>
      <c r="CN10" s="209">
        <f t="shared" si="47"/>
        <v>0.10750981976666217</v>
      </c>
      <c r="CO10" s="209" t="e">
        <f t="shared" si="48"/>
        <v>#REF!</v>
      </c>
      <c r="CP10" s="209" t="e">
        <f t="shared" si="49"/>
        <v>#REF!</v>
      </c>
      <c r="CQ10" s="209" t="e">
        <f t="shared" si="50"/>
        <v>#REF!</v>
      </c>
      <c r="CR10" s="209" t="e">
        <f t="shared" si="51"/>
        <v>#REF!</v>
      </c>
    </row>
    <row r="11" spans="1:96" x14ac:dyDescent="0.25">
      <c r="A11" s="15" t="s">
        <v>27</v>
      </c>
      <c r="B11" s="16" t="s">
        <v>28</v>
      </c>
      <c r="C11" s="17" t="s">
        <v>32</v>
      </c>
      <c r="D11" s="17" t="s">
        <v>33</v>
      </c>
      <c r="E11" s="18">
        <f>SUMIFS('ICB Core Baseline 2024-25'!Q:Q,'ICB Core Baseline 2024-25'!C:C,C11)</f>
        <v>3508460.5811494747</v>
      </c>
      <c r="F11" s="44" t="e">
        <f>SUMIFS(#REF!,#REF!,C11)</f>
        <v>#REF!</v>
      </c>
      <c r="H11" s="44" t="e">
        <f>SUMIFS(#REF!,#REF!,C11)</f>
        <v>#REF!</v>
      </c>
      <c r="I11" s="44" t="e">
        <f t="shared" si="6"/>
        <v>#REF!</v>
      </c>
      <c r="J11" s="44" t="e">
        <f t="shared" si="7"/>
        <v>#REF!</v>
      </c>
      <c r="K11" s="18" t="e">
        <f t="shared" si="0"/>
        <v>#REF!</v>
      </c>
      <c r="L11" s="18" t="e">
        <f t="shared" si="1"/>
        <v>#REF!</v>
      </c>
      <c r="M11" s="44" t="e">
        <f>SUMIFS(#REF!,#REF!,C11)</f>
        <v>#REF!</v>
      </c>
      <c r="N11" s="18" t="e">
        <f t="shared" si="2"/>
        <v>#REF!</v>
      </c>
      <c r="O11" s="44" t="e">
        <f t="shared" si="8"/>
        <v>#REF!</v>
      </c>
      <c r="P11" s="18" t="e">
        <f t="shared" si="3"/>
        <v>#REF!</v>
      </c>
      <c r="Q11" s="18" t="e">
        <f t="shared" si="9"/>
        <v>#REF!</v>
      </c>
      <c r="R11" s="18" t="e">
        <f t="shared" si="4"/>
        <v>#REF!</v>
      </c>
      <c r="S11" s="257" t="e">
        <f t="shared" si="10"/>
        <v>#REF!</v>
      </c>
      <c r="T11" s="18" t="e">
        <f>(SUMIFS(#REF!,#REF!,C11)/SUMIFS(#REF!,#REF!,C11))*1000</f>
        <v>#REF!</v>
      </c>
      <c r="U11" s="18" t="e">
        <f t="shared" si="11"/>
        <v>#REF!</v>
      </c>
      <c r="V11" s="18"/>
      <c r="W11" s="18" t="e">
        <f t="shared" si="12"/>
        <v>#REF!</v>
      </c>
      <c r="X11" s="18" t="e">
        <f t="shared" si="13"/>
        <v>#REF!</v>
      </c>
      <c r="Y11" s="44" t="e">
        <f t="shared" si="14"/>
        <v>#REF!</v>
      </c>
      <c r="Z11" s="44" t="e">
        <f ca="1">OFFSET(#REF!,MATCH(C11,#REF!,0)+1,0)</f>
        <v>#REF!</v>
      </c>
      <c r="AA11" s="44" t="e">
        <f t="shared" ca="1" si="15"/>
        <v>#REF!</v>
      </c>
      <c r="AB11" s="44" t="e">
        <f t="shared" si="5"/>
        <v>#REF!</v>
      </c>
      <c r="AC11" s="18" t="e">
        <f>SUMIFS(#REF!,#REF!,C11)/(1+1.8%)*(1+1.8%+2.3%)</f>
        <v>#REF!</v>
      </c>
      <c r="AD11" s="18" t="e">
        <f t="shared" si="16"/>
        <v>#REF!</v>
      </c>
      <c r="AE11" s="65"/>
      <c r="AF11" s="18" t="e">
        <f>(SUMIFS(#REF!,#REF!,C11)/(1+1.8%))*(1+1.8%+2.3%)</f>
        <v>#REF!</v>
      </c>
      <c r="AG11" s="18" t="e">
        <f>-SUMIFS(#REF!,#REF!,C11)/1000</f>
        <v>#REF!</v>
      </c>
      <c r="AH11" s="18" t="e">
        <f>SUMIFS(#REF!,#REF!,C11)</f>
        <v>#REF!</v>
      </c>
      <c r="AI11" s="18" t="e">
        <f>SUMIFS(#REF!,#REF!,C11)</f>
        <v>#REF!</v>
      </c>
      <c r="AJ11" s="18" t="e">
        <f>SUMIFS(#REF!,#REF!,C11)</f>
        <v>#REF!</v>
      </c>
      <c r="AK11" s="18" t="e">
        <f>SUMIFS(#REF!,#REF!,C11)</f>
        <v>#REF!</v>
      </c>
      <c r="AL11" s="18"/>
      <c r="AM11" s="18" t="e">
        <f t="shared" si="17"/>
        <v>#REF!</v>
      </c>
      <c r="AO11" s="18" t="e">
        <f t="shared" si="18"/>
        <v>#REF!</v>
      </c>
      <c r="AP11" s="18" t="e">
        <f t="shared" si="19"/>
        <v>#REF!</v>
      </c>
      <c r="AR11" s="18" t="e">
        <f t="shared" si="20"/>
        <v>#REF!</v>
      </c>
      <c r="AT11" s="44" t="e">
        <f t="shared" si="21"/>
        <v>#REF!</v>
      </c>
      <c r="AU11" s="18" t="e">
        <f t="shared" si="22"/>
        <v>#REF!</v>
      </c>
      <c r="AW11" s="18" t="e">
        <f>'Share of £1bn'!$F$20*1000*$AP11/$AP$57</f>
        <v>#REF!</v>
      </c>
      <c r="AX11" s="18" t="e">
        <f>'Share of £1bn'!$F$27*1000*$AP11/$AP$57</f>
        <v>#REF!</v>
      </c>
      <c r="AY11" s="18" t="e">
        <f>'Share of £1bn'!$F$21*1000*$AP11/$AP$57</f>
        <v>#REF!</v>
      </c>
      <c r="BA11" s="18" t="e">
        <f>'Share of £1bn'!$F$43*1000*AP11/$AP$57</f>
        <v>#REF!</v>
      </c>
      <c r="BB11" s="18" t="e">
        <f>'Share of £1bn'!$F$50*1000*$AP11/$AP$57</f>
        <v>#REF!</v>
      </c>
      <c r="BC11" s="18" t="e">
        <f>'Share of £1bn'!$F$44*1000*AP11/$AP$57</f>
        <v>#REF!</v>
      </c>
      <c r="BE11" s="18" t="e">
        <f>'Share of £1bn'!$F$67*1000*AP11/$AP$57</f>
        <v>#REF!</v>
      </c>
      <c r="BG11" s="11">
        <f>SUMIFS('20-11 M6 deficits'!$BO:$BO,'20-11 M6 deficits'!$C:$C,$C11)*1000</f>
        <v>-200008.46951755669</v>
      </c>
      <c r="BI11" s="18" t="e">
        <f t="shared" si="23"/>
        <v>#REF!</v>
      </c>
      <c r="BJ11" s="18" t="e">
        <f t="shared" si="24"/>
        <v>#REF!</v>
      </c>
      <c r="BK11" s="18" t="e">
        <f t="shared" si="25"/>
        <v>#REF!</v>
      </c>
      <c r="BL11" s="18" t="e">
        <f t="shared" si="26"/>
        <v>#REF!</v>
      </c>
      <c r="BM11" s="18" t="e">
        <f t="shared" si="27"/>
        <v>#REF!</v>
      </c>
      <c r="BO11" s="18" t="e">
        <f t="shared" si="28"/>
        <v>#REF!</v>
      </c>
      <c r="BP11" s="18" t="e">
        <f t="shared" si="29"/>
        <v>#REF!</v>
      </c>
      <c r="BQ11" s="18" t="e">
        <f t="shared" si="30"/>
        <v>#REF!</v>
      </c>
      <c r="BR11" s="18" t="e">
        <f t="shared" si="31"/>
        <v>#REF!</v>
      </c>
      <c r="BS11" s="18" t="e">
        <f t="shared" si="32"/>
        <v>#REF!</v>
      </c>
      <c r="BU11" s="18" t="e">
        <f t="shared" si="52"/>
        <v>#REF!</v>
      </c>
      <c r="BV11" s="18" t="e">
        <f t="shared" si="33"/>
        <v>#REF!</v>
      </c>
      <c r="BW11" s="18" t="e">
        <f t="shared" si="34"/>
        <v>#REF!</v>
      </c>
      <c r="BX11" s="18" t="e">
        <f t="shared" si="35"/>
        <v>#REF!</v>
      </c>
      <c r="BY11" s="18" t="e">
        <f t="shared" si="36"/>
        <v>#REF!</v>
      </c>
      <c r="CA11" s="18" t="e">
        <f t="shared" si="37"/>
        <v>#REF!</v>
      </c>
      <c r="CB11" s="18" t="e">
        <f t="shared" si="38"/>
        <v>#REF!</v>
      </c>
      <c r="CC11" s="18" t="e">
        <f t="shared" si="39"/>
        <v>#REF!</v>
      </c>
      <c r="CD11" s="18" t="e">
        <f t="shared" si="40"/>
        <v>#REF!</v>
      </c>
      <c r="CE11" s="18" t="e">
        <f t="shared" si="41"/>
        <v>#REF!</v>
      </c>
      <c r="CG11" s="18" t="e">
        <f t="shared" si="42"/>
        <v>#REF!</v>
      </c>
      <c r="CH11" s="18" t="e">
        <f t="shared" si="43"/>
        <v>#REF!</v>
      </c>
      <c r="CI11" s="18" t="e">
        <f t="shared" si="44"/>
        <v>#REF!</v>
      </c>
      <c r="CJ11" s="18" t="e">
        <f t="shared" si="45"/>
        <v>#REF!</v>
      </c>
      <c r="CK11" s="18" t="e">
        <f t="shared" si="46"/>
        <v>#REF!</v>
      </c>
      <c r="CN11" s="209">
        <f t="shared" si="47"/>
        <v>0.12651980354684789</v>
      </c>
      <c r="CO11" s="209" t="e">
        <f t="shared" si="48"/>
        <v>#REF!</v>
      </c>
      <c r="CP11" s="209" t="e">
        <f t="shared" si="49"/>
        <v>#REF!</v>
      </c>
      <c r="CQ11" s="209" t="e">
        <f t="shared" si="50"/>
        <v>#REF!</v>
      </c>
      <c r="CR11" s="209" t="e">
        <f t="shared" si="51"/>
        <v>#REF!</v>
      </c>
    </row>
    <row r="12" spans="1:96" x14ac:dyDescent="0.25">
      <c r="A12" s="10" t="s">
        <v>34</v>
      </c>
      <c r="B12" s="4" t="s">
        <v>35</v>
      </c>
      <c r="C12" s="4" t="s">
        <v>36</v>
      </c>
      <c r="D12" s="4" t="s">
        <v>37</v>
      </c>
      <c r="E12" s="11">
        <f>SUMIFS('ICB Core Baseline 2024-25'!Q:Q,'ICB Core Baseline 2024-25'!C:C,C12)</f>
        <v>2582726.5490809772</v>
      </c>
      <c r="F12" s="43" t="e">
        <f>SUMIFS(#REF!,#REF!,C12)</f>
        <v>#REF!</v>
      </c>
      <c r="H12" s="43" t="e">
        <f>SUMIFS(#REF!,#REF!,C12)</f>
        <v>#REF!</v>
      </c>
      <c r="I12" s="43" t="e">
        <f t="shared" si="6"/>
        <v>#REF!</v>
      </c>
      <c r="J12" s="43" t="e">
        <f t="shared" si="7"/>
        <v>#REF!</v>
      </c>
      <c r="K12" s="11" t="e">
        <f t="shared" si="0"/>
        <v>#REF!</v>
      </c>
      <c r="L12" s="11" t="e">
        <f t="shared" si="1"/>
        <v>#REF!</v>
      </c>
      <c r="M12" s="43" t="e">
        <f>SUMIFS(#REF!,#REF!,C12)</f>
        <v>#REF!</v>
      </c>
      <c r="N12" s="11" t="e">
        <f t="shared" si="2"/>
        <v>#REF!</v>
      </c>
      <c r="O12" s="43" t="e">
        <f t="shared" si="8"/>
        <v>#REF!</v>
      </c>
      <c r="P12" s="11" t="e">
        <f t="shared" si="3"/>
        <v>#REF!</v>
      </c>
      <c r="Q12" s="11" t="e">
        <f t="shared" si="9"/>
        <v>#REF!</v>
      </c>
      <c r="R12" s="11" t="e">
        <f t="shared" si="4"/>
        <v>#REF!</v>
      </c>
      <c r="S12" s="257" t="e">
        <f t="shared" si="10"/>
        <v>#REF!</v>
      </c>
      <c r="T12" s="11" t="e">
        <f>(SUMIFS(#REF!,#REF!,C12)/SUMIFS(#REF!,#REF!,C12))*1000</f>
        <v>#REF!</v>
      </c>
      <c r="U12" s="11" t="e">
        <f t="shared" si="11"/>
        <v>#REF!</v>
      </c>
      <c r="V12" s="11"/>
      <c r="W12" s="11" t="e">
        <f t="shared" si="12"/>
        <v>#REF!</v>
      </c>
      <c r="X12" s="11" t="e">
        <f t="shared" si="13"/>
        <v>#REF!</v>
      </c>
      <c r="Y12" s="43" t="e">
        <f t="shared" si="14"/>
        <v>#REF!</v>
      </c>
      <c r="Z12" s="43" t="e">
        <f ca="1">OFFSET(#REF!,MATCH(C12,#REF!,0)+1,0)</f>
        <v>#REF!</v>
      </c>
      <c r="AA12" s="43" t="e">
        <f t="shared" ca="1" si="15"/>
        <v>#REF!</v>
      </c>
      <c r="AB12" s="43" t="e">
        <f t="shared" si="5"/>
        <v>#REF!</v>
      </c>
      <c r="AC12" s="11" t="e">
        <f>SUMIFS(#REF!,#REF!,C12)/(1+1.8%)*(1+1.8%+2.3%)</f>
        <v>#REF!</v>
      </c>
      <c r="AD12" s="11" t="e">
        <f t="shared" si="16"/>
        <v>#REF!</v>
      </c>
      <c r="AE12" s="64"/>
      <c r="AF12" s="11" t="e">
        <f>(SUMIFS(#REF!,#REF!,C12)/(1+1.8%))*(1+1.8%+2.3%)</f>
        <v>#REF!</v>
      </c>
      <c r="AG12" s="11" t="e">
        <f>-SUMIFS(#REF!,#REF!,C12)/1000</f>
        <v>#REF!</v>
      </c>
      <c r="AH12" s="11" t="e">
        <f>SUMIFS(#REF!,#REF!,C12)</f>
        <v>#REF!</v>
      </c>
      <c r="AI12" s="11" t="e">
        <f>SUMIFS(#REF!,#REF!,C12)</f>
        <v>#REF!</v>
      </c>
      <c r="AJ12" s="11" t="e">
        <f>SUMIFS(#REF!,#REF!,C12)</f>
        <v>#REF!</v>
      </c>
      <c r="AK12" s="11" t="e">
        <f>SUMIFS(#REF!,#REF!,C12)</f>
        <v>#REF!</v>
      </c>
      <c r="AL12" s="11"/>
      <c r="AM12" s="11" t="e">
        <f t="shared" si="17"/>
        <v>#REF!</v>
      </c>
      <c r="AO12" s="11" t="e">
        <f t="shared" si="18"/>
        <v>#REF!</v>
      </c>
      <c r="AP12" s="11" t="e">
        <f t="shared" si="19"/>
        <v>#REF!</v>
      </c>
      <c r="AR12" s="11" t="e">
        <f t="shared" si="20"/>
        <v>#REF!</v>
      </c>
      <c r="AT12" s="43" t="e">
        <f t="shared" si="21"/>
        <v>#REF!</v>
      </c>
      <c r="AU12" s="11" t="e">
        <f t="shared" si="22"/>
        <v>#REF!</v>
      </c>
      <c r="AW12" s="11" t="e">
        <f>'Share of £1bn'!$F$20*1000*$AP12/$AP$57</f>
        <v>#REF!</v>
      </c>
      <c r="AX12" s="11" t="e">
        <f>'Share of £1bn'!$F$27*1000*$AP12/$AP$57</f>
        <v>#REF!</v>
      </c>
      <c r="AY12" s="11" t="e">
        <f>'Share of £1bn'!$F$21*1000*$AP12/$AP$57</f>
        <v>#REF!</v>
      </c>
      <c r="BA12" s="11" t="e">
        <f>'Share of £1bn'!$F$43*1000*AP12/$AP$57</f>
        <v>#REF!</v>
      </c>
      <c r="BB12" s="11" t="e">
        <f>'Share of £1bn'!$F$50*1000*$AP12/$AP$57</f>
        <v>#REF!</v>
      </c>
      <c r="BC12" s="11" t="e">
        <f>'Share of £1bn'!$F$44*1000*AP12/$AP$57</f>
        <v>#REF!</v>
      </c>
      <c r="BE12" s="11" t="e">
        <f>'Share of £1bn'!$F$67*1000*AP12/$AP$57</f>
        <v>#REF!</v>
      </c>
      <c r="BG12" s="11">
        <f>SUMIFS('20-11 M6 deficits'!$BO:$BO,'20-11 M6 deficits'!$C:$C,$C12)*1000</f>
        <v>0</v>
      </c>
      <c r="BI12" s="11" t="e">
        <f t="shared" si="23"/>
        <v>#REF!</v>
      </c>
      <c r="BJ12" s="11" t="e">
        <f t="shared" si="24"/>
        <v>#REF!</v>
      </c>
      <c r="BK12" s="11" t="e">
        <f t="shared" si="25"/>
        <v>#REF!</v>
      </c>
      <c r="BL12" s="11" t="e">
        <f t="shared" si="26"/>
        <v>#REF!</v>
      </c>
      <c r="BM12" s="11" t="e">
        <f t="shared" si="27"/>
        <v>#REF!</v>
      </c>
      <c r="BO12" s="11" t="e">
        <f t="shared" si="28"/>
        <v>#REF!</v>
      </c>
      <c r="BP12" s="11" t="e">
        <f t="shared" si="29"/>
        <v>#REF!</v>
      </c>
      <c r="BQ12" s="11" t="e">
        <f t="shared" si="30"/>
        <v>#REF!</v>
      </c>
      <c r="BR12" s="11" t="e">
        <f t="shared" si="31"/>
        <v>#REF!</v>
      </c>
      <c r="BS12" s="11" t="e">
        <f t="shared" si="32"/>
        <v>#REF!</v>
      </c>
      <c r="BU12" s="11" t="e">
        <f t="shared" si="52"/>
        <v>#REF!</v>
      </c>
      <c r="BV12" s="11" t="e">
        <f t="shared" si="33"/>
        <v>#REF!</v>
      </c>
      <c r="BW12" s="11" t="e">
        <f t="shared" si="34"/>
        <v>#REF!</v>
      </c>
      <c r="BX12" s="11" t="e">
        <f t="shared" si="35"/>
        <v>#REF!</v>
      </c>
      <c r="BY12" s="11" t="e">
        <f t="shared" si="36"/>
        <v>#REF!</v>
      </c>
      <c r="CA12" s="11" t="e">
        <f t="shared" si="37"/>
        <v>#REF!</v>
      </c>
      <c r="CB12" s="11" t="e">
        <f t="shared" si="38"/>
        <v>#REF!</v>
      </c>
      <c r="CC12" s="11" t="e">
        <f t="shared" si="39"/>
        <v>#REF!</v>
      </c>
      <c r="CD12" s="11" t="e">
        <f t="shared" si="40"/>
        <v>#REF!</v>
      </c>
      <c r="CE12" s="11" t="e">
        <f t="shared" si="41"/>
        <v>#REF!</v>
      </c>
      <c r="CG12" s="11" t="e">
        <f t="shared" si="42"/>
        <v>#REF!</v>
      </c>
      <c r="CH12" s="11" t="e">
        <f t="shared" si="43"/>
        <v>#REF!</v>
      </c>
      <c r="CI12" s="11" t="e">
        <f t="shared" si="44"/>
        <v>#REF!</v>
      </c>
      <c r="CJ12" s="11" t="e">
        <f t="shared" si="45"/>
        <v>#REF!</v>
      </c>
      <c r="CK12" s="11" t="e">
        <f t="shared" si="46"/>
        <v>#REF!</v>
      </c>
      <c r="CN12" s="209">
        <f t="shared" si="47"/>
        <v>0</v>
      </c>
      <c r="CO12" s="209" t="e">
        <f t="shared" si="48"/>
        <v>#REF!</v>
      </c>
      <c r="CP12" s="209" t="e">
        <f t="shared" si="49"/>
        <v>#REF!</v>
      </c>
      <c r="CQ12" s="209" t="e">
        <f t="shared" si="50"/>
        <v>#REF!</v>
      </c>
      <c r="CR12" s="209" t="e">
        <f t="shared" si="51"/>
        <v>#REF!</v>
      </c>
    </row>
    <row r="13" spans="1:96" x14ac:dyDescent="0.25">
      <c r="A13" s="13" t="s">
        <v>34</v>
      </c>
      <c r="B13" s="14" t="s">
        <v>35</v>
      </c>
      <c r="C13" s="4" t="s">
        <v>38</v>
      </c>
      <c r="D13" s="4" t="s">
        <v>39</v>
      </c>
      <c r="E13" s="11">
        <f>SUMIFS('ICB Core Baseline 2024-25'!Q:Q,'ICB Core Baseline 2024-25'!C:C,C13)</f>
        <v>2279346.3873321107</v>
      </c>
      <c r="F13" s="43" t="e">
        <f>SUMIFS(#REF!,#REF!,C13)</f>
        <v>#REF!</v>
      </c>
      <c r="H13" s="43" t="e">
        <f>SUMIFS(#REF!,#REF!,C13)</f>
        <v>#REF!</v>
      </c>
      <c r="I13" s="43" t="e">
        <f t="shared" si="6"/>
        <v>#REF!</v>
      </c>
      <c r="J13" s="43" t="e">
        <f t="shared" si="7"/>
        <v>#REF!</v>
      </c>
      <c r="K13" s="11" t="e">
        <f t="shared" si="0"/>
        <v>#REF!</v>
      </c>
      <c r="L13" s="11" t="e">
        <f t="shared" si="1"/>
        <v>#REF!</v>
      </c>
      <c r="M13" s="43" t="e">
        <f>SUMIFS(#REF!,#REF!,C13)</f>
        <v>#REF!</v>
      </c>
      <c r="N13" s="11" t="e">
        <f t="shared" si="2"/>
        <v>#REF!</v>
      </c>
      <c r="O13" s="43" t="e">
        <f t="shared" si="8"/>
        <v>#REF!</v>
      </c>
      <c r="P13" s="11" t="e">
        <f t="shared" si="3"/>
        <v>#REF!</v>
      </c>
      <c r="Q13" s="11" t="e">
        <f t="shared" si="9"/>
        <v>#REF!</v>
      </c>
      <c r="R13" s="11" t="e">
        <f t="shared" si="4"/>
        <v>#REF!</v>
      </c>
      <c r="S13" s="257" t="e">
        <f t="shared" si="10"/>
        <v>#REF!</v>
      </c>
      <c r="T13" s="11" t="e">
        <f>(SUMIFS(#REF!,#REF!,C13)/SUMIFS(#REF!,#REF!,C13))*1000</f>
        <v>#REF!</v>
      </c>
      <c r="U13" s="11" t="e">
        <f t="shared" si="11"/>
        <v>#REF!</v>
      </c>
      <c r="V13" s="11"/>
      <c r="W13" s="11" t="e">
        <f t="shared" si="12"/>
        <v>#REF!</v>
      </c>
      <c r="X13" s="11" t="e">
        <f t="shared" si="13"/>
        <v>#REF!</v>
      </c>
      <c r="Y13" s="43" t="e">
        <f t="shared" si="14"/>
        <v>#REF!</v>
      </c>
      <c r="Z13" s="43" t="e">
        <f ca="1">OFFSET(#REF!,MATCH(C13,#REF!,0)+1,0)</f>
        <v>#REF!</v>
      </c>
      <c r="AA13" s="43" t="e">
        <f t="shared" ca="1" si="15"/>
        <v>#REF!</v>
      </c>
      <c r="AB13" s="43" t="e">
        <f t="shared" si="5"/>
        <v>#REF!</v>
      </c>
      <c r="AC13" s="11" t="e">
        <f>SUMIFS(#REF!,#REF!,C13)/(1+1.8%)*(1+1.8%+2.3%)</f>
        <v>#REF!</v>
      </c>
      <c r="AD13" s="11" t="e">
        <f t="shared" si="16"/>
        <v>#REF!</v>
      </c>
      <c r="AE13" s="64"/>
      <c r="AF13" s="11" t="e">
        <f>(SUMIFS(#REF!,#REF!,C13)/(1+1.8%))*(1+1.8%+2.3%)</f>
        <v>#REF!</v>
      </c>
      <c r="AG13" s="11" t="e">
        <f>-SUMIFS(#REF!,#REF!,C13)/1000</f>
        <v>#REF!</v>
      </c>
      <c r="AH13" s="11" t="e">
        <f>SUMIFS(#REF!,#REF!,C13)</f>
        <v>#REF!</v>
      </c>
      <c r="AI13" s="11" t="e">
        <f>SUMIFS(#REF!,#REF!,C13)</f>
        <v>#REF!</v>
      </c>
      <c r="AJ13" s="11" t="e">
        <f>SUMIFS(#REF!,#REF!,C13)</f>
        <v>#REF!</v>
      </c>
      <c r="AK13" s="11" t="e">
        <f>SUMIFS(#REF!,#REF!,C13)</f>
        <v>#REF!</v>
      </c>
      <c r="AL13" s="11"/>
      <c r="AM13" s="11" t="e">
        <f t="shared" si="17"/>
        <v>#REF!</v>
      </c>
      <c r="AO13" s="11" t="e">
        <f t="shared" si="18"/>
        <v>#REF!</v>
      </c>
      <c r="AP13" s="11" t="e">
        <f t="shared" si="19"/>
        <v>#REF!</v>
      </c>
      <c r="AR13" s="11" t="e">
        <f t="shared" si="20"/>
        <v>#REF!</v>
      </c>
      <c r="AT13" s="43" t="e">
        <f t="shared" si="21"/>
        <v>#REF!</v>
      </c>
      <c r="AU13" s="11" t="e">
        <f t="shared" si="22"/>
        <v>#REF!</v>
      </c>
      <c r="AW13" s="11" t="e">
        <f>'Share of £1bn'!$F$20*1000*$AP13/$AP$57</f>
        <v>#REF!</v>
      </c>
      <c r="AX13" s="11" t="e">
        <f>'Share of £1bn'!$F$27*1000*$AP13/$AP$57</f>
        <v>#REF!</v>
      </c>
      <c r="AY13" s="11" t="e">
        <f>'Share of £1bn'!$F$21*1000*$AP13/$AP$57</f>
        <v>#REF!</v>
      </c>
      <c r="BA13" s="11" t="e">
        <f>'Share of £1bn'!$F$43*1000*AP13/$AP$57</f>
        <v>#REF!</v>
      </c>
      <c r="BB13" s="11" t="e">
        <f>'Share of £1bn'!$F$50*1000*$AP13/$AP$57</f>
        <v>#REF!</v>
      </c>
      <c r="BC13" s="11" t="e">
        <f>'Share of £1bn'!$F$44*1000*AP13/$AP$57</f>
        <v>#REF!</v>
      </c>
      <c r="BE13" s="11" t="e">
        <f>'Share of £1bn'!$F$67*1000*AP13/$AP$57</f>
        <v>#REF!</v>
      </c>
      <c r="BG13" s="11">
        <f>SUMIFS('20-11 M6 deficits'!$BO:$BO,'20-11 M6 deficits'!$C:$C,$C13)*1000</f>
        <v>-65000</v>
      </c>
      <c r="BI13" s="11" t="e">
        <f t="shared" si="23"/>
        <v>#REF!</v>
      </c>
      <c r="BJ13" s="11" t="e">
        <f t="shared" si="24"/>
        <v>#REF!</v>
      </c>
      <c r="BK13" s="11" t="e">
        <f t="shared" si="25"/>
        <v>#REF!</v>
      </c>
      <c r="BL13" s="11" t="e">
        <f t="shared" si="26"/>
        <v>#REF!</v>
      </c>
      <c r="BM13" s="11" t="e">
        <f t="shared" si="27"/>
        <v>#REF!</v>
      </c>
      <c r="BO13" s="11" t="e">
        <f t="shared" si="28"/>
        <v>#REF!</v>
      </c>
      <c r="BP13" s="11" t="e">
        <f t="shared" si="29"/>
        <v>#REF!</v>
      </c>
      <c r="BQ13" s="11" t="e">
        <f t="shared" si="30"/>
        <v>#REF!</v>
      </c>
      <c r="BR13" s="11" t="e">
        <f t="shared" si="31"/>
        <v>#REF!</v>
      </c>
      <c r="BS13" s="11" t="e">
        <f t="shared" si="32"/>
        <v>#REF!</v>
      </c>
      <c r="BU13" s="11" t="e">
        <f t="shared" si="52"/>
        <v>#REF!</v>
      </c>
      <c r="BV13" s="11" t="e">
        <f t="shared" si="33"/>
        <v>#REF!</v>
      </c>
      <c r="BW13" s="11" t="e">
        <f t="shared" si="34"/>
        <v>#REF!</v>
      </c>
      <c r="BX13" s="11" t="e">
        <f t="shared" si="35"/>
        <v>#REF!</v>
      </c>
      <c r="BY13" s="11" t="e">
        <f t="shared" si="36"/>
        <v>#REF!</v>
      </c>
      <c r="CA13" s="11" t="e">
        <f t="shared" si="37"/>
        <v>#REF!</v>
      </c>
      <c r="CB13" s="11" t="e">
        <f t="shared" si="38"/>
        <v>#REF!</v>
      </c>
      <c r="CC13" s="11" t="e">
        <f t="shared" si="39"/>
        <v>#REF!</v>
      </c>
      <c r="CD13" s="11" t="e">
        <f t="shared" si="40"/>
        <v>#REF!</v>
      </c>
      <c r="CE13" s="11" t="e">
        <f t="shared" si="41"/>
        <v>#REF!</v>
      </c>
      <c r="CG13" s="11" t="e">
        <f t="shared" si="42"/>
        <v>#REF!</v>
      </c>
      <c r="CH13" s="11" t="e">
        <f t="shared" si="43"/>
        <v>#REF!</v>
      </c>
      <c r="CI13" s="11" t="e">
        <f t="shared" si="44"/>
        <v>#REF!</v>
      </c>
      <c r="CJ13" s="11" t="e">
        <f t="shared" si="45"/>
        <v>#REF!</v>
      </c>
      <c r="CK13" s="11" t="e">
        <f t="shared" si="46"/>
        <v>#REF!</v>
      </c>
      <c r="CN13" s="209">
        <f t="shared" si="47"/>
        <v>4.1117194938703486E-2</v>
      </c>
      <c r="CO13" s="209" t="e">
        <f t="shared" si="48"/>
        <v>#REF!</v>
      </c>
      <c r="CP13" s="209" t="e">
        <f t="shared" si="49"/>
        <v>#REF!</v>
      </c>
      <c r="CQ13" s="209" t="e">
        <f t="shared" si="50"/>
        <v>#REF!</v>
      </c>
      <c r="CR13" s="209" t="e">
        <f t="shared" si="51"/>
        <v>#REF!</v>
      </c>
    </row>
    <row r="14" spans="1:96" x14ac:dyDescent="0.25">
      <c r="A14" s="13" t="s">
        <v>34</v>
      </c>
      <c r="B14" s="14" t="s">
        <v>35</v>
      </c>
      <c r="C14" s="4" t="s">
        <v>40</v>
      </c>
      <c r="D14" s="4" t="s">
        <v>41</v>
      </c>
      <c r="E14" s="11">
        <f>SUMIFS('ICB Core Baseline 2024-25'!Q:Q,'ICB Core Baseline 2024-25'!C:C,C14)</f>
        <v>1685859.4368248242</v>
      </c>
      <c r="F14" s="43" t="e">
        <f>SUMIFS(#REF!,#REF!,C14)</f>
        <v>#REF!</v>
      </c>
      <c r="H14" s="43" t="e">
        <f>SUMIFS(#REF!,#REF!,C14)</f>
        <v>#REF!</v>
      </c>
      <c r="I14" s="43" t="e">
        <f t="shared" si="6"/>
        <v>#REF!</v>
      </c>
      <c r="J14" s="43" t="e">
        <f t="shared" si="7"/>
        <v>#REF!</v>
      </c>
      <c r="K14" s="11" t="e">
        <f t="shared" si="0"/>
        <v>#REF!</v>
      </c>
      <c r="L14" s="11" t="e">
        <f t="shared" si="1"/>
        <v>#REF!</v>
      </c>
      <c r="M14" s="43" t="e">
        <f>SUMIFS(#REF!,#REF!,C14)</f>
        <v>#REF!</v>
      </c>
      <c r="N14" s="11" t="e">
        <f t="shared" si="2"/>
        <v>#REF!</v>
      </c>
      <c r="O14" s="43" t="e">
        <f t="shared" si="8"/>
        <v>#REF!</v>
      </c>
      <c r="P14" s="11" t="e">
        <f t="shared" si="3"/>
        <v>#REF!</v>
      </c>
      <c r="Q14" s="11" t="e">
        <f t="shared" si="9"/>
        <v>#REF!</v>
      </c>
      <c r="R14" s="11" t="e">
        <f t="shared" si="4"/>
        <v>#REF!</v>
      </c>
      <c r="S14" s="257" t="e">
        <f t="shared" si="10"/>
        <v>#REF!</v>
      </c>
      <c r="T14" s="11" t="e">
        <f>(SUMIFS(#REF!,#REF!,C14)/SUMIFS(#REF!,#REF!,C14))*1000</f>
        <v>#REF!</v>
      </c>
      <c r="U14" s="11" t="e">
        <f t="shared" si="11"/>
        <v>#REF!</v>
      </c>
      <c r="V14" s="11"/>
      <c r="W14" s="11" t="e">
        <f t="shared" si="12"/>
        <v>#REF!</v>
      </c>
      <c r="X14" s="11" t="e">
        <f t="shared" si="13"/>
        <v>#REF!</v>
      </c>
      <c r="Y14" s="43" t="e">
        <f t="shared" si="14"/>
        <v>#REF!</v>
      </c>
      <c r="Z14" s="43" t="e">
        <f ca="1">OFFSET(#REF!,MATCH(C14,#REF!,0)+1,0)</f>
        <v>#REF!</v>
      </c>
      <c r="AA14" s="43" t="e">
        <f t="shared" ca="1" si="15"/>
        <v>#REF!</v>
      </c>
      <c r="AB14" s="43" t="e">
        <f t="shared" si="5"/>
        <v>#REF!</v>
      </c>
      <c r="AC14" s="11" t="e">
        <f>SUMIFS(#REF!,#REF!,C14)/(1+1.8%)*(1+1.8%+2.3%)</f>
        <v>#REF!</v>
      </c>
      <c r="AD14" s="11" t="e">
        <f t="shared" si="16"/>
        <v>#REF!</v>
      </c>
      <c r="AE14" s="64"/>
      <c r="AF14" s="11" t="e">
        <f>(SUMIFS(#REF!,#REF!,C14)/(1+1.8%))*(1+1.8%+2.3%)</f>
        <v>#REF!</v>
      </c>
      <c r="AG14" s="11" t="e">
        <f>-SUMIFS(#REF!,#REF!,C14)/1000</f>
        <v>#REF!</v>
      </c>
      <c r="AH14" s="11" t="e">
        <f>SUMIFS(#REF!,#REF!,C14)</f>
        <v>#REF!</v>
      </c>
      <c r="AI14" s="11" t="e">
        <f>SUMIFS(#REF!,#REF!,C14)</f>
        <v>#REF!</v>
      </c>
      <c r="AJ14" s="11" t="e">
        <f>SUMIFS(#REF!,#REF!,C14)</f>
        <v>#REF!</v>
      </c>
      <c r="AK14" s="11" t="e">
        <f>SUMIFS(#REF!,#REF!,C14)</f>
        <v>#REF!</v>
      </c>
      <c r="AL14" s="11"/>
      <c r="AM14" s="11" t="e">
        <f t="shared" si="17"/>
        <v>#REF!</v>
      </c>
      <c r="AO14" s="11" t="e">
        <f t="shared" si="18"/>
        <v>#REF!</v>
      </c>
      <c r="AP14" s="11" t="e">
        <f t="shared" si="19"/>
        <v>#REF!</v>
      </c>
      <c r="AR14" s="11" t="e">
        <f t="shared" si="20"/>
        <v>#REF!</v>
      </c>
      <c r="AT14" s="43" t="e">
        <f t="shared" si="21"/>
        <v>#REF!</v>
      </c>
      <c r="AU14" s="11" t="e">
        <f t="shared" si="22"/>
        <v>#REF!</v>
      </c>
      <c r="AW14" s="11" t="e">
        <f>'Share of £1bn'!$F$20*1000*$AP14/$AP$57</f>
        <v>#REF!</v>
      </c>
      <c r="AX14" s="11" t="e">
        <f>'Share of £1bn'!$F$27*1000*$AP14/$AP$57</f>
        <v>#REF!</v>
      </c>
      <c r="AY14" s="11" t="e">
        <f>'Share of £1bn'!$F$21*1000*$AP14/$AP$57</f>
        <v>#REF!</v>
      </c>
      <c r="BA14" s="11" t="e">
        <f>'Share of £1bn'!$F$43*1000*AP14/$AP$57</f>
        <v>#REF!</v>
      </c>
      <c r="BB14" s="11" t="e">
        <f>'Share of £1bn'!$F$50*1000*$AP14/$AP$57</f>
        <v>#REF!</v>
      </c>
      <c r="BC14" s="11" t="e">
        <f>'Share of £1bn'!$F$44*1000*AP14/$AP$57</f>
        <v>#REF!</v>
      </c>
      <c r="BE14" s="11" t="e">
        <f>'Share of £1bn'!$F$67*1000*AP14/$AP$57</f>
        <v>#REF!</v>
      </c>
      <c r="BG14" s="11">
        <f>SUMIFS('20-11 M6 deficits'!$BO:$BO,'20-11 M6 deficits'!$C:$C,$C14)*1000</f>
        <v>0</v>
      </c>
      <c r="BI14" s="11" t="e">
        <f t="shared" si="23"/>
        <v>#REF!</v>
      </c>
      <c r="BJ14" s="11" t="e">
        <f t="shared" si="24"/>
        <v>#REF!</v>
      </c>
      <c r="BK14" s="11" t="e">
        <f t="shared" si="25"/>
        <v>#REF!</v>
      </c>
      <c r="BL14" s="11" t="e">
        <f t="shared" si="26"/>
        <v>#REF!</v>
      </c>
      <c r="BM14" s="11" t="e">
        <f t="shared" si="27"/>
        <v>#REF!</v>
      </c>
      <c r="BO14" s="11" t="e">
        <f t="shared" si="28"/>
        <v>#REF!</v>
      </c>
      <c r="BP14" s="11" t="e">
        <f t="shared" si="29"/>
        <v>#REF!</v>
      </c>
      <c r="BQ14" s="11" t="e">
        <f t="shared" si="30"/>
        <v>#REF!</v>
      </c>
      <c r="BR14" s="11" t="e">
        <f t="shared" si="31"/>
        <v>#REF!</v>
      </c>
      <c r="BS14" s="11" t="e">
        <f t="shared" si="32"/>
        <v>#REF!</v>
      </c>
      <c r="BU14" s="11" t="e">
        <f t="shared" si="52"/>
        <v>#REF!</v>
      </c>
      <c r="BV14" s="11" t="e">
        <f t="shared" si="33"/>
        <v>#REF!</v>
      </c>
      <c r="BW14" s="11" t="e">
        <f t="shared" si="34"/>
        <v>#REF!</v>
      </c>
      <c r="BX14" s="11" t="e">
        <f t="shared" si="35"/>
        <v>#REF!</v>
      </c>
      <c r="BY14" s="11" t="e">
        <f t="shared" si="36"/>
        <v>#REF!</v>
      </c>
      <c r="CA14" s="11" t="e">
        <f t="shared" si="37"/>
        <v>#REF!</v>
      </c>
      <c r="CB14" s="11" t="e">
        <f t="shared" si="38"/>
        <v>#REF!</v>
      </c>
      <c r="CC14" s="11" t="e">
        <f t="shared" si="39"/>
        <v>#REF!</v>
      </c>
      <c r="CD14" s="11" t="e">
        <f t="shared" si="40"/>
        <v>#REF!</v>
      </c>
      <c r="CE14" s="11" t="e">
        <f t="shared" si="41"/>
        <v>#REF!</v>
      </c>
      <c r="CG14" s="11" t="e">
        <f t="shared" si="42"/>
        <v>#REF!</v>
      </c>
      <c r="CH14" s="11" t="e">
        <f t="shared" si="43"/>
        <v>#REF!</v>
      </c>
      <c r="CI14" s="11" t="e">
        <f t="shared" si="44"/>
        <v>#REF!</v>
      </c>
      <c r="CJ14" s="11" t="e">
        <f t="shared" si="45"/>
        <v>#REF!</v>
      </c>
      <c r="CK14" s="11" t="e">
        <f t="shared" si="46"/>
        <v>#REF!</v>
      </c>
      <c r="CN14" s="209">
        <f t="shared" si="47"/>
        <v>0</v>
      </c>
      <c r="CO14" s="209" t="e">
        <f t="shared" si="48"/>
        <v>#REF!</v>
      </c>
      <c r="CP14" s="209" t="e">
        <f t="shared" si="49"/>
        <v>#REF!</v>
      </c>
      <c r="CQ14" s="209" t="e">
        <f t="shared" si="50"/>
        <v>#REF!</v>
      </c>
      <c r="CR14" s="209" t="e">
        <f t="shared" si="51"/>
        <v>#REF!</v>
      </c>
    </row>
    <row r="15" spans="1:96" x14ac:dyDescent="0.25">
      <c r="A15" s="13" t="s">
        <v>34</v>
      </c>
      <c r="B15" s="14" t="s">
        <v>35</v>
      </c>
      <c r="C15" s="4" t="s">
        <v>42</v>
      </c>
      <c r="D15" s="4" t="s">
        <v>43</v>
      </c>
      <c r="E15" s="11">
        <f>SUMIFS('ICB Core Baseline 2024-25'!Q:Q,'ICB Core Baseline 2024-25'!C:C,C15)</f>
        <v>1963325.072147588</v>
      </c>
      <c r="F15" s="43" t="e">
        <f>SUMIFS(#REF!,#REF!,C15)</f>
        <v>#REF!</v>
      </c>
      <c r="H15" s="43" t="e">
        <f>SUMIFS(#REF!,#REF!,C15)</f>
        <v>#REF!</v>
      </c>
      <c r="I15" s="43" t="e">
        <f t="shared" si="6"/>
        <v>#REF!</v>
      </c>
      <c r="J15" s="43" t="e">
        <f t="shared" si="7"/>
        <v>#REF!</v>
      </c>
      <c r="K15" s="11" t="e">
        <f t="shared" si="0"/>
        <v>#REF!</v>
      </c>
      <c r="L15" s="11" t="e">
        <f t="shared" si="1"/>
        <v>#REF!</v>
      </c>
      <c r="M15" s="43" t="e">
        <f>SUMIFS(#REF!,#REF!,C15)</f>
        <v>#REF!</v>
      </c>
      <c r="N15" s="11" t="e">
        <f t="shared" si="2"/>
        <v>#REF!</v>
      </c>
      <c r="O15" s="43" t="e">
        <f t="shared" si="8"/>
        <v>#REF!</v>
      </c>
      <c r="P15" s="11" t="e">
        <f t="shared" si="3"/>
        <v>#REF!</v>
      </c>
      <c r="Q15" s="11" t="e">
        <f t="shared" si="9"/>
        <v>#REF!</v>
      </c>
      <c r="R15" s="11" t="e">
        <f t="shared" si="4"/>
        <v>#REF!</v>
      </c>
      <c r="S15" s="257" t="e">
        <f t="shared" si="10"/>
        <v>#REF!</v>
      </c>
      <c r="T15" s="11" t="e">
        <f>(SUMIFS(#REF!,#REF!,C15)/SUMIFS(#REF!,#REF!,C15))*1000</f>
        <v>#REF!</v>
      </c>
      <c r="U15" s="11" t="e">
        <f t="shared" si="11"/>
        <v>#REF!</v>
      </c>
      <c r="V15" s="11"/>
      <c r="W15" s="11" t="e">
        <f t="shared" si="12"/>
        <v>#REF!</v>
      </c>
      <c r="X15" s="11" t="e">
        <f t="shared" si="13"/>
        <v>#REF!</v>
      </c>
      <c r="Y15" s="43" t="e">
        <f t="shared" si="14"/>
        <v>#REF!</v>
      </c>
      <c r="Z15" s="43" t="e">
        <f ca="1">OFFSET(#REF!,MATCH(C15,#REF!,0)+1,0)</f>
        <v>#REF!</v>
      </c>
      <c r="AA15" s="43" t="e">
        <f t="shared" ca="1" si="15"/>
        <v>#REF!</v>
      </c>
      <c r="AB15" s="43" t="e">
        <f t="shared" si="5"/>
        <v>#REF!</v>
      </c>
      <c r="AC15" s="11" t="e">
        <f>SUMIFS(#REF!,#REF!,C15)/(1+1.8%)*(1+1.8%+2.3%)</f>
        <v>#REF!</v>
      </c>
      <c r="AD15" s="11" t="e">
        <f t="shared" si="16"/>
        <v>#REF!</v>
      </c>
      <c r="AE15" s="64"/>
      <c r="AF15" s="11" t="e">
        <f>(SUMIFS(#REF!,#REF!,C15)/(1+1.8%))*(1+1.8%+2.3%)</f>
        <v>#REF!</v>
      </c>
      <c r="AG15" s="11" t="e">
        <f>-SUMIFS(#REF!,#REF!,C15)/1000</f>
        <v>#REF!</v>
      </c>
      <c r="AH15" s="11" t="e">
        <f>SUMIFS(#REF!,#REF!,C15)</f>
        <v>#REF!</v>
      </c>
      <c r="AI15" s="11" t="e">
        <f>SUMIFS(#REF!,#REF!,C15)</f>
        <v>#REF!</v>
      </c>
      <c r="AJ15" s="11" t="e">
        <f>SUMIFS(#REF!,#REF!,C15)</f>
        <v>#REF!</v>
      </c>
      <c r="AK15" s="11" t="e">
        <f>SUMIFS(#REF!,#REF!,C15)</f>
        <v>#REF!</v>
      </c>
      <c r="AL15" s="11"/>
      <c r="AM15" s="11" t="e">
        <f t="shared" si="17"/>
        <v>#REF!</v>
      </c>
      <c r="AO15" s="11" t="e">
        <f t="shared" si="18"/>
        <v>#REF!</v>
      </c>
      <c r="AP15" s="11" t="e">
        <f t="shared" si="19"/>
        <v>#REF!</v>
      </c>
      <c r="AR15" s="11" t="e">
        <f t="shared" si="20"/>
        <v>#REF!</v>
      </c>
      <c r="AT15" s="43" t="e">
        <f t="shared" si="21"/>
        <v>#REF!</v>
      </c>
      <c r="AU15" s="11" t="e">
        <f t="shared" si="22"/>
        <v>#REF!</v>
      </c>
      <c r="AW15" s="11" t="e">
        <f>'Share of £1bn'!$F$20*1000*$AP15/$AP$57</f>
        <v>#REF!</v>
      </c>
      <c r="AX15" s="11" t="e">
        <f>'Share of £1bn'!$F$27*1000*$AP15/$AP$57</f>
        <v>#REF!</v>
      </c>
      <c r="AY15" s="11" t="e">
        <f>'Share of £1bn'!$F$21*1000*$AP15/$AP$57</f>
        <v>#REF!</v>
      </c>
      <c r="BA15" s="11" t="e">
        <f>'Share of £1bn'!$F$43*1000*AP15/$AP$57</f>
        <v>#REF!</v>
      </c>
      <c r="BB15" s="11" t="e">
        <f>'Share of £1bn'!$F$50*1000*$AP15/$AP$57</f>
        <v>#REF!</v>
      </c>
      <c r="BC15" s="11" t="e">
        <f>'Share of £1bn'!$F$44*1000*AP15/$AP$57</f>
        <v>#REF!</v>
      </c>
      <c r="BE15" s="11" t="e">
        <f>'Share of £1bn'!$F$67*1000*AP15/$AP$57</f>
        <v>#REF!</v>
      </c>
      <c r="BG15" s="11">
        <f>SUMIFS('20-11 M6 deficits'!$BO:$BO,'20-11 M6 deficits'!$C:$C,$C15)*1000</f>
        <v>-27991.698574590439</v>
      </c>
      <c r="BI15" s="11" t="e">
        <f t="shared" si="23"/>
        <v>#REF!</v>
      </c>
      <c r="BJ15" s="11" t="e">
        <f t="shared" si="24"/>
        <v>#REF!</v>
      </c>
      <c r="BK15" s="11" t="e">
        <f t="shared" si="25"/>
        <v>#REF!</v>
      </c>
      <c r="BL15" s="11" t="e">
        <f t="shared" si="26"/>
        <v>#REF!</v>
      </c>
      <c r="BM15" s="11" t="e">
        <f t="shared" si="27"/>
        <v>#REF!</v>
      </c>
      <c r="BO15" s="11" t="e">
        <f t="shared" si="28"/>
        <v>#REF!</v>
      </c>
      <c r="BP15" s="11" t="e">
        <f t="shared" si="29"/>
        <v>#REF!</v>
      </c>
      <c r="BQ15" s="11" t="e">
        <f t="shared" si="30"/>
        <v>#REF!</v>
      </c>
      <c r="BR15" s="11" t="e">
        <f t="shared" si="31"/>
        <v>#REF!</v>
      </c>
      <c r="BS15" s="11" t="e">
        <f t="shared" si="32"/>
        <v>#REF!</v>
      </c>
      <c r="BU15" s="11" t="e">
        <f t="shared" si="52"/>
        <v>#REF!</v>
      </c>
      <c r="BV15" s="11" t="e">
        <f t="shared" si="33"/>
        <v>#REF!</v>
      </c>
      <c r="BW15" s="11" t="e">
        <f t="shared" si="34"/>
        <v>#REF!</v>
      </c>
      <c r="BX15" s="11" t="e">
        <f t="shared" si="35"/>
        <v>#REF!</v>
      </c>
      <c r="BY15" s="11" t="e">
        <f t="shared" si="36"/>
        <v>#REF!</v>
      </c>
      <c r="CA15" s="11" t="e">
        <f t="shared" si="37"/>
        <v>#REF!</v>
      </c>
      <c r="CB15" s="11" t="e">
        <f t="shared" si="38"/>
        <v>#REF!</v>
      </c>
      <c r="CC15" s="11" t="e">
        <f t="shared" si="39"/>
        <v>#REF!</v>
      </c>
      <c r="CD15" s="11" t="e">
        <f t="shared" si="40"/>
        <v>#REF!</v>
      </c>
      <c r="CE15" s="11" t="e">
        <f t="shared" si="41"/>
        <v>#REF!</v>
      </c>
      <c r="CG15" s="11" t="e">
        <f t="shared" si="42"/>
        <v>#REF!</v>
      </c>
      <c r="CH15" s="11" t="e">
        <f t="shared" si="43"/>
        <v>#REF!</v>
      </c>
      <c r="CI15" s="11" t="e">
        <f t="shared" si="44"/>
        <v>#REF!</v>
      </c>
      <c r="CJ15" s="11" t="e">
        <f t="shared" si="45"/>
        <v>#REF!</v>
      </c>
      <c r="CK15" s="11" t="e">
        <f t="shared" si="46"/>
        <v>#REF!</v>
      </c>
      <c r="CN15" s="209">
        <f t="shared" si="47"/>
        <v>1.7706771183951749E-2</v>
      </c>
      <c r="CO15" s="209" t="e">
        <f t="shared" si="48"/>
        <v>#REF!</v>
      </c>
      <c r="CP15" s="209" t="e">
        <f t="shared" si="49"/>
        <v>#REF!</v>
      </c>
      <c r="CQ15" s="209" t="e">
        <f t="shared" si="50"/>
        <v>#REF!</v>
      </c>
      <c r="CR15" s="209" t="e">
        <f t="shared" si="51"/>
        <v>#REF!</v>
      </c>
    </row>
    <row r="16" spans="1:96" x14ac:dyDescent="0.25">
      <c r="A16" s="13" t="s">
        <v>34</v>
      </c>
      <c r="B16" s="14" t="s">
        <v>35</v>
      </c>
      <c r="C16" s="4" t="s">
        <v>44</v>
      </c>
      <c r="D16" s="4" t="s">
        <v>45</v>
      </c>
      <c r="E16" s="11">
        <f>SUMIFS('ICB Core Baseline 2024-25'!Q:Q,'ICB Core Baseline 2024-25'!C:C,C16)</f>
        <v>1399084.5320666675</v>
      </c>
      <c r="F16" s="43" t="e">
        <f>SUMIFS(#REF!,#REF!,C16)</f>
        <v>#REF!</v>
      </c>
      <c r="H16" s="43" t="e">
        <f>SUMIFS(#REF!,#REF!,C16)</f>
        <v>#REF!</v>
      </c>
      <c r="I16" s="43" t="e">
        <f t="shared" si="6"/>
        <v>#REF!</v>
      </c>
      <c r="J16" s="43" t="e">
        <f t="shared" si="7"/>
        <v>#REF!</v>
      </c>
      <c r="K16" s="11" t="e">
        <f t="shared" si="0"/>
        <v>#REF!</v>
      </c>
      <c r="L16" s="11" t="e">
        <f t="shared" si="1"/>
        <v>#REF!</v>
      </c>
      <c r="M16" s="43" t="e">
        <f>SUMIFS(#REF!,#REF!,C16)</f>
        <v>#REF!</v>
      </c>
      <c r="N16" s="11" t="e">
        <f t="shared" si="2"/>
        <v>#REF!</v>
      </c>
      <c r="O16" s="43" t="e">
        <f t="shared" si="8"/>
        <v>#REF!</v>
      </c>
      <c r="P16" s="11" t="e">
        <f t="shared" si="3"/>
        <v>#REF!</v>
      </c>
      <c r="Q16" s="11" t="e">
        <f t="shared" si="9"/>
        <v>#REF!</v>
      </c>
      <c r="R16" s="11" t="e">
        <f t="shared" si="4"/>
        <v>#REF!</v>
      </c>
      <c r="S16" s="257" t="e">
        <f t="shared" si="10"/>
        <v>#REF!</v>
      </c>
      <c r="T16" s="11" t="e">
        <f>(SUMIFS(#REF!,#REF!,C16)/SUMIFS(#REF!,#REF!,C16))*1000</f>
        <v>#REF!</v>
      </c>
      <c r="U16" s="11" t="e">
        <f t="shared" si="11"/>
        <v>#REF!</v>
      </c>
      <c r="V16" s="11"/>
      <c r="W16" s="11" t="e">
        <f t="shared" si="12"/>
        <v>#REF!</v>
      </c>
      <c r="X16" s="11" t="e">
        <f t="shared" si="13"/>
        <v>#REF!</v>
      </c>
      <c r="Y16" s="43" t="e">
        <f t="shared" si="14"/>
        <v>#REF!</v>
      </c>
      <c r="Z16" s="43" t="e">
        <f ca="1">OFFSET(#REF!,MATCH(C16,#REF!,0)+1,0)</f>
        <v>#REF!</v>
      </c>
      <c r="AA16" s="43" t="e">
        <f t="shared" ca="1" si="15"/>
        <v>#REF!</v>
      </c>
      <c r="AB16" s="43" t="e">
        <f t="shared" si="5"/>
        <v>#REF!</v>
      </c>
      <c r="AC16" s="11" t="e">
        <f>SUMIFS(#REF!,#REF!,C16)/(1+1.8%)*(1+1.8%+2.3%)</f>
        <v>#REF!</v>
      </c>
      <c r="AD16" s="11" t="e">
        <f t="shared" si="16"/>
        <v>#REF!</v>
      </c>
      <c r="AE16" s="64"/>
      <c r="AF16" s="11" t="e">
        <f>(SUMIFS(#REF!,#REF!,C16)/(1+1.8%))*(1+1.8%+2.3%)</f>
        <v>#REF!</v>
      </c>
      <c r="AG16" s="11" t="e">
        <f>-SUMIFS(#REF!,#REF!,C16)/1000</f>
        <v>#REF!</v>
      </c>
      <c r="AH16" s="11" t="e">
        <f>SUMIFS(#REF!,#REF!,C16)</f>
        <v>#REF!</v>
      </c>
      <c r="AI16" s="11" t="e">
        <f>SUMIFS(#REF!,#REF!,C16)</f>
        <v>#REF!</v>
      </c>
      <c r="AJ16" s="11" t="e">
        <f>SUMIFS(#REF!,#REF!,C16)</f>
        <v>#REF!</v>
      </c>
      <c r="AK16" s="11" t="e">
        <f>SUMIFS(#REF!,#REF!,C16)</f>
        <v>#REF!</v>
      </c>
      <c r="AL16" s="11"/>
      <c r="AM16" s="11" t="e">
        <f t="shared" si="17"/>
        <v>#REF!</v>
      </c>
      <c r="AO16" s="11" t="e">
        <f t="shared" si="18"/>
        <v>#REF!</v>
      </c>
      <c r="AP16" s="11" t="e">
        <f t="shared" si="19"/>
        <v>#REF!</v>
      </c>
      <c r="AR16" s="11" t="e">
        <f t="shared" si="20"/>
        <v>#REF!</v>
      </c>
      <c r="AT16" s="43" t="e">
        <f t="shared" si="21"/>
        <v>#REF!</v>
      </c>
      <c r="AU16" s="11" t="e">
        <f t="shared" si="22"/>
        <v>#REF!</v>
      </c>
      <c r="AW16" s="11" t="e">
        <f>'Share of £1bn'!$F$20*1000*$AP16/$AP$57</f>
        <v>#REF!</v>
      </c>
      <c r="AX16" s="11" t="e">
        <f>'Share of £1bn'!$F$27*1000*$AP16/$AP$57</f>
        <v>#REF!</v>
      </c>
      <c r="AY16" s="11" t="e">
        <f>'Share of £1bn'!$F$21*1000*$AP16/$AP$57</f>
        <v>#REF!</v>
      </c>
      <c r="BA16" s="11" t="e">
        <f>'Share of £1bn'!$F$43*1000*AP16/$AP$57</f>
        <v>#REF!</v>
      </c>
      <c r="BB16" s="11" t="e">
        <f>'Share of £1bn'!$F$50*1000*$AP16/$AP$57</f>
        <v>#REF!</v>
      </c>
      <c r="BC16" s="11" t="e">
        <f>'Share of £1bn'!$F$44*1000*AP16/$AP$57</f>
        <v>#REF!</v>
      </c>
      <c r="BE16" s="11" t="e">
        <f>'Share of £1bn'!$F$67*1000*AP16/$AP$57</f>
        <v>#REF!</v>
      </c>
      <c r="BG16" s="11">
        <f>SUMIFS('20-11 M6 deficits'!$BO:$BO,'20-11 M6 deficits'!$C:$C,$C16)*1000</f>
        <v>-19000</v>
      </c>
      <c r="BI16" s="11" t="e">
        <f t="shared" si="23"/>
        <v>#REF!</v>
      </c>
      <c r="BJ16" s="11" t="e">
        <f t="shared" si="24"/>
        <v>#REF!</v>
      </c>
      <c r="BK16" s="11" t="e">
        <f t="shared" si="25"/>
        <v>#REF!</v>
      </c>
      <c r="BL16" s="11" t="e">
        <f t="shared" si="26"/>
        <v>#REF!</v>
      </c>
      <c r="BM16" s="11" t="e">
        <f t="shared" si="27"/>
        <v>#REF!</v>
      </c>
      <c r="BO16" s="11" t="e">
        <f t="shared" si="28"/>
        <v>#REF!</v>
      </c>
      <c r="BP16" s="11" t="e">
        <f t="shared" si="29"/>
        <v>#REF!</v>
      </c>
      <c r="BQ16" s="11" t="e">
        <f t="shared" si="30"/>
        <v>#REF!</v>
      </c>
      <c r="BR16" s="11" t="e">
        <f t="shared" si="31"/>
        <v>#REF!</v>
      </c>
      <c r="BS16" s="11" t="e">
        <f t="shared" si="32"/>
        <v>#REF!</v>
      </c>
      <c r="BU16" s="11" t="e">
        <f t="shared" si="52"/>
        <v>#REF!</v>
      </c>
      <c r="BV16" s="11" t="e">
        <f t="shared" si="33"/>
        <v>#REF!</v>
      </c>
      <c r="BW16" s="11" t="e">
        <f t="shared" si="34"/>
        <v>#REF!</v>
      </c>
      <c r="BX16" s="11" t="e">
        <f t="shared" si="35"/>
        <v>#REF!</v>
      </c>
      <c r="BY16" s="11" t="e">
        <f t="shared" si="36"/>
        <v>#REF!</v>
      </c>
      <c r="CA16" s="11" t="e">
        <f t="shared" si="37"/>
        <v>#REF!</v>
      </c>
      <c r="CB16" s="11" t="e">
        <f t="shared" si="38"/>
        <v>#REF!</v>
      </c>
      <c r="CC16" s="11" t="e">
        <f t="shared" si="39"/>
        <v>#REF!</v>
      </c>
      <c r="CD16" s="11" t="e">
        <f t="shared" si="40"/>
        <v>#REF!</v>
      </c>
      <c r="CE16" s="11" t="e">
        <f t="shared" si="41"/>
        <v>#REF!</v>
      </c>
      <c r="CG16" s="11" t="e">
        <f t="shared" si="42"/>
        <v>#REF!</v>
      </c>
      <c r="CH16" s="11" t="e">
        <f t="shared" si="43"/>
        <v>#REF!</v>
      </c>
      <c r="CI16" s="11" t="e">
        <f t="shared" si="44"/>
        <v>#REF!</v>
      </c>
      <c r="CJ16" s="11" t="e">
        <f t="shared" si="45"/>
        <v>#REF!</v>
      </c>
      <c r="CK16" s="11" t="e">
        <f t="shared" si="46"/>
        <v>#REF!</v>
      </c>
      <c r="CN16" s="209">
        <f t="shared" si="47"/>
        <v>1.2018872366697943E-2</v>
      </c>
      <c r="CO16" s="209" t="e">
        <f t="shared" si="48"/>
        <v>#REF!</v>
      </c>
      <c r="CP16" s="209" t="e">
        <f t="shared" si="49"/>
        <v>#REF!</v>
      </c>
      <c r="CQ16" s="209" t="e">
        <f t="shared" si="50"/>
        <v>#REF!</v>
      </c>
      <c r="CR16" s="209" t="e">
        <f t="shared" si="51"/>
        <v>#REF!</v>
      </c>
    </row>
    <row r="17" spans="1:96" x14ac:dyDescent="0.25">
      <c r="A17" s="13" t="s">
        <v>34</v>
      </c>
      <c r="B17" s="14" t="s">
        <v>35</v>
      </c>
      <c r="C17" s="4" t="s">
        <v>46</v>
      </c>
      <c r="D17" s="4" t="s">
        <v>47</v>
      </c>
      <c r="E17" s="11">
        <f>SUMIFS('ICB Core Baseline 2024-25'!Q:Q,'ICB Core Baseline 2024-25'!C:C,C17)</f>
        <v>1777885.3086175141</v>
      </c>
      <c r="F17" s="43" t="e">
        <f>SUMIFS(#REF!,#REF!,C17)</f>
        <v>#REF!</v>
      </c>
      <c r="H17" s="43" t="e">
        <f>SUMIFS(#REF!,#REF!,C17)</f>
        <v>#REF!</v>
      </c>
      <c r="I17" s="43" t="e">
        <f t="shared" si="6"/>
        <v>#REF!</v>
      </c>
      <c r="J17" s="43" t="e">
        <f t="shared" si="7"/>
        <v>#REF!</v>
      </c>
      <c r="K17" s="11" t="e">
        <f t="shared" si="0"/>
        <v>#REF!</v>
      </c>
      <c r="L17" s="11" t="e">
        <f t="shared" si="1"/>
        <v>#REF!</v>
      </c>
      <c r="M17" s="43" t="e">
        <f>SUMIFS(#REF!,#REF!,C17)</f>
        <v>#REF!</v>
      </c>
      <c r="N17" s="11" t="e">
        <f t="shared" si="2"/>
        <v>#REF!</v>
      </c>
      <c r="O17" s="43" t="e">
        <f t="shared" si="8"/>
        <v>#REF!</v>
      </c>
      <c r="P17" s="11" t="e">
        <f t="shared" si="3"/>
        <v>#REF!</v>
      </c>
      <c r="Q17" s="11" t="e">
        <f t="shared" si="9"/>
        <v>#REF!</v>
      </c>
      <c r="R17" s="11" t="e">
        <f t="shared" si="4"/>
        <v>#REF!</v>
      </c>
      <c r="S17" s="257" t="e">
        <f t="shared" si="10"/>
        <v>#REF!</v>
      </c>
      <c r="T17" s="11" t="e">
        <f>(SUMIFS(#REF!,#REF!,C17)/SUMIFS(#REF!,#REF!,C17))*1000</f>
        <v>#REF!</v>
      </c>
      <c r="U17" s="11" t="e">
        <f t="shared" si="11"/>
        <v>#REF!</v>
      </c>
      <c r="V17" s="11"/>
      <c r="W17" s="11" t="e">
        <f t="shared" si="12"/>
        <v>#REF!</v>
      </c>
      <c r="X17" s="11" t="e">
        <f t="shared" si="13"/>
        <v>#REF!</v>
      </c>
      <c r="Y17" s="43" t="e">
        <f t="shared" si="14"/>
        <v>#REF!</v>
      </c>
      <c r="Z17" s="43" t="e">
        <f ca="1">OFFSET(#REF!,MATCH(C17,#REF!,0)+1,0)</f>
        <v>#REF!</v>
      </c>
      <c r="AA17" s="43" t="e">
        <f t="shared" ca="1" si="15"/>
        <v>#REF!</v>
      </c>
      <c r="AB17" s="43" t="e">
        <f t="shared" si="5"/>
        <v>#REF!</v>
      </c>
      <c r="AC17" s="11" t="e">
        <f>SUMIFS(#REF!,#REF!,C17)/(1+1.8%)*(1+1.8%+2.3%)</f>
        <v>#REF!</v>
      </c>
      <c r="AD17" s="11" t="e">
        <f t="shared" si="16"/>
        <v>#REF!</v>
      </c>
      <c r="AE17" s="64"/>
      <c r="AF17" s="11" t="e">
        <f>(SUMIFS(#REF!,#REF!,C17)/(1+1.8%))*(1+1.8%+2.3%)</f>
        <v>#REF!</v>
      </c>
      <c r="AG17" s="11" t="e">
        <f>-SUMIFS(#REF!,#REF!,C17)/1000</f>
        <v>#REF!</v>
      </c>
      <c r="AH17" s="11" t="e">
        <f>SUMIFS(#REF!,#REF!,C17)</f>
        <v>#REF!</v>
      </c>
      <c r="AI17" s="11" t="e">
        <f>SUMIFS(#REF!,#REF!,C17)</f>
        <v>#REF!</v>
      </c>
      <c r="AJ17" s="11" t="e">
        <f>SUMIFS(#REF!,#REF!,C17)</f>
        <v>#REF!</v>
      </c>
      <c r="AK17" s="11" t="e">
        <f>SUMIFS(#REF!,#REF!,C17)</f>
        <v>#REF!</v>
      </c>
      <c r="AL17" s="11"/>
      <c r="AM17" s="11" t="e">
        <f t="shared" si="17"/>
        <v>#REF!</v>
      </c>
      <c r="AO17" s="11" t="e">
        <f t="shared" si="18"/>
        <v>#REF!</v>
      </c>
      <c r="AP17" s="11" t="e">
        <f t="shared" si="19"/>
        <v>#REF!</v>
      </c>
      <c r="AR17" s="11" t="e">
        <f t="shared" si="20"/>
        <v>#REF!</v>
      </c>
      <c r="AT17" s="43" t="e">
        <f t="shared" si="21"/>
        <v>#REF!</v>
      </c>
      <c r="AU17" s="11" t="e">
        <f t="shared" si="22"/>
        <v>#REF!</v>
      </c>
      <c r="AW17" s="11" t="e">
        <f>'Share of £1bn'!$F$20*1000*$AP17/$AP$57</f>
        <v>#REF!</v>
      </c>
      <c r="AX17" s="11" t="e">
        <f>'Share of £1bn'!$F$27*1000*$AP17/$AP$57</f>
        <v>#REF!</v>
      </c>
      <c r="AY17" s="11" t="e">
        <f>'Share of £1bn'!$F$21*1000*$AP17/$AP$57</f>
        <v>#REF!</v>
      </c>
      <c r="BA17" s="11" t="e">
        <f>'Share of £1bn'!$F$43*1000*AP17/$AP$57</f>
        <v>#REF!</v>
      </c>
      <c r="BB17" s="11" t="e">
        <f>'Share of £1bn'!$F$50*1000*$AP17/$AP$57</f>
        <v>#REF!</v>
      </c>
      <c r="BC17" s="11" t="e">
        <f>'Share of £1bn'!$F$44*1000*AP17/$AP$57</f>
        <v>#REF!</v>
      </c>
      <c r="BE17" s="11" t="e">
        <f>'Share of £1bn'!$F$67*1000*AP17/$AP$57</f>
        <v>#REF!</v>
      </c>
      <c r="BG17" s="11">
        <f>SUMIFS('20-11 M6 deficits'!$BO:$BO,'20-11 M6 deficits'!$C:$C,$C17)*1000</f>
        <v>-40000</v>
      </c>
      <c r="BI17" s="11" t="e">
        <f t="shared" si="23"/>
        <v>#REF!</v>
      </c>
      <c r="BJ17" s="11" t="e">
        <f t="shared" si="24"/>
        <v>#REF!</v>
      </c>
      <c r="BK17" s="11" t="e">
        <f t="shared" si="25"/>
        <v>#REF!</v>
      </c>
      <c r="BL17" s="11" t="e">
        <f t="shared" si="26"/>
        <v>#REF!</v>
      </c>
      <c r="BM17" s="11" t="e">
        <f t="shared" si="27"/>
        <v>#REF!</v>
      </c>
      <c r="BO17" s="11" t="e">
        <f t="shared" si="28"/>
        <v>#REF!</v>
      </c>
      <c r="BP17" s="11" t="e">
        <f t="shared" si="29"/>
        <v>#REF!</v>
      </c>
      <c r="BQ17" s="11" t="e">
        <f t="shared" si="30"/>
        <v>#REF!</v>
      </c>
      <c r="BR17" s="11" t="e">
        <f t="shared" si="31"/>
        <v>#REF!</v>
      </c>
      <c r="BS17" s="11" t="e">
        <f t="shared" si="32"/>
        <v>#REF!</v>
      </c>
      <c r="BU17" s="11" t="e">
        <f t="shared" si="52"/>
        <v>#REF!</v>
      </c>
      <c r="BV17" s="11" t="e">
        <f t="shared" si="33"/>
        <v>#REF!</v>
      </c>
      <c r="BW17" s="11" t="e">
        <f t="shared" si="34"/>
        <v>#REF!</v>
      </c>
      <c r="BX17" s="11" t="e">
        <f t="shared" si="35"/>
        <v>#REF!</v>
      </c>
      <c r="BY17" s="11" t="e">
        <f t="shared" si="36"/>
        <v>#REF!</v>
      </c>
      <c r="CA17" s="11" t="e">
        <f t="shared" si="37"/>
        <v>#REF!</v>
      </c>
      <c r="CB17" s="11" t="e">
        <f t="shared" si="38"/>
        <v>#REF!</v>
      </c>
      <c r="CC17" s="11" t="e">
        <f t="shared" si="39"/>
        <v>#REF!</v>
      </c>
      <c r="CD17" s="11" t="e">
        <f t="shared" si="40"/>
        <v>#REF!</v>
      </c>
      <c r="CE17" s="11" t="e">
        <f t="shared" si="41"/>
        <v>#REF!</v>
      </c>
      <c r="CG17" s="11" t="e">
        <f t="shared" si="42"/>
        <v>#REF!</v>
      </c>
      <c r="CH17" s="11" t="e">
        <f t="shared" si="43"/>
        <v>#REF!</v>
      </c>
      <c r="CI17" s="11" t="e">
        <f t="shared" si="44"/>
        <v>#REF!</v>
      </c>
      <c r="CJ17" s="11" t="e">
        <f t="shared" si="45"/>
        <v>#REF!</v>
      </c>
      <c r="CK17" s="11" t="e">
        <f t="shared" si="46"/>
        <v>#REF!</v>
      </c>
      <c r="CN17" s="209">
        <f t="shared" si="47"/>
        <v>2.5302889193048302E-2</v>
      </c>
      <c r="CO17" s="209" t="e">
        <f t="shared" si="48"/>
        <v>#REF!</v>
      </c>
      <c r="CP17" s="209" t="e">
        <f t="shared" si="49"/>
        <v>#REF!</v>
      </c>
      <c r="CQ17" s="209" t="e">
        <f t="shared" si="50"/>
        <v>#REF!</v>
      </c>
      <c r="CR17" s="209" t="e">
        <f t="shared" si="51"/>
        <v>#REF!</v>
      </c>
    </row>
    <row r="18" spans="1:96" x14ac:dyDescent="0.25">
      <c r="A18" s="13" t="s">
        <v>34</v>
      </c>
      <c r="B18" s="14" t="s">
        <v>35</v>
      </c>
      <c r="C18" s="4" t="s">
        <v>48</v>
      </c>
      <c r="D18" s="4" t="s">
        <v>49</v>
      </c>
      <c r="E18" s="11">
        <f>SUMIFS('ICB Core Baseline 2024-25'!Q:Q,'ICB Core Baseline 2024-25'!C:C,C18)</f>
        <v>1430894.8889875349</v>
      </c>
      <c r="F18" s="43" t="e">
        <f>SUMIFS(#REF!,#REF!,C18)</f>
        <v>#REF!</v>
      </c>
      <c r="H18" s="43" t="e">
        <f>SUMIFS(#REF!,#REF!,C18)</f>
        <v>#REF!</v>
      </c>
      <c r="I18" s="43" t="e">
        <f t="shared" si="6"/>
        <v>#REF!</v>
      </c>
      <c r="J18" s="43" t="e">
        <f t="shared" si="7"/>
        <v>#REF!</v>
      </c>
      <c r="K18" s="11" t="e">
        <f t="shared" si="0"/>
        <v>#REF!</v>
      </c>
      <c r="L18" s="11" t="e">
        <f t="shared" si="1"/>
        <v>#REF!</v>
      </c>
      <c r="M18" s="43" t="e">
        <f>SUMIFS(#REF!,#REF!,C18)</f>
        <v>#REF!</v>
      </c>
      <c r="N18" s="11" t="e">
        <f t="shared" si="2"/>
        <v>#REF!</v>
      </c>
      <c r="O18" s="43" t="e">
        <f t="shared" si="8"/>
        <v>#REF!</v>
      </c>
      <c r="P18" s="11" t="e">
        <f t="shared" si="3"/>
        <v>#REF!</v>
      </c>
      <c r="Q18" s="11" t="e">
        <f t="shared" si="9"/>
        <v>#REF!</v>
      </c>
      <c r="R18" s="11" t="e">
        <f t="shared" si="4"/>
        <v>#REF!</v>
      </c>
      <c r="S18" s="257" t="e">
        <f t="shared" si="10"/>
        <v>#REF!</v>
      </c>
      <c r="T18" s="11" t="e">
        <f>(SUMIFS(#REF!,#REF!,C18)/SUMIFS(#REF!,#REF!,C18))*1000</f>
        <v>#REF!</v>
      </c>
      <c r="U18" s="11" t="e">
        <f t="shared" si="11"/>
        <v>#REF!</v>
      </c>
      <c r="V18" s="11"/>
      <c r="W18" s="11" t="e">
        <f t="shared" si="12"/>
        <v>#REF!</v>
      </c>
      <c r="X18" s="11" t="e">
        <f t="shared" si="13"/>
        <v>#REF!</v>
      </c>
      <c r="Y18" s="43" t="e">
        <f t="shared" si="14"/>
        <v>#REF!</v>
      </c>
      <c r="Z18" s="43" t="e">
        <f ca="1">OFFSET(#REF!,MATCH(C18,#REF!,0)+1,0)</f>
        <v>#REF!</v>
      </c>
      <c r="AA18" s="43" t="e">
        <f t="shared" ca="1" si="15"/>
        <v>#REF!</v>
      </c>
      <c r="AB18" s="43" t="e">
        <f t="shared" si="5"/>
        <v>#REF!</v>
      </c>
      <c r="AC18" s="11" t="e">
        <f>SUMIFS(#REF!,#REF!,C18)/(1+1.8%)*(1+1.8%+2.3%)</f>
        <v>#REF!</v>
      </c>
      <c r="AD18" s="11" t="e">
        <f t="shared" si="16"/>
        <v>#REF!</v>
      </c>
      <c r="AE18" s="64"/>
      <c r="AF18" s="11" t="e">
        <f>(SUMIFS(#REF!,#REF!,C18)/(1+1.8%))*(1+1.8%+2.3%)</f>
        <v>#REF!</v>
      </c>
      <c r="AG18" s="11" t="e">
        <f>-SUMIFS(#REF!,#REF!,C18)/1000</f>
        <v>#REF!</v>
      </c>
      <c r="AH18" s="11" t="e">
        <f>SUMIFS(#REF!,#REF!,C18)</f>
        <v>#REF!</v>
      </c>
      <c r="AI18" s="11" t="e">
        <f>SUMIFS(#REF!,#REF!,C18)</f>
        <v>#REF!</v>
      </c>
      <c r="AJ18" s="11" t="e">
        <f>SUMIFS(#REF!,#REF!,C18)</f>
        <v>#REF!</v>
      </c>
      <c r="AK18" s="11" t="e">
        <f>SUMIFS(#REF!,#REF!,C18)</f>
        <v>#REF!</v>
      </c>
      <c r="AL18" s="11"/>
      <c r="AM18" s="11" t="e">
        <f t="shared" si="17"/>
        <v>#REF!</v>
      </c>
      <c r="AO18" s="11" t="e">
        <f t="shared" si="18"/>
        <v>#REF!</v>
      </c>
      <c r="AP18" s="11" t="e">
        <f t="shared" si="19"/>
        <v>#REF!</v>
      </c>
      <c r="AR18" s="11" t="e">
        <f t="shared" si="20"/>
        <v>#REF!</v>
      </c>
      <c r="AT18" s="43" t="e">
        <f t="shared" si="21"/>
        <v>#REF!</v>
      </c>
      <c r="AU18" s="11" t="e">
        <f t="shared" si="22"/>
        <v>#REF!</v>
      </c>
      <c r="AW18" s="11" t="e">
        <f>'Share of £1bn'!$F$20*1000*$AP18/$AP$57</f>
        <v>#REF!</v>
      </c>
      <c r="AX18" s="11" t="e">
        <f>'Share of £1bn'!$F$27*1000*$AP18/$AP$57</f>
        <v>#REF!</v>
      </c>
      <c r="AY18" s="11" t="e">
        <f>'Share of £1bn'!$F$21*1000*$AP18/$AP$57</f>
        <v>#REF!</v>
      </c>
      <c r="BA18" s="11" t="e">
        <f>'Share of £1bn'!$F$43*1000*AP18/$AP$57</f>
        <v>#REF!</v>
      </c>
      <c r="BB18" s="11" t="e">
        <f>'Share of £1bn'!$F$50*1000*$AP18/$AP$57</f>
        <v>#REF!</v>
      </c>
      <c r="BC18" s="11" t="e">
        <f>'Share of £1bn'!$F$44*1000*AP18/$AP$57</f>
        <v>#REF!</v>
      </c>
      <c r="BE18" s="11" t="e">
        <f>'Share of £1bn'!$F$67*1000*AP18/$AP$57</f>
        <v>#REF!</v>
      </c>
      <c r="BG18" s="11">
        <f>SUMIFS('20-11 M6 deficits'!$BO:$BO,'20-11 M6 deficits'!$C:$C,$C18)*1000</f>
        <v>-15400</v>
      </c>
      <c r="BI18" s="11" t="e">
        <f t="shared" si="23"/>
        <v>#REF!</v>
      </c>
      <c r="BJ18" s="11" t="e">
        <f t="shared" si="24"/>
        <v>#REF!</v>
      </c>
      <c r="BK18" s="11" t="e">
        <f t="shared" si="25"/>
        <v>#REF!</v>
      </c>
      <c r="BL18" s="11" t="e">
        <f t="shared" si="26"/>
        <v>#REF!</v>
      </c>
      <c r="BM18" s="11" t="e">
        <f t="shared" si="27"/>
        <v>#REF!</v>
      </c>
      <c r="BO18" s="11" t="e">
        <f t="shared" si="28"/>
        <v>#REF!</v>
      </c>
      <c r="BP18" s="11" t="e">
        <f t="shared" si="29"/>
        <v>#REF!</v>
      </c>
      <c r="BQ18" s="11" t="e">
        <f t="shared" si="30"/>
        <v>#REF!</v>
      </c>
      <c r="BR18" s="11" t="e">
        <f t="shared" si="31"/>
        <v>#REF!</v>
      </c>
      <c r="BS18" s="11" t="e">
        <f t="shared" si="32"/>
        <v>#REF!</v>
      </c>
      <c r="BU18" s="11" t="e">
        <f t="shared" si="52"/>
        <v>#REF!</v>
      </c>
      <c r="BV18" s="11" t="e">
        <f t="shared" si="33"/>
        <v>#REF!</v>
      </c>
      <c r="BW18" s="11" t="e">
        <f t="shared" si="34"/>
        <v>#REF!</v>
      </c>
      <c r="BX18" s="11" t="e">
        <f t="shared" si="35"/>
        <v>#REF!</v>
      </c>
      <c r="BY18" s="11" t="e">
        <f t="shared" si="36"/>
        <v>#REF!</v>
      </c>
      <c r="CA18" s="11" t="e">
        <f t="shared" si="37"/>
        <v>#REF!</v>
      </c>
      <c r="CB18" s="11" t="e">
        <f t="shared" si="38"/>
        <v>#REF!</v>
      </c>
      <c r="CC18" s="11" t="e">
        <f t="shared" si="39"/>
        <v>#REF!</v>
      </c>
      <c r="CD18" s="11" t="e">
        <f t="shared" si="40"/>
        <v>#REF!</v>
      </c>
      <c r="CE18" s="11" t="e">
        <f t="shared" si="41"/>
        <v>#REF!</v>
      </c>
      <c r="CG18" s="11" t="e">
        <f t="shared" si="42"/>
        <v>#REF!</v>
      </c>
      <c r="CH18" s="11" t="e">
        <f t="shared" si="43"/>
        <v>#REF!</v>
      </c>
      <c r="CI18" s="11" t="e">
        <f t="shared" si="44"/>
        <v>#REF!</v>
      </c>
      <c r="CJ18" s="11" t="e">
        <f t="shared" si="45"/>
        <v>#REF!</v>
      </c>
      <c r="CK18" s="11" t="e">
        <f t="shared" si="46"/>
        <v>#REF!</v>
      </c>
      <c r="CN18" s="209">
        <f t="shared" si="47"/>
        <v>9.7416123393235955E-3</v>
      </c>
      <c r="CO18" s="209" t="e">
        <f t="shared" si="48"/>
        <v>#REF!</v>
      </c>
      <c r="CP18" s="209" t="e">
        <f t="shared" si="49"/>
        <v>#REF!</v>
      </c>
      <c r="CQ18" s="209" t="e">
        <f t="shared" si="50"/>
        <v>#REF!</v>
      </c>
      <c r="CR18" s="209" t="e">
        <f t="shared" si="51"/>
        <v>#REF!</v>
      </c>
    </row>
    <row r="19" spans="1:96" x14ac:dyDescent="0.25">
      <c r="A19" s="13" t="s">
        <v>34</v>
      </c>
      <c r="B19" s="14" t="s">
        <v>35</v>
      </c>
      <c r="C19" s="4" t="s">
        <v>50</v>
      </c>
      <c r="D19" s="4" t="s">
        <v>51</v>
      </c>
      <c r="E19" s="11">
        <f>SUMIFS('ICB Core Baseline 2024-25'!Q:Q,'ICB Core Baseline 2024-25'!C:C,C19)</f>
        <v>1309001.4633780424</v>
      </c>
      <c r="F19" s="43" t="e">
        <f>SUMIFS(#REF!,#REF!,C19)</f>
        <v>#REF!</v>
      </c>
      <c r="H19" s="43" t="e">
        <f>SUMIFS(#REF!,#REF!,C19)</f>
        <v>#REF!</v>
      </c>
      <c r="I19" s="43" t="e">
        <f t="shared" si="6"/>
        <v>#REF!</v>
      </c>
      <c r="J19" s="43" t="e">
        <f t="shared" si="7"/>
        <v>#REF!</v>
      </c>
      <c r="K19" s="11" t="e">
        <f t="shared" si="0"/>
        <v>#REF!</v>
      </c>
      <c r="L19" s="11" t="e">
        <f t="shared" si="1"/>
        <v>#REF!</v>
      </c>
      <c r="M19" s="43" t="e">
        <f>SUMIFS(#REF!,#REF!,C19)</f>
        <v>#REF!</v>
      </c>
      <c r="N19" s="11" t="e">
        <f t="shared" si="2"/>
        <v>#REF!</v>
      </c>
      <c r="O19" s="43" t="e">
        <f t="shared" si="8"/>
        <v>#REF!</v>
      </c>
      <c r="P19" s="11" t="e">
        <f t="shared" si="3"/>
        <v>#REF!</v>
      </c>
      <c r="Q19" s="11" t="e">
        <f t="shared" si="9"/>
        <v>#REF!</v>
      </c>
      <c r="R19" s="11" t="e">
        <f t="shared" si="4"/>
        <v>#REF!</v>
      </c>
      <c r="S19" s="257" t="e">
        <f t="shared" si="10"/>
        <v>#REF!</v>
      </c>
      <c r="T19" s="11" t="e">
        <f>(SUMIFS(#REF!,#REF!,C19)/SUMIFS(#REF!,#REF!,C19))*1000</f>
        <v>#REF!</v>
      </c>
      <c r="U19" s="11" t="e">
        <f t="shared" si="11"/>
        <v>#REF!</v>
      </c>
      <c r="V19" s="11"/>
      <c r="W19" s="11" t="e">
        <f t="shared" si="12"/>
        <v>#REF!</v>
      </c>
      <c r="X19" s="11" t="e">
        <f t="shared" si="13"/>
        <v>#REF!</v>
      </c>
      <c r="Y19" s="43" t="e">
        <f t="shared" si="14"/>
        <v>#REF!</v>
      </c>
      <c r="Z19" s="43" t="e">
        <f ca="1">OFFSET(#REF!,MATCH(C19,#REF!,0)+1,0)</f>
        <v>#REF!</v>
      </c>
      <c r="AA19" s="43" t="e">
        <f t="shared" ca="1" si="15"/>
        <v>#REF!</v>
      </c>
      <c r="AB19" s="43" t="e">
        <f t="shared" si="5"/>
        <v>#REF!</v>
      </c>
      <c r="AC19" s="11" t="e">
        <f>SUMIFS(#REF!,#REF!,C19)/(1+1.8%)*(1+1.8%+2.3%)</f>
        <v>#REF!</v>
      </c>
      <c r="AD19" s="11" t="e">
        <f t="shared" si="16"/>
        <v>#REF!</v>
      </c>
      <c r="AE19" s="64"/>
      <c r="AF19" s="11" t="e">
        <f>(SUMIFS(#REF!,#REF!,C19)/(1+1.8%))*(1+1.8%+2.3%)</f>
        <v>#REF!</v>
      </c>
      <c r="AG19" s="11" t="e">
        <f>-SUMIFS(#REF!,#REF!,C19)/1000</f>
        <v>#REF!</v>
      </c>
      <c r="AH19" s="11" t="e">
        <f>SUMIFS(#REF!,#REF!,C19)</f>
        <v>#REF!</v>
      </c>
      <c r="AI19" s="11" t="e">
        <f>SUMIFS(#REF!,#REF!,C19)</f>
        <v>#REF!</v>
      </c>
      <c r="AJ19" s="11" t="e">
        <f>SUMIFS(#REF!,#REF!,C19)</f>
        <v>#REF!</v>
      </c>
      <c r="AK19" s="11" t="e">
        <f>SUMIFS(#REF!,#REF!,C19)</f>
        <v>#REF!</v>
      </c>
      <c r="AL19" s="11"/>
      <c r="AM19" s="11" t="e">
        <f t="shared" si="17"/>
        <v>#REF!</v>
      </c>
      <c r="AO19" s="11" t="e">
        <f t="shared" si="18"/>
        <v>#REF!</v>
      </c>
      <c r="AP19" s="11" t="e">
        <f t="shared" si="19"/>
        <v>#REF!</v>
      </c>
      <c r="AR19" s="11" t="e">
        <f t="shared" si="20"/>
        <v>#REF!</v>
      </c>
      <c r="AT19" s="43" t="e">
        <f t="shared" si="21"/>
        <v>#REF!</v>
      </c>
      <c r="AU19" s="11" t="e">
        <f t="shared" si="22"/>
        <v>#REF!</v>
      </c>
      <c r="AW19" s="11" t="e">
        <f>'Share of £1bn'!$F$20*1000*$AP19/$AP$57</f>
        <v>#REF!</v>
      </c>
      <c r="AX19" s="11" t="e">
        <f>'Share of £1bn'!$F$27*1000*$AP19/$AP$57</f>
        <v>#REF!</v>
      </c>
      <c r="AY19" s="11" t="e">
        <f>'Share of £1bn'!$F$21*1000*$AP19/$AP$57</f>
        <v>#REF!</v>
      </c>
      <c r="BA19" s="11" t="e">
        <f>'Share of £1bn'!$F$43*1000*AP19/$AP$57</f>
        <v>#REF!</v>
      </c>
      <c r="BB19" s="11" t="e">
        <f>'Share of £1bn'!$F$50*1000*$AP19/$AP$57</f>
        <v>#REF!</v>
      </c>
      <c r="BC19" s="11" t="e">
        <f>'Share of £1bn'!$F$44*1000*AP19/$AP$57</f>
        <v>#REF!</v>
      </c>
      <c r="BE19" s="11" t="e">
        <f>'Share of £1bn'!$F$67*1000*AP19/$AP$57</f>
        <v>#REF!</v>
      </c>
      <c r="BG19" s="11">
        <f>SUMIFS('20-11 M6 deficits'!$BO:$BO,'20-11 M6 deficits'!$C:$C,$C19)*1000</f>
        <v>-34962.309026254647</v>
      </c>
      <c r="BI19" s="11" t="e">
        <f t="shared" si="23"/>
        <v>#REF!</v>
      </c>
      <c r="BJ19" s="11" t="e">
        <f t="shared" si="24"/>
        <v>#REF!</v>
      </c>
      <c r="BK19" s="11" t="e">
        <f t="shared" si="25"/>
        <v>#REF!</v>
      </c>
      <c r="BL19" s="11" t="e">
        <f t="shared" si="26"/>
        <v>#REF!</v>
      </c>
      <c r="BM19" s="11" t="e">
        <f t="shared" si="27"/>
        <v>#REF!</v>
      </c>
      <c r="BO19" s="11" t="e">
        <f t="shared" si="28"/>
        <v>#REF!</v>
      </c>
      <c r="BP19" s="11" t="e">
        <f t="shared" si="29"/>
        <v>#REF!</v>
      </c>
      <c r="BQ19" s="11" t="e">
        <f t="shared" si="30"/>
        <v>#REF!</v>
      </c>
      <c r="BR19" s="11" t="e">
        <f t="shared" si="31"/>
        <v>#REF!</v>
      </c>
      <c r="BS19" s="11" t="e">
        <f t="shared" si="32"/>
        <v>#REF!</v>
      </c>
      <c r="BU19" s="11" t="e">
        <f t="shared" si="52"/>
        <v>#REF!</v>
      </c>
      <c r="BV19" s="11" t="e">
        <f t="shared" si="33"/>
        <v>#REF!</v>
      </c>
      <c r="BW19" s="11" t="e">
        <f t="shared" si="34"/>
        <v>#REF!</v>
      </c>
      <c r="BX19" s="11" t="e">
        <f t="shared" si="35"/>
        <v>#REF!</v>
      </c>
      <c r="BY19" s="11" t="e">
        <f t="shared" si="36"/>
        <v>#REF!</v>
      </c>
      <c r="CA19" s="11" t="e">
        <f t="shared" si="37"/>
        <v>#REF!</v>
      </c>
      <c r="CB19" s="11" t="e">
        <f t="shared" si="38"/>
        <v>#REF!</v>
      </c>
      <c r="CC19" s="11" t="e">
        <f t="shared" si="39"/>
        <v>#REF!</v>
      </c>
      <c r="CD19" s="11" t="e">
        <f t="shared" si="40"/>
        <v>#REF!</v>
      </c>
      <c r="CE19" s="11" t="e">
        <f t="shared" si="41"/>
        <v>#REF!</v>
      </c>
      <c r="CG19" s="11" t="e">
        <f t="shared" si="42"/>
        <v>#REF!</v>
      </c>
      <c r="CH19" s="11" t="e">
        <f t="shared" si="43"/>
        <v>#REF!</v>
      </c>
      <c r="CI19" s="11" t="e">
        <f t="shared" si="44"/>
        <v>#REF!</v>
      </c>
      <c r="CJ19" s="11" t="e">
        <f t="shared" si="45"/>
        <v>#REF!</v>
      </c>
      <c r="CK19" s="11" t="e">
        <f t="shared" si="46"/>
        <v>#REF!</v>
      </c>
      <c r="CN19" s="209">
        <f t="shared" si="47"/>
        <v>2.2116185780610843E-2</v>
      </c>
      <c r="CO19" s="209" t="e">
        <f t="shared" si="48"/>
        <v>#REF!</v>
      </c>
      <c r="CP19" s="209" t="e">
        <f t="shared" si="49"/>
        <v>#REF!</v>
      </c>
      <c r="CQ19" s="209" t="e">
        <f t="shared" si="50"/>
        <v>#REF!</v>
      </c>
      <c r="CR19" s="209" t="e">
        <f t="shared" si="51"/>
        <v>#REF!</v>
      </c>
    </row>
    <row r="20" spans="1:96" x14ac:dyDescent="0.25">
      <c r="A20" s="13" t="s">
        <v>34</v>
      </c>
      <c r="B20" s="14" t="s">
        <v>35</v>
      </c>
      <c r="C20" s="4" t="s">
        <v>52</v>
      </c>
      <c r="D20" s="4" t="s">
        <v>53</v>
      </c>
      <c r="E20" s="11">
        <f>SUMIFS('ICB Core Baseline 2024-25'!Q:Q,'ICB Core Baseline 2024-25'!C:C,C20)</f>
        <v>2105484.7321976945</v>
      </c>
      <c r="F20" s="43" t="e">
        <f>SUMIFS(#REF!,#REF!,C20)</f>
        <v>#REF!</v>
      </c>
      <c r="H20" s="43" t="e">
        <f>SUMIFS(#REF!,#REF!,C20)</f>
        <v>#REF!</v>
      </c>
      <c r="I20" s="43" t="e">
        <f t="shared" si="6"/>
        <v>#REF!</v>
      </c>
      <c r="J20" s="43" t="e">
        <f t="shared" si="7"/>
        <v>#REF!</v>
      </c>
      <c r="K20" s="11" t="e">
        <f t="shared" si="0"/>
        <v>#REF!</v>
      </c>
      <c r="L20" s="11" t="e">
        <f t="shared" si="1"/>
        <v>#REF!</v>
      </c>
      <c r="M20" s="43" t="e">
        <f>SUMIFS(#REF!,#REF!,C20)</f>
        <v>#REF!</v>
      </c>
      <c r="N20" s="11" t="e">
        <f t="shared" si="2"/>
        <v>#REF!</v>
      </c>
      <c r="O20" s="43" t="e">
        <f t="shared" si="8"/>
        <v>#REF!</v>
      </c>
      <c r="P20" s="11" t="e">
        <f t="shared" si="3"/>
        <v>#REF!</v>
      </c>
      <c r="Q20" s="11" t="e">
        <f t="shared" si="9"/>
        <v>#REF!</v>
      </c>
      <c r="R20" s="11" t="e">
        <f t="shared" si="4"/>
        <v>#REF!</v>
      </c>
      <c r="S20" s="257" t="e">
        <f t="shared" si="10"/>
        <v>#REF!</v>
      </c>
      <c r="T20" s="11" t="e">
        <f>(SUMIFS(#REF!,#REF!,C20)/SUMIFS(#REF!,#REF!,C20))*1000</f>
        <v>#REF!</v>
      </c>
      <c r="U20" s="11" t="e">
        <f t="shared" si="11"/>
        <v>#REF!</v>
      </c>
      <c r="V20" s="11"/>
      <c r="W20" s="11" t="e">
        <f t="shared" si="12"/>
        <v>#REF!</v>
      </c>
      <c r="X20" s="11" t="e">
        <f t="shared" si="13"/>
        <v>#REF!</v>
      </c>
      <c r="Y20" s="43" t="e">
        <f t="shared" si="14"/>
        <v>#REF!</v>
      </c>
      <c r="Z20" s="43" t="e">
        <f ca="1">OFFSET(#REF!,MATCH(C20,#REF!,0)+1,0)</f>
        <v>#REF!</v>
      </c>
      <c r="AA20" s="43" t="e">
        <f t="shared" ca="1" si="15"/>
        <v>#REF!</v>
      </c>
      <c r="AB20" s="43" t="e">
        <f t="shared" si="5"/>
        <v>#REF!</v>
      </c>
      <c r="AC20" s="11" t="e">
        <f>SUMIFS(#REF!,#REF!,C20)/(1+1.8%)*(1+1.8%+2.3%)</f>
        <v>#REF!</v>
      </c>
      <c r="AD20" s="11" t="e">
        <f t="shared" si="16"/>
        <v>#REF!</v>
      </c>
      <c r="AE20" s="64"/>
      <c r="AF20" s="11" t="e">
        <f>(SUMIFS(#REF!,#REF!,C20)/(1+1.8%))*(1+1.8%+2.3%)</f>
        <v>#REF!</v>
      </c>
      <c r="AG20" s="11" t="e">
        <f>-SUMIFS(#REF!,#REF!,C20)/1000</f>
        <v>#REF!</v>
      </c>
      <c r="AH20" s="11" t="e">
        <f>SUMIFS(#REF!,#REF!,C20)</f>
        <v>#REF!</v>
      </c>
      <c r="AI20" s="11" t="e">
        <f>SUMIFS(#REF!,#REF!,C20)</f>
        <v>#REF!</v>
      </c>
      <c r="AJ20" s="11" t="e">
        <f>SUMIFS(#REF!,#REF!,C20)</f>
        <v>#REF!</v>
      </c>
      <c r="AK20" s="11" t="e">
        <f>SUMIFS(#REF!,#REF!,C20)</f>
        <v>#REF!</v>
      </c>
      <c r="AL20" s="11"/>
      <c r="AM20" s="11" t="e">
        <f t="shared" si="17"/>
        <v>#REF!</v>
      </c>
      <c r="AO20" s="11" t="e">
        <f t="shared" si="18"/>
        <v>#REF!</v>
      </c>
      <c r="AP20" s="11" t="e">
        <f t="shared" si="19"/>
        <v>#REF!</v>
      </c>
      <c r="AR20" s="11" t="e">
        <f t="shared" si="20"/>
        <v>#REF!</v>
      </c>
      <c r="AT20" s="43" t="e">
        <f t="shared" si="21"/>
        <v>#REF!</v>
      </c>
      <c r="AU20" s="11" t="e">
        <f t="shared" si="22"/>
        <v>#REF!</v>
      </c>
      <c r="AW20" s="11" t="e">
        <f>'Share of £1bn'!$F$20*1000*$AP20/$AP$57</f>
        <v>#REF!</v>
      </c>
      <c r="AX20" s="11" t="e">
        <f>'Share of £1bn'!$F$27*1000*$AP20/$AP$57</f>
        <v>#REF!</v>
      </c>
      <c r="AY20" s="11" t="e">
        <f>'Share of £1bn'!$F$21*1000*$AP20/$AP$57</f>
        <v>#REF!</v>
      </c>
      <c r="BA20" s="11" t="e">
        <f>'Share of £1bn'!$F$43*1000*AP20/$AP$57</f>
        <v>#REF!</v>
      </c>
      <c r="BB20" s="11" t="e">
        <f>'Share of £1bn'!$F$50*1000*$AP20/$AP$57</f>
        <v>#REF!</v>
      </c>
      <c r="BC20" s="11" t="e">
        <f>'Share of £1bn'!$F$44*1000*AP20/$AP$57</f>
        <v>#REF!</v>
      </c>
      <c r="BE20" s="11" t="e">
        <f>'Share of £1bn'!$F$67*1000*AP20/$AP$57</f>
        <v>#REF!</v>
      </c>
      <c r="BG20" s="11">
        <f>SUMIFS('20-11 M6 deficits'!$BO:$BO,'20-11 M6 deficits'!$C:$C,$C20)*1000</f>
        <v>-85000</v>
      </c>
      <c r="BI20" s="11" t="e">
        <f t="shared" si="23"/>
        <v>#REF!</v>
      </c>
      <c r="BJ20" s="11" t="e">
        <f t="shared" si="24"/>
        <v>#REF!</v>
      </c>
      <c r="BK20" s="11" t="e">
        <f t="shared" si="25"/>
        <v>#REF!</v>
      </c>
      <c r="BL20" s="11" t="e">
        <f t="shared" si="26"/>
        <v>#REF!</v>
      </c>
      <c r="BM20" s="11" t="e">
        <f t="shared" si="27"/>
        <v>#REF!</v>
      </c>
      <c r="BO20" s="11" t="e">
        <f t="shared" si="28"/>
        <v>#REF!</v>
      </c>
      <c r="BP20" s="11" t="e">
        <f t="shared" si="29"/>
        <v>#REF!</v>
      </c>
      <c r="BQ20" s="11" t="e">
        <f t="shared" si="30"/>
        <v>#REF!</v>
      </c>
      <c r="BR20" s="11" t="e">
        <f t="shared" si="31"/>
        <v>#REF!</v>
      </c>
      <c r="BS20" s="11" t="e">
        <f t="shared" si="32"/>
        <v>#REF!</v>
      </c>
      <c r="BU20" s="11" t="e">
        <f t="shared" si="52"/>
        <v>#REF!</v>
      </c>
      <c r="BV20" s="11" t="e">
        <f t="shared" si="33"/>
        <v>#REF!</v>
      </c>
      <c r="BW20" s="11" t="e">
        <f t="shared" si="34"/>
        <v>#REF!</v>
      </c>
      <c r="BX20" s="11" t="e">
        <f t="shared" si="35"/>
        <v>#REF!</v>
      </c>
      <c r="BY20" s="11" t="e">
        <f t="shared" si="36"/>
        <v>#REF!</v>
      </c>
      <c r="CA20" s="11" t="e">
        <f t="shared" si="37"/>
        <v>#REF!</v>
      </c>
      <c r="CB20" s="11" t="e">
        <f t="shared" si="38"/>
        <v>#REF!</v>
      </c>
      <c r="CC20" s="11" t="e">
        <f t="shared" si="39"/>
        <v>#REF!</v>
      </c>
      <c r="CD20" s="11" t="e">
        <f t="shared" si="40"/>
        <v>#REF!</v>
      </c>
      <c r="CE20" s="11" t="e">
        <f t="shared" si="41"/>
        <v>#REF!</v>
      </c>
      <c r="CG20" s="11" t="e">
        <f t="shared" si="42"/>
        <v>#REF!</v>
      </c>
      <c r="CH20" s="11" t="e">
        <f t="shared" si="43"/>
        <v>#REF!</v>
      </c>
      <c r="CI20" s="11" t="e">
        <f t="shared" si="44"/>
        <v>#REF!</v>
      </c>
      <c r="CJ20" s="11" t="e">
        <f t="shared" si="45"/>
        <v>#REF!</v>
      </c>
      <c r="CK20" s="11" t="e">
        <f t="shared" si="46"/>
        <v>#REF!</v>
      </c>
      <c r="CN20" s="209">
        <f t="shared" si="47"/>
        <v>5.376863953522764E-2</v>
      </c>
      <c r="CO20" s="209" t="e">
        <f t="shared" si="48"/>
        <v>#REF!</v>
      </c>
      <c r="CP20" s="209" t="e">
        <f t="shared" si="49"/>
        <v>#REF!</v>
      </c>
      <c r="CQ20" s="209" t="e">
        <f t="shared" si="50"/>
        <v>#REF!</v>
      </c>
      <c r="CR20" s="209" t="e">
        <f t="shared" si="51"/>
        <v>#REF!</v>
      </c>
    </row>
    <row r="21" spans="1:96" x14ac:dyDescent="0.25">
      <c r="A21" s="13" t="s">
        <v>34</v>
      </c>
      <c r="B21" s="14" t="s">
        <v>35</v>
      </c>
      <c r="C21" s="4" t="s">
        <v>54</v>
      </c>
      <c r="D21" s="4" t="s">
        <v>55</v>
      </c>
      <c r="E21" s="11">
        <f>SUMIFS('ICB Core Baseline 2024-25'!Q:Q,'ICB Core Baseline 2024-25'!C:C,C21)</f>
        <v>916651.06573692488</v>
      </c>
      <c r="F21" s="43" t="e">
        <f>SUMIFS(#REF!,#REF!,C21)</f>
        <v>#REF!</v>
      </c>
      <c r="H21" s="43" t="e">
        <f>SUMIFS(#REF!,#REF!,C21)</f>
        <v>#REF!</v>
      </c>
      <c r="I21" s="43" t="e">
        <f t="shared" si="6"/>
        <v>#REF!</v>
      </c>
      <c r="J21" s="43" t="e">
        <f t="shared" si="7"/>
        <v>#REF!</v>
      </c>
      <c r="K21" s="11" t="e">
        <f t="shared" si="0"/>
        <v>#REF!</v>
      </c>
      <c r="L21" s="11" t="e">
        <f t="shared" si="1"/>
        <v>#REF!</v>
      </c>
      <c r="M21" s="43" t="e">
        <f>SUMIFS(#REF!,#REF!,C21)</f>
        <v>#REF!</v>
      </c>
      <c r="N21" s="11" t="e">
        <f t="shared" si="2"/>
        <v>#REF!</v>
      </c>
      <c r="O21" s="43" t="e">
        <f t="shared" si="8"/>
        <v>#REF!</v>
      </c>
      <c r="P21" s="11" t="e">
        <f t="shared" si="3"/>
        <v>#REF!</v>
      </c>
      <c r="Q21" s="11" t="e">
        <f t="shared" si="9"/>
        <v>#REF!</v>
      </c>
      <c r="R21" s="11" t="e">
        <f t="shared" si="4"/>
        <v>#REF!</v>
      </c>
      <c r="S21" s="257" t="e">
        <f t="shared" si="10"/>
        <v>#REF!</v>
      </c>
      <c r="T21" s="11" t="e">
        <f>(SUMIFS(#REF!,#REF!,C21)/SUMIFS(#REF!,#REF!,C21))*1000</f>
        <v>#REF!</v>
      </c>
      <c r="U21" s="11" t="e">
        <f t="shared" si="11"/>
        <v>#REF!</v>
      </c>
      <c r="V21" s="11"/>
      <c r="W21" s="11" t="e">
        <f t="shared" si="12"/>
        <v>#REF!</v>
      </c>
      <c r="X21" s="11" t="e">
        <f t="shared" si="13"/>
        <v>#REF!</v>
      </c>
      <c r="Y21" s="43" t="e">
        <f t="shared" si="14"/>
        <v>#REF!</v>
      </c>
      <c r="Z21" s="43" t="e">
        <f ca="1">OFFSET(#REF!,MATCH(C21,#REF!,0)+1,0)</f>
        <v>#REF!</v>
      </c>
      <c r="AA21" s="43" t="e">
        <f t="shared" ca="1" si="15"/>
        <v>#REF!</v>
      </c>
      <c r="AB21" s="43" t="e">
        <f t="shared" si="5"/>
        <v>#REF!</v>
      </c>
      <c r="AC21" s="11" t="e">
        <f>SUMIFS(#REF!,#REF!,C21)/(1+1.8%)*(1+1.8%+2.3%)</f>
        <v>#REF!</v>
      </c>
      <c r="AD21" s="11" t="e">
        <f t="shared" si="16"/>
        <v>#REF!</v>
      </c>
      <c r="AE21" s="64"/>
      <c r="AF21" s="11" t="e">
        <f>(SUMIFS(#REF!,#REF!,C21)/(1+1.8%))*(1+1.8%+2.3%)</f>
        <v>#REF!</v>
      </c>
      <c r="AG21" s="11" t="e">
        <f>-SUMIFS(#REF!,#REF!,C21)/1000</f>
        <v>#REF!</v>
      </c>
      <c r="AH21" s="11" t="e">
        <f>SUMIFS(#REF!,#REF!,C21)</f>
        <v>#REF!</v>
      </c>
      <c r="AI21" s="11" t="e">
        <f>SUMIFS(#REF!,#REF!,C21)</f>
        <v>#REF!</v>
      </c>
      <c r="AJ21" s="11" t="e">
        <f>SUMIFS(#REF!,#REF!,C21)</f>
        <v>#REF!</v>
      </c>
      <c r="AK21" s="11" t="e">
        <f>SUMIFS(#REF!,#REF!,C21)</f>
        <v>#REF!</v>
      </c>
      <c r="AL21" s="11"/>
      <c r="AM21" s="11" t="e">
        <f t="shared" si="17"/>
        <v>#REF!</v>
      </c>
      <c r="AO21" s="11" t="e">
        <f t="shared" si="18"/>
        <v>#REF!</v>
      </c>
      <c r="AP21" s="11" t="e">
        <f t="shared" si="19"/>
        <v>#REF!</v>
      </c>
      <c r="AR21" s="11" t="e">
        <f t="shared" si="20"/>
        <v>#REF!</v>
      </c>
      <c r="AT21" s="43" t="e">
        <f t="shared" si="21"/>
        <v>#REF!</v>
      </c>
      <c r="AU21" s="11" t="e">
        <f t="shared" si="22"/>
        <v>#REF!</v>
      </c>
      <c r="AW21" s="11" t="e">
        <f>'Share of £1bn'!$F$20*1000*$AP21/$AP$57</f>
        <v>#REF!</v>
      </c>
      <c r="AX21" s="11" t="e">
        <f>'Share of £1bn'!$F$27*1000*$AP21/$AP$57</f>
        <v>#REF!</v>
      </c>
      <c r="AY21" s="11" t="e">
        <f>'Share of £1bn'!$F$21*1000*$AP21/$AP$57</f>
        <v>#REF!</v>
      </c>
      <c r="BA21" s="11" t="e">
        <f>'Share of £1bn'!$F$43*1000*AP21/$AP$57</f>
        <v>#REF!</v>
      </c>
      <c r="BB21" s="11" t="e">
        <f>'Share of £1bn'!$F$50*1000*$AP21/$AP$57</f>
        <v>#REF!</v>
      </c>
      <c r="BC21" s="11" t="e">
        <f>'Share of £1bn'!$F$44*1000*AP21/$AP$57</f>
        <v>#REF!</v>
      </c>
      <c r="BE21" s="11" t="e">
        <f>'Share of £1bn'!$F$67*1000*AP21/$AP$57</f>
        <v>#REF!</v>
      </c>
      <c r="BG21" s="11">
        <f>SUMIFS('20-11 M6 deficits'!$BO:$BO,'20-11 M6 deficits'!$C:$C,$C21)*1000</f>
        <v>-120000</v>
      </c>
      <c r="BI21" s="11" t="e">
        <f t="shared" si="23"/>
        <v>#REF!</v>
      </c>
      <c r="BJ21" s="11" t="e">
        <f t="shared" si="24"/>
        <v>#REF!</v>
      </c>
      <c r="BK21" s="11" t="e">
        <f t="shared" si="25"/>
        <v>#REF!</v>
      </c>
      <c r="BL21" s="11" t="e">
        <f t="shared" si="26"/>
        <v>#REF!</v>
      </c>
      <c r="BM21" s="11" t="e">
        <f t="shared" si="27"/>
        <v>#REF!</v>
      </c>
      <c r="BO21" s="11" t="e">
        <f t="shared" si="28"/>
        <v>#REF!</v>
      </c>
      <c r="BP21" s="11" t="e">
        <f t="shared" si="29"/>
        <v>#REF!</v>
      </c>
      <c r="BQ21" s="11" t="e">
        <f t="shared" si="30"/>
        <v>#REF!</v>
      </c>
      <c r="BR21" s="11" t="e">
        <f t="shared" si="31"/>
        <v>#REF!</v>
      </c>
      <c r="BS21" s="11" t="e">
        <f t="shared" si="32"/>
        <v>#REF!</v>
      </c>
      <c r="BU21" s="11" t="e">
        <f t="shared" si="52"/>
        <v>#REF!</v>
      </c>
      <c r="BV21" s="11" t="e">
        <f t="shared" si="33"/>
        <v>#REF!</v>
      </c>
      <c r="BW21" s="11" t="e">
        <f t="shared" si="34"/>
        <v>#REF!</v>
      </c>
      <c r="BX21" s="11" t="e">
        <f t="shared" si="35"/>
        <v>#REF!</v>
      </c>
      <c r="BY21" s="11" t="e">
        <f t="shared" si="36"/>
        <v>#REF!</v>
      </c>
      <c r="CA21" s="11" t="e">
        <f t="shared" si="37"/>
        <v>#REF!</v>
      </c>
      <c r="CB21" s="11" t="e">
        <f t="shared" si="38"/>
        <v>#REF!</v>
      </c>
      <c r="CC21" s="11" t="e">
        <f t="shared" si="39"/>
        <v>#REF!</v>
      </c>
      <c r="CD21" s="11" t="e">
        <f t="shared" si="40"/>
        <v>#REF!</v>
      </c>
      <c r="CE21" s="11" t="e">
        <f t="shared" si="41"/>
        <v>#REF!</v>
      </c>
      <c r="CG21" s="11" t="e">
        <f t="shared" si="42"/>
        <v>#REF!</v>
      </c>
      <c r="CH21" s="11" t="e">
        <f t="shared" si="43"/>
        <v>#REF!</v>
      </c>
      <c r="CI21" s="11" t="e">
        <f t="shared" si="44"/>
        <v>#REF!</v>
      </c>
      <c r="CJ21" s="11" t="e">
        <f t="shared" si="45"/>
        <v>#REF!</v>
      </c>
      <c r="CK21" s="11" t="e">
        <f t="shared" si="46"/>
        <v>#REF!</v>
      </c>
      <c r="CN21" s="209">
        <f t="shared" si="47"/>
        <v>7.5908667579144898E-2</v>
      </c>
      <c r="CO21" s="209" t="e">
        <f t="shared" si="48"/>
        <v>#REF!</v>
      </c>
      <c r="CP21" s="209" t="e">
        <f t="shared" si="49"/>
        <v>#REF!</v>
      </c>
      <c r="CQ21" s="209" t="e">
        <f t="shared" si="50"/>
        <v>#REF!</v>
      </c>
      <c r="CR21" s="209" t="e">
        <f t="shared" si="51"/>
        <v>#REF!</v>
      </c>
    </row>
    <row r="22" spans="1:96" x14ac:dyDescent="0.25">
      <c r="A22" s="15" t="s">
        <v>34</v>
      </c>
      <c r="B22" s="16" t="s">
        <v>35</v>
      </c>
      <c r="C22" s="17" t="s">
        <v>56</v>
      </c>
      <c r="D22" s="17" t="s">
        <v>57</v>
      </c>
      <c r="E22" s="18">
        <f>SUMIFS('ICB Core Baseline 2024-25'!Q:Q,'ICB Core Baseline 2024-25'!C:C,C22)</f>
        <v>2085926.6315805949</v>
      </c>
      <c r="F22" s="44" t="e">
        <f>SUMIFS(#REF!,#REF!,C22)</f>
        <v>#REF!</v>
      </c>
      <c r="H22" s="44" t="e">
        <f>SUMIFS(#REF!,#REF!,C22)</f>
        <v>#REF!</v>
      </c>
      <c r="I22" s="44" t="e">
        <f t="shared" si="6"/>
        <v>#REF!</v>
      </c>
      <c r="J22" s="44" t="e">
        <f t="shared" si="7"/>
        <v>#REF!</v>
      </c>
      <c r="K22" s="18" t="e">
        <f t="shared" si="0"/>
        <v>#REF!</v>
      </c>
      <c r="L22" s="18" t="e">
        <f t="shared" si="1"/>
        <v>#REF!</v>
      </c>
      <c r="M22" s="44" t="e">
        <f>SUMIFS(#REF!,#REF!,C22)</f>
        <v>#REF!</v>
      </c>
      <c r="N22" s="18" t="e">
        <f t="shared" si="2"/>
        <v>#REF!</v>
      </c>
      <c r="O22" s="44" t="e">
        <f t="shared" si="8"/>
        <v>#REF!</v>
      </c>
      <c r="P22" s="18" t="e">
        <f t="shared" si="3"/>
        <v>#REF!</v>
      </c>
      <c r="Q22" s="18" t="e">
        <f t="shared" si="9"/>
        <v>#REF!</v>
      </c>
      <c r="R22" s="18" t="e">
        <f t="shared" si="4"/>
        <v>#REF!</v>
      </c>
      <c r="S22" s="257" t="e">
        <f t="shared" si="10"/>
        <v>#REF!</v>
      </c>
      <c r="T22" s="18" t="e">
        <f>(SUMIFS(#REF!,#REF!,C22)/SUMIFS(#REF!,#REF!,C22))*1000</f>
        <v>#REF!</v>
      </c>
      <c r="U22" s="18" t="e">
        <f t="shared" si="11"/>
        <v>#REF!</v>
      </c>
      <c r="V22" s="18"/>
      <c r="W22" s="18" t="e">
        <f t="shared" si="12"/>
        <v>#REF!</v>
      </c>
      <c r="X22" s="18" t="e">
        <f t="shared" si="13"/>
        <v>#REF!</v>
      </c>
      <c r="Y22" s="44" t="e">
        <f t="shared" si="14"/>
        <v>#REF!</v>
      </c>
      <c r="Z22" s="44" t="e">
        <f ca="1">OFFSET(#REF!,MATCH(C22,#REF!,0)+1,0)</f>
        <v>#REF!</v>
      </c>
      <c r="AA22" s="44" t="e">
        <f t="shared" ca="1" si="15"/>
        <v>#REF!</v>
      </c>
      <c r="AB22" s="44" t="e">
        <f t="shared" si="5"/>
        <v>#REF!</v>
      </c>
      <c r="AC22" s="18" t="e">
        <f>SUMIFS(#REF!,#REF!,C22)/(1+1.8%)*(1+1.8%+2.3%)</f>
        <v>#REF!</v>
      </c>
      <c r="AD22" s="18" t="e">
        <f t="shared" si="16"/>
        <v>#REF!</v>
      </c>
      <c r="AE22" s="65"/>
      <c r="AF22" s="18" t="e">
        <f>(SUMIFS(#REF!,#REF!,C22)/(1+1.8%))*(1+1.8%+2.3%)</f>
        <v>#REF!</v>
      </c>
      <c r="AG22" s="18" t="e">
        <f>-SUMIFS(#REF!,#REF!,C22)/1000</f>
        <v>#REF!</v>
      </c>
      <c r="AH22" s="18" t="e">
        <f>SUMIFS(#REF!,#REF!,C22)</f>
        <v>#REF!</v>
      </c>
      <c r="AI22" s="18" t="e">
        <f>SUMIFS(#REF!,#REF!,C22)</f>
        <v>#REF!</v>
      </c>
      <c r="AJ22" s="18" t="e">
        <f>SUMIFS(#REF!,#REF!,C22)</f>
        <v>#REF!</v>
      </c>
      <c r="AK22" s="18" t="e">
        <f>SUMIFS(#REF!,#REF!,C22)</f>
        <v>#REF!</v>
      </c>
      <c r="AL22" s="18"/>
      <c r="AM22" s="18" t="e">
        <f t="shared" si="17"/>
        <v>#REF!</v>
      </c>
      <c r="AO22" s="18" t="e">
        <f t="shared" si="18"/>
        <v>#REF!</v>
      </c>
      <c r="AP22" s="18" t="e">
        <f t="shared" si="19"/>
        <v>#REF!</v>
      </c>
      <c r="AR22" s="18" t="e">
        <f t="shared" si="20"/>
        <v>#REF!</v>
      </c>
      <c r="AT22" s="44" t="e">
        <f t="shared" si="21"/>
        <v>#REF!</v>
      </c>
      <c r="AU22" s="18" t="e">
        <f t="shared" si="22"/>
        <v>#REF!</v>
      </c>
      <c r="AW22" s="18" t="e">
        <f>'Share of £1bn'!$F$20*1000*$AP22/$AP$57</f>
        <v>#REF!</v>
      </c>
      <c r="AX22" s="18" t="e">
        <f>'Share of £1bn'!$F$27*1000*$AP22/$AP$57</f>
        <v>#REF!</v>
      </c>
      <c r="AY22" s="18" t="e">
        <f>'Share of £1bn'!$F$21*1000*$AP22/$AP$57</f>
        <v>#REF!</v>
      </c>
      <c r="BA22" s="18" t="e">
        <f>'Share of £1bn'!$F$43*1000*AP22/$AP$57</f>
        <v>#REF!</v>
      </c>
      <c r="BB22" s="18" t="e">
        <f>'Share of £1bn'!$F$50*1000*$AP22/$AP$57</f>
        <v>#REF!</v>
      </c>
      <c r="BC22" s="18" t="e">
        <f>'Share of £1bn'!$F$44*1000*AP22/$AP$57</f>
        <v>#REF!</v>
      </c>
      <c r="BE22" s="18" t="e">
        <f>'Share of £1bn'!$F$67*1000*AP22/$AP$57</f>
        <v>#REF!</v>
      </c>
      <c r="BG22" s="11">
        <f>SUMIFS('20-11 M6 deficits'!$BO:$BO,'20-11 M6 deficits'!$C:$C,$C22)*1000</f>
        <v>-90000</v>
      </c>
      <c r="BI22" s="18" t="e">
        <f t="shared" si="23"/>
        <v>#REF!</v>
      </c>
      <c r="BJ22" s="18" t="e">
        <f t="shared" si="24"/>
        <v>#REF!</v>
      </c>
      <c r="BK22" s="18" t="e">
        <f t="shared" si="25"/>
        <v>#REF!</v>
      </c>
      <c r="BL22" s="18" t="e">
        <f t="shared" si="26"/>
        <v>#REF!</v>
      </c>
      <c r="BM22" s="18" t="e">
        <f t="shared" si="27"/>
        <v>#REF!</v>
      </c>
      <c r="BO22" s="18" t="e">
        <f t="shared" si="28"/>
        <v>#REF!</v>
      </c>
      <c r="BP22" s="18" t="e">
        <f t="shared" si="29"/>
        <v>#REF!</v>
      </c>
      <c r="BQ22" s="18" t="e">
        <f t="shared" si="30"/>
        <v>#REF!</v>
      </c>
      <c r="BR22" s="18" t="e">
        <f t="shared" si="31"/>
        <v>#REF!</v>
      </c>
      <c r="BS22" s="18" t="e">
        <f t="shared" si="32"/>
        <v>#REF!</v>
      </c>
      <c r="BU22" s="18" t="e">
        <f t="shared" si="52"/>
        <v>#REF!</v>
      </c>
      <c r="BV22" s="18" t="e">
        <f t="shared" si="33"/>
        <v>#REF!</v>
      </c>
      <c r="BW22" s="18" t="e">
        <f t="shared" si="34"/>
        <v>#REF!</v>
      </c>
      <c r="BX22" s="18" t="e">
        <f t="shared" si="35"/>
        <v>#REF!</v>
      </c>
      <c r="BY22" s="18" t="e">
        <f t="shared" si="36"/>
        <v>#REF!</v>
      </c>
      <c r="CA22" s="18" t="e">
        <f t="shared" si="37"/>
        <v>#REF!</v>
      </c>
      <c r="CB22" s="18" t="e">
        <f t="shared" si="38"/>
        <v>#REF!</v>
      </c>
      <c r="CC22" s="18" t="e">
        <f t="shared" si="39"/>
        <v>#REF!</v>
      </c>
      <c r="CD22" s="18" t="e">
        <f t="shared" si="40"/>
        <v>#REF!</v>
      </c>
      <c r="CE22" s="18" t="e">
        <f t="shared" si="41"/>
        <v>#REF!</v>
      </c>
      <c r="CG22" s="18" t="e">
        <f t="shared" si="42"/>
        <v>#REF!</v>
      </c>
      <c r="CH22" s="18" t="e">
        <f t="shared" si="43"/>
        <v>#REF!</v>
      </c>
      <c r="CI22" s="18" t="e">
        <f t="shared" si="44"/>
        <v>#REF!</v>
      </c>
      <c r="CJ22" s="18" t="e">
        <f t="shared" si="45"/>
        <v>#REF!</v>
      </c>
      <c r="CK22" s="18" t="e">
        <f t="shared" si="46"/>
        <v>#REF!</v>
      </c>
      <c r="CN22" s="209">
        <f t="shared" si="47"/>
        <v>5.6931500684358677E-2</v>
      </c>
      <c r="CO22" s="209" t="e">
        <f t="shared" si="48"/>
        <v>#REF!</v>
      </c>
      <c r="CP22" s="209" t="e">
        <f t="shared" si="49"/>
        <v>#REF!</v>
      </c>
      <c r="CQ22" s="209" t="e">
        <f t="shared" si="50"/>
        <v>#REF!</v>
      </c>
      <c r="CR22" s="209" t="e">
        <f t="shared" si="51"/>
        <v>#REF!</v>
      </c>
    </row>
    <row r="23" spans="1:96" x14ac:dyDescent="0.25">
      <c r="A23" s="10" t="s">
        <v>58</v>
      </c>
      <c r="B23" s="4" t="s">
        <v>59</v>
      </c>
      <c r="C23" s="4" t="s">
        <v>60</v>
      </c>
      <c r="D23" s="4" t="s">
        <v>61</v>
      </c>
      <c r="E23" s="11">
        <f>SUMIFS('ICB Core Baseline 2024-25'!Q:Q,'ICB Core Baseline 2024-25'!C:C,C23)</f>
        <v>1642311.0679959552</v>
      </c>
      <c r="F23" s="43" t="e">
        <f>SUMIFS(#REF!,#REF!,C23)</f>
        <v>#REF!</v>
      </c>
      <c r="H23" s="43" t="e">
        <f>SUMIFS(#REF!,#REF!,C23)</f>
        <v>#REF!</v>
      </c>
      <c r="I23" s="43" t="e">
        <f t="shared" si="6"/>
        <v>#REF!</v>
      </c>
      <c r="J23" s="43" t="e">
        <f t="shared" si="7"/>
        <v>#REF!</v>
      </c>
      <c r="K23" s="11" t="e">
        <f t="shared" si="0"/>
        <v>#REF!</v>
      </c>
      <c r="L23" s="11" t="e">
        <f t="shared" si="1"/>
        <v>#REF!</v>
      </c>
      <c r="M23" s="43" t="e">
        <f>SUMIFS(#REF!,#REF!,C23)</f>
        <v>#REF!</v>
      </c>
      <c r="N23" s="11" t="e">
        <f t="shared" si="2"/>
        <v>#REF!</v>
      </c>
      <c r="O23" s="43" t="e">
        <f t="shared" si="8"/>
        <v>#REF!</v>
      </c>
      <c r="P23" s="11" t="e">
        <f t="shared" si="3"/>
        <v>#REF!</v>
      </c>
      <c r="Q23" s="11" t="e">
        <f t="shared" si="9"/>
        <v>#REF!</v>
      </c>
      <c r="R23" s="11" t="e">
        <f t="shared" si="4"/>
        <v>#REF!</v>
      </c>
      <c r="S23" s="257" t="e">
        <f t="shared" si="10"/>
        <v>#REF!</v>
      </c>
      <c r="T23" s="11" t="e">
        <f>(SUMIFS(#REF!,#REF!,C23)/SUMIFS(#REF!,#REF!,C23))*1000</f>
        <v>#REF!</v>
      </c>
      <c r="U23" s="11" t="e">
        <f t="shared" si="11"/>
        <v>#REF!</v>
      </c>
      <c r="V23" s="11"/>
      <c r="W23" s="11" t="e">
        <f t="shared" si="12"/>
        <v>#REF!</v>
      </c>
      <c r="X23" s="11" t="e">
        <f t="shared" si="13"/>
        <v>#REF!</v>
      </c>
      <c r="Y23" s="43" t="e">
        <f t="shared" si="14"/>
        <v>#REF!</v>
      </c>
      <c r="Z23" s="43" t="e">
        <f ca="1">OFFSET(#REF!,MATCH(C23,#REF!,0)+1,0)</f>
        <v>#REF!</v>
      </c>
      <c r="AA23" s="43" t="e">
        <f t="shared" ca="1" si="15"/>
        <v>#REF!</v>
      </c>
      <c r="AB23" s="43" t="e">
        <f t="shared" si="5"/>
        <v>#REF!</v>
      </c>
      <c r="AC23" s="11" t="e">
        <f>SUMIFS(#REF!,#REF!,C23)/(1+1.8%)*(1+1.8%+2.3%)</f>
        <v>#REF!</v>
      </c>
      <c r="AD23" s="11" t="e">
        <f t="shared" si="16"/>
        <v>#REF!</v>
      </c>
      <c r="AE23" s="64"/>
      <c r="AF23" s="11" t="e">
        <f>(SUMIFS(#REF!,#REF!,C23)/(1+1.8%))*(1+1.8%+2.3%)</f>
        <v>#REF!</v>
      </c>
      <c r="AG23" s="11" t="e">
        <f>-SUMIFS(#REF!,#REF!,C23)/1000</f>
        <v>#REF!</v>
      </c>
      <c r="AH23" s="11" t="e">
        <f>SUMIFS(#REF!,#REF!,C23)</f>
        <v>#REF!</v>
      </c>
      <c r="AI23" s="11" t="e">
        <f>SUMIFS(#REF!,#REF!,C23)</f>
        <v>#REF!</v>
      </c>
      <c r="AJ23" s="11" t="e">
        <f>SUMIFS(#REF!,#REF!,C23)</f>
        <v>#REF!</v>
      </c>
      <c r="AK23" s="11" t="e">
        <f>SUMIFS(#REF!,#REF!,C23)</f>
        <v>#REF!</v>
      </c>
      <c r="AL23" s="11"/>
      <c r="AM23" s="11" t="e">
        <f t="shared" si="17"/>
        <v>#REF!</v>
      </c>
      <c r="AO23" s="11" t="e">
        <f t="shared" si="18"/>
        <v>#REF!</v>
      </c>
      <c r="AP23" s="11" t="e">
        <f t="shared" si="19"/>
        <v>#REF!</v>
      </c>
      <c r="AR23" s="11" t="e">
        <f t="shared" si="20"/>
        <v>#REF!</v>
      </c>
      <c r="AT23" s="43" t="e">
        <f t="shared" si="21"/>
        <v>#REF!</v>
      </c>
      <c r="AU23" s="11" t="e">
        <f t="shared" si="22"/>
        <v>#REF!</v>
      </c>
      <c r="AW23" s="11" t="e">
        <f>'Share of £1bn'!$F$20*1000*$AP23/$AP$57</f>
        <v>#REF!</v>
      </c>
      <c r="AX23" s="11" t="e">
        <f>'Share of £1bn'!$F$27*1000*$AP23/$AP$57</f>
        <v>#REF!</v>
      </c>
      <c r="AY23" s="11" t="e">
        <f>'Share of £1bn'!$F$21*1000*$AP23/$AP$57</f>
        <v>#REF!</v>
      </c>
      <c r="BA23" s="11" t="e">
        <f>'Share of £1bn'!$F$43*1000*AP23/$AP$57</f>
        <v>#REF!</v>
      </c>
      <c r="BB23" s="11" t="e">
        <f>'Share of £1bn'!$F$50*1000*$AP23/$AP$57</f>
        <v>#REF!</v>
      </c>
      <c r="BC23" s="11" t="e">
        <f>'Share of £1bn'!$F$44*1000*AP23/$AP$57</f>
        <v>#REF!</v>
      </c>
      <c r="BE23" s="11" t="e">
        <f>'Share of £1bn'!$F$67*1000*AP23/$AP$57</f>
        <v>#REF!</v>
      </c>
      <c r="BG23" s="11">
        <f>SUMIFS('20-11 M6 deficits'!$BO:$BO,'20-11 M6 deficits'!$C:$C,$C23)*1000</f>
        <v>0</v>
      </c>
      <c r="BI23" s="11" t="e">
        <f t="shared" si="23"/>
        <v>#REF!</v>
      </c>
      <c r="BJ23" s="11" t="e">
        <f t="shared" si="24"/>
        <v>#REF!</v>
      </c>
      <c r="BK23" s="11" t="e">
        <f t="shared" si="25"/>
        <v>#REF!</v>
      </c>
      <c r="BL23" s="11" t="e">
        <f t="shared" si="26"/>
        <v>#REF!</v>
      </c>
      <c r="BM23" s="11" t="e">
        <f t="shared" si="27"/>
        <v>#REF!</v>
      </c>
      <c r="BO23" s="11" t="e">
        <f t="shared" si="28"/>
        <v>#REF!</v>
      </c>
      <c r="BP23" s="11" t="e">
        <f t="shared" si="29"/>
        <v>#REF!</v>
      </c>
      <c r="BQ23" s="11" t="e">
        <f t="shared" si="30"/>
        <v>#REF!</v>
      </c>
      <c r="BR23" s="11" t="e">
        <f t="shared" si="31"/>
        <v>#REF!</v>
      </c>
      <c r="BS23" s="11" t="e">
        <f t="shared" si="32"/>
        <v>#REF!</v>
      </c>
      <c r="BU23" s="11" t="e">
        <f t="shared" si="52"/>
        <v>#REF!</v>
      </c>
      <c r="BV23" s="11" t="e">
        <f t="shared" si="33"/>
        <v>#REF!</v>
      </c>
      <c r="BW23" s="11" t="e">
        <f t="shared" si="34"/>
        <v>#REF!</v>
      </c>
      <c r="BX23" s="11" t="e">
        <f t="shared" si="35"/>
        <v>#REF!</v>
      </c>
      <c r="BY23" s="11" t="e">
        <f t="shared" si="36"/>
        <v>#REF!</v>
      </c>
      <c r="CA23" s="11" t="e">
        <f t="shared" si="37"/>
        <v>#REF!</v>
      </c>
      <c r="CB23" s="11" t="e">
        <f t="shared" si="38"/>
        <v>#REF!</v>
      </c>
      <c r="CC23" s="11" t="e">
        <f t="shared" si="39"/>
        <v>#REF!</v>
      </c>
      <c r="CD23" s="11" t="e">
        <f t="shared" si="40"/>
        <v>#REF!</v>
      </c>
      <c r="CE23" s="11" t="e">
        <f t="shared" si="41"/>
        <v>#REF!</v>
      </c>
      <c r="CG23" s="11" t="e">
        <f t="shared" si="42"/>
        <v>#REF!</v>
      </c>
      <c r="CH23" s="11" t="e">
        <f t="shared" si="43"/>
        <v>#REF!</v>
      </c>
      <c r="CI23" s="11" t="e">
        <f t="shared" si="44"/>
        <v>#REF!</v>
      </c>
      <c r="CJ23" s="11" t="e">
        <f t="shared" si="45"/>
        <v>#REF!</v>
      </c>
      <c r="CK23" s="11" t="e">
        <f t="shared" si="46"/>
        <v>#REF!</v>
      </c>
      <c r="CN23" s="209">
        <f t="shared" si="47"/>
        <v>0</v>
      </c>
      <c r="CO23" s="209" t="e">
        <f t="shared" si="48"/>
        <v>#REF!</v>
      </c>
      <c r="CP23" s="209" t="e">
        <f t="shared" si="49"/>
        <v>#REF!</v>
      </c>
      <c r="CQ23" s="209" t="e">
        <f t="shared" si="50"/>
        <v>#REF!</v>
      </c>
      <c r="CR23" s="209" t="e">
        <f t="shared" si="51"/>
        <v>#REF!</v>
      </c>
    </row>
    <row r="24" spans="1:96" x14ac:dyDescent="0.25">
      <c r="A24" s="13" t="s">
        <v>58</v>
      </c>
      <c r="B24" s="14" t="s">
        <v>59</v>
      </c>
      <c r="C24" s="4" t="s">
        <v>62</v>
      </c>
      <c r="D24" s="4" t="s">
        <v>63</v>
      </c>
      <c r="E24" s="11">
        <f>SUMIFS('ICB Core Baseline 2024-25'!Q:Q,'ICB Core Baseline 2024-25'!C:C,C24)</f>
        <v>1520393.7039299591</v>
      </c>
      <c r="F24" s="43" t="e">
        <f>SUMIFS(#REF!,#REF!,C24)</f>
        <v>#REF!</v>
      </c>
      <c r="H24" s="43" t="e">
        <f>SUMIFS(#REF!,#REF!,C24)</f>
        <v>#REF!</v>
      </c>
      <c r="I24" s="43" t="e">
        <f t="shared" si="6"/>
        <v>#REF!</v>
      </c>
      <c r="J24" s="43" t="e">
        <f t="shared" si="7"/>
        <v>#REF!</v>
      </c>
      <c r="K24" s="11" t="e">
        <f t="shared" si="0"/>
        <v>#REF!</v>
      </c>
      <c r="L24" s="11" t="e">
        <f t="shared" si="1"/>
        <v>#REF!</v>
      </c>
      <c r="M24" s="43" t="e">
        <f>SUMIFS(#REF!,#REF!,C24)</f>
        <v>#REF!</v>
      </c>
      <c r="N24" s="11" t="e">
        <f t="shared" si="2"/>
        <v>#REF!</v>
      </c>
      <c r="O24" s="43" t="e">
        <f t="shared" si="8"/>
        <v>#REF!</v>
      </c>
      <c r="P24" s="11" t="e">
        <f t="shared" si="3"/>
        <v>#REF!</v>
      </c>
      <c r="Q24" s="11" t="e">
        <f t="shared" si="9"/>
        <v>#REF!</v>
      </c>
      <c r="R24" s="11" t="e">
        <f t="shared" si="4"/>
        <v>#REF!</v>
      </c>
      <c r="S24" s="257" t="e">
        <f t="shared" si="10"/>
        <v>#REF!</v>
      </c>
      <c r="T24" s="11" t="e">
        <f>(SUMIFS(#REF!,#REF!,C24)/SUMIFS(#REF!,#REF!,C24))*1000</f>
        <v>#REF!</v>
      </c>
      <c r="U24" s="11" t="e">
        <f t="shared" si="11"/>
        <v>#REF!</v>
      </c>
      <c r="V24" s="11"/>
      <c r="W24" s="11" t="e">
        <f t="shared" si="12"/>
        <v>#REF!</v>
      </c>
      <c r="X24" s="11" t="e">
        <f t="shared" si="13"/>
        <v>#REF!</v>
      </c>
      <c r="Y24" s="43" t="e">
        <f t="shared" si="14"/>
        <v>#REF!</v>
      </c>
      <c r="Z24" s="43" t="e">
        <f ca="1">OFFSET(#REF!,MATCH(C24,#REF!,0)+1,0)</f>
        <v>#REF!</v>
      </c>
      <c r="AA24" s="43" t="e">
        <f t="shared" ca="1" si="15"/>
        <v>#REF!</v>
      </c>
      <c r="AB24" s="43" t="e">
        <f t="shared" si="5"/>
        <v>#REF!</v>
      </c>
      <c r="AC24" s="11" t="e">
        <f>SUMIFS(#REF!,#REF!,C24)/(1+1.8%)*(1+1.8%+2.3%)</f>
        <v>#REF!</v>
      </c>
      <c r="AD24" s="11" t="e">
        <f t="shared" si="16"/>
        <v>#REF!</v>
      </c>
      <c r="AE24" s="64"/>
      <c r="AF24" s="11" t="e">
        <f>(SUMIFS(#REF!,#REF!,C24)/(1+1.8%))*(1+1.8%+2.3%)</f>
        <v>#REF!</v>
      </c>
      <c r="AG24" s="11" t="e">
        <f>-SUMIFS(#REF!,#REF!,C24)/1000</f>
        <v>#REF!</v>
      </c>
      <c r="AH24" s="11" t="e">
        <f>SUMIFS(#REF!,#REF!,C24)</f>
        <v>#REF!</v>
      </c>
      <c r="AI24" s="11" t="e">
        <f>SUMIFS(#REF!,#REF!,C24)</f>
        <v>#REF!</v>
      </c>
      <c r="AJ24" s="11" t="e">
        <f>SUMIFS(#REF!,#REF!,C24)</f>
        <v>#REF!</v>
      </c>
      <c r="AK24" s="11" t="e">
        <f>SUMIFS(#REF!,#REF!,C24)</f>
        <v>#REF!</v>
      </c>
      <c r="AL24" s="11"/>
      <c r="AM24" s="11" t="e">
        <f t="shared" si="17"/>
        <v>#REF!</v>
      </c>
      <c r="AO24" s="11" t="e">
        <f t="shared" si="18"/>
        <v>#REF!</v>
      </c>
      <c r="AP24" s="11" t="e">
        <f t="shared" si="19"/>
        <v>#REF!</v>
      </c>
      <c r="AR24" s="11" t="e">
        <f t="shared" si="20"/>
        <v>#REF!</v>
      </c>
      <c r="AT24" s="43" t="e">
        <f t="shared" si="21"/>
        <v>#REF!</v>
      </c>
      <c r="AU24" s="11" t="e">
        <f t="shared" si="22"/>
        <v>#REF!</v>
      </c>
      <c r="AW24" s="11" t="e">
        <f>'Share of £1bn'!$F$20*1000*$AP24/$AP$57</f>
        <v>#REF!</v>
      </c>
      <c r="AX24" s="11" t="e">
        <f>'Share of £1bn'!$F$27*1000*$AP24/$AP$57</f>
        <v>#REF!</v>
      </c>
      <c r="AY24" s="11" t="e">
        <f>'Share of £1bn'!$F$21*1000*$AP24/$AP$57</f>
        <v>#REF!</v>
      </c>
      <c r="BA24" s="11" t="e">
        <f>'Share of £1bn'!$F$43*1000*AP24/$AP$57</f>
        <v>#REF!</v>
      </c>
      <c r="BB24" s="11" t="e">
        <f>'Share of £1bn'!$F$50*1000*$AP24/$AP$57</f>
        <v>#REF!</v>
      </c>
      <c r="BC24" s="11" t="e">
        <f>'Share of £1bn'!$F$44*1000*AP24/$AP$57</f>
        <v>#REF!</v>
      </c>
      <c r="BE24" s="11" t="e">
        <f>'Share of £1bn'!$F$67*1000*AP24/$AP$57</f>
        <v>#REF!</v>
      </c>
      <c r="BG24" s="11">
        <f>SUMIFS('20-11 M6 deficits'!$BO:$BO,'20-11 M6 deficits'!$C:$C,$C24)*1000</f>
        <v>0</v>
      </c>
      <c r="BI24" s="11" t="e">
        <f t="shared" si="23"/>
        <v>#REF!</v>
      </c>
      <c r="BJ24" s="11" t="e">
        <f t="shared" si="24"/>
        <v>#REF!</v>
      </c>
      <c r="BK24" s="11" t="e">
        <f t="shared" si="25"/>
        <v>#REF!</v>
      </c>
      <c r="BL24" s="11" t="e">
        <f t="shared" si="26"/>
        <v>#REF!</v>
      </c>
      <c r="BM24" s="11" t="e">
        <f t="shared" si="27"/>
        <v>#REF!</v>
      </c>
      <c r="BO24" s="11" t="e">
        <f t="shared" si="28"/>
        <v>#REF!</v>
      </c>
      <c r="BP24" s="11" t="e">
        <f t="shared" si="29"/>
        <v>#REF!</v>
      </c>
      <c r="BQ24" s="11" t="e">
        <f t="shared" si="30"/>
        <v>#REF!</v>
      </c>
      <c r="BR24" s="11" t="e">
        <f t="shared" si="31"/>
        <v>#REF!</v>
      </c>
      <c r="BS24" s="11" t="e">
        <f t="shared" si="32"/>
        <v>#REF!</v>
      </c>
      <c r="BU24" s="11" t="e">
        <f t="shared" si="52"/>
        <v>#REF!</v>
      </c>
      <c r="BV24" s="11" t="e">
        <f t="shared" si="33"/>
        <v>#REF!</v>
      </c>
      <c r="BW24" s="11" t="e">
        <f t="shared" si="34"/>
        <v>#REF!</v>
      </c>
      <c r="BX24" s="11" t="e">
        <f t="shared" si="35"/>
        <v>#REF!</v>
      </c>
      <c r="BY24" s="11" t="e">
        <f t="shared" si="36"/>
        <v>#REF!</v>
      </c>
      <c r="CA24" s="11" t="e">
        <f t="shared" si="37"/>
        <v>#REF!</v>
      </c>
      <c r="CB24" s="11" t="e">
        <f t="shared" si="38"/>
        <v>#REF!</v>
      </c>
      <c r="CC24" s="11" t="e">
        <f t="shared" si="39"/>
        <v>#REF!</v>
      </c>
      <c r="CD24" s="11" t="e">
        <f t="shared" si="40"/>
        <v>#REF!</v>
      </c>
      <c r="CE24" s="11" t="e">
        <f t="shared" si="41"/>
        <v>#REF!</v>
      </c>
      <c r="CG24" s="11" t="e">
        <f t="shared" si="42"/>
        <v>#REF!</v>
      </c>
      <c r="CH24" s="11" t="e">
        <f t="shared" si="43"/>
        <v>#REF!</v>
      </c>
      <c r="CI24" s="11" t="e">
        <f t="shared" si="44"/>
        <v>#REF!</v>
      </c>
      <c r="CJ24" s="11" t="e">
        <f t="shared" si="45"/>
        <v>#REF!</v>
      </c>
      <c r="CK24" s="11" t="e">
        <f t="shared" si="46"/>
        <v>#REF!</v>
      </c>
      <c r="CN24" s="209">
        <f t="shared" si="47"/>
        <v>0</v>
      </c>
      <c r="CO24" s="209" t="e">
        <f t="shared" si="48"/>
        <v>#REF!</v>
      </c>
      <c r="CP24" s="209" t="e">
        <f t="shared" si="49"/>
        <v>#REF!</v>
      </c>
      <c r="CQ24" s="209" t="e">
        <f t="shared" si="50"/>
        <v>#REF!</v>
      </c>
      <c r="CR24" s="209" t="e">
        <f t="shared" si="51"/>
        <v>#REF!</v>
      </c>
    </row>
    <row r="25" spans="1:96" x14ac:dyDescent="0.25">
      <c r="A25" s="13" t="s">
        <v>58</v>
      </c>
      <c r="B25" s="14" t="s">
        <v>59</v>
      </c>
      <c r="C25" s="4" t="s">
        <v>64</v>
      </c>
      <c r="D25" s="4" t="s">
        <v>65</v>
      </c>
      <c r="E25" s="11">
        <f>SUMIFS('ICB Core Baseline 2024-25'!Q:Q,'ICB Core Baseline 2024-25'!C:C,C25)</f>
        <v>2595751.7014513845</v>
      </c>
      <c r="F25" s="43" t="e">
        <f>SUMIFS(#REF!,#REF!,C25)</f>
        <v>#REF!</v>
      </c>
      <c r="H25" s="43" t="e">
        <f>SUMIFS(#REF!,#REF!,C25)</f>
        <v>#REF!</v>
      </c>
      <c r="I25" s="43" t="e">
        <f t="shared" si="6"/>
        <v>#REF!</v>
      </c>
      <c r="J25" s="43" t="e">
        <f t="shared" si="7"/>
        <v>#REF!</v>
      </c>
      <c r="K25" s="11" t="e">
        <f t="shared" si="0"/>
        <v>#REF!</v>
      </c>
      <c r="L25" s="11" t="e">
        <f t="shared" si="1"/>
        <v>#REF!</v>
      </c>
      <c r="M25" s="43" t="e">
        <f>SUMIFS(#REF!,#REF!,C25)</f>
        <v>#REF!</v>
      </c>
      <c r="N25" s="11" t="e">
        <f t="shared" si="2"/>
        <v>#REF!</v>
      </c>
      <c r="O25" s="43" t="e">
        <f t="shared" si="8"/>
        <v>#REF!</v>
      </c>
      <c r="P25" s="11" t="e">
        <f t="shared" si="3"/>
        <v>#REF!</v>
      </c>
      <c r="Q25" s="11" t="e">
        <f t="shared" si="9"/>
        <v>#REF!</v>
      </c>
      <c r="R25" s="11" t="e">
        <f t="shared" si="4"/>
        <v>#REF!</v>
      </c>
      <c r="S25" s="257" t="e">
        <f t="shared" si="10"/>
        <v>#REF!</v>
      </c>
      <c r="T25" s="11" t="e">
        <f>(SUMIFS(#REF!,#REF!,C25)/SUMIFS(#REF!,#REF!,C25))*1000</f>
        <v>#REF!</v>
      </c>
      <c r="U25" s="11" t="e">
        <f t="shared" si="11"/>
        <v>#REF!</v>
      </c>
      <c r="V25" s="11"/>
      <c r="W25" s="11" t="e">
        <f t="shared" si="12"/>
        <v>#REF!</v>
      </c>
      <c r="X25" s="11" t="e">
        <f t="shared" si="13"/>
        <v>#REF!</v>
      </c>
      <c r="Y25" s="43" t="e">
        <f t="shared" si="14"/>
        <v>#REF!</v>
      </c>
      <c r="Z25" s="43" t="e">
        <f ca="1">OFFSET(#REF!,MATCH(C25,#REF!,0)+1,0)</f>
        <v>#REF!</v>
      </c>
      <c r="AA25" s="43" t="e">
        <f t="shared" ca="1" si="15"/>
        <v>#REF!</v>
      </c>
      <c r="AB25" s="43" t="e">
        <f t="shared" si="5"/>
        <v>#REF!</v>
      </c>
      <c r="AC25" s="11" t="e">
        <f>SUMIFS(#REF!,#REF!,C25)/(1+1.8%)*(1+1.8%+2.3%)</f>
        <v>#REF!</v>
      </c>
      <c r="AD25" s="11" t="e">
        <f t="shared" si="16"/>
        <v>#REF!</v>
      </c>
      <c r="AE25" s="64"/>
      <c r="AF25" s="11" t="e">
        <f>(SUMIFS(#REF!,#REF!,C25)/(1+1.8%))*(1+1.8%+2.3%)</f>
        <v>#REF!</v>
      </c>
      <c r="AG25" s="11" t="e">
        <f>-SUMIFS(#REF!,#REF!,C25)/1000</f>
        <v>#REF!</v>
      </c>
      <c r="AH25" s="11" t="e">
        <f>SUMIFS(#REF!,#REF!,C25)</f>
        <v>#REF!</v>
      </c>
      <c r="AI25" s="11" t="e">
        <f>SUMIFS(#REF!,#REF!,C25)</f>
        <v>#REF!</v>
      </c>
      <c r="AJ25" s="11" t="e">
        <f>SUMIFS(#REF!,#REF!,C25)</f>
        <v>#REF!</v>
      </c>
      <c r="AK25" s="11" t="e">
        <f>SUMIFS(#REF!,#REF!,C25)</f>
        <v>#REF!</v>
      </c>
      <c r="AL25" s="11"/>
      <c r="AM25" s="11" t="e">
        <f t="shared" si="17"/>
        <v>#REF!</v>
      </c>
      <c r="AO25" s="11" t="e">
        <f t="shared" si="18"/>
        <v>#REF!</v>
      </c>
      <c r="AP25" s="11" t="e">
        <f t="shared" si="19"/>
        <v>#REF!</v>
      </c>
      <c r="AR25" s="11" t="e">
        <f t="shared" si="20"/>
        <v>#REF!</v>
      </c>
      <c r="AT25" s="43" t="e">
        <f t="shared" si="21"/>
        <v>#REF!</v>
      </c>
      <c r="AU25" s="11" t="e">
        <f t="shared" si="22"/>
        <v>#REF!</v>
      </c>
      <c r="AW25" s="11" t="e">
        <f>'Share of £1bn'!$F$20*1000*$AP25/$AP$57</f>
        <v>#REF!</v>
      </c>
      <c r="AX25" s="11" t="e">
        <f>'Share of £1bn'!$F$27*1000*$AP25/$AP$57</f>
        <v>#REF!</v>
      </c>
      <c r="AY25" s="11" t="e">
        <f>'Share of £1bn'!$F$21*1000*$AP25/$AP$57</f>
        <v>#REF!</v>
      </c>
      <c r="BA25" s="11" t="e">
        <f>'Share of £1bn'!$F$43*1000*AP25/$AP$57</f>
        <v>#REF!</v>
      </c>
      <c r="BB25" s="11" t="e">
        <f>'Share of £1bn'!$F$50*1000*$AP25/$AP$57</f>
        <v>#REF!</v>
      </c>
      <c r="BC25" s="11" t="e">
        <f>'Share of £1bn'!$F$44*1000*AP25/$AP$57</f>
        <v>#REF!</v>
      </c>
      <c r="BE25" s="11" t="e">
        <f>'Share of £1bn'!$F$67*1000*AP25/$AP$57</f>
        <v>#REF!</v>
      </c>
      <c r="BG25" s="11">
        <f>SUMIFS('20-11 M6 deficits'!$BO:$BO,'20-11 M6 deficits'!$C:$C,$C25)*1000</f>
        <v>0</v>
      </c>
      <c r="BI25" s="11" t="e">
        <f t="shared" si="23"/>
        <v>#REF!</v>
      </c>
      <c r="BJ25" s="11" t="e">
        <f t="shared" si="24"/>
        <v>#REF!</v>
      </c>
      <c r="BK25" s="11" t="e">
        <f t="shared" si="25"/>
        <v>#REF!</v>
      </c>
      <c r="BL25" s="11" t="e">
        <f t="shared" si="26"/>
        <v>#REF!</v>
      </c>
      <c r="BM25" s="11" t="e">
        <f t="shared" si="27"/>
        <v>#REF!</v>
      </c>
      <c r="BO25" s="11" t="e">
        <f t="shared" si="28"/>
        <v>#REF!</v>
      </c>
      <c r="BP25" s="11" t="e">
        <f t="shared" si="29"/>
        <v>#REF!</v>
      </c>
      <c r="BQ25" s="11" t="e">
        <f t="shared" si="30"/>
        <v>#REF!</v>
      </c>
      <c r="BR25" s="11" t="e">
        <f t="shared" si="31"/>
        <v>#REF!</v>
      </c>
      <c r="BS25" s="11" t="e">
        <f t="shared" si="32"/>
        <v>#REF!</v>
      </c>
      <c r="BU25" s="11" t="e">
        <f t="shared" si="52"/>
        <v>#REF!</v>
      </c>
      <c r="BV25" s="11" t="e">
        <f t="shared" si="33"/>
        <v>#REF!</v>
      </c>
      <c r="BW25" s="11" t="e">
        <f t="shared" si="34"/>
        <v>#REF!</v>
      </c>
      <c r="BX25" s="11" t="e">
        <f t="shared" si="35"/>
        <v>#REF!</v>
      </c>
      <c r="BY25" s="11" t="e">
        <f t="shared" si="36"/>
        <v>#REF!</v>
      </c>
      <c r="CA25" s="11" t="e">
        <f t="shared" si="37"/>
        <v>#REF!</v>
      </c>
      <c r="CB25" s="11" t="e">
        <f t="shared" si="38"/>
        <v>#REF!</v>
      </c>
      <c r="CC25" s="11" t="e">
        <f t="shared" si="39"/>
        <v>#REF!</v>
      </c>
      <c r="CD25" s="11" t="e">
        <f t="shared" si="40"/>
        <v>#REF!</v>
      </c>
      <c r="CE25" s="11" t="e">
        <f t="shared" si="41"/>
        <v>#REF!</v>
      </c>
      <c r="CG25" s="11" t="e">
        <f t="shared" si="42"/>
        <v>#REF!</v>
      </c>
      <c r="CH25" s="11" t="e">
        <f t="shared" si="43"/>
        <v>#REF!</v>
      </c>
      <c r="CI25" s="11" t="e">
        <f t="shared" si="44"/>
        <v>#REF!</v>
      </c>
      <c r="CJ25" s="11" t="e">
        <f t="shared" si="45"/>
        <v>#REF!</v>
      </c>
      <c r="CK25" s="11" t="e">
        <f t="shared" si="46"/>
        <v>#REF!</v>
      </c>
      <c r="CN25" s="209">
        <f t="shared" si="47"/>
        <v>0</v>
      </c>
      <c r="CO25" s="209" t="e">
        <f t="shared" si="48"/>
        <v>#REF!</v>
      </c>
      <c r="CP25" s="209" t="e">
        <f t="shared" si="49"/>
        <v>#REF!</v>
      </c>
      <c r="CQ25" s="209" t="e">
        <f t="shared" si="50"/>
        <v>#REF!</v>
      </c>
      <c r="CR25" s="209" t="e">
        <f t="shared" si="51"/>
        <v>#REF!</v>
      </c>
    </row>
    <row r="26" spans="1:96" x14ac:dyDescent="0.25">
      <c r="A26" s="13" t="s">
        <v>58</v>
      </c>
      <c r="B26" s="14" t="s">
        <v>59</v>
      </c>
      <c r="C26" s="4" t="s">
        <v>66</v>
      </c>
      <c r="D26" s="4" t="s">
        <v>67</v>
      </c>
      <c r="E26" s="11">
        <f>SUMIFS('ICB Core Baseline 2024-25'!Q:Q,'ICB Core Baseline 2024-25'!C:C,C26)</f>
        <v>2107372.3351789187</v>
      </c>
      <c r="F26" s="43" t="e">
        <f>SUMIFS(#REF!,#REF!,C26)</f>
        <v>#REF!</v>
      </c>
      <c r="H26" s="43" t="e">
        <f>SUMIFS(#REF!,#REF!,C26)</f>
        <v>#REF!</v>
      </c>
      <c r="I26" s="43" t="e">
        <f t="shared" si="6"/>
        <v>#REF!</v>
      </c>
      <c r="J26" s="43" t="e">
        <f t="shared" si="7"/>
        <v>#REF!</v>
      </c>
      <c r="K26" s="11" t="e">
        <f t="shared" si="0"/>
        <v>#REF!</v>
      </c>
      <c r="L26" s="11" t="e">
        <f t="shared" si="1"/>
        <v>#REF!</v>
      </c>
      <c r="M26" s="43" t="e">
        <f>SUMIFS(#REF!,#REF!,C26)</f>
        <v>#REF!</v>
      </c>
      <c r="N26" s="11" t="e">
        <f t="shared" si="2"/>
        <v>#REF!</v>
      </c>
      <c r="O26" s="43" t="e">
        <f t="shared" si="8"/>
        <v>#REF!</v>
      </c>
      <c r="P26" s="11" t="e">
        <f t="shared" si="3"/>
        <v>#REF!</v>
      </c>
      <c r="Q26" s="11" t="e">
        <f t="shared" si="9"/>
        <v>#REF!</v>
      </c>
      <c r="R26" s="11" t="e">
        <f t="shared" si="4"/>
        <v>#REF!</v>
      </c>
      <c r="S26" s="257" t="e">
        <f t="shared" si="10"/>
        <v>#REF!</v>
      </c>
      <c r="T26" s="11" t="e">
        <f>(SUMIFS(#REF!,#REF!,C26)/SUMIFS(#REF!,#REF!,C26))*1000</f>
        <v>#REF!</v>
      </c>
      <c r="U26" s="11" t="e">
        <f t="shared" si="11"/>
        <v>#REF!</v>
      </c>
      <c r="V26" s="11"/>
      <c r="W26" s="11" t="e">
        <f t="shared" si="12"/>
        <v>#REF!</v>
      </c>
      <c r="X26" s="11" t="e">
        <f t="shared" si="13"/>
        <v>#REF!</v>
      </c>
      <c r="Y26" s="43" t="e">
        <f t="shared" si="14"/>
        <v>#REF!</v>
      </c>
      <c r="Z26" s="43" t="e">
        <f ca="1">OFFSET(#REF!,MATCH(C26,#REF!,0)+1,0)</f>
        <v>#REF!</v>
      </c>
      <c r="AA26" s="43" t="e">
        <f t="shared" ca="1" si="15"/>
        <v>#REF!</v>
      </c>
      <c r="AB26" s="43" t="e">
        <f t="shared" si="5"/>
        <v>#REF!</v>
      </c>
      <c r="AC26" s="11" t="e">
        <f>SUMIFS(#REF!,#REF!,C26)/(1+1.8%)*(1+1.8%+2.3%)</f>
        <v>#REF!</v>
      </c>
      <c r="AD26" s="11" t="e">
        <f t="shared" si="16"/>
        <v>#REF!</v>
      </c>
      <c r="AE26" s="64"/>
      <c r="AF26" s="11" t="e">
        <f>(SUMIFS(#REF!,#REF!,C26)/(1+1.8%))*(1+1.8%+2.3%)</f>
        <v>#REF!</v>
      </c>
      <c r="AG26" s="11" t="e">
        <f>-SUMIFS(#REF!,#REF!,C26)/1000</f>
        <v>#REF!</v>
      </c>
      <c r="AH26" s="11" t="e">
        <f>SUMIFS(#REF!,#REF!,C26)</f>
        <v>#REF!</v>
      </c>
      <c r="AI26" s="11" t="e">
        <f>SUMIFS(#REF!,#REF!,C26)</f>
        <v>#REF!</v>
      </c>
      <c r="AJ26" s="11" t="e">
        <f>SUMIFS(#REF!,#REF!,C26)</f>
        <v>#REF!</v>
      </c>
      <c r="AK26" s="11" t="e">
        <f>SUMIFS(#REF!,#REF!,C26)</f>
        <v>#REF!</v>
      </c>
      <c r="AL26" s="11"/>
      <c r="AM26" s="11" t="e">
        <f t="shared" si="17"/>
        <v>#REF!</v>
      </c>
      <c r="AO26" s="11" t="e">
        <f t="shared" si="18"/>
        <v>#REF!</v>
      </c>
      <c r="AP26" s="11" t="e">
        <f t="shared" si="19"/>
        <v>#REF!</v>
      </c>
      <c r="AR26" s="11" t="e">
        <f t="shared" si="20"/>
        <v>#REF!</v>
      </c>
      <c r="AT26" s="43" t="e">
        <f t="shared" si="21"/>
        <v>#REF!</v>
      </c>
      <c r="AU26" s="11" t="e">
        <f t="shared" si="22"/>
        <v>#REF!</v>
      </c>
      <c r="AW26" s="11" t="e">
        <f>'Share of £1bn'!$F$20*1000*$AP26/$AP$57</f>
        <v>#REF!</v>
      </c>
      <c r="AX26" s="11" t="e">
        <f>'Share of £1bn'!$F$27*1000*$AP26/$AP$57</f>
        <v>#REF!</v>
      </c>
      <c r="AY26" s="11" t="e">
        <f>'Share of £1bn'!$F$21*1000*$AP26/$AP$57</f>
        <v>#REF!</v>
      </c>
      <c r="BA26" s="11" t="e">
        <f>'Share of £1bn'!$F$43*1000*AP26/$AP$57</f>
        <v>#REF!</v>
      </c>
      <c r="BB26" s="11" t="e">
        <f>'Share of £1bn'!$F$50*1000*$AP26/$AP$57</f>
        <v>#REF!</v>
      </c>
      <c r="BC26" s="11" t="e">
        <f>'Share of £1bn'!$F$44*1000*AP26/$AP$57</f>
        <v>#REF!</v>
      </c>
      <c r="BE26" s="11" t="e">
        <f>'Share of £1bn'!$F$67*1000*AP26/$AP$57</f>
        <v>#REF!</v>
      </c>
      <c r="BG26" s="11">
        <f>SUMIFS('20-11 M6 deficits'!$BO:$BO,'20-11 M6 deficits'!$C:$C,$C26)*1000</f>
        <v>-40310.300445076602</v>
      </c>
      <c r="BI26" s="11" t="e">
        <f t="shared" si="23"/>
        <v>#REF!</v>
      </c>
      <c r="BJ26" s="11" t="e">
        <f t="shared" si="24"/>
        <v>#REF!</v>
      </c>
      <c r="BK26" s="11" t="e">
        <f t="shared" si="25"/>
        <v>#REF!</v>
      </c>
      <c r="BL26" s="11" t="e">
        <f t="shared" si="26"/>
        <v>#REF!</v>
      </c>
      <c r="BM26" s="11" t="e">
        <f t="shared" si="27"/>
        <v>#REF!</v>
      </c>
      <c r="BO26" s="11" t="e">
        <f t="shared" si="28"/>
        <v>#REF!</v>
      </c>
      <c r="BP26" s="11" t="e">
        <f t="shared" si="29"/>
        <v>#REF!</v>
      </c>
      <c r="BQ26" s="11" t="e">
        <f t="shared" si="30"/>
        <v>#REF!</v>
      </c>
      <c r="BR26" s="11" t="e">
        <f t="shared" si="31"/>
        <v>#REF!</v>
      </c>
      <c r="BS26" s="11" t="e">
        <f t="shared" si="32"/>
        <v>#REF!</v>
      </c>
      <c r="BU26" s="11" t="e">
        <f t="shared" si="52"/>
        <v>#REF!</v>
      </c>
      <c r="BV26" s="11" t="e">
        <f t="shared" si="33"/>
        <v>#REF!</v>
      </c>
      <c r="BW26" s="11" t="e">
        <f t="shared" si="34"/>
        <v>#REF!</v>
      </c>
      <c r="BX26" s="11" t="e">
        <f t="shared" si="35"/>
        <v>#REF!</v>
      </c>
      <c r="BY26" s="11" t="e">
        <f t="shared" si="36"/>
        <v>#REF!</v>
      </c>
      <c r="CA26" s="11" t="e">
        <f t="shared" si="37"/>
        <v>#REF!</v>
      </c>
      <c r="CB26" s="11" t="e">
        <f t="shared" si="38"/>
        <v>#REF!</v>
      </c>
      <c r="CC26" s="11" t="e">
        <f t="shared" si="39"/>
        <v>#REF!</v>
      </c>
      <c r="CD26" s="11" t="e">
        <f t="shared" si="40"/>
        <v>#REF!</v>
      </c>
      <c r="CE26" s="11" t="e">
        <f t="shared" si="41"/>
        <v>#REF!</v>
      </c>
      <c r="CG26" s="11" t="e">
        <f t="shared" si="42"/>
        <v>#REF!</v>
      </c>
      <c r="CH26" s="11" t="e">
        <f t="shared" si="43"/>
        <v>#REF!</v>
      </c>
      <c r="CI26" s="11" t="e">
        <f t="shared" si="44"/>
        <v>#REF!</v>
      </c>
      <c r="CJ26" s="11" t="e">
        <f t="shared" si="45"/>
        <v>#REF!</v>
      </c>
      <c r="CK26" s="11" t="e">
        <f t="shared" si="46"/>
        <v>#REF!</v>
      </c>
      <c r="CN26" s="209">
        <f t="shared" si="47"/>
        <v>2.549917663750647E-2</v>
      </c>
      <c r="CO26" s="209" t="e">
        <f t="shared" si="48"/>
        <v>#REF!</v>
      </c>
      <c r="CP26" s="209" t="e">
        <f t="shared" si="49"/>
        <v>#REF!</v>
      </c>
      <c r="CQ26" s="209" t="e">
        <f t="shared" si="50"/>
        <v>#REF!</v>
      </c>
      <c r="CR26" s="209" t="e">
        <f t="shared" si="51"/>
        <v>#REF!</v>
      </c>
    </row>
    <row r="27" spans="1:96" x14ac:dyDescent="0.25">
      <c r="A27" s="13" t="s">
        <v>58</v>
      </c>
      <c r="B27" s="14" t="s">
        <v>59</v>
      </c>
      <c r="C27" s="4" t="s">
        <v>68</v>
      </c>
      <c r="D27" s="4" t="s">
        <v>69</v>
      </c>
      <c r="E27" s="11">
        <f>SUMIFS('ICB Core Baseline 2024-25'!Q:Q,'ICB Core Baseline 2024-25'!C:C,C27)</f>
        <v>1928859.6706777667</v>
      </c>
      <c r="F27" s="43" t="e">
        <f>SUMIFS(#REF!,#REF!,C27)</f>
        <v>#REF!</v>
      </c>
      <c r="H27" s="43" t="e">
        <f>SUMIFS(#REF!,#REF!,C27)</f>
        <v>#REF!</v>
      </c>
      <c r="I27" s="43" t="e">
        <f t="shared" si="6"/>
        <v>#REF!</v>
      </c>
      <c r="J27" s="43" t="e">
        <f t="shared" si="7"/>
        <v>#REF!</v>
      </c>
      <c r="K27" s="11" t="e">
        <f t="shared" si="0"/>
        <v>#REF!</v>
      </c>
      <c r="L27" s="11" t="e">
        <f t="shared" si="1"/>
        <v>#REF!</v>
      </c>
      <c r="M27" s="43" t="e">
        <f>SUMIFS(#REF!,#REF!,C27)</f>
        <v>#REF!</v>
      </c>
      <c r="N27" s="11" t="e">
        <f t="shared" si="2"/>
        <v>#REF!</v>
      </c>
      <c r="O27" s="43" t="e">
        <f t="shared" si="8"/>
        <v>#REF!</v>
      </c>
      <c r="P27" s="11" t="e">
        <f t="shared" si="3"/>
        <v>#REF!</v>
      </c>
      <c r="Q27" s="11" t="e">
        <f t="shared" si="9"/>
        <v>#REF!</v>
      </c>
      <c r="R27" s="11" t="e">
        <f t="shared" si="4"/>
        <v>#REF!</v>
      </c>
      <c r="S27" s="257" t="e">
        <f t="shared" si="10"/>
        <v>#REF!</v>
      </c>
      <c r="T27" s="11" t="e">
        <f>(SUMIFS(#REF!,#REF!,C27)/SUMIFS(#REF!,#REF!,C27))*1000</f>
        <v>#REF!</v>
      </c>
      <c r="U27" s="11" t="e">
        <f t="shared" si="11"/>
        <v>#REF!</v>
      </c>
      <c r="V27" s="11"/>
      <c r="W27" s="11" t="e">
        <f t="shared" si="12"/>
        <v>#REF!</v>
      </c>
      <c r="X27" s="11" t="e">
        <f t="shared" si="13"/>
        <v>#REF!</v>
      </c>
      <c r="Y27" s="43" t="e">
        <f t="shared" si="14"/>
        <v>#REF!</v>
      </c>
      <c r="Z27" s="43" t="e">
        <f ca="1">OFFSET(#REF!,MATCH(C27,#REF!,0)+1,0)</f>
        <v>#REF!</v>
      </c>
      <c r="AA27" s="43" t="e">
        <f t="shared" ca="1" si="15"/>
        <v>#REF!</v>
      </c>
      <c r="AB27" s="43" t="e">
        <f t="shared" si="5"/>
        <v>#REF!</v>
      </c>
      <c r="AC27" s="11" t="e">
        <f>SUMIFS(#REF!,#REF!,C27)/(1+1.8%)*(1+1.8%+2.3%)</f>
        <v>#REF!</v>
      </c>
      <c r="AD27" s="11" t="e">
        <f t="shared" si="16"/>
        <v>#REF!</v>
      </c>
      <c r="AE27" s="64"/>
      <c r="AF27" s="11" t="e">
        <f>(SUMIFS(#REF!,#REF!,C27)/(1+1.8%))*(1+1.8%+2.3%)</f>
        <v>#REF!</v>
      </c>
      <c r="AG27" s="11" t="e">
        <f>-SUMIFS(#REF!,#REF!,C27)/1000</f>
        <v>#REF!</v>
      </c>
      <c r="AH27" s="11" t="e">
        <f>SUMIFS(#REF!,#REF!,C27)</f>
        <v>#REF!</v>
      </c>
      <c r="AI27" s="11" t="e">
        <f>SUMIFS(#REF!,#REF!,C27)</f>
        <v>#REF!</v>
      </c>
      <c r="AJ27" s="11" t="e">
        <f>SUMIFS(#REF!,#REF!,C27)</f>
        <v>#REF!</v>
      </c>
      <c r="AK27" s="11" t="e">
        <f>SUMIFS(#REF!,#REF!,C27)</f>
        <v>#REF!</v>
      </c>
      <c r="AL27" s="11"/>
      <c r="AM27" s="11" t="e">
        <f t="shared" si="17"/>
        <v>#REF!</v>
      </c>
      <c r="AO27" s="11" t="e">
        <f t="shared" si="18"/>
        <v>#REF!</v>
      </c>
      <c r="AP27" s="11" t="e">
        <f t="shared" si="19"/>
        <v>#REF!</v>
      </c>
      <c r="AR27" s="11" t="e">
        <f t="shared" si="20"/>
        <v>#REF!</v>
      </c>
      <c r="AT27" s="43" t="e">
        <f t="shared" si="21"/>
        <v>#REF!</v>
      </c>
      <c r="AU27" s="11" t="e">
        <f t="shared" si="22"/>
        <v>#REF!</v>
      </c>
      <c r="AW27" s="11" t="e">
        <f>'Share of £1bn'!$F$20*1000*$AP27/$AP$57</f>
        <v>#REF!</v>
      </c>
      <c r="AX27" s="11" t="e">
        <f>'Share of £1bn'!$F$27*1000*$AP27/$AP$57</f>
        <v>#REF!</v>
      </c>
      <c r="AY27" s="11" t="e">
        <f>'Share of £1bn'!$F$21*1000*$AP27/$AP$57</f>
        <v>#REF!</v>
      </c>
      <c r="BA27" s="11" t="e">
        <f>'Share of £1bn'!$F$43*1000*AP27/$AP$57</f>
        <v>#REF!</v>
      </c>
      <c r="BB27" s="11" t="e">
        <f>'Share of £1bn'!$F$50*1000*$AP27/$AP$57</f>
        <v>#REF!</v>
      </c>
      <c r="BC27" s="11" t="e">
        <f>'Share of £1bn'!$F$44*1000*AP27/$AP$57</f>
        <v>#REF!</v>
      </c>
      <c r="BE27" s="11" t="e">
        <f>'Share of £1bn'!$F$67*1000*AP27/$AP$57</f>
        <v>#REF!</v>
      </c>
      <c r="BG27" s="11">
        <f>SUMIFS('20-11 M6 deficits'!$BO:$BO,'20-11 M6 deficits'!$C:$C,$C27)*1000</f>
        <v>-10000</v>
      </c>
      <c r="BI27" s="11" t="e">
        <f t="shared" si="23"/>
        <v>#REF!</v>
      </c>
      <c r="BJ27" s="11" t="e">
        <f t="shared" si="24"/>
        <v>#REF!</v>
      </c>
      <c r="BK27" s="11" t="e">
        <f t="shared" si="25"/>
        <v>#REF!</v>
      </c>
      <c r="BL27" s="11" t="e">
        <f t="shared" si="26"/>
        <v>#REF!</v>
      </c>
      <c r="BM27" s="11" t="e">
        <f t="shared" si="27"/>
        <v>#REF!</v>
      </c>
      <c r="BO27" s="11" t="e">
        <f t="shared" si="28"/>
        <v>#REF!</v>
      </c>
      <c r="BP27" s="11" t="e">
        <f t="shared" si="29"/>
        <v>#REF!</v>
      </c>
      <c r="BQ27" s="11" t="e">
        <f t="shared" si="30"/>
        <v>#REF!</v>
      </c>
      <c r="BR27" s="11" t="e">
        <f t="shared" si="31"/>
        <v>#REF!</v>
      </c>
      <c r="BS27" s="11" t="e">
        <f t="shared" si="32"/>
        <v>#REF!</v>
      </c>
      <c r="BU27" s="11" t="e">
        <f t="shared" si="52"/>
        <v>#REF!</v>
      </c>
      <c r="BV27" s="11" t="e">
        <f t="shared" si="33"/>
        <v>#REF!</v>
      </c>
      <c r="BW27" s="11" t="e">
        <f t="shared" si="34"/>
        <v>#REF!</v>
      </c>
      <c r="BX27" s="11" t="e">
        <f t="shared" si="35"/>
        <v>#REF!</v>
      </c>
      <c r="BY27" s="11" t="e">
        <f t="shared" si="36"/>
        <v>#REF!</v>
      </c>
      <c r="CA27" s="11" t="e">
        <f t="shared" si="37"/>
        <v>#REF!</v>
      </c>
      <c r="CB27" s="11" t="e">
        <f t="shared" si="38"/>
        <v>#REF!</v>
      </c>
      <c r="CC27" s="11" t="e">
        <f t="shared" si="39"/>
        <v>#REF!</v>
      </c>
      <c r="CD27" s="11" t="e">
        <f t="shared" si="40"/>
        <v>#REF!</v>
      </c>
      <c r="CE27" s="11" t="e">
        <f t="shared" si="41"/>
        <v>#REF!</v>
      </c>
      <c r="CG27" s="11" t="e">
        <f t="shared" si="42"/>
        <v>#REF!</v>
      </c>
      <c r="CH27" s="11" t="e">
        <f t="shared" si="43"/>
        <v>#REF!</v>
      </c>
      <c r="CI27" s="11" t="e">
        <f t="shared" si="44"/>
        <v>#REF!</v>
      </c>
      <c r="CJ27" s="11" t="e">
        <f t="shared" si="45"/>
        <v>#REF!</v>
      </c>
      <c r="CK27" s="11" t="e">
        <f t="shared" si="46"/>
        <v>#REF!</v>
      </c>
      <c r="CN27" s="209">
        <f t="shared" si="47"/>
        <v>6.3257222982620754E-3</v>
      </c>
      <c r="CO27" s="209" t="e">
        <f t="shared" si="48"/>
        <v>#REF!</v>
      </c>
      <c r="CP27" s="209" t="e">
        <f t="shared" si="49"/>
        <v>#REF!</v>
      </c>
      <c r="CQ27" s="209" t="e">
        <f t="shared" si="50"/>
        <v>#REF!</v>
      </c>
      <c r="CR27" s="209" t="e">
        <f t="shared" si="51"/>
        <v>#REF!</v>
      </c>
    </row>
    <row r="28" spans="1:96" x14ac:dyDescent="0.25">
      <c r="A28" s="15" t="s">
        <v>58</v>
      </c>
      <c r="B28" s="16" t="s">
        <v>59</v>
      </c>
      <c r="C28" s="17" t="s">
        <v>70</v>
      </c>
      <c r="D28" s="17" t="s">
        <v>71</v>
      </c>
      <c r="E28" s="18">
        <f>SUMIFS('ICB Core Baseline 2024-25'!Q:Q,'ICB Core Baseline 2024-25'!C:C,C28)</f>
        <v>1765011.2948444334</v>
      </c>
      <c r="F28" s="44" t="e">
        <f>SUMIFS(#REF!,#REF!,C28)</f>
        <v>#REF!</v>
      </c>
      <c r="H28" s="44" t="e">
        <f>SUMIFS(#REF!,#REF!,C28)</f>
        <v>#REF!</v>
      </c>
      <c r="I28" s="44" t="e">
        <f t="shared" si="6"/>
        <v>#REF!</v>
      </c>
      <c r="J28" s="44" t="e">
        <f t="shared" si="7"/>
        <v>#REF!</v>
      </c>
      <c r="K28" s="18" t="e">
        <f t="shared" si="0"/>
        <v>#REF!</v>
      </c>
      <c r="L28" s="18" t="e">
        <f t="shared" si="1"/>
        <v>#REF!</v>
      </c>
      <c r="M28" s="44" t="e">
        <f>SUMIFS(#REF!,#REF!,C28)</f>
        <v>#REF!</v>
      </c>
      <c r="N28" s="18" t="e">
        <f t="shared" si="2"/>
        <v>#REF!</v>
      </c>
      <c r="O28" s="44" t="e">
        <f t="shared" si="8"/>
        <v>#REF!</v>
      </c>
      <c r="P28" s="18" t="e">
        <f t="shared" si="3"/>
        <v>#REF!</v>
      </c>
      <c r="Q28" s="18" t="e">
        <f t="shared" si="9"/>
        <v>#REF!</v>
      </c>
      <c r="R28" s="18" t="e">
        <f t="shared" si="4"/>
        <v>#REF!</v>
      </c>
      <c r="S28" s="257" t="e">
        <f t="shared" si="10"/>
        <v>#REF!</v>
      </c>
      <c r="T28" s="18" t="e">
        <f>(SUMIFS(#REF!,#REF!,C28)/SUMIFS(#REF!,#REF!,C28))*1000</f>
        <v>#REF!</v>
      </c>
      <c r="U28" s="18" t="e">
        <f t="shared" si="11"/>
        <v>#REF!</v>
      </c>
      <c r="V28" s="18"/>
      <c r="W28" s="18" t="e">
        <f t="shared" si="12"/>
        <v>#REF!</v>
      </c>
      <c r="X28" s="18" t="e">
        <f t="shared" si="13"/>
        <v>#REF!</v>
      </c>
      <c r="Y28" s="44" t="e">
        <f t="shared" si="14"/>
        <v>#REF!</v>
      </c>
      <c r="Z28" s="44" t="e">
        <f ca="1">OFFSET(#REF!,MATCH(C28,#REF!,0)+1,0)</f>
        <v>#REF!</v>
      </c>
      <c r="AA28" s="44" t="e">
        <f t="shared" ca="1" si="15"/>
        <v>#REF!</v>
      </c>
      <c r="AB28" s="44" t="e">
        <f t="shared" si="5"/>
        <v>#REF!</v>
      </c>
      <c r="AC28" s="18" t="e">
        <f>SUMIFS(#REF!,#REF!,C28)/(1+1.8%)*(1+1.8%+2.3%)</f>
        <v>#REF!</v>
      </c>
      <c r="AD28" s="18" t="e">
        <f t="shared" si="16"/>
        <v>#REF!</v>
      </c>
      <c r="AE28" s="65"/>
      <c r="AF28" s="18" t="e">
        <f>(SUMIFS(#REF!,#REF!,C28)/(1+1.8%))*(1+1.8%+2.3%)</f>
        <v>#REF!</v>
      </c>
      <c r="AG28" s="18" t="e">
        <f>-SUMIFS(#REF!,#REF!,C28)/1000</f>
        <v>#REF!</v>
      </c>
      <c r="AH28" s="18" t="e">
        <f>SUMIFS(#REF!,#REF!,C28)</f>
        <v>#REF!</v>
      </c>
      <c r="AI28" s="18" t="e">
        <f>SUMIFS(#REF!,#REF!,C28)</f>
        <v>#REF!</v>
      </c>
      <c r="AJ28" s="18" t="e">
        <f>SUMIFS(#REF!,#REF!,C28)</f>
        <v>#REF!</v>
      </c>
      <c r="AK28" s="18" t="e">
        <f>SUMIFS(#REF!,#REF!,C28)</f>
        <v>#REF!</v>
      </c>
      <c r="AL28" s="18"/>
      <c r="AM28" s="18" t="e">
        <f t="shared" si="17"/>
        <v>#REF!</v>
      </c>
      <c r="AO28" s="18" t="e">
        <f t="shared" si="18"/>
        <v>#REF!</v>
      </c>
      <c r="AP28" s="18" t="e">
        <f t="shared" si="19"/>
        <v>#REF!</v>
      </c>
      <c r="AR28" s="18" t="e">
        <f t="shared" si="20"/>
        <v>#REF!</v>
      </c>
      <c r="AT28" s="44" t="e">
        <f t="shared" si="21"/>
        <v>#REF!</v>
      </c>
      <c r="AU28" s="18" t="e">
        <f t="shared" si="22"/>
        <v>#REF!</v>
      </c>
      <c r="AW28" s="18" t="e">
        <f>'Share of £1bn'!$F$20*1000*$AP28/$AP$57</f>
        <v>#REF!</v>
      </c>
      <c r="AX28" s="18" t="e">
        <f>'Share of £1bn'!$F$27*1000*$AP28/$AP$57</f>
        <v>#REF!</v>
      </c>
      <c r="AY28" s="18" t="e">
        <f>'Share of £1bn'!$F$21*1000*$AP28/$AP$57</f>
        <v>#REF!</v>
      </c>
      <c r="BA28" s="18" t="e">
        <f>'Share of £1bn'!$F$43*1000*AP28/$AP$57</f>
        <v>#REF!</v>
      </c>
      <c r="BB28" s="18" t="e">
        <f>'Share of £1bn'!$F$50*1000*$AP28/$AP$57</f>
        <v>#REF!</v>
      </c>
      <c r="BC28" s="18" t="e">
        <f>'Share of £1bn'!$F$44*1000*AP28/$AP$57</f>
        <v>#REF!</v>
      </c>
      <c r="BE28" s="18" t="e">
        <f>'Share of £1bn'!$F$67*1000*AP28/$AP$57</f>
        <v>#REF!</v>
      </c>
      <c r="BG28" s="11">
        <f>SUMIFS('20-11 M6 deficits'!$BO:$BO,'20-11 M6 deficits'!$C:$C,$C28)*1000</f>
        <v>0</v>
      </c>
      <c r="BI28" s="18" t="e">
        <f t="shared" si="23"/>
        <v>#REF!</v>
      </c>
      <c r="BJ28" s="18" t="e">
        <f t="shared" si="24"/>
        <v>#REF!</v>
      </c>
      <c r="BK28" s="18" t="e">
        <f t="shared" si="25"/>
        <v>#REF!</v>
      </c>
      <c r="BL28" s="18" t="e">
        <f t="shared" si="26"/>
        <v>#REF!</v>
      </c>
      <c r="BM28" s="18" t="e">
        <f t="shared" si="27"/>
        <v>#REF!</v>
      </c>
      <c r="BO28" s="18" t="e">
        <f t="shared" si="28"/>
        <v>#REF!</v>
      </c>
      <c r="BP28" s="18" t="e">
        <f t="shared" si="29"/>
        <v>#REF!</v>
      </c>
      <c r="BQ28" s="18" t="e">
        <f t="shared" si="30"/>
        <v>#REF!</v>
      </c>
      <c r="BR28" s="18" t="e">
        <f t="shared" si="31"/>
        <v>#REF!</v>
      </c>
      <c r="BS28" s="18" t="e">
        <f t="shared" si="32"/>
        <v>#REF!</v>
      </c>
      <c r="BU28" s="18" t="e">
        <f t="shared" si="52"/>
        <v>#REF!</v>
      </c>
      <c r="BV28" s="18" t="e">
        <f t="shared" si="33"/>
        <v>#REF!</v>
      </c>
      <c r="BW28" s="18" t="e">
        <f t="shared" si="34"/>
        <v>#REF!</v>
      </c>
      <c r="BX28" s="18" t="e">
        <f t="shared" si="35"/>
        <v>#REF!</v>
      </c>
      <c r="BY28" s="18" t="e">
        <f t="shared" si="36"/>
        <v>#REF!</v>
      </c>
      <c r="CA28" s="18" t="e">
        <f t="shared" si="37"/>
        <v>#REF!</v>
      </c>
      <c r="CB28" s="18" t="e">
        <f t="shared" si="38"/>
        <v>#REF!</v>
      </c>
      <c r="CC28" s="18" t="e">
        <f t="shared" si="39"/>
        <v>#REF!</v>
      </c>
      <c r="CD28" s="18" t="e">
        <f t="shared" si="40"/>
        <v>#REF!</v>
      </c>
      <c r="CE28" s="18" t="e">
        <f t="shared" si="41"/>
        <v>#REF!</v>
      </c>
      <c r="CG28" s="18" t="e">
        <f t="shared" si="42"/>
        <v>#REF!</v>
      </c>
      <c r="CH28" s="18" t="e">
        <f t="shared" si="43"/>
        <v>#REF!</v>
      </c>
      <c r="CI28" s="18" t="e">
        <f t="shared" si="44"/>
        <v>#REF!</v>
      </c>
      <c r="CJ28" s="18" t="e">
        <f t="shared" si="45"/>
        <v>#REF!</v>
      </c>
      <c r="CK28" s="18" t="e">
        <f t="shared" si="46"/>
        <v>#REF!</v>
      </c>
      <c r="CN28" s="209">
        <f t="shared" si="47"/>
        <v>0</v>
      </c>
      <c r="CO28" s="209" t="e">
        <f t="shared" si="48"/>
        <v>#REF!</v>
      </c>
      <c r="CP28" s="209" t="e">
        <f t="shared" si="49"/>
        <v>#REF!</v>
      </c>
      <c r="CQ28" s="209" t="e">
        <f t="shared" si="50"/>
        <v>#REF!</v>
      </c>
      <c r="CR28" s="209" t="e">
        <f t="shared" si="51"/>
        <v>#REF!</v>
      </c>
    </row>
    <row r="29" spans="1:96" x14ac:dyDescent="0.25">
      <c r="A29" s="10" t="s">
        <v>72</v>
      </c>
      <c r="B29" s="4" t="s">
        <v>73</v>
      </c>
      <c r="C29" s="4" t="s">
        <v>74</v>
      </c>
      <c r="D29" s="4" t="s">
        <v>75</v>
      </c>
      <c r="E29" s="11">
        <f>SUMIFS('ICB Core Baseline 2024-25'!Q:Q,'ICB Core Baseline 2024-25'!C:C,C29)</f>
        <v>2837571.0307440353</v>
      </c>
      <c r="F29" s="43" t="e">
        <f>SUMIFS(#REF!,#REF!,C29)</f>
        <v>#REF!</v>
      </c>
      <c r="H29" s="43" t="e">
        <f>SUMIFS(#REF!,#REF!,C29)</f>
        <v>#REF!</v>
      </c>
      <c r="I29" s="43" t="e">
        <f t="shared" si="6"/>
        <v>#REF!</v>
      </c>
      <c r="J29" s="43" t="e">
        <f t="shared" si="7"/>
        <v>#REF!</v>
      </c>
      <c r="K29" s="11" t="e">
        <f t="shared" si="0"/>
        <v>#REF!</v>
      </c>
      <c r="L29" s="11" t="e">
        <f t="shared" si="1"/>
        <v>#REF!</v>
      </c>
      <c r="M29" s="43" t="e">
        <f>SUMIFS(#REF!,#REF!,C29)</f>
        <v>#REF!</v>
      </c>
      <c r="N29" s="11" t="e">
        <f t="shared" si="2"/>
        <v>#REF!</v>
      </c>
      <c r="O29" s="43" t="e">
        <f t="shared" si="8"/>
        <v>#REF!</v>
      </c>
      <c r="P29" s="11" t="e">
        <f t="shared" si="3"/>
        <v>#REF!</v>
      </c>
      <c r="Q29" s="11" t="e">
        <f t="shared" si="9"/>
        <v>#REF!</v>
      </c>
      <c r="R29" s="11" t="e">
        <f t="shared" si="4"/>
        <v>#REF!</v>
      </c>
      <c r="S29" s="257" t="e">
        <f t="shared" si="10"/>
        <v>#REF!</v>
      </c>
      <c r="T29" s="11" t="e">
        <f>(SUMIFS(#REF!,#REF!,C29)/SUMIFS(#REF!,#REF!,C29))*1000</f>
        <v>#REF!</v>
      </c>
      <c r="U29" s="11" t="e">
        <f t="shared" si="11"/>
        <v>#REF!</v>
      </c>
      <c r="V29" s="11"/>
      <c r="W29" s="11" t="e">
        <f t="shared" si="12"/>
        <v>#REF!</v>
      </c>
      <c r="X29" s="11" t="e">
        <f t="shared" si="13"/>
        <v>#REF!</v>
      </c>
      <c r="Y29" s="43" t="e">
        <f t="shared" si="14"/>
        <v>#REF!</v>
      </c>
      <c r="Z29" s="43" t="e">
        <f ca="1">OFFSET(#REF!,MATCH(C29,#REF!,0)+1,0)</f>
        <v>#REF!</v>
      </c>
      <c r="AA29" s="43" t="e">
        <f t="shared" ca="1" si="15"/>
        <v>#REF!</v>
      </c>
      <c r="AB29" s="43" t="e">
        <f t="shared" si="5"/>
        <v>#REF!</v>
      </c>
      <c r="AC29" s="11" t="e">
        <f>SUMIFS(#REF!,#REF!,C29)/(1+1.8%)*(1+1.8%+2.3%)</f>
        <v>#REF!</v>
      </c>
      <c r="AD29" s="11" t="e">
        <f t="shared" si="16"/>
        <v>#REF!</v>
      </c>
      <c r="AE29" s="64"/>
      <c r="AF29" s="11" t="e">
        <f>(SUMIFS(#REF!,#REF!,C29)/(1+1.8%))*(1+1.8%+2.3%)</f>
        <v>#REF!</v>
      </c>
      <c r="AG29" s="11" t="e">
        <f>-SUMIFS(#REF!,#REF!,C29)/1000</f>
        <v>#REF!</v>
      </c>
      <c r="AH29" s="11" t="e">
        <f>SUMIFS(#REF!,#REF!,C29)</f>
        <v>#REF!</v>
      </c>
      <c r="AI29" s="11" t="e">
        <f>SUMIFS(#REF!,#REF!,C29)</f>
        <v>#REF!</v>
      </c>
      <c r="AJ29" s="11" t="e">
        <f>SUMIFS(#REF!,#REF!,C29)</f>
        <v>#REF!</v>
      </c>
      <c r="AK29" s="11" t="e">
        <f>SUMIFS(#REF!,#REF!,C29)</f>
        <v>#REF!</v>
      </c>
      <c r="AL29" s="11"/>
      <c r="AM29" s="11" t="e">
        <f t="shared" si="17"/>
        <v>#REF!</v>
      </c>
      <c r="AO29" s="11" t="e">
        <f t="shared" si="18"/>
        <v>#REF!</v>
      </c>
      <c r="AP29" s="11" t="e">
        <f t="shared" si="19"/>
        <v>#REF!</v>
      </c>
      <c r="AR29" s="11" t="e">
        <f t="shared" si="20"/>
        <v>#REF!</v>
      </c>
      <c r="AT29" s="43" t="e">
        <f t="shared" si="21"/>
        <v>#REF!</v>
      </c>
      <c r="AU29" s="11" t="e">
        <f t="shared" si="22"/>
        <v>#REF!</v>
      </c>
      <c r="AW29" s="11" t="e">
        <f>'Share of £1bn'!$F$20*1000*$AP29/$AP$57</f>
        <v>#REF!</v>
      </c>
      <c r="AX29" s="11" t="e">
        <f>'Share of £1bn'!$F$27*1000*$AP29/$AP$57</f>
        <v>#REF!</v>
      </c>
      <c r="AY29" s="11" t="e">
        <f>'Share of £1bn'!$F$21*1000*$AP29/$AP$57</f>
        <v>#REF!</v>
      </c>
      <c r="BA29" s="11" t="e">
        <f>'Share of £1bn'!$F$43*1000*AP29/$AP$57</f>
        <v>#REF!</v>
      </c>
      <c r="BB29" s="11" t="e">
        <f>'Share of £1bn'!$F$50*1000*$AP29/$AP$57</f>
        <v>#REF!</v>
      </c>
      <c r="BC29" s="11" t="e">
        <f>'Share of £1bn'!$F$44*1000*AP29/$AP$57</f>
        <v>#REF!</v>
      </c>
      <c r="BE29" s="11" t="e">
        <f>'Share of £1bn'!$F$67*1000*AP29/$AP$57</f>
        <v>#REF!</v>
      </c>
      <c r="BG29" s="11">
        <f>SUMIFS('20-11 M6 deficits'!$BO:$BO,'20-11 M6 deficits'!$C:$C,$C29)*1000</f>
        <v>0</v>
      </c>
      <c r="BI29" s="11" t="e">
        <f t="shared" si="23"/>
        <v>#REF!</v>
      </c>
      <c r="BJ29" s="11" t="e">
        <f t="shared" si="24"/>
        <v>#REF!</v>
      </c>
      <c r="BK29" s="11" t="e">
        <f t="shared" si="25"/>
        <v>#REF!</v>
      </c>
      <c r="BL29" s="11" t="e">
        <f t="shared" si="26"/>
        <v>#REF!</v>
      </c>
      <c r="BM29" s="11" t="e">
        <f t="shared" si="27"/>
        <v>#REF!</v>
      </c>
      <c r="BO29" s="11" t="e">
        <f t="shared" si="28"/>
        <v>#REF!</v>
      </c>
      <c r="BP29" s="11" t="e">
        <f t="shared" si="29"/>
        <v>#REF!</v>
      </c>
      <c r="BQ29" s="11" t="e">
        <f t="shared" si="30"/>
        <v>#REF!</v>
      </c>
      <c r="BR29" s="11" t="e">
        <f t="shared" si="31"/>
        <v>#REF!</v>
      </c>
      <c r="BS29" s="11" t="e">
        <f t="shared" si="32"/>
        <v>#REF!</v>
      </c>
      <c r="BU29" s="11" t="e">
        <f t="shared" si="52"/>
        <v>#REF!</v>
      </c>
      <c r="BV29" s="11" t="e">
        <f t="shared" si="33"/>
        <v>#REF!</v>
      </c>
      <c r="BW29" s="11" t="e">
        <f t="shared" si="34"/>
        <v>#REF!</v>
      </c>
      <c r="BX29" s="11" t="e">
        <f t="shared" si="35"/>
        <v>#REF!</v>
      </c>
      <c r="BY29" s="11" t="e">
        <f t="shared" si="36"/>
        <v>#REF!</v>
      </c>
      <c r="CA29" s="11" t="e">
        <f t="shared" si="37"/>
        <v>#REF!</v>
      </c>
      <c r="CB29" s="11" t="e">
        <f t="shared" si="38"/>
        <v>#REF!</v>
      </c>
      <c r="CC29" s="11" t="e">
        <f t="shared" si="39"/>
        <v>#REF!</v>
      </c>
      <c r="CD29" s="11" t="e">
        <f t="shared" si="40"/>
        <v>#REF!</v>
      </c>
      <c r="CE29" s="11" t="e">
        <f t="shared" si="41"/>
        <v>#REF!</v>
      </c>
      <c r="CG29" s="11" t="e">
        <f t="shared" si="42"/>
        <v>#REF!</v>
      </c>
      <c r="CH29" s="11" t="e">
        <f t="shared" si="43"/>
        <v>#REF!</v>
      </c>
      <c r="CI29" s="11" t="e">
        <f t="shared" si="44"/>
        <v>#REF!</v>
      </c>
      <c r="CJ29" s="11" t="e">
        <f t="shared" si="45"/>
        <v>#REF!</v>
      </c>
      <c r="CK29" s="11" t="e">
        <f t="shared" si="46"/>
        <v>#REF!</v>
      </c>
      <c r="CN29" s="209">
        <f t="shared" si="47"/>
        <v>0</v>
      </c>
      <c r="CO29" s="209" t="e">
        <f t="shared" si="48"/>
        <v>#REF!</v>
      </c>
      <c r="CP29" s="209" t="e">
        <f t="shared" si="49"/>
        <v>#REF!</v>
      </c>
      <c r="CQ29" s="209" t="e">
        <f t="shared" si="50"/>
        <v>#REF!</v>
      </c>
      <c r="CR29" s="209" t="e">
        <f t="shared" si="51"/>
        <v>#REF!</v>
      </c>
    </row>
    <row r="30" spans="1:96" x14ac:dyDescent="0.25">
      <c r="A30" s="13" t="s">
        <v>72</v>
      </c>
      <c r="B30" s="14" t="s">
        <v>73</v>
      </c>
      <c r="C30" s="4" t="s">
        <v>76</v>
      </c>
      <c r="D30" s="4" t="s">
        <v>77</v>
      </c>
      <c r="E30" s="11">
        <f>SUMIFS('ICB Core Baseline 2024-25'!Q:Q,'ICB Core Baseline 2024-25'!C:C,C30)</f>
        <v>3671431.3138210168</v>
      </c>
      <c r="F30" s="43" t="e">
        <f>SUMIFS(#REF!,#REF!,C30)</f>
        <v>#REF!</v>
      </c>
      <c r="H30" s="43" t="e">
        <f>SUMIFS(#REF!,#REF!,C30)</f>
        <v>#REF!</v>
      </c>
      <c r="I30" s="43" t="e">
        <f t="shared" si="6"/>
        <v>#REF!</v>
      </c>
      <c r="J30" s="43" t="e">
        <f t="shared" si="7"/>
        <v>#REF!</v>
      </c>
      <c r="K30" s="11" t="e">
        <f t="shared" si="0"/>
        <v>#REF!</v>
      </c>
      <c r="L30" s="11" t="e">
        <f t="shared" si="1"/>
        <v>#REF!</v>
      </c>
      <c r="M30" s="43" t="e">
        <f>SUMIFS(#REF!,#REF!,C30)</f>
        <v>#REF!</v>
      </c>
      <c r="N30" s="11" t="e">
        <f t="shared" si="2"/>
        <v>#REF!</v>
      </c>
      <c r="O30" s="43" t="e">
        <f t="shared" si="8"/>
        <v>#REF!</v>
      </c>
      <c r="P30" s="11" t="e">
        <f t="shared" si="3"/>
        <v>#REF!</v>
      </c>
      <c r="Q30" s="11" t="e">
        <f t="shared" si="9"/>
        <v>#REF!</v>
      </c>
      <c r="R30" s="11" t="e">
        <f t="shared" si="4"/>
        <v>#REF!</v>
      </c>
      <c r="S30" s="257" t="e">
        <f t="shared" si="10"/>
        <v>#REF!</v>
      </c>
      <c r="T30" s="11" t="e">
        <f>(SUMIFS(#REF!,#REF!,C30)/SUMIFS(#REF!,#REF!,C30))*1000</f>
        <v>#REF!</v>
      </c>
      <c r="U30" s="11" t="e">
        <f t="shared" si="11"/>
        <v>#REF!</v>
      </c>
      <c r="V30" s="11"/>
      <c r="W30" s="11" t="e">
        <f t="shared" si="12"/>
        <v>#REF!</v>
      </c>
      <c r="X30" s="11" t="e">
        <f t="shared" si="13"/>
        <v>#REF!</v>
      </c>
      <c r="Y30" s="43" t="e">
        <f t="shared" si="14"/>
        <v>#REF!</v>
      </c>
      <c r="Z30" s="43" t="e">
        <f ca="1">OFFSET(#REF!,MATCH(C30,#REF!,0)+1,0)</f>
        <v>#REF!</v>
      </c>
      <c r="AA30" s="43" t="e">
        <f t="shared" ca="1" si="15"/>
        <v>#REF!</v>
      </c>
      <c r="AB30" s="43" t="e">
        <f t="shared" si="5"/>
        <v>#REF!</v>
      </c>
      <c r="AC30" s="11" t="e">
        <f>SUMIFS(#REF!,#REF!,C30)/(1+1.8%)*(1+1.8%+2.3%)</f>
        <v>#REF!</v>
      </c>
      <c r="AD30" s="11" t="e">
        <f t="shared" si="16"/>
        <v>#REF!</v>
      </c>
      <c r="AE30" s="64"/>
      <c r="AF30" s="11" t="e">
        <f>(SUMIFS(#REF!,#REF!,C30)/(1+1.8%))*(1+1.8%+2.3%)</f>
        <v>#REF!</v>
      </c>
      <c r="AG30" s="11" t="e">
        <f>-SUMIFS(#REF!,#REF!,C30)/1000</f>
        <v>#REF!</v>
      </c>
      <c r="AH30" s="11" t="e">
        <f>SUMIFS(#REF!,#REF!,C30)</f>
        <v>#REF!</v>
      </c>
      <c r="AI30" s="11" t="e">
        <f>SUMIFS(#REF!,#REF!,C30)</f>
        <v>#REF!</v>
      </c>
      <c r="AJ30" s="11" t="e">
        <f>SUMIFS(#REF!,#REF!,C30)</f>
        <v>#REF!</v>
      </c>
      <c r="AK30" s="11" t="e">
        <f>SUMIFS(#REF!,#REF!,C30)</f>
        <v>#REF!</v>
      </c>
      <c r="AL30" s="11"/>
      <c r="AM30" s="11" t="e">
        <f t="shared" si="17"/>
        <v>#REF!</v>
      </c>
      <c r="AO30" s="11" t="e">
        <f t="shared" si="18"/>
        <v>#REF!</v>
      </c>
      <c r="AP30" s="11" t="e">
        <f t="shared" si="19"/>
        <v>#REF!</v>
      </c>
      <c r="AR30" s="11" t="e">
        <f t="shared" si="20"/>
        <v>#REF!</v>
      </c>
      <c r="AT30" s="43" t="e">
        <f t="shared" si="21"/>
        <v>#REF!</v>
      </c>
      <c r="AU30" s="11" t="e">
        <f t="shared" si="22"/>
        <v>#REF!</v>
      </c>
      <c r="AW30" s="11" t="e">
        <f>'Share of £1bn'!$F$20*1000*$AP30/$AP$57</f>
        <v>#REF!</v>
      </c>
      <c r="AX30" s="11" t="e">
        <f>'Share of £1bn'!$F$27*1000*$AP30/$AP$57</f>
        <v>#REF!</v>
      </c>
      <c r="AY30" s="11" t="e">
        <f>'Share of £1bn'!$F$21*1000*$AP30/$AP$57</f>
        <v>#REF!</v>
      </c>
      <c r="BA30" s="11" t="e">
        <f>'Share of £1bn'!$F$43*1000*AP30/$AP$57</f>
        <v>#REF!</v>
      </c>
      <c r="BB30" s="11" t="e">
        <f>'Share of £1bn'!$F$50*1000*$AP30/$AP$57</f>
        <v>#REF!</v>
      </c>
      <c r="BC30" s="11" t="e">
        <f>'Share of £1bn'!$F$44*1000*AP30/$AP$57</f>
        <v>#REF!</v>
      </c>
      <c r="BE30" s="11" t="e">
        <f>'Share of £1bn'!$F$67*1000*AP30/$AP$57</f>
        <v>#REF!</v>
      </c>
      <c r="BG30" s="11">
        <f>SUMIFS('20-11 M6 deficits'!$BO:$BO,'20-11 M6 deficits'!$C:$C,$C30)*1000</f>
        <v>-25000</v>
      </c>
      <c r="BI30" s="11" t="e">
        <f t="shared" si="23"/>
        <v>#REF!</v>
      </c>
      <c r="BJ30" s="11" t="e">
        <f t="shared" si="24"/>
        <v>#REF!</v>
      </c>
      <c r="BK30" s="11" t="e">
        <f t="shared" si="25"/>
        <v>#REF!</v>
      </c>
      <c r="BL30" s="11" t="e">
        <f t="shared" si="26"/>
        <v>#REF!</v>
      </c>
      <c r="BM30" s="11" t="e">
        <f t="shared" si="27"/>
        <v>#REF!</v>
      </c>
      <c r="BO30" s="11" t="e">
        <f t="shared" si="28"/>
        <v>#REF!</v>
      </c>
      <c r="BP30" s="11" t="e">
        <f t="shared" si="29"/>
        <v>#REF!</v>
      </c>
      <c r="BQ30" s="11" t="e">
        <f t="shared" si="30"/>
        <v>#REF!</v>
      </c>
      <c r="BR30" s="11" t="e">
        <f t="shared" si="31"/>
        <v>#REF!</v>
      </c>
      <c r="BS30" s="11" t="e">
        <f t="shared" si="32"/>
        <v>#REF!</v>
      </c>
      <c r="BU30" s="11" t="e">
        <f t="shared" si="52"/>
        <v>#REF!</v>
      </c>
      <c r="BV30" s="11" t="e">
        <f t="shared" si="33"/>
        <v>#REF!</v>
      </c>
      <c r="BW30" s="11" t="e">
        <f t="shared" si="34"/>
        <v>#REF!</v>
      </c>
      <c r="BX30" s="11" t="e">
        <f t="shared" si="35"/>
        <v>#REF!</v>
      </c>
      <c r="BY30" s="11" t="e">
        <f t="shared" si="36"/>
        <v>#REF!</v>
      </c>
      <c r="CA30" s="11" t="e">
        <f t="shared" si="37"/>
        <v>#REF!</v>
      </c>
      <c r="CB30" s="11" t="e">
        <f t="shared" si="38"/>
        <v>#REF!</v>
      </c>
      <c r="CC30" s="11" t="e">
        <f t="shared" si="39"/>
        <v>#REF!</v>
      </c>
      <c r="CD30" s="11" t="e">
        <f t="shared" si="40"/>
        <v>#REF!</v>
      </c>
      <c r="CE30" s="11" t="e">
        <f t="shared" si="41"/>
        <v>#REF!</v>
      </c>
      <c r="CG30" s="11" t="e">
        <f t="shared" si="42"/>
        <v>#REF!</v>
      </c>
      <c r="CH30" s="11" t="e">
        <f t="shared" si="43"/>
        <v>#REF!</v>
      </c>
      <c r="CI30" s="11" t="e">
        <f t="shared" si="44"/>
        <v>#REF!</v>
      </c>
      <c r="CJ30" s="11" t="e">
        <f t="shared" si="45"/>
        <v>#REF!</v>
      </c>
      <c r="CK30" s="11" t="e">
        <f t="shared" si="46"/>
        <v>#REF!</v>
      </c>
      <c r="CN30" s="209">
        <f t="shared" si="47"/>
        <v>1.5814305745655188E-2</v>
      </c>
      <c r="CO30" s="209" t="e">
        <f t="shared" si="48"/>
        <v>#REF!</v>
      </c>
      <c r="CP30" s="209" t="e">
        <f t="shared" si="49"/>
        <v>#REF!</v>
      </c>
      <c r="CQ30" s="209" t="e">
        <f t="shared" si="50"/>
        <v>#REF!</v>
      </c>
      <c r="CR30" s="209" t="e">
        <f t="shared" si="51"/>
        <v>#REF!</v>
      </c>
    </row>
    <row r="31" spans="1:96" x14ac:dyDescent="0.25">
      <c r="A31" s="13" t="s">
        <v>72</v>
      </c>
      <c r="B31" s="14" t="s">
        <v>73</v>
      </c>
      <c r="C31" s="4" t="s">
        <v>78</v>
      </c>
      <c r="D31" s="4" t="s">
        <v>79</v>
      </c>
      <c r="E31" s="11">
        <f>SUMIFS('ICB Core Baseline 2024-25'!Q:Q,'ICB Core Baseline 2024-25'!C:C,C31)</f>
        <v>4091956.0059199715</v>
      </c>
      <c r="F31" s="43" t="e">
        <f>SUMIFS(#REF!,#REF!,C31)</f>
        <v>#REF!</v>
      </c>
      <c r="H31" s="43" t="e">
        <f>SUMIFS(#REF!,#REF!,C31)</f>
        <v>#REF!</v>
      </c>
      <c r="I31" s="43" t="e">
        <f t="shared" si="6"/>
        <v>#REF!</v>
      </c>
      <c r="J31" s="43" t="e">
        <f t="shared" si="7"/>
        <v>#REF!</v>
      </c>
      <c r="K31" s="11" t="e">
        <f t="shared" si="0"/>
        <v>#REF!</v>
      </c>
      <c r="L31" s="11" t="e">
        <f t="shared" si="1"/>
        <v>#REF!</v>
      </c>
      <c r="M31" s="43" t="e">
        <f>SUMIFS(#REF!,#REF!,C31)</f>
        <v>#REF!</v>
      </c>
      <c r="N31" s="11" t="e">
        <f t="shared" si="2"/>
        <v>#REF!</v>
      </c>
      <c r="O31" s="43" t="e">
        <f t="shared" si="8"/>
        <v>#REF!</v>
      </c>
      <c r="P31" s="11" t="e">
        <f t="shared" si="3"/>
        <v>#REF!</v>
      </c>
      <c r="Q31" s="11" t="e">
        <f t="shared" si="9"/>
        <v>#REF!</v>
      </c>
      <c r="R31" s="11" t="e">
        <f t="shared" si="4"/>
        <v>#REF!</v>
      </c>
      <c r="S31" s="257" t="e">
        <f t="shared" si="10"/>
        <v>#REF!</v>
      </c>
      <c r="T31" s="11" t="e">
        <f>(SUMIFS(#REF!,#REF!,C31)/SUMIFS(#REF!,#REF!,C31))*1000</f>
        <v>#REF!</v>
      </c>
      <c r="U31" s="11" t="e">
        <f t="shared" si="11"/>
        <v>#REF!</v>
      </c>
      <c r="V31" s="11"/>
      <c r="W31" s="11" t="e">
        <f t="shared" si="12"/>
        <v>#REF!</v>
      </c>
      <c r="X31" s="11" t="e">
        <f t="shared" si="13"/>
        <v>#REF!</v>
      </c>
      <c r="Y31" s="43" t="e">
        <f t="shared" si="14"/>
        <v>#REF!</v>
      </c>
      <c r="Z31" s="43" t="e">
        <f ca="1">OFFSET(#REF!,MATCH(C31,#REF!,0)+1,0)</f>
        <v>#REF!</v>
      </c>
      <c r="AA31" s="43" t="e">
        <f t="shared" ca="1" si="15"/>
        <v>#REF!</v>
      </c>
      <c r="AB31" s="43" t="e">
        <f t="shared" si="5"/>
        <v>#REF!</v>
      </c>
      <c r="AC31" s="11" t="e">
        <f>SUMIFS(#REF!,#REF!,C31)/(1+1.8%)*(1+1.8%+2.3%)</f>
        <v>#REF!</v>
      </c>
      <c r="AD31" s="11" t="e">
        <f t="shared" si="16"/>
        <v>#REF!</v>
      </c>
      <c r="AE31" s="64"/>
      <c r="AF31" s="11" t="e">
        <f>(SUMIFS(#REF!,#REF!,C31)/(1+1.8%))*(1+1.8%+2.3%)</f>
        <v>#REF!</v>
      </c>
      <c r="AG31" s="11" t="e">
        <f>-SUMIFS(#REF!,#REF!,C31)/1000</f>
        <v>#REF!</v>
      </c>
      <c r="AH31" s="11" t="e">
        <f>SUMIFS(#REF!,#REF!,C31)</f>
        <v>#REF!</v>
      </c>
      <c r="AI31" s="11" t="e">
        <f>SUMIFS(#REF!,#REF!,C31)</f>
        <v>#REF!</v>
      </c>
      <c r="AJ31" s="11" t="e">
        <f>SUMIFS(#REF!,#REF!,C31)</f>
        <v>#REF!</v>
      </c>
      <c r="AK31" s="11" t="e">
        <f>SUMIFS(#REF!,#REF!,C31)</f>
        <v>#REF!</v>
      </c>
      <c r="AL31" s="11"/>
      <c r="AM31" s="11" t="e">
        <f t="shared" si="17"/>
        <v>#REF!</v>
      </c>
      <c r="AO31" s="11" t="e">
        <f t="shared" si="18"/>
        <v>#REF!</v>
      </c>
      <c r="AP31" s="11" t="e">
        <f t="shared" si="19"/>
        <v>#REF!</v>
      </c>
      <c r="AR31" s="11" t="e">
        <f t="shared" si="20"/>
        <v>#REF!</v>
      </c>
      <c r="AT31" s="43" t="e">
        <f t="shared" si="21"/>
        <v>#REF!</v>
      </c>
      <c r="AU31" s="11" t="e">
        <f t="shared" si="22"/>
        <v>#REF!</v>
      </c>
      <c r="AW31" s="11" t="e">
        <f>'Share of £1bn'!$F$20*1000*$AP31/$AP$57</f>
        <v>#REF!</v>
      </c>
      <c r="AX31" s="11" t="e">
        <f>'Share of £1bn'!$F$27*1000*$AP31/$AP$57</f>
        <v>#REF!</v>
      </c>
      <c r="AY31" s="11" t="e">
        <f>'Share of £1bn'!$F$21*1000*$AP31/$AP$57</f>
        <v>#REF!</v>
      </c>
      <c r="BA31" s="11" t="e">
        <f>'Share of £1bn'!$F$43*1000*AP31/$AP$57</f>
        <v>#REF!</v>
      </c>
      <c r="BB31" s="11" t="e">
        <f>'Share of £1bn'!$F$50*1000*$AP31/$AP$57</f>
        <v>#REF!</v>
      </c>
      <c r="BC31" s="11" t="e">
        <f>'Share of £1bn'!$F$44*1000*AP31/$AP$57</f>
        <v>#REF!</v>
      </c>
      <c r="BE31" s="11" t="e">
        <f>'Share of £1bn'!$F$67*1000*AP31/$AP$57</f>
        <v>#REF!</v>
      </c>
      <c r="BG31" s="11">
        <f>SUMIFS('20-11 M6 deficits'!$BO:$BO,'20-11 M6 deficits'!$C:$C,$C31)*1000</f>
        <v>0</v>
      </c>
      <c r="BI31" s="11" t="e">
        <f t="shared" si="23"/>
        <v>#REF!</v>
      </c>
      <c r="BJ31" s="11" t="e">
        <f t="shared" si="24"/>
        <v>#REF!</v>
      </c>
      <c r="BK31" s="11" t="e">
        <f t="shared" si="25"/>
        <v>#REF!</v>
      </c>
      <c r="BL31" s="11" t="e">
        <f t="shared" si="26"/>
        <v>#REF!</v>
      </c>
      <c r="BM31" s="11" t="e">
        <f t="shared" si="27"/>
        <v>#REF!</v>
      </c>
      <c r="BO31" s="11" t="e">
        <f t="shared" si="28"/>
        <v>#REF!</v>
      </c>
      <c r="BP31" s="11" t="e">
        <f t="shared" si="29"/>
        <v>#REF!</v>
      </c>
      <c r="BQ31" s="11" t="e">
        <f t="shared" si="30"/>
        <v>#REF!</v>
      </c>
      <c r="BR31" s="11" t="e">
        <f t="shared" si="31"/>
        <v>#REF!</v>
      </c>
      <c r="BS31" s="11" t="e">
        <f t="shared" si="32"/>
        <v>#REF!</v>
      </c>
      <c r="BU31" s="11" t="e">
        <f t="shared" si="52"/>
        <v>#REF!</v>
      </c>
      <c r="BV31" s="11" t="e">
        <f t="shared" si="33"/>
        <v>#REF!</v>
      </c>
      <c r="BW31" s="11" t="e">
        <f t="shared" si="34"/>
        <v>#REF!</v>
      </c>
      <c r="BX31" s="11" t="e">
        <f t="shared" si="35"/>
        <v>#REF!</v>
      </c>
      <c r="BY31" s="11" t="e">
        <f t="shared" si="36"/>
        <v>#REF!</v>
      </c>
      <c r="CA31" s="11" t="e">
        <f t="shared" si="37"/>
        <v>#REF!</v>
      </c>
      <c r="CB31" s="11" t="e">
        <f t="shared" si="38"/>
        <v>#REF!</v>
      </c>
      <c r="CC31" s="11" t="e">
        <f t="shared" si="39"/>
        <v>#REF!</v>
      </c>
      <c r="CD31" s="11" t="e">
        <f t="shared" si="40"/>
        <v>#REF!</v>
      </c>
      <c r="CE31" s="11" t="e">
        <f t="shared" si="41"/>
        <v>#REF!</v>
      </c>
      <c r="CG31" s="11" t="e">
        <f t="shared" si="42"/>
        <v>#REF!</v>
      </c>
      <c r="CH31" s="11" t="e">
        <f t="shared" si="43"/>
        <v>#REF!</v>
      </c>
      <c r="CI31" s="11" t="e">
        <f t="shared" si="44"/>
        <v>#REF!</v>
      </c>
      <c r="CJ31" s="11" t="e">
        <f t="shared" si="45"/>
        <v>#REF!</v>
      </c>
      <c r="CK31" s="11" t="e">
        <f t="shared" si="46"/>
        <v>#REF!</v>
      </c>
      <c r="CN31" s="209">
        <f t="shared" si="47"/>
        <v>0</v>
      </c>
      <c r="CO31" s="209" t="e">
        <f t="shared" si="48"/>
        <v>#REF!</v>
      </c>
      <c r="CP31" s="209" t="e">
        <f t="shared" si="49"/>
        <v>#REF!</v>
      </c>
      <c r="CQ31" s="209" t="e">
        <f t="shared" si="50"/>
        <v>#REF!</v>
      </c>
      <c r="CR31" s="209" t="e">
        <f t="shared" si="51"/>
        <v>#REF!</v>
      </c>
    </row>
    <row r="32" spans="1:96" x14ac:dyDescent="0.25">
      <c r="A32" s="13" t="s">
        <v>72</v>
      </c>
      <c r="B32" s="14" t="s">
        <v>73</v>
      </c>
      <c r="C32" s="4" t="s">
        <v>80</v>
      </c>
      <c r="D32" s="4" t="s">
        <v>81</v>
      </c>
      <c r="E32" s="11">
        <f>SUMIFS('ICB Core Baseline 2024-25'!Q:Q,'ICB Core Baseline 2024-25'!C:C,C32)</f>
        <v>3546989.4042566177</v>
      </c>
      <c r="F32" s="43" t="e">
        <f>SUMIFS(#REF!,#REF!,C32)</f>
        <v>#REF!</v>
      </c>
      <c r="H32" s="43" t="e">
        <f>SUMIFS(#REF!,#REF!,C32)</f>
        <v>#REF!</v>
      </c>
      <c r="I32" s="43" t="e">
        <f t="shared" si="6"/>
        <v>#REF!</v>
      </c>
      <c r="J32" s="43" t="e">
        <f t="shared" si="7"/>
        <v>#REF!</v>
      </c>
      <c r="K32" s="11" t="e">
        <f t="shared" si="0"/>
        <v>#REF!</v>
      </c>
      <c r="L32" s="11" t="e">
        <f t="shared" si="1"/>
        <v>#REF!</v>
      </c>
      <c r="M32" s="43" t="e">
        <f>SUMIFS(#REF!,#REF!,C32)</f>
        <v>#REF!</v>
      </c>
      <c r="N32" s="11" t="e">
        <f t="shared" si="2"/>
        <v>#REF!</v>
      </c>
      <c r="O32" s="43" t="e">
        <f t="shared" si="8"/>
        <v>#REF!</v>
      </c>
      <c r="P32" s="11" t="e">
        <f t="shared" si="3"/>
        <v>#REF!</v>
      </c>
      <c r="Q32" s="11" t="e">
        <f t="shared" si="9"/>
        <v>#REF!</v>
      </c>
      <c r="R32" s="11" t="e">
        <f t="shared" si="4"/>
        <v>#REF!</v>
      </c>
      <c r="S32" s="257" t="e">
        <f t="shared" si="10"/>
        <v>#REF!</v>
      </c>
      <c r="T32" s="11" t="e">
        <f>(SUMIFS(#REF!,#REF!,C32)/SUMIFS(#REF!,#REF!,C32))*1000</f>
        <v>#REF!</v>
      </c>
      <c r="U32" s="11" t="e">
        <f t="shared" si="11"/>
        <v>#REF!</v>
      </c>
      <c r="V32" s="11"/>
      <c r="W32" s="11" t="e">
        <f t="shared" si="12"/>
        <v>#REF!</v>
      </c>
      <c r="X32" s="11" t="e">
        <f t="shared" si="13"/>
        <v>#REF!</v>
      </c>
      <c r="Y32" s="43" t="e">
        <f t="shared" si="14"/>
        <v>#REF!</v>
      </c>
      <c r="Z32" s="43" t="e">
        <f ca="1">OFFSET(#REF!,MATCH(C32,#REF!,0)+1,0)</f>
        <v>#REF!</v>
      </c>
      <c r="AA32" s="43" t="e">
        <f t="shared" ca="1" si="15"/>
        <v>#REF!</v>
      </c>
      <c r="AB32" s="43" t="e">
        <f t="shared" si="5"/>
        <v>#REF!</v>
      </c>
      <c r="AC32" s="11" t="e">
        <f>SUMIFS(#REF!,#REF!,C32)/(1+1.8%)*(1+1.8%+2.3%)</f>
        <v>#REF!</v>
      </c>
      <c r="AD32" s="11" t="e">
        <f t="shared" si="16"/>
        <v>#REF!</v>
      </c>
      <c r="AE32" s="64"/>
      <c r="AF32" s="11" t="e">
        <f>(SUMIFS(#REF!,#REF!,C32)/(1+1.8%))*(1+1.8%+2.3%)</f>
        <v>#REF!</v>
      </c>
      <c r="AG32" s="11" t="e">
        <f>-SUMIFS(#REF!,#REF!,C32)/1000</f>
        <v>#REF!</v>
      </c>
      <c r="AH32" s="11" t="e">
        <f>SUMIFS(#REF!,#REF!,C32)</f>
        <v>#REF!</v>
      </c>
      <c r="AI32" s="11" t="e">
        <f>SUMIFS(#REF!,#REF!,C32)</f>
        <v>#REF!</v>
      </c>
      <c r="AJ32" s="11" t="e">
        <f>SUMIFS(#REF!,#REF!,C32)</f>
        <v>#REF!</v>
      </c>
      <c r="AK32" s="11" t="e">
        <f>SUMIFS(#REF!,#REF!,C32)</f>
        <v>#REF!</v>
      </c>
      <c r="AL32" s="11"/>
      <c r="AM32" s="11" t="e">
        <f t="shared" si="17"/>
        <v>#REF!</v>
      </c>
      <c r="AO32" s="11" t="e">
        <f t="shared" si="18"/>
        <v>#REF!</v>
      </c>
      <c r="AP32" s="11" t="e">
        <f t="shared" si="19"/>
        <v>#REF!</v>
      </c>
      <c r="AR32" s="11" t="e">
        <f t="shared" si="20"/>
        <v>#REF!</v>
      </c>
      <c r="AT32" s="43" t="e">
        <f t="shared" si="21"/>
        <v>#REF!</v>
      </c>
      <c r="AU32" s="11" t="e">
        <f t="shared" si="22"/>
        <v>#REF!</v>
      </c>
      <c r="AW32" s="11" t="e">
        <f>'Share of £1bn'!$F$20*1000*$AP32/$AP$57</f>
        <v>#REF!</v>
      </c>
      <c r="AX32" s="11" t="e">
        <f>'Share of £1bn'!$F$27*1000*$AP32/$AP$57</f>
        <v>#REF!</v>
      </c>
      <c r="AY32" s="11" t="e">
        <f>'Share of £1bn'!$F$21*1000*$AP32/$AP$57</f>
        <v>#REF!</v>
      </c>
      <c r="BA32" s="11" t="e">
        <f>'Share of £1bn'!$F$43*1000*AP32/$AP$57</f>
        <v>#REF!</v>
      </c>
      <c r="BB32" s="11" t="e">
        <f>'Share of £1bn'!$F$50*1000*$AP32/$AP$57</f>
        <v>#REF!</v>
      </c>
      <c r="BC32" s="11" t="e">
        <f>'Share of £1bn'!$F$44*1000*AP32/$AP$57</f>
        <v>#REF!</v>
      </c>
      <c r="BE32" s="11" t="e">
        <f>'Share of £1bn'!$F$67*1000*AP32/$AP$57</f>
        <v>#REF!</v>
      </c>
      <c r="BG32" s="11">
        <f>SUMIFS('20-11 M6 deficits'!$BO:$BO,'20-11 M6 deficits'!$C:$C,$C32)*1000</f>
        <v>0</v>
      </c>
      <c r="BI32" s="11" t="e">
        <f t="shared" si="23"/>
        <v>#REF!</v>
      </c>
      <c r="BJ32" s="11" t="e">
        <f t="shared" si="24"/>
        <v>#REF!</v>
      </c>
      <c r="BK32" s="11" t="e">
        <f t="shared" si="25"/>
        <v>#REF!</v>
      </c>
      <c r="BL32" s="11" t="e">
        <f t="shared" si="26"/>
        <v>#REF!</v>
      </c>
      <c r="BM32" s="11" t="e">
        <f t="shared" si="27"/>
        <v>#REF!</v>
      </c>
      <c r="BO32" s="11" t="e">
        <f t="shared" si="28"/>
        <v>#REF!</v>
      </c>
      <c r="BP32" s="11" t="e">
        <f t="shared" si="29"/>
        <v>#REF!</v>
      </c>
      <c r="BQ32" s="11" t="e">
        <f t="shared" si="30"/>
        <v>#REF!</v>
      </c>
      <c r="BR32" s="11" t="e">
        <f t="shared" si="31"/>
        <v>#REF!</v>
      </c>
      <c r="BS32" s="11" t="e">
        <f t="shared" si="32"/>
        <v>#REF!</v>
      </c>
      <c r="BU32" s="11" t="e">
        <f t="shared" si="52"/>
        <v>#REF!</v>
      </c>
      <c r="BV32" s="11" t="e">
        <f t="shared" si="33"/>
        <v>#REF!</v>
      </c>
      <c r="BW32" s="11" t="e">
        <f t="shared" si="34"/>
        <v>#REF!</v>
      </c>
      <c r="BX32" s="11" t="e">
        <f t="shared" si="35"/>
        <v>#REF!</v>
      </c>
      <c r="BY32" s="11" t="e">
        <f t="shared" si="36"/>
        <v>#REF!</v>
      </c>
      <c r="CA32" s="11" t="e">
        <f t="shared" si="37"/>
        <v>#REF!</v>
      </c>
      <c r="CB32" s="11" t="e">
        <f t="shared" si="38"/>
        <v>#REF!</v>
      </c>
      <c r="CC32" s="11" t="e">
        <f t="shared" si="39"/>
        <v>#REF!</v>
      </c>
      <c r="CD32" s="11" t="e">
        <f t="shared" si="40"/>
        <v>#REF!</v>
      </c>
      <c r="CE32" s="11" t="e">
        <f t="shared" si="41"/>
        <v>#REF!</v>
      </c>
      <c r="CG32" s="11" t="e">
        <f t="shared" si="42"/>
        <v>#REF!</v>
      </c>
      <c r="CH32" s="11" t="e">
        <f t="shared" si="43"/>
        <v>#REF!</v>
      </c>
      <c r="CI32" s="11" t="e">
        <f t="shared" si="44"/>
        <v>#REF!</v>
      </c>
      <c r="CJ32" s="11" t="e">
        <f t="shared" si="45"/>
        <v>#REF!</v>
      </c>
      <c r="CK32" s="11" t="e">
        <f t="shared" si="46"/>
        <v>#REF!</v>
      </c>
      <c r="CN32" s="209">
        <f t="shared" si="47"/>
        <v>0</v>
      </c>
      <c r="CO32" s="209" t="e">
        <f t="shared" si="48"/>
        <v>#REF!</v>
      </c>
      <c r="CP32" s="209" t="e">
        <f t="shared" si="49"/>
        <v>#REF!</v>
      </c>
      <c r="CQ32" s="209" t="e">
        <f t="shared" si="50"/>
        <v>#REF!</v>
      </c>
      <c r="CR32" s="209" t="e">
        <f t="shared" si="51"/>
        <v>#REF!</v>
      </c>
    </row>
    <row r="33" spans="1:96" x14ac:dyDescent="0.25">
      <c r="A33" s="15" t="s">
        <v>72</v>
      </c>
      <c r="B33" s="16" t="s">
        <v>73</v>
      </c>
      <c r="C33" s="17" t="s">
        <v>82</v>
      </c>
      <c r="D33" s="17" t="s">
        <v>83</v>
      </c>
      <c r="E33" s="18">
        <f>SUMIFS('ICB Core Baseline 2024-25'!Q:Q,'ICB Core Baseline 2024-25'!C:C,C33)</f>
        <v>2648722.1990535683</v>
      </c>
      <c r="F33" s="44" t="e">
        <f>SUMIFS(#REF!,#REF!,C33)</f>
        <v>#REF!</v>
      </c>
      <c r="H33" s="44" t="e">
        <f>SUMIFS(#REF!,#REF!,C33)</f>
        <v>#REF!</v>
      </c>
      <c r="I33" s="44" t="e">
        <f t="shared" si="6"/>
        <v>#REF!</v>
      </c>
      <c r="J33" s="44" t="e">
        <f t="shared" si="7"/>
        <v>#REF!</v>
      </c>
      <c r="K33" s="18" t="e">
        <f t="shared" si="0"/>
        <v>#REF!</v>
      </c>
      <c r="L33" s="18" t="e">
        <f t="shared" si="1"/>
        <v>#REF!</v>
      </c>
      <c r="M33" s="44" t="e">
        <f>SUMIFS(#REF!,#REF!,C33)</f>
        <v>#REF!</v>
      </c>
      <c r="N33" s="18" t="e">
        <f t="shared" si="2"/>
        <v>#REF!</v>
      </c>
      <c r="O33" s="44" t="e">
        <f t="shared" si="8"/>
        <v>#REF!</v>
      </c>
      <c r="P33" s="18" t="e">
        <f t="shared" si="3"/>
        <v>#REF!</v>
      </c>
      <c r="Q33" s="18" t="e">
        <f t="shared" si="9"/>
        <v>#REF!</v>
      </c>
      <c r="R33" s="18" t="e">
        <f t="shared" si="4"/>
        <v>#REF!</v>
      </c>
      <c r="S33" s="257" t="e">
        <f t="shared" si="10"/>
        <v>#REF!</v>
      </c>
      <c r="T33" s="18" t="e">
        <f>(SUMIFS(#REF!,#REF!,C33)/SUMIFS(#REF!,#REF!,C33))*1000</f>
        <v>#REF!</v>
      </c>
      <c r="U33" s="18" t="e">
        <f t="shared" si="11"/>
        <v>#REF!</v>
      </c>
      <c r="V33" s="18"/>
      <c r="W33" s="18" t="e">
        <f t="shared" si="12"/>
        <v>#REF!</v>
      </c>
      <c r="X33" s="18" t="e">
        <f t="shared" si="13"/>
        <v>#REF!</v>
      </c>
      <c r="Y33" s="44" t="e">
        <f t="shared" si="14"/>
        <v>#REF!</v>
      </c>
      <c r="Z33" s="44" t="e">
        <f ca="1">OFFSET(#REF!,MATCH(C33,#REF!,0)+1,0)</f>
        <v>#REF!</v>
      </c>
      <c r="AA33" s="44" t="e">
        <f t="shared" ca="1" si="15"/>
        <v>#REF!</v>
      </c>
      <c r="AB33" s="44" t="e">
        <f t="shared" si="5"/>
        <v>#REF!</v>
      </c>
      <c r="AC33" s="18" t="e">
        <f>SUMIFS(#REF!,#REF!,C33)/(1+1.8%)*(1+1.8%+2.3%)</f>
        <v>#REF!</v>
      </c>
      <c r="AD33" s="18" t="e">
        <f t="shared" si="16"/>
        <v>#REF!</v>
      </c>
      <c r="AE33" s="65"/>
      <c r="AF33" s="18" t="e">
        <f>(SUMIFS(#REF!,#REF!,C33)/(1+1.8%))*(1+1.8%+2.3%)</f>
        <v>#REF!</v>
      </c>
      <c r="AG33" s="18" t="e">
        <f>-SUMIFS(#REF!,#REF!,C33)/1000</f>
        <v>#REF!</v>
      </c>
      <c r="AH33" s="18" t="e">
        <f>SUMIFS(#REF!,#REF!,C33)</f>
        <v>#REF!</v>
      </c>
      <c r="AI33" s="18" t="e">
        <f>SUMIFS(#REF!,#REF!,C33)</f>
        <v>#REF!</v>
      </c>
      <c r="AJ33" s="18" t="e">
        <f>SUMIFS(#REF!,#REF!,C33)</f>
        <v>#REF!</v>
      </c>
      <c r="AK33" s="18" t="e">
        <f>SUMIFS(#REF!,#REF!,C33)</f>
        <v>#REF!</v>
      </c>
      <c r="AL33" s="18"/>
      <c r="AM33" s="18" t="e">
        <f t="shared" si="17"/>
        <v>#REF!</v>
      </c>
      <c r="AO33" s="18" t="e">
        <f t="shared" si="18"/>
        <v>#REF!</v>
      </c>
      <c r="AP33" s="18" t="e">
        <f t="shared" si="19"/>
        <v>#REF!</v>
      </c>
      <c r="AR33" s="18" t="e">
        <f t="shared" si="20"/>
        <v>#REF!</v>
      </c>
      <c r="AT33" s="44" t="e">
        <f t="shared" si="21"/>
        <v>#REF!</v>
      </c>
      <c r="AU33" s="18" t="e">
        <f t="shared" si="22"/>
        <v>#REF!</v>
      </c>
      <c r="AW33" s="18" t="e">
        <f>'Share of £1bn'!$F$20*1000*$AP33/$AP$57</f>
        <v>#REF!</v>
      </c>
      <c r="AX33" s="18" t="e">
        <f>'Share of £1bn'!$F$27*1000*$AP33/$AP$57</f>
        <v>#REF!</v>
      </c>
      <c r="AY33" s="18" t="e">
        <f>'Share of £1bn'!$F$21*1000*$AP33/$AP$57</f>
        <v>#REF!</v>
      </c>
      <c r="BA33" s="18" t="e">
        <f>'Share of £1bn'!$F$43*1000*AP33/$AP$57</f>
        <v>#REF!</v>
      </c>
      <c r="BB33" s="18" t="e">
        <f>'Share of £1bn'!$F$50*1000*$AP33/$AP$57</f>
        <v>#REF!</v>
      </c>
      <c r="BC33" s="18" t="e">
        <f>'Share of £1bn'!$F$44*1000*AP33/$AP$57</f>
        <v>#REF!</v>
      </c>
      <c r="BE33" s="18" t="e">
        <f>'Share of £1bn'!$F$67*1000*AP33/$AP$57</f>
        <v>#REF!</v>
      </c>
      <c r="BG33" s="11">
        <f>SUMIFS('20-11 M6 deficits'!$BO:$BO,'20-11 M6 deficits'!$C:$C,$C33)*1000</f>
        <v>-81600</v>
      </c>
      <c r="BI33" s="18" t="e">
        <f t="shared" si="23"/>
        <v>#REF!</v>
      </c>
      <c r="BJ33" s="18" t="e">
        <f t="shared" si="24"/>
        <v>#REF!</v>
      </c>
      <c r="BK33" s="18" t="e">
        <f t="shared" si="25"/>
        <v>#REF!</v>
      </c>
      <c r="BL33" s="18" t="e">
        <f t="shared" si="26"/>
        <v>#REF!</v>
      </c>
      <c r="BM33" s="18" t="e">
        <f t="shared" si="27"/>
        <v>#REF!</v>
      </c>
      <c r="BO33" s="18" t="e">
        <f t="shared" si="28"/>
        <v>#REF!</v>
      </c>
      <c r="BP33" s="18" t="e">
        <f t="shared" si="29"/>
        <v>#REF!</v>
      </c>
      <c r="BQ33" s="18" t="e">
        <f t="shared" si="30"/>
        <v>#REF!</v>
      </c>
      <c r="BR33" s="18" t="e">
        <f t="shared" si="31"/>
        <v>#REF!</v>
      </c>
      <c r="BS33" s="18" t="e">
        <f t="shared" si="32"/>
        <v>#REF!</v>
      </c>
      <c r="BU33" s="18" t="e">
        <f t="shared" si="52"/>
        <v>#REF!</v>
      </c>
      <c r="BV33" s="18" t="e">
        <f t="shared" si="33"/>
        <v>#REF!</v>
      </c>
      <c r="BW33" s="18" t="e">
        <f t="shared" si="34"/>
        <v>#REF!</v>
      </c>
      <c r="BX33" s="18" t="e">
        <f t="shared" si="35"/>
        <v>#REF!</v>
      </c>
      <c r="BY33" s="18" t="e">
        <f t="shared" si="36"/>
        <v>#REF!</v>
      </c>
      <c r="CA33" s="18" t="e">
        <f t="shared" si="37"/>
        <v>#REF!</v>
      </c>
      <c r="CB33" s="18" t="e">
        <f t="shared" si="38"/>
        <v>#REF!</v>
      </c>
      <c r="CC33" s="18" t="e">
        <f t="shared" si="39"/>
        <v>#REF!</v>
      </c>
      <c r="CD33" s="18" t="e">
        <f t="shared" si="40"/>
        <v>#REF!</v>
      </c>
      <c r="CE33" s="18" t="e">
        <f t="shared" si="41"/>
        <v>#REF!</v>
      </c>
      <c r="CG33" s="18" t="e">
        <f t="shared" si="42"/>
        <v>#REF!</v>
      </c>
      <c r="CH33" s="18" t="e">
        <f t="shared" si="43"/>
        <v>#REF!</v>
      </c>
      <c r="CI33" s="18" t="e">
        <f t="shared" si="44"/>
        <v>#REF!</v>
      </c>
      <c r="CJ33" s="18" t="e">
        <f t="shared" si="45"/>
        <v>#REF!</v>
      </c>
      <c r="CK33" s="18" t="e">
        <f t="shared" si="46"/>
        <v>#REF!</v>
      </c>
      <c r="CN33" s="209">
        <f t="shared" si="47"/>
        <v>5.1617893953818536E-2</v>
      </c>
      <c r="CO33" s="209" t="e">
        <f t="shared" si="48"/>
        <v>#REF!</v>
      </c>
      <c r="CP33" s="209" t="e">
        <f t="shared" si="49"/>
        <v>#REF!</v>
      </c>
      <c r="CQ33" s="209" t="e">
        <f t="shared" si="50"/>
        <v>#REF!</v>
      </c>
      <c r="CR33" s="209" t="e">
        <f t="shared" si="51"/>
        <v>#REF!</v>
      </c>
    </row>
    <row r="34" spans="1:96" x14ac:dyDescent="0.25">
      <c r="A34" s="10" t="s">
        <v>84</v>
      </c>
      <c r="B34" s="4" t="s">
        <v>85</v>
      </c>
      <c r="C34" s="4" t="s">
        <v>86</v>
      </c>
      <c r="D34" s="4" t="s">
        <v>87</v>
      </c>
      <c r="E34" s="11">
        <f>SUMIFS('ICB Core Baseline 2024-25'!Q:Q,'ICB Core Baseline 2024-25'!C:C,C34)</f>
        <v>2769520.4685177435</v>
      </c>
      <c r="F34" s="43" t="e">
        <f>SUMIFS(#REF!,#REF!,C34)</f>
        <v>#REF!</v>
      </c>
      <c r="H34" s="43" t="e">
        <f>SUMIFS(#REF!,#REF!,C34)</f>
        <v>#REF!</v>
      </c>
      <c r="I34" s="43" t="e">
        <f t="shared" si="6"/>
        <v>#REF!</v>
      </c>
      <c r="J34" s="43" t="e">
        <f t="shared" si="7"/>
        <v>#REF!</v>
      </c>
      <c r="K34" s="11" t="e">
        <f t="shared" si="0"/>
        <v>#REF!</v>
      </c>
      <c r="L34" s="11" t="e">
        <f t="shared" si="1"/>
        <v>#REF!</v>
      </c>
      <c r="M34" s="43" t="e">
        <f>SUMIFS(#REF!,#REF!,C34)</f>
        <v>#REF!</v>
      </c>
      <c r="N34" s="11" t="e">
        <f t="shared" si="2"/>
        <v>#REF!</v>
      </c>
      <c r="O34" s="43" t="e">
        <f t="shared" si="8"/>
        <v>#REF!</v>
      </c>
      <c r="P34" s="11" t="e">
        <f t="shared" si="3"/>
        <v>#REF!</v>
      </c>
      <c r="Q34" s="11" t="e">
        <f t="shared" si="9"/>
        <v>#REF!</v>
      </c>
      <c r="R34" s="11" t="e">
        <f t="shared" si="4"/>
        <v>#REF!</v>
      </c>
      <c r="S34" s="257" t="e">
        <f t="shared" si="10"/>
        <v>#REF!</v>
      </c>
      <c r="T34" s="11" t="e">
        <f>(SUMIFS(#REF!,#REF!,C34)/SUMIFS(#REF!,#REF!,C34))*1000</f>
        <v>#REF!</v>
      </c>
      <c r="U34" s="11" t="e">
        <f t="shared" si="11"/>
        <v>#REF!</v>
      </c>
      <c r="V34" s="11"/>
      <c r="W34" s="11" t="e">
        <f t="shared" si="12"/>
        <v>#REF!</v>
      </c>
      <c r="X34" s="11" t="e">
        <f t="shared" si="13"/>
        <v>#REF!</v>
      </c>
      <c r="Y34" s="43" t="e">
        <f t="shared" si="14"/>
        <v>#REF!</v>
      </c>
      <c r="Z34" s="43" t="e">
        <f ca="1">OFFSET(#REF!,MATCH(C34,#REF!,0)+1,0)</f>
        <v>#REF!</v>
      </c>
      <c r="AA34" s="43" t="e">
        <f t="shared" ca="1" si="15"/>
        <v>#REF!</v>
      </c>
      <c r="AB34" s="43" t="e">
        <f t="shared" si="5"/>
        <v>#REF!</v>
      </c>
      <c r="AC34" s="11" t="e">
        <f>SUMIFS(#REF!,#REF!,C34)/(1+1.8%)*(1+1.8%+2.3%)</f>
        <v>#REF!</v>
      </c>
      <c r="AD34" s="11" t="e">
        <f t="shared" si="16"/>
        <v>#REF!</v>
      </c>
      <c r="AE34" s="64"/>
      <c r="AF34" s="11" t="e">
        <f>(SUMIFS(#REF!,#REF!,C34)/(1+1.8%))*(1+1.8%+2.3%)</f>
        <v>#REF!</v>
      </c>
      <c r="AG34" s="11" t="e">
        <f>-SUMIFS(#REF!,#REF!,C34)/1000</f>
        <v>#REF!</v>
      </c>
      <c r="AH34" s="11" t="e">
        <f>SUMIFS(#REF!,#REF!,C34)</f>
        <v>#REF!</v>
      </c>
      <c r="AI34" s="11" t="e">
        <f>SUMIFS(#REF!,#REF!,C34)</f>
        <v>#REF!</v>
      </c>
      <c r="AJ34" s="11" t="e">
        <f>SUMIFS(#REF!,#REF!,C34)</f>
        <v>#REF!</v>
      </c>
      <c r="AK34" s="11" t="e">
        <f>SUMIFS(#REF!,#REF!,C34)</f>
        <v>#REF!</v>
      </c>
      <c r="AL34" s="11"/>
      <c r="AM34" s="11" t="e">
        <f t="shared" si="17"/>
        <v>#REF!</v>
      </c>
      <c r="AO34" s="11" t="e">
        <f t="shared" si="18"/>
        <v>#REF!</v>
      </c>
      <c r="AP34" s="11" t="e">
        <f t="shared" si="19"/>
        <v>#REF!</v>
      </c>
      <c r="AR34" s="11" t="e">
        <f t="shared" si="20"/>
        <v>#REF!</v>
      </c>
      <c r="AT34" s="43" t="e">
        <f t="shared" si="21"/>
        <v>#REF!</v>
      </c>
      <c r="AU34" s="11" t="e">
        <f t="shared" si="22"/>
        <v>#REF!</v>
      </c>
      <c r="AW34" s="11" t="e">
        <f>'Share of £1bn'!$F$20*1000*$AP34/$AP$57</f>
        <v>#REF!</v>
      </c>
      <c r="AX34" s="11" t="e">
        <f>'Share of £1bn'!$F$27*1000*$AP34/$AP$57</f>
        <v>#REF!</v>
      </c>
      <c r="AY34" s="11" t="e">
        <f>'Share of £1bn'!$F$21*1000*$AP34/$AP$57</f>
        <v>#REF!</v>
      </c>
      <c r="BA34" s="11" t="e">
        <f>'Share of £1bn'!$F$43*1000*AP34/$AP$57</f>
        <v>#REF!</v>
      </c>
      <c r="BB34" s="11" t="e">
        <f>'Share of £1bn'!$F$50*1000*$AP34/$AP$57</f>
        <v>#REF!</v>
      </c>
      <c r="BC34" s="11" t="e">
        <f>'Share of £1bn'!$F$44*1000*AP34/$AP$57</f>
        <v>#REF!</v>
      </c>
      <c r="BE34" s="11" t="e">
        <f>'Share of £1bn'!$F$67*1000*AP34/$AP$57</f>
        <v>#REF!</v>
      </c>
      <c r="BG34" s="11">
        <f>SUMIFS('20-11 M6 deficits'!$BO:$BO,'20-11 M6 deficits'!$C:$C,$C34)*1000</f>
        <v>-20400</v>
      </c>
      <c r="BI34" s="11" t="e">
        <f t="shared" si="23"/>
        <v>#REF!</v>
      </c>
      <c r="BJ34" s="11" t="e">
        <f t="shared" si="24"/>
        <v>#REF!</v>
      </c>
      <c r="BK34" s="11" t="e">
        <f t="shared" si="25"/>
        <v>#REF!</v>
      </c>
      <c r="BL34" s="11" t="e">
        <f t="shared" si="26"/>
        <v>#REF!</v>
      </c>
      <c r="BM34" s="11" t="e">
        <f t="shared" si="27"/>
        <v>#REF!</v>
      </c>
      <c r="BO34" s="11" t="e">
        <f t="shared" si="28"/>
        <v>#REF!</v>
      </c>
      <c r="BP34" s="11" t="e">
        <f t="shared" si="29"/>
        <v>#REF!</v>
      </c>
      <c r="BQ34" s="11" t="e">
        <f t="shared" si="30"/>
        <v>#REF!</v>
      </c>
      <c r="BR34" s="11" t="e">
        <f t="shared" si="31"/>
        <v>#REF!</v>
      </c>
      <c r="BS34" s="11" t="e">
        <f t="shared" si="32"/>
        <v>#REF!</v>
      </c>
      <c r="BU34" s="11" t="e">
        <f t="shared" si="52"/>
        <v>#REF!</v>
      </c>
      <c r="BV34" s="11" t="e">
        <f t="shared" si="33"/>
        <v>#REF!</v>
      </c>
      <c r="BW34" s="11" t="e">
        <f t="shared" si="34"/>
        <v>#REF!</v>
      </c>
      <c r="BX34" s="11" t="e">
        <f t="shared" si="35"/>
        <v>#REF!</v>
      </c>
      <c r="BY34" s="11" t="e">
        <f t="shared" si="36"/>
        <v>#REF!</v>
      </c>
      <c r="CA34" s="11" t="e">
        <f t="shared" si="37"/>
        <v>#REF!</v>
      </c>
      <c r="CB34" s="11" t="e">
        <f t="shared" si="38"/>
        <v>#REF!</v>
      </c>
      <c r="CC34" s="11" t="e">
        <f t="shared" si="39"/>
        <v>#REF!</v>
      </c>
      <c r="CD34" s="11" t="e">
        <f t="shared" si="40"/>
        <v>#REF!</v>
      </c>
      <c r="CE34" s="11" t="e">
        <f t="shared" si="41"/>
        <v>#REF!</v>
      </c>
      <c r="CG34" s="11" t="e">
        <f t="shared" si="42"/>
        <v>#REF!</v>
      </c>
      <c r="CH34" s="11" t="e">
        <f t="shared" si="43"/>
        <v>#REF!</v>
      </c>
      <c r="CI34" s="11" t="e">
        <f t="shared" si="44"/>
        <v>#REF!</v>
      </c>
      <c r="CJ34" s="11" t="e">
        <f t="shared" si="45"/>
        <v>#REF!</v>
      </c>
      <c r="CK34" s="11" t="e">
        <f t="shared" si="46"/>
        <v>#REF!</v>
      </c>
      <c r="CN34" s="209">
        <f t="shared" si="47"/>
        <v>1.2904473488454634E-2</v>
      </c>
      <c r="CO34" s="209" t="e">
        <f t="shared" si="48"/>
        <v>#REF!</v>
      </c>
      <c r="CP34" s="209" t="e">
        <f t="shared" si="49"/>
        <v>#REF!</v>
      </c>
      <c r="CQ34" s="209" t="e">
        <f t="shared" si="50"/>
        <v>#REF!</v>
      </c>
      <c r="CR34" s="209" t="e">
        <f t="shared" si="51"/>
        <v>#REF!</v>
      </c>
    </row>
    <row r="35" spans="1:96" x14ac:dyDescent="0.25">
      <c r="A35" s="13" t="s">
        <v>84</v>
      </c>
      <c r="B35" s="14" t="s">
        <v>85</v>
      </c>
      <c r="C35" s="4" t="s">
        <v>88</v>
      </c>
      <c r="D35" s="4" t="s">
        <v>89</v>
      </c>
      <c r="E35" s="11">
        <f>SUMIFS('ICB Core Baseline 2024-25'!Q:Q,'ICB Core Baseline 2024-25'!C:C,C35)</f>
        <v>1227431.9215465274</v>
      </c>
      <c r="F35" s="43" t="e">
        <f>SUMIFS(#REF!,#REF!,C35)</f>
        <v>#REF!</v>
      </c>
      <c r="H35" s="43" t="e">
        <f>SUMIFS(#REF!,#REF!,C35)</f>
        <v>#REF!</v>
      </c>
      <c r="I35" s="43" t="e">
        <f t="shared" si="6"/>
        <v>#REF!</v>
      </c>
      <c r="J35" s="43" t="e">
        <f t="shared" si="7"/>
        <v>#REF!</v>
      </c>
      <c r="K35" s="11" t="e">
        <f t="shared" si="0"/>
        <v>#REF!</v>
      </c>
      <c r="L35" s="11" t="e">
        <f t="shared" si="1"/>
        <v>#REF!</v>
      </c>
      <c r="M35" s="43" t="e">
        <f>SUMIFS(#REF!,#REF!,C35)</f>
        <v>#REF!</v>
      </c>
      <c r="N35" s="11" t="e">
        <f t="shared" si="2"/>
        <v>#REF!</v>
      </c>
      <c r="O35" s="43" t="e">
        <f t="shared" si="8"/>
        <v>#REF!</v>
      </c>
      <c r="P35" s="11" t="e">
        <f t="shared" si="3"/>
        <v>#REF!</v>
      </c>
      <c r="Q35" s="11" t="e">
        <f t="shared" si="9"/>
        <v>#REF!</v>
      </c>
      <c r="R35" s="11" t="e">
        <f t="shared" si="4"/>
        <v>#REF!</v>
      </c>
      <c r="S35" s="257" t="e">
        <f t="shared" si="10"/>
        <v>#REF!</v>
      </c>
      <c r="T35" s="11" t="e">
        <f>(SUMIFS(#REF!,#REF!,C35)/SUMIFS(#REF!,#REF!,C35))*1000</f>
        <v>#REF!</v>
      </c>
      <c r="U35" s="11" t="e">
        <f t="shared" si="11"/>
        <v>#REF!</v>
      </c>
      <c r="V35" s="11"/>
      <c r="W35" s="11" t="e">
        <f t="shared" si="12"/>
        <v>#REF!</v>
      </c>
      <c r="X35" s="11" t="e">
        <f t="shared" si="13"/>
        <v>#REF!</v>
      </c>
      <c r="Y35" s="43" t="e">
        <f t="shared" si="14"/>
        <v>#REF!</v>
      </c>
      <c r="Z35" s="43" t="e">
        <f ca="1">OFFSET(#REF!,MATCH(C35,#REF!,0)+1,0)</f>
        <v>#REF!</v>
      </c>
      <c r="AA35" s="43" t="e">
        <f t="shared" ca="1" si="15"/>
        <v>#REF!</v>
      </c>
      <c r="AB35" s="43" t="e">
        <f t="shared" si="5"/>
        <v>#REF!</v>
      </c>
      <c r="AC35" s="11" t="e">
        <f>SUMIFS(#REF!,#REF!,C35)/(1+1.8%)*(1+1.8%+2.3%)</f>
        <v>#REF!</v>
      </c>
      <c r="AD35" s="11" t="e">
        <f t="shared" si="16"/>
        <v>#REF!</v>
      </c>
      <c r="AE35" s="64"/>
      <c r="AF35" s="11" t="e">
        <f>(SUMIFS(#REF!,#REF!,C35)/(1+1.8%))*(1+1.8%+2.3%)</f>
        <v>#REF!</v>
      </c>
      <c r="AG35" s="11" t="e">
        <f>-SUMIFS(#REF!,#REF!,C35)/1000</f>
        <v>#REF!</v>
      </c>
      <c r="AH35" s="11" t="e">
        <f>SUMIFS(#REF!,#REF!,C35)</f>
        <v>#REF!</v>
      </c>
      <c r="AI35" s="11" t="e">
        <f>SUMIFS(#REF!,#REF!,C35)</f>
        <v>#REF!</v>
      </c>
      <c r="AJ35" s="11" t="e">
        <f>SUMIFS(#REF!,#REF!,C35)</f>
        <v>#REF!</v>
      </c>
      <c r="AK35" s="11" t="e">
        <f>SUMIFS(#REF!,#REF!,C35)</f>
        <v>#REF!</v>
      </c>
      <c r="AL35" s="11"/>
      <c r="AM35" s="11" t="e">
        <f t="shared" si="17"/>
        <v>#REF!</v>
      </c>
      <c r="AO35" s="11" t="e">
        <f t="shared" si="18"/>
        <v>#REF!</v>
      </c>
      <c r="AP35" s="11" t="e">
        <f t="shared" si="19"/>
        <v>#REF!</v>
      </c>
      <c r="AR35" s="11" t="e">
        <f t="shared" si="20"/>
        <v>#REF!</v>
      </c>
      <c r="AT35" s="43" t="e">
        <f t="shared" si="21"/>
        <v>#REF!</v>
      </c>
      <c r="AU35" s="11" t="e">
        <f t="shared" si="22"/>
        <v>#REF!</v>
      </c>
      <c r="AW35" s="11" t="e">
        <f>'Share of £1bn'!$F$20*1000*$AP35/$AP$57</f>
        <v>#REF!</v>
      </c>
      <c r="AX35" s="11" t="e">
        <f>'Share of £1bn'!$F$27*1000*$AP35/$AP$57</f>
        <v>#REF!</v>
      </c>
      <c r="AY35" s="11" t="e">
        <f>'Share of £1bn'!$F$21*1000*$AP35/$AP$57</f>
        <v>#REF!</v>
      </c>
      <c r="BA35" s="11" t="e">
        <f>'Share of £1bn'!$F$43*1000*AP35/$AP$57</f>
        <v>#REF!</v>
      </c>
      <c r="BB35" s="11" t="e">
        <f>'Share of £1bn'!$F$50*1000*$AP35/$AP$57</f>
        <v>#REF!</v>
      </c>
      <c r="BC35" s="11" t="e">
        <f>'Share of £1bn'!$F$44*1000*AP35/$AP$57</f>
        <v>#REF!</v>
      </c>
      <c r="BE35" s="11" t="e">
        <f>'Share of £1bn'!$F$67*1000*AP35/$AP$57</f>
        <v>#REF!</v>
      </c>
      <c r="BG35" s="11">
        <f>SUMIFS('20-11 M6 deficits'!$BO:$BO,'20-11 M6 deficits'!$C:$C,$C35)*1000</f>
        <v>-10000</v>
      </c>
      <c r="BI35" s="11" t="e">
        <f t="shared" si="23"/>
        <v>#REF!</v>
      </c>
      <c r="BJ35" s="11" t="e">
        <f t="shared" si="24"/>
        <v>#REF!</v>
      </c>
      <c r="BK35" s="11" t="e">
        <f t="shared" si="25"/>
        <v>#REF!</v>
      </c>
      <c r="BL35" s="11" t="e">
        <f t="shared" si="26"/>
        <v>#REF!</v>
      </c>
      <c r="BM35" s="11" t="e">
        <f t="shared" si="27"/>
        <v>#REF!</v>
      </c>
      <c r="BO35" s="11" t="e">
        <f t="shared" si="28"/>
        <v>#REF!</v>
      </c>
      <c r="BP35" s="11" t="e">
        <f t="shared" si="29"/>
        <v>#REF!</v>
      </c>
      <c r="BQ35" s="11" t="e">
        <f t="shared" si="30"/>
        <v>#REF!</v>
      </c>
      <c r="BR35" s="11" t="e">
        <f t="shared" si="31"/>
        <v>#REF!</v>
      </c>
      <c r="BS35" s="11" t="e">
        <f t="shared" si="32"/>
        <v>#REF!</v>
      </c>
      <c r="BU35" s="11" t="e">
        <f t="shared" si="52"/>
        <v>#REF!</v>
      </c>
      <c r="BV35" s="11" t="e">
        <f t="shared" si="33"/>
        <v>#REF!</v>
      </c>
      <c r="BW35" s="11" t="e">
        <f t="shared" si="34"/>
        <v>#REF!</v>
      </c>
      <c r="BX35" s="11" t="e">
        <f t="shared" si="35"/>
        <v>#REF!</v>
      </c>
      <c r="BY35" s="11" t="e">
        <f t="shared" si="36"/>
        <v>#REF!</v>
      </c>
      <c r="CA35" s="11" t="e">
        <f t="shared" si="37"/>
        <v>#REF!</v>
      </c>
      <c r="CB35" s="11" t="e">
        <f t="shared" si="38"/>
        <v>#REF!</v>
      </c>
      <c r="CC35" s="11" t="e">
        <f t="shared" si="39"/>
        <v>#REF!</v>
      </c>
      <c r="CD35" s="11" t="e">
        <f t="shared" si="40"/>
        <v>#REF!</v>
      </c>
      <c r="CE35" s="11" t="e">
        <f t="shared" si="41"/>
        <v>#REF!</v>
      </c>
      <c r="CG35" s="11" t="e">
        <f t="shared" si="42"/>
        <v>#REF!</v>
      </c>
      <c r="CH35" s="11" t="e">
        <f t="shared" si="43"/>
        <v>#REF!</v>
      </c>
      <c r="CI35" s="11" t="e">
        <f t="shared" si="44"/>
        <v>#REF!</v>
      </c>
      <c r="CJ35" s="11" t="e">
        <f t="shared" si="45"/>
        <v>#REF!</v>
      </c>
      <c r="CK35" s="11" t="e">
        <f t="shared" si="46"/>
        <v>#REF!</v>
      </c>
      <c r="CN35" s="209">
        <f t="shared" si="47"/>
        <v>6.3257222982620754E-3</v>
      </c>
      <c r="CO35" s="209" t="e">
        <f t="shared" si="48"/>
        <v>#REF!</v>
      </c>
      <c r="CP35" s="209" t="e">
        <f t="shared" si="49"/>
        <v>#REF!</v>
      </c>
      <c r="CQ35" s="209" t="e">
        <f t="shared" si="50"/>
        <v>#REF!</v>
      </c>
      <c r="CR35" s="209" t="e">
        <f t="shared" si="51"/>
        <v>#REF!</v>
      </c>
    </row>
    <row r="36" spans="1:96" x14ac:dyDescent="0.25">
      <c r="A36" s="13" t="s">
        <v>84</v>
      </c>
      <c r="B36" s="14" t="s">
        <v>85</v>
      </c>
      <c r="C36" s="4" t="s">
        <v>90</v>
      </c>
      <c r="D36" s="4" t="s">
        <v>91</v>
      </c>
      <c r="E36" s="11">
        <f>SUMIFS('ICB Core Baseline 2024-25'!Q:Q,'ICB Core Baseline 2024-25'!C:C,C36)</f>
        <v>3206852.1433185297</v>
      </c>
      <c r="F36" s="43" t="e">
        <f>SUMIFS(#REF!,#REF!,C36)</f>
        <v>#REF!</v>
      </c>
      <c r="H36" s="43" t="e">
        <f>SUMIFS(#REF!,#REF!,C36)</f>
        <v>#REF!</v>
      </c>
      <c r="I36" s="43" t="e">
        <f t="shared" si="6"/>
        <v>#REF!</v>
      </c>
      <c r="J36" s="43" t="e">
        <f t="shared" si="7"/>
        <v>#REF!</v>
      </c>
      <c r="K36" s="11" t="e">
        <f t="shared" si="0"/>
        <v>#REF!</v>
      </c>
      <c r="L36" s="11" t="e">
        <f t="shared" si="1"/>
        <v>#REF!</v>
      </c>
      <c r="M36" s="43" t="e">
        <f>SUMIFS(#REF!,#REF!,C36)</f>
        <v>#REF!</v>
      </c>
      <c r="N36" s="11" t="e">
        <f t="shared" si="2"/>
        <v>#REF!</v>
      </c>
      <c r="O36" s="43" t="e">
        <f t="shared" si="8"/>
        <v>#REF!</v>
      </c>
      <c r="P36" s="11" t="e">
        <f t="shared" si="3"/>
        <v>#REF!</v>
      </c>
      <c r="Q36" s="11" t="e">
        <f t="shared" si="9"/>
        <v>#REF!</v>
      </c>
      <c r="R36" s="11" t="e">
        <f t="shared" si="4"/>
        <v>#REF!</v>
      </c>
      <c r="S36" s="257" t="e">
        <f t="shared" si="10"/>
        <v>#REF!</v>
      </c>
      <c r="T36" s="11" t="e">
        <f>(SUMIFS(#REF!,#REF!,C36)/SUMIFS(#REF!,#REF!,C36))*1000</f>
        <v>#REF!</v>
      </c>
      <c r="U36" s="11" t="e">
        <f t="shared" si="11"/>
        <v>#REF!</v>
      </c>
      <c r="V36" s="11"/>
      <c r="W36" s="11" t="e">
        <f t="shared" si="12"/>
        <v>#REF!</v>
      </c>
      <c r="X36" s="11" t="e">
        <f t="shared" si="13"/>
        <v>#REF!</v>
      </c>
      <c r="Y36" s="43" t="e">
        <f t="shared" si="14"/>
        <v>#REF!</v>
      </c>
      <c r="Z36" s="43" t="e">
        <f ca="1">OFFSET(#REF!,MATCH(C36,#REF!,0)+1,0)</f>
        <v>#REF!</v>
      </c>
      <c r="AA36" s="43" t="e">
        <f t="shared" ca="1" si="15"/>
        <v>#REF!</v>
      </c>
      <c r="AB36" s="43" t="e">
        <f t="shared" si="5"/>
        <v>#REF!</v>
      </c>
      <c r="AC36" s="11" t="e">
        <f>SUMIFS(#REF!,#REF!,C36)/(1+1.8%)*(1+1.8%+2.3%)</f>
        <v>#REF!</v>
      </c>
      <c r="AD36" s="11" t="e">
        <f t="shared" si="16"/>
        <v>#REF!</v>
      </c>
      <c r="AE36" s="64"/>
      <c r="AF36" s="11" t="e">
        <f>(SUMIFS(#REF!,#REF!,C36)/(1+1.8%))*(1+1.8%+2.3%)</f>
        <v>#REF!</v>
      </c>
      <c r="AG36" s="11" t="e">
        <f>-SUMIFS(#REF!,#REF!,C36)/1000</f>
        <v>#REF!</v>
      </c>
      <c r="AH36" s="11" t="e">
        <f>SUMIFS(#REF!,#REF!,C36)</f>
        <v>#REF!</v>
      </c>
      <c r="AI36" s="11" t="e">
        <f>SUMIFS(#REF!,#REF!,C36)</f>
        <v>#REF!</v>
      </c>
      <c r="AJ36" s="11" t="e">
        <f>SUMIFS(#REF!,#REF!,C36)</f>
        <v>#REF!</v>
      </c>
      <c r="AK36" s="11" t="e">
        <f>SUMIFS(#REF!,#REF!,C36)</f>
        <v>#REF!</v>
      </c>
      <c r="AL36" s="11"/>
      <c r="AM36" s="11" t="e">
        <f t="shared" si="17"/>
        <v>#REF!</v>
      </c>
      <c r="AO36" s="11" t="e">
        <f t="shared" si="18"/>
        <v>#REF!</v>
      </c>
      <c r="AP36" s="11" t="e">
        <f t="shared" si="19"/>
        <v>#REF!</v>
      </c>
      <c r="AR36" s="11" t="e">
        <f t="shared" si="20"/>
        <v>#REF!</v>
      </c>
      <c r="AT36" s="43" t="e">
        <f t="shared" si="21"/>
        <v>#REF!</v>
      </c>
      <c r="AU36" s="11" t="e">
        <f t="shared" si="22"/>
        <v>#REF!</v>
      </c>
      <c r="AW36" s="11" t="e">
        <f>'Share of £1bn'!$F$20*1000*$AP36/$AP$57</f>
        <v>#REF!</v>
      </c>
      <c r="AX36" s="11" t="e">
        <f>'Share of £1bn'!$F$27*1000*$AP36/$AP$57</f>
        <v>#REF!</v>
      </c>
      <c r="AY36" s="11" t="e">
        <f>'Share of £1bn'!$F$21*1000*$AP36/$AP$57</f>
        <v>#REF!</v>
      </c>
      <c r="BA36" s="11" t="e">
        <f>'Share of £1bn'!$F$43*1000*AP36/$AP$57</f>
        <v>#REF!</v>
      </c>
      <c r="BB36" s="11" t="e">
        <f>'Share of £1bn'!$F$50*1000*$AP36/$AP$57</f>
        <v>#REF!</v>
      </c>
      <c r="BC36" s="11" t="e">
        <f>'Share of £1bn'!$F$44*1000*AP36/$AP$57</f>
        <v>#REF!</v>
      </c>
      <c r="BE36" s="11" t="e">
        <f>'Share of £1bn'!$F$67*1000*AP36/$AP$57</f>
        <v>#REF!</v>
      </c>
      <c r="BG36" s="11">
        <f>SUMIFS('20-11 M6 deficits'!$BO:$BO,'20-11 M6 deficits'!$C:$C,$C36)*1000</f>
        <v>-130000</v>
      </c>
      <c r="BI36" s="11" t="e">
        <f t="shared" si="23"/>
        <v>#REF!</v>
      </c>
      <c r="BJ36" s="11" t="e">
        <f t="shared" si="24"/>
        <v>#REF!</v>
      </c>
      <c r="BK36" s="11" t="e">
        <f t="shared" si="25"/>
        <v>#REF!</v>
      </c>
      <c r="BL36" s="11" t="e">
        <f t="shared" si="26"/>
        <v>#REF!</v>
      </c>
      <c r="BM36" s="11" t="e">
        <f t="shared" si="27"/>
        <v>#REF!</v>
      </c>
      <c r="BO36" s="11" t="e">
        <f t="shared" si="28"/>
        <v>#REF!</v>
      </c>
      <c r="BP36" s="11" t="e">
        <f t="shared" si="29"/>
        <v>#REF!</v>
      </c>
      <c r="BQ36" s="11" t="e">
        <f t="shared" si="30"/>
        <v>#REF!</v>
      </c>
      <c r="BR36" s="11" t="e">
        <f t="shared" si="31"/>
        <v>#REF!</v>
      </c>
      <c r="BS36" s="11" t="e">
        <f t="shared" si="32"/>
        <v>#REF!</v>
      </c>
      <c r="BU36" s="11" t="e">
        <f t="shared" si="52"/>
        <v>#REF!</v>
      </c>
      <c r="BV36" s="11" t="e">
        <f t="shared" si="33"/>
        <v>#REF!</v>
      </c>
      <c r="BW36" s="11" t="e">
        <f t="shared" si="34"/>
        <v>#REF!</v>
      </c>
      <c r="BX36" s="11" t="e">
        <f t="shared" si="35"/>
        <v>#REF!</v>
      </c>
      <c r="BY36" s="11" t="e">
        <f t="shared" si="36"/>
        <v>#REF!</v>
      </c>
      <c r="CA36" s="11" t="e">
        <f t="shared" si="37"/>
        <v>#REF!</v>
      </c>
      <c r="CB36" s="11" t="e">
        <f t="shared" si="38"/>
        <v>#REF!</v>
      </c>
      <c r="CC36" s="11" t="e">
        <f t="shared" si="39"/>
        <v>#REF!</v>
      </c>
      <c r="CD36" s="11" t="e">
        <f t="shared" si="40"/>
        <v>#REF!</v>
      </c>
      <c r="CE36" s="11" t="e">
        <f t="shared" si="41"/>
        <v>#REF!</v>
      </c>
      <c r="CG36" s="11" t="e">
        <f t="shared" si="42"/>
        <v>#REF!</v>
      </c>
      <c r="CH36" s="11" t="e">
        <f t="shared" si="43"/>
        <v>#REF!</v>
      </c>
      <c r="CI36" s="11" t="e">
        <f t="shared" si="44"/>
        <v>#REF!</v>
      </c>
      <c r="CJ36" s="11" t="e">
        <f t="shared" si="45"/>
        <v>#REF!</v>
      </c>
      <c r="CK36" s="11" t="e">
        <f t="shared" si="46"/>
        <v>#REF!</v>
      </c>
      <c r="CN36" s="209">
        <f t="shared" si="47"/>
        <v>8.2234389877406971E-2</v>
      </c>
      <c r="CO36" s="209" t="e">
        <f t="shared" si="48"/>
        <v>#REF!</v>
      </c>
      <c r="CP36" s="209" t="e">
        <f t="shared" si="49"/>
        <v>#REF!</v>
      </c>
      <c r="CQ36" s="209" t="e">
        <f t="shared" si="50"/>
        <v>#REF!</v>
      </c>
      <c r="CR36" s="209" t="e">
        <f t="shared" si="51"/>
        <v>#REF!</v>
      </c>
    </row>
    <row r="37" spans="1:96" x14ac:dyDescent="0.25">
      <c r="A37" s="13" t="s">
        <v>84</v>
      </c>
      <c r="B37" s="14" t="s">
        <v>85</v>
      </c>
      <c r="C37" s="4" t="s">
        <v>92</v>
      </c>
      <c r="D37" s="4" t="s">
        <v>93</v>
      </c>
      <c r="E37" s="11">
        <f>SUMIFS('ICB Core Baseline 2024-25'!Q:Q,'ICB Core Baseline 2024-25'!C:C,C37)</f>
        <v>3320649.430494213</v>
      </c>
      <c r="F37" s="43" t="e">
        <f>SUMIFS(#REF!,#REF!,C37)</f>
        <v>#REF!</v>
      </c>
      <c r="H37" s="43" t="e">
        <f>SUMIFS(#REF!,#REF!,C37)</f>
        <v>#REF!</v>
      </c>
      <c r="I37" s="43" t="e">
        <f t="shared" si="6"/>
        <v>#REF!</v>
      </c>
      <c r="J37" s="43" t="e">
        <f t="shared" si="7"/>
        <v>#REF!</v>
      </c>
      <c r="K37" s="11" t="e">
        <f t="shared" si="0"/>
        <v>#REF!</v>
      </c>
      <c r="L37" s="11" t="e">
        <f t="shared" si="1"/>
        <v>#REF!</v>
      </c>
      <c r="M37" s="43" t="e">
        <f>SUMIFS(#REF!,#REF!,C37)</f>
        <v>#REF!</v>
      </c>
      <c r="N37" s="11" t="e">
        <f t="shared" si="2"/>
        <v>#REF!</v>
      </c>
      <c r="O37" s="43" t="e">
        <f t="shared" si="8"/>
        <v>#REF!</v>
      </c>
      <c r="P37" s="11" t="e">
        <f t="shared" si="3"/>
        <v>#REF!</v>
      </c>
      <c r="Q37" s="11" t="e">
        <f t="shared" si="9"/>
        <v>#REF!</v>
      </c>
      <c r="R37" s="11" t="e">
        <f t="shared" si="4"/>
        <v>#REF!</v>
      </c>
      <c r="S37" s="257" t="e">
        <f t="shared" si="10"/>
        <v>#REF!</v>
      </c>
      <c r="T37" s="11" t="e">
        <f>(SUMIFS(#REF!,#REF!,C37)/SUMIFS(#REF!,#REF!,C37))*1000</f>
        <v>#REF!</v>
      </c>
      <c r="U37" s="11" t="e">
        <f t="shared" si="11"/>
        <v>#REF!</v>
      </c>
      <c r="V37" s="11"/>
      <c r="W37" s="11" t="e">
        <f t="shared" si="12"/>
        <v>#REF!</v>
      </c>
      <c r="X37" s="11" t="e">
        <f t="shared" si="13"/>
        <v>#REF!</v>
      </c>
      <c r="Y37" s="43" t="e">
        <f t="shared" si="14"/>
        <v>#REF!</v>
      </c>
      <c r="Z37" s="43" t="e">
        <f ca="1">OFFSET(#REF!,MATCH(C37,#REF!,0)+1,0)</f>
        <v>#REF!</v>
      </c>
      <c r="AA37" s="43" t="e">
        <f t="shared" ca="1" si="15"/>
        <v>#REF!</v>
      </c>
      <c r="AB37" s="43" t="e">
        <f t="shared" si="5"/>
        <v>#REF!</v>
      </c>
      <c r="AC37" s="11" t="e">
        <f>SUMIFS(#REF!,#REF!,C37)/(1+1.8%)*(1+1.8%+2.3%)</f>
        <v>#REF!</v>
      </c>
      <c r="AD37" s="11" t="e">
        <f t="shared" si="16"/>
        <v>#REF!</v>
      </c>
      <c r="AE37" s="64"/>
      <c r="AF37" s="11" t="e">
        <f>(SUMIFS(#REF!,#REF!,C37)/(1+1.8%))*(1+1.8%+2.3%)</f>
        <v>#REF!</v>
      </c>
      <c r="AG37" s="11" t="e">
        <f>-SUMIFS(#REF!,#REF!,C37)/1000</f>
        <v>#REF!</v>
      </c>
      <c r="AH37" s="11" t="e">
        <f>SUMIFS(#REF!,#REF!,C37)</f>
        <v>#REF!</v>
      </c>
      <c r="AI37" s="11" t="e">
        <f>SUMIFS(#REF!,#REF!,C37)</f>
        <v>#REF!</v>
      </c>
      <c r="AJ37" s="11" t="e">
        <f>SUMIFS(#REF!,#REF!,C37)</f>
        <v>#REF!</v>
      </c>
      <c r="AK37" s="11" t="e">
        <f>SUMIFS(#REF!,#REF!,C37)</f>
        <v>#REF!</v>
      </c>
      <c r="AL37" s="11"/>
      <c r="AM37" s="11" t="e">
        <f t="shared" si="17"/>
        <v>#REF!</v>
      </c>
      <c r="AO37" s="11" t="e">
        <f t="shared" si="18"/>
        <v>#REF!</v>
      </c>
      <c r="AP37" s="11" t="e">
        <f t="shared" si="19"/>
        <v>#REF!</v>
      </c>
      <c r="AR37" s="11" t="e">
        <f t="shared" si="20"/>
        <v>#REF!</v>
      </c>
      <c r="AT37" s="43" t="e">
        <f t="shared" si="21"/>
        <v>#REF!</v>
      </c>
      <c r="AU37" s="11" t="e">
        <f t="shared" si="22"/>
        <v>#REF!</v>
      </c>
      <c r="AW37" s="11" t="e">
        <f>'Share of £1bn'!$F$20*1000*$AP37/$AP$57</f>
        <v>#REF!</v>
      </c>
      <c r="AX37" s="11" t="e">
        <f>'Share of £1bn'!$F$27*1000*$AP37/$AP$57</f>
        <v>#REF!</v>
      </c>
      <c r="AY37" s="11" t="e">
        <f>'Share of £1bn'!$F$21*1000*$AP37/$AP$57</f>
        <v>#REF!</v>
      </c>
      <c r="BA37" s="11" t="e">
        <f>'Share of £1bn'!$F$43*1000*AP37/$AP$57</f>
        <v>#REF!</v>
      </c>
      <c r="BB37" s="11" t="e">
        <f>'Share of £1bn'!$F$50*1000*$AP37/$AP$57</f>
        <v>#REF!</v>
      </c>
      <c r="BC37" s="11" t="e">
        <f>'Share of £1bn'!$F$44*1000*AP37/$AP$57</f>
        <v>#REF!</v>
      </c>
      <c r="BE37" s="11" t="e">
        <f>'Share of £1bn'!$F$67*1000*AP37/$AP$57</f>
        <v>#REF!</v>
      </c>
      <c r="BG37" s="11">
        <f>SUMIFS('20-11 M6 deficits'!$BO:$BO,'20-11 M6 deficits'!$C:$C,$C37)*1000</f>
        <v>-100000</v>
      </c>
      <c r="BI37" s="11" t="e">
        <f t="shared" si="23"/>
        <v>#REF!</v>
      </c>
      <c r="BJ37" s="11" t="e">
        <f t="shared" si="24"/>
        <v>#REF!</v>
      </c>
      <c r="BK37" s="11" t="e">
        <f t="shared" si="25"/>
        <v>#REF!</v>
      </c>
      <c r="BL37" s="11" t="e">
        <f t="shared" si="26"/>
        <v>#REF!</v>
      </c>
      <c r="BM37" s="11" t="e">
        <f t="shared" si="27"/>
        <v>#REF!</v>
      </c>
      <c r="BO37" s="11" t="e">
        <f t="shared" si="28"/>
        <v>#REF!</v>
      </c>
      <c r="BP37" s="11" t="e">
        <f t="shared" si="29"/>
        <v>#REF!</v>
      </c>
      <c r="BQ37" s="11" t="e">
        <f t="shared" si="30"/>
        <v>#REF!</v>
      </c>
      <c r="BR37" s="11" t="e">
        <f t="shared" si="31"/>
        <v>#REF!</v>
      </c>
      <c r="BS37" s="11" t="e">
        <f t="shared" si="32"/>
        <v>#REF!</v>
      </c>
      <c r="BU37" s="11" t="e">
        <f t="shared" si="52"/>
        <v>#REF!</v>
      </c>
      <c r="BV37" s="11" t="e">
        <f t="shared" si="33"/>
        <v>#REF!</v>
      </c>
      <c r="BW37" s="11" t="e">
        <f t="shared" si="34"/>
        <v>#REF!</v>
      </c>
      <c r="BX37" s="11" t="e">
        <f t="shared" si="35"/>
        <v>#REF!</v>
      </c>
      <c r="BY37" s="11" t="e">
        <f t="shared" si="36"/>
        <v>#REF!</v>
      </c>
      <c r="CA37" s="11" t="e">
        <f t="shared" si="37"/>
        <v>#REF!</v>
      </c>
      <c r="CB37" s="11" t="e">
        <f t="shared" si="38"/>
        <v>#REF!</v>
      </c>
      <c r="CC37" s="11" t="e">
        <f t="shared" si="39"/>
        <v>#REF!</v>
      </c>
      <c r="CD37" s="11" t="e">
        <f t="shared" si="40"/>
        <v>#REF!</v>
      </c>
      <c r="CE37" s="11" t="e">
        <f t="shared" si="41"/>
        <v>#REF!</v>
      </c>
      <c r="CG37" s="11" t="e">
        <f t="shared" si="42"/>
        <v>#REF!</v>
      </c>
      <c r="CH37" s="11" t="e">
        <f t="shared" si="43"/>
        <v>#REF!</v>
      </c>
      <c r="CI37" s="11" t="e">
        <f t="shared" si="44"/>
        <v>#REF!</v>
      </c>
      <c r="CJ37" s="11" t="e">
        <f t="shared" si="45"/>
        <v>#REF!</v>
      </c>
      <c r="CK37" s="11" t="e">
        <f t="shared" si="46"/>
        <v>#REF!</v>
      </c>
      <c r="CN37" s="209">
        <f t="shared" si="47"/>
        <v>6.325722298262075E-2</v>
      </c>
      <c r="CO37" s="209" t="e">
        <f t="shared" si="48"/>
        <v>#REF!</v>
      </c>
      <c r="CP37" s="209" t="e">
        <f t="shared" si="49"/>
        <v>#REF!</v>
      </c>
      <c r="CQ37" s="209" t="e">
        <f t="shared" si="50"/>
        <v>#REF!</v>
      </c>
      <c r="CR37" s="209" t="e">
        <f t="shared" si="51"/>
        <v>#REF!</v>
      </c>
    </row>
    <row r="38" spans="1:96" x14ac:dyDescent="0.25">
      <c r="A38" s="13" t="s">
        <v>84</v>
      </c>
      <c r="B38" s="14" t="s">
        <v>85</v>
      </c>
      <c r="C38" s="4" t="s">
        <v>94</v>
      </c>
      <c r="D38" s="4" t="s">
        <v>95</v>
      </c>
      <c r="E38" s="11">
        <f>SUMIFS('ICB Core Baseline 2024-25'!Q:Q,'ICB Core Baseline 2024-25'!C:C,C38)</f>
        <v>1831234.3662092758</v>
      </c>
      <c r="F38" s="43" t="e">
        <f>SUMIFS(#REF!,#REF!,C38)</f>
        <v>#REF!</v>
      </c>
      <c r="H38" s="43" t="e">
        <f>SUMIFS(#REF!,#REF!,C38)</f>
        <v>#REF!</v>
      </c>
      <c r="I38" s="43" t="e">
        <f t="shared" si="6"/>
        <v>#REF!</v>
      </c>
      <c r="J38" s="43" t="e">
        <f t="shared" si="7"/>
        <v>#REF!</v>
      </c>
      <c r="K38" s="11" t="e">
        <f t="shared" si="0"/>
        <v>#REF!</v>
      </c>
      <c r="L38" s="11" t="e">
        <f t="shared" si="1"/>
        <v>#REF!</v>
      </c>
      <c r="M38" s="43" t="e">
        <f>SUMIFS(#REF!,#REF!,C38)</f>
        <v>#REF!</v>
      </c>
      <c r="N38" s="11" t="e">
        <f t="shared" si="2"/>
        <v>#REF!</v>
      </c>
      <c r="O38" s="43" t="e">
        <f t="shared" si="8"/>
        <v>#REF!</v>
      </c>
      <c r="P38" s="11" t="e">
        <f t="shared" si="3"/>
        <v>#REF!</v>
      </c>
      <c r="Q38" s="11" t="e">
        <f t="shared" si="9"/>
        <v>#REF!</v>
      </c>
      <c r="R38" s="11" t="e">
        <f t="shared" si="4"/>
        <v>#REF!</v>
      </c>
      <c r="S38" s="257" t="e">
        <f t="shared" si="10"/>
        <v>#REF!</v>
      </c>
      <c r="T38" s="11" t="e">
        <f>(SUMIFS(#REF!,#REF!,C38)/SUMIFS(#REF!,#REF!,C38))*1000</f>
        <v>#REF!</v>
      </c>
      <c r="U38" s="11" t="e">
        <f t="shared" si="11"/>
        <v>#REF!</v>
      </c>
      <c r="V38" s="11"/>
      <c r="W38" s="11" t="e">
        <f t="shared" si="12"/>
        <v>#REF!</v>
      </c>
      <c r="X38" s="11" t="e">
        <f t="shared" si="13"/>
        <v>#REF!</v>
      </c>
      <c r="Y38" s="43" t="e">
        <f t="shared" si="14"/>
        <v>#REF!</v>
      </c>
      <c r="Z38" s="43" t="e">
        <f ca="1">OFFSET(#REF!,MATCH(C38,#REF!,0)+1,0)</f>
        <v>#REF!</v>
      </c>
      <c r="AA38" s="43" t="e">
        <f t="shared" ca="1" si="15"/>
        <v>#REF!</v>
      </c>
      <c r="AB38" s="43" t="e">
        <f t="shared" si="5"/>
        <v>#REF!</v>
      </c>
      <c r="AC38" s="11" t="e">
        <f>SUMIFS(#REF!,#REF!,C38)/(1+1.8%)*(1+1.8%+2.3%)</f>
        <v>#REF!</v>
      </c>
      <c r="AD38" s="11" t="e">
        <f t="shared" si="16"/>
        <v>#REF!</v>
      </c>
      <c r="AE38" s="64"/>
      <c r="AF38" s="11" t="e">
        <f>(SUMIFS(#REF!,#REF!,C38)/(1+1.8%))*(1+1.8%+2.3%)</f>
        <v>#REF!</v>
      </c>
      <c r="AG38" s="11" t="e">
        <f>-SUMIFS(#REF!,#REF!,C38)/1000</f>
        <v>#REF!</v>
      </c>
      <c r="AH38" s="11" t="e">
        <f>SUMIFS(#REF!,#REF!,C38)</f>
        <v>#REF!</v>
      </c>
      <c r="AI38" s="11" t="e">
        <f>SUMIFS(#REF!,#REF!,C38)</f>
        <v>#REF!</v>
      </c>
      <c r="AJ38" s="11" t="e">
        <f>SUMIFS(#REF!,#REF!,C38)</f>
        <v>#REF!</v>
      </c>
      <c r="AK38" s="11" t="e">
        <f>SUMIFS(#REF!,#REF!,C38)</f>
        <v>#REF!</v>
      </c>
      <c r="AL38" s="11"/>
      <c r="AM38" s="11" t="e">
        <f t="shared" si="17"/>
        <v>#REF!</v>
      </c>
      <c r="AO38" s="11" t="e">
        <f t="shared" si="18"/>
        <v>#REF!</v>
      </c>
      <c r="AP38" s="11" t="e">
        <f t="shared" si="19"/>
        <v>#REF!</v>
      </c>
      <c r="AR38" s="11" t="e">
        <f t="shared" si="20"/>
        <v>#REF!</v>
      </c>
      <c r="AT38" s="43" t="e">
        <f t="shared" si="21"/>
        <v>#REF!</v>
      </c>
      <c r="AU38" s="11" t="e">
        <f t="shared" si="22"/>
        <v>#REF!</v>
      </c>
      <c r="AW38" s="11" t="e">
        <f>'Share of £1bn'!$F$20*1000*$AP38/$AP$57</f>
        <v>#REF!</v>
      </c>
      <c r="AX38" s="11" t="e">
        <f>'Share of £1bn'!$F$27*1000*$AP38/$AP$57</f>
        <v>#REF!</v>
      </c>
      <c r="AY38" s="11" t="e">
        <f>'Share of £1bn'!$F$21*1000*$AP38/$AP$57</f>
        <v>#REF!</v>
      </c>
      <c r="BA38" s="11" t="e">
        <f>'Share of £1bn'!$F$43*1000*AP38/$AP$57</f>
        <v>#REF!</v>
      </c>
      <c r="BB38" s="11" t="e">
        <f>'Share of £1bn'!$F$50*1000*$AP38/$AP$57</f>
        <v>#REF!</v>
      </c>
      <c r="BC38" s="11" t="e">
        <f>'Share of £1bn'!$F$44*1000*AP38/$AP$57</f>
        <v>#REF!</v>
      </c>
      <c r="BE38" s="11" t="e">
        <f>'Share of £1bn'!$F$67*1000*AP38/$AP$57</f>
        <v>#REF!</v>
      </c>
      <c r="BG38" s="11">
        <f>SUMIFS('20-11 M6 deficits'!$BO:$BO,'20-11 M6 deficits'!$C:$C,$C38)*1000</f>
        <v>0</v>
      </c>
      <c r="BI38" s="11" t="e">
        <f t="shared" si="23"/>
        <v>#REF!</v>
      </c>
      <c r="BJ38" s="11" t="e">
        <f t="shared" si="24"/>
        <v>#REF!</v>
      </c>
      <c r="BK38" s="11" t="e">
        <f t="shared" si="25"/>
        <v>#REF!</v>
      </c>
      <c r="BL38" s="11" t="e">
        <f t="shared" si="26"/>
        <v>#REF!</v>
      </c>
      <c r="BM38" s="11" t="e">
        <f t="shared" si="27"/>
        <v>#REF!</v>
      </c>
      <c r="BO38" s="11" t="e">
        <f t="shared" si="28"/>
        <v>#REF!</v>
      </c>
      <c r="BP38" s="11" t="e">
        <f t="shared" si="29"/>
        <v>#REF!</v>
      </c>
      <c r="BQ38" s="11" t="e">
        <f t="shared" si="30"/>
        <v>#REF!</v>
      </c>
      <c r="BR38" s="11" t="e">
        <f t="shared" si="31"/>
        <v>#REF!</v>
      </c>
      <c r="BS38" s="11" t="e">
        <f t="shared" si="32"/>
        <v>#REF!</v>
      </c>
      <c r="BU38" s="11" t="e">
        <f t="shared" si="52"/>
        <v>#REF!</v>
      </c>
      <c r="BV38" s="11" t="e">
        <f t="shared" si="33"/>
        <v>#REF!</v>
      </c>
      <c r="BW38" s="11" t="e">
        <f t="shared" si="34"/>
        <v>#REF!</v>
      </c>
      <c r="BX38" s="11" t="e">
        <f t="shared" si="35"/>
        <v>#REF!</v>
      </c>
      <c r="BY38" s="11" t="e">
        <f t="shared" si="36"/>
        <v>#REF!</v>
      </c>
      <c r="CA38" s="11" t="e">
        <f t="shared" si="37"/>
        <v>#REF!</v>
      </c>
      <c r="CB38" s="11" t="e">
        <f t="shared" si="38"/>
        <v>#REF!</v>
      </c>
      <c r="CC38" s="11" t="e">
        <f t="shared" si="39"/>
        <v>#REF!</v>
      </c>
      <c r="CD38" s="11" t="e">
        <f t="shared" si="40"/>
        <v>#REF!</v>
      </c>
      <c r="CE38" s="11" t="e">
        <f t="shared" si="41"/>
        <v>#REF!</v>
      </c>
      <c r="CG38" s="11" t="e">
        <f t="shared" si="42"/>
        <v>#REF!</v>
      </c>
      <c r="CH38" s="11" t="e">
        <f t="shared" si="43"/>
        <v>#REF!</v>
      </c>
      <c r="CI38" s="11" t="e">
        <f t="shared" si="44"/>
        <v>#REF!</v>
      </c>
      <c r="CJ38" s="11" t="e">
        <f t="shared" si="45"/>
        <v>#REF!</v>
      </c>
      <c r="CK38" s="11" t="e">
        <f t="shared" si="46"/>
        <v>#REF!</v>
      </c>
      <c r="CN38" s="209">
        <f t="shared" si="47"/>
        <v>0</v>
      </c>
      <c r="CO38" s="209" t="e">
        <f t="shared" si="48"/>
        <v>#REF!</v>
      </c>
      <c r="CP38" s="209" t="e">
        <f t="shared" si="49"/>
        <v>#REF!</v>
      </c>
      <c r="CQ38" s="209" t="e">
        <f t="shared" si="50"/>
        <v>#REF!</v>
      </c>
      <c r="CR38" s="209" t="e">
        <f t="shared" si="51"/>
        <v>#REF!</v>
      </c>
    </row>
    <row r="39" spans="1:96" x14ac:dyDescent="0.25">
      <c r="A39" s="15" t="s">
        <v>84</v>
      </c>
      <c r="B39" s="16" t="s">
        <v>85</v>
      </c>
      <c r="C39" s="17" t="s">
        <v>96</v>
      </c>
      <c r="D39" s="17" t="s">
        <v>97</v>
      </c>
      <c r="E39" s="18">
        <f>SUMIFS('ICB Core Baseline 2024-25'!Q:Q,'ICB Core Baseline 2024-25'!C:C,C39)</f>
        <v>3226653.8255152423</v>
      </c>
      <c r="F39" s="44" t="e">
        <f>SUMIFS(#REF!,#REF!,C39)</f>
        <v>#REF!</v>
      </c>
      <c r="H39" s="44" t="e">
        <f>SUMIFS(#REF!,#REF!,C39)</f>
        <v>#REF!</v>
      </c>
      <c r="I39" s="44" t="e">
        <f t="shared" si="6"/>
        <v>#REF!</v>
      </c>
      <c r="J39" s="44" t="e">
        <f t="shared" si="7"/>
        <v>#REF!</v>
      </c>
      <c r="K39" s="18" t="e">
        <f t="shared" si="0"/>
        <v>#REF!</v>
      </c>
      <c r="L39" s="18" t="e">
        <f t="shared" si="1"/>
        <v>#REF!</v>
      </c>
      <c r="M39" s="44" t="e">
        <f>SUMIFS(#REF!,#REF!,C39)</f>
        <v>#REF!</v>
      </c>
      <c r="N39" s="18" t="e">
        <f t="shared" si="2"/>
        <v>#REF!</v>
      </c>
      <c r="O39" s="44" t="e">
        <f t="shared" si="8"/>
        <v>#REF!</v>
      </c>
      <c r="P39" s="18" t="e">
        <f t="shared" si="3"/>
        <v>#REF!</v>
      </c>
      <c r="Q39" s="18" t="e">
        <f t="shared" si="9"/>
        <v>#REF!</v>
      </c>
      <c r="R39" s="18" t="e">
        <f t="shared" si="4"/>
        <v>#REF!</v>
      </c>
      <c r="S39" s="257" t="e">
        <f t="shared" si="10"/>
        <v>#REF!</v>
      </c>
      <c r="T39" s="18" t="e">
        <f>(SUMIFS(#REF!,#REF!,C39)/SUMIFS(#REF!,#REF!,C39))*1000</f>
        <v>#REF!</v>
      </c>
      <c r="U39" s="18" t="e">
        <f t="shared" si="11"/>
        <v>#REF!</v>
      </c>
      <c r="V39" s="18"/>
      <c r="W39" s="18" t="e">
        <f t="shared" si="12"/>
        <v>#REF!</v>
      </c>
      <c r="X39" s="18" t="e">
        <f t="shared" si="13"/>
        <v>#REF!</v>
      </c>
      <c r="Y39" s="44" t="e">
        <f t="shared" si="14"/>
        <v>#REF!</v>
      </c>
      <c r="Z39" s="44" t="e">
        <f ca="1">OFFSET(#REF!,MATCH(C39,#REF!,0)+1,0)</f>
        <v>#REF!</v>
      </c>
      <c r="AA39" s="44" t="e">
        <f t="shared" ca="1" si="15"/>
        <v>#REF!</v>
      </c>
      <c r="AB39" s="44" t="e">
        <f t="shared" si="5"/>
        <v>#REF!</v>
      </c>
      <c r="AC39" s="18" t="e">
        <f>SUMIFS(#REF!,#REF!,C39)/(1+1.8%)*(1+1.8%+2.3%)</f>
        <v>#REF!</v>
      </c>
      <c r="AD39" s="18" t="e">
        <f t="shared" si="16"/>
        <v>#REF!</v>
      </c>
      <c r="AE39" s="65"/>
      <c r="AF39" s="18" t="e">
        <f>(SUMIFS(#REF!,#REF!,C39)/(1+1.8%))*(1+1.8%+2.3%)</f>
        <v>#REF!</v>
      </c>
      <c r="AG39" s="18" t="e">
        <f>-SUMIFS(#REF!,#REF!,C39)/1000</f>
        <v>#REF!</v>
      </c>
      <c r="AH39" s="18" t="e">
        <f>SUMIFS(#REF!,#REF!,C39)</f>
        <v>#REF!</v>
      </c>
      <c r="AI39" s="18" t="e">
        <f>SUMIFS(#REF!,#REF!,C39)</f>
        <v>#REF!</v>
      </c>
      <c r="AJ39" s="18" t="e">
        <f>SUMIFS(#REF!,#REF!,C39)</f>
        <v>#REF!</v>
      </c>
      <c r="AK39" s="18" t="e">
        <f>SUMIFS(#REF!,#REF!,C39)</f>
        <v>#REF!</v>
      </c>
      <c r="AL39" s="18"/>
      <c r="AM39" s="18" t="e">
        <f t="shared" si="17"/>
        <v>#REF!</v>
      </c>
      <c r="AO39" s="18" t="e">
        <f t="shared" si="18"/>
        <v>#REF!</v>
      </c>
      <c r="AP39" s="18" t="e">
        <f t="shared" si="19"/>
        <v>#REF!</v>
      </c>
      <c r="AR39" s="18" t="e">
        <f t="shared" si="20"/>
        <v>#REF!</v>
      </c>
      <c r="AT39" s="44" t="e">
        <f t="shared" si="21"/>
        <v>#REF!</v>
      </c>
      <c r="AU39" s="18" t="e">
        <f t="shared" si="22"/>
        <v>#REF!</v>
      </c>
      <c r="AW39" s="18" t="e">
        <f>'Share of £1bn'!$F$20*1000*$AP39/$AP$57</f>
        <v>#REF!</v>
      </c>
      <c r="AX39" s="18" t="e">
        <f>'Share of £1bn'!$F$27*1000*$AP39/$AP$57</f>
        <v>#REF!</v>
      </c>
      <c r="AY39" s="18" t="e">
        <f>'Share of £1bn'!$F$21*1000*$AP39/$AP$57</f>
        <v>#REF!</v>
      </c>
      <c r="BA39" s="18" t="e">
        <f>'Share of £1bn'!$F$43*1000*AP39/$AP$57</f>
        <v>#REF!</v>
      </c>
      <c r="BB39" s="18" t="e">
        <f>'Share of £1bn'!$F$50*1000*$AP39/$AP$57</f>
        <v>#REF!</v>
      </c>
      <c r="BC39" s="18" t="e">
        <f>'Share of £1bn'!$F$44*1000*AP39/$AP$57</f>
        <v>#REF!</v>
      </c>
      <c r="BE39" s="18" t="e">
        <f>'Share of £1bn'!$F$67*1000*AP39/$AP$57</f>
        <v>#REF!</v>
      </c>
      <c r="BG39" s="11">
        <f>SUMIFS('20-11 M6 deficits'!$BO:$BO,'20-11 M6 deficits'!$C:$C,$C39)*1000</f>
        <v>-40000</v>
      </c>
      <c r="BI39" s="18" t="e">
        <f t="shared" si="23"/>
        <v>#REF!</v>
      </c>
      <c r="BJ39" s="18" t="e">
        <f t="shared" si="24"/>
        <v>#REF!</v>
      </c>
      <c r="BK39" s="18" t="e">
        <f t="shared" si="25"/>
        <v>#REF!</v>
      </c>
      <c r="BL39" s="18" t="e">
        <f t="shared" si="26"/>
        <v>#REF!</v>
      </c>
      <c r="BM39" s="18" t="e">
        <f t="shared" si="27"/>
        <v>#REF!</v>
      </c>
      <c r="BO39" s="18" t="e">
        <f t="shared" si="28"/>
        <v>#REF!</v>
      </c>
      <c r="BP39" s="18" t="e">
        <f t="shared" si="29"/>
        <v>#REF!</v>
      </c>
      <c r="BQ39" s="18" t="e">
        <f t="shared" si="30"/>
        <v>#REF!</v>
      </c>
      <c r="BR39" s="18" t="e">
        <f t="shared" si="31"/>
        <v>#REF!</v>
      </c>
      <c r="BS39" s="18" t="e">
        <f t="shared" si="32"/>
        <v>#REF!</v>
      </c>
      <c r="BU39" s="18" t="e">
        <f t="shared" si="52"/>
        <v>#REF!</v>
      </c>
      <c r="BV39" s="18" t="e">
        <f t="shared" si="33"/>
        <v>#REF!</v>
      </c>
      <c r="BW39" s="18" t="e">
        <f t="shared" si="34"/>
        <v>#REF!</v>
      </c>
      <c r="BX39" s="18" t="e">
        <f t="shared" si="35"/>
        <v>#REF!</v>
      </c>
      <c r="BY39" s="18" t="e">
        <f t="shared" si="36"/>
        <v>#REF!</v>
      </c>
      <c r="CA39" s="18" t="e">
        <f t="shared" si="37"/>
        <v>#REF!</v>
      </c>
      <c r="CB39" s="18" t="e">
        <f t="shared" si="38"/>
        <v>#REF!</v>
      </c>
      <c r="CC39" s="18" t="e">
        <f t="shared" si="39"/>
        <v>#REF!</v>
      </c>
      <c r="CD39" s="18" t="e">
        <f t="shared" si="40"/>
        <v>#REF!</v>
      </c>
      <c r="CE39" s="18" t="e">
        <f t="shared" si="41"/>
        <v>#REF!</v>
      </c>
      <c r="CG39" s="18" t="e">
        <f t="shared" si="42"/>
        <v>#REF!</v>
      </c>
      <c r="CH39" s="18" t="e">
        <f t="shared" si="43"/>
        <v>#REF!</v>
      </c>
      <c r="CI39" s="18" t="e">
        <f t="shared" si="44"/>
        <v>#REF!</v>
      </c>
      <c r="CJ39" s="18" t="e">
        <f t="shared" si="45"/>
        <v>#REF!</v>
      </c>
      <c r="CK39" s="18" t="e">
        <f t="shared" si="46"/>
        <v>#REF!</v>
      </c>
      <c r="CN39" s="209">
        <f t="shared" si="47"/>
        <v>2.5302889193048302E-2</v>
      </c>
      <c r="CO39" s="209" t="e">
        <f t="shared" si="48"/>
        <v>#REF!</v>
      </c>
      <c r="CP39" s="209" t="e">
        <f t="shared" si="49"/>
        <v>#REF!</v>
      </c>
      <c r="CQ39" s="209" t="e">
        <f t="shared" si="50"/>
        <v>#REF!</v>
      </c>
      <c r="CR39" s="209" t="e">
        <f t="shared" si="51"/>
        <v>#REF!</v>
      </c>
    </row>
    <row r="40" spans="1:96" x14ac:dyDescent="0.25">
      <c r="A40" s="10" t="s">
        <v>98</v>
      </c>
      <c r="B40" s="4" t="s">
        <v>99</v>
      </c>
      <c r="C40" s="4" t="s">
        <v>100</v>
      </c>
      <c r="D40" s="4" t="s">
        <v>101</v>
      </c>
      <c r="E40" s="11">
        <f>SUMIFS('ICB Core Baseline 2024-25'!Q:Q,'ICB Core Baseline 2024-25'!C:C,C40)</f>
        <v>1531973.7598892734</v>
      </c>
      <c r="F40" s="43" t="e">
        <f>SUMIFS(#REF!,#REF!,C40)</f>
        <v>#REF!</v>
      </c>
      <c r="H40" s="43" t="e">
        <f>SUMIFS(#REF!,#REF!,C40)</f>
        <v>#REF!</v>
      </c>
      <c r="I40" s="43" t="e">
        <f t="shared" si="6"/>
        <v>#REF!</v>
      </c>
      <c r="J40" s="43" t="e">
        <f t="shared" si="7"/>
        <v>#REF!</v>
      </c>
      <c r="K40" s="11" t="e">
        <f t="shared" si="0"/>
        <v>#REF!</v>
      </c>
      <c r="L40" s="11" t="e">
        <f t="shared" si="1"/>
        <v>#REF!</v>
      </c>
      <c r="M40" s="43" t="e">
        <f>SUMIFS(#REF!,#REF!,C40)</f>
        <v>#REF!</v>
      </c>
      <c r="N40" s="11" t="e">
        <f t="shared" si="2"/>
        <v>#REF!</v>
      </c>
      <c r="O40" s="43" t="e">
        <f t="shared" si="8"/>
        <v>#REF!</v>
      </c>
      <c r="P40" s="11" t="e">
        <f t="shared" si="3"/>
        <v>#REF!</v>
      </c>
      <c r="Q40" s="11" t="e">
        <f t="shared" si="9"/>
        <v>#REF!</v>
      </c>
      <c r="R40" s="11" t="e">
        <f t="shared" si="4"/>
        <v>#REF!</v>
      </c>
      <c r="S40" s="257" t="e">
        <f t="shared" si="10"/>
        <v>#REF!</v>
      </c>
      <c r="T40" s="11" t="e">
        <f>(SUMIFS(#REF!,#REF!,C40)/SUMIFS(#REF!,#REF!,C40))*1000</f>
        <v>#REF!</v>
      </c>
      <c r="U40" s="11" t="e">
        <f t="shared" si="11"/>
        <v>#REF!</v>
      </c>
      <c r="V40" s="11"/>
      <c r="W40" s="11" t="e">
        <f t="shared" si="12"/>
        <v>#REF!</v>
      </c>
      <c r="X40" s="11" t="e">
        <f t="shared" si="13"/>
        <v>#REF!</v>
      </c>
      <c r="Y40" s="43" t="e">
        <f t="shared" si="14"/>
        <v>#REF!</v>
      </c>
      <c r="Z40" s="43" t="e">
        <f ca="1">OFFSET(#REF!,MATCH(C40,#REF!,0)+1,0)</f>
        <v>#REF!</v>
      </c>
      <c r="AA40" s="43" t="e">
        <f t="shared" ca="1" si="15"/>
        <v>#REF!</v>
      </c>
      <c r="AB40" s="43" t="e">
        <f t="shared" si="5"/>
        <v>#REF!</v>
      </c>
      <c r="AC40" s="11" t="e">
        <f>SUMIFS(#REF!,#REF!,C40)/(1+1.8%)*(1+1.8%+2.3%)</f>
        <v>#REF!</v>
      </c>
      <c r="AD40" s="11" t="e">
        <f t="shared" si="16"/>
        <v>#REF!</v>
      </c>
      <c r="AE40" s="64"/>
      <c r="AF40" s="11" t="e">
        <f>(SUMIFS(#REF!,#REF!,C40)/(1+1.8%))*(1+1.8%+2.3%)</f>
        <v>#REF!</v>
      </c>
      <c r="AG40" s="11" t="e">
        <f>-SUMIFS(#REF!,#REF!,C40)/1000</f>
        <v>#REF!</v>
      </c>
      <c r="AH40" s="11" t="e">
        <f>SUMIFS(#REF!,#REF!,C40)</f>
        <v>#REF!</v>
      </c>
      <c r="AI40" s="11" t="e">
        <f>SUMIFS(#REF!,#REF!,C40)</f>
        <v>#REF!</v>
      </c>
      <c r="AJ40" s="11" t="e">
        <f>SUMIFS(#REF!,#REF!,C40)</f>
        <v>#REF!</v>
      </c>
      <c r="AK40" s="11" t="e">
        <f>SUMIFS(#REF!,#REF!,C40)</f>
        <v>#REF!</v>
      </c>
      <c r="AL40" s="11"/>
      <c r="AM40" s="11" t="e">
        <f t="shared" si="17"/>
        <v>#REF!</v>
      </c>
      <c r="AO40" s="11" t="e">
        <f t="shared" si="18"/>
        <v>#REF!</v>
      </c>
      <c r="AP40" s="11" t="e">
        <f t="shared" si="19"/>
        <v>#REF!</v>
      </c>
      <c r="AR40" s="11" t="e">
        <f t="shared" si="20"/>
        <v>#REF!</v>
      </c>
      <c r="AT40" s="43" t="e">
        <f t="shared" si="21"/>
        <v>#REF!</v>
      </c>
      <c r="AU40" s="11" t="e">
        <f t="shared" si="22"/>
        <v>#REF!</v>
      </c>
      <c r="AW40" s="11" t="e">
        <f>'Share of £1bn'!$F$20*1000*$AP40/$AP$57</f>
        <v>#REF!</v>
      </c>
      <c r="AX40" s="11" t="e">
        <f>'Share of £1bn'!$F$27*1000*$AP40/$AP$57</f>
        <v>#REF!</v>
      </c>
      <c r="AY40" s="11" t="e">
        <f>'Share of £1bn'!$F$21*1000*$AP40/$AP$57</f>
        <v>#REF!</v>
      </c>
      <c r="BA40" s="11" t="e">
        <f>'Share of £1bn'!$F$43*1000*AP40/$AP$57</f>
        <v>#REF!</v>
      </c>
      <c r="BB40" s="11" t="e">
        <f>'Share of £1bn'!$F$50*1000*$AP40/$AP$57</f>
        <v>#REF!</v>
      </c>
      <c r="BC40" s="11" t="e">
        <f>'Share of £1bn'!$F$44*1000*AP40/$AP$57</f>
        <v>#REF!</v>
      </c>
      <c r="BE40" s="11" t="e">
        <f>'Share of £1bn'!$F$67*1000*AP40/$AP$57</f>
        <v>#REF!</v>
      </c>
      <c r="BG40" s="11">
        <f>SUMIFS('20-11 M6 deficits'!$BO:$BO,'20-11 M6 deficits'!$C:$C,$C40)*1000</f>
        <v>-10000</v>
      </c>
      <c r="BI40" s="11" t="e">
        <f t="shared" si="23"/>
        <v>#REF!</v>
      </c>
      <c r="BJ40" s="11" t="e">
        <f t="shared" si="24"/>
        <v>#REF!</v>
      </c>
      <c r="BK40" s="11" t="e">
        <f t="shared" si="25"/>
        <v>#REF!</v>
      </c>
      <c r="BL40" s="11" t="e">
        <f t="shared" si="26"/>
        <v>#REF!</v>
      </c>
      <c r="BM40" s="11" t="e">
        <f t="shared" si="27"/>
        <v>#REF!</v>
      </c>
      <c r="BO40" s="11" t="e">
        <f t="shared" si="28"/>
        <v>#REF!</v>
      </c>
      <c r="BP40" s="11" t="e">
        <f t="shared" si="29"/>
        <v>#REF!</v>
      </c>
      <c r="BQ40" s="11" t="e">
        <f t="shared" si="30"/>
        <v>#REF!</v>
      </c>
      <c r="BR40" s="11" t="e">
        <f t="shared" si="31"/>
        <v>#REF!</v>
      </c>
      <c r="BS40" s="11" t="e">
        <f t="shared" si="32"/>
        <v>#REF!</v>
      </c>
      <c r="BU40" s="11" t="e">
        <f t="shared" si="52"/>
        <v>#REF!</v>
      </c>
      <c r="BV40" s="11" t="e">
        <f t="shared" si="33"/>
        <v>#REF!</v>
      </c>
      <c r="BW40" s="11" t="e">
        <f t="shared" si="34"/>
        <v>#REF!</v>
      </c>
      <c r="BX40" s="11" t="e">
        <f t="shared" si="35"/>
        <v>#REF!</v>
      </c>
      <c r="BY40" s="11" t="e">
        <f t="shared" si="36"/>
        <v>#REF!</v>
      </c>
      <c r="CA40" s="11" t="e">
        <f t="shared" si="37"/>
        <v>#REF!</v>
      </c>
      <c r="CB40" s="11" t="e">
        <f t="shared" si="38"/>
        <v>#REF!</v>
      </c>
      <c r="CC40" s="11" t="e">
        <f t="shared" si="39"/>
        <v>#REF!</v>
      </c>
      <c r="CD40" s="11" t="e">
        <f t="shared" si="40"/>
        <v>#REF!</v>
      </c>
      <c r="CE40" s="11" t="e">
        <f t="shared" si="41"/>
        <v>#REF!</v>
      </c>
      <c r="CG40" s="11" t="e">
        <f t="shared" si="42"/>
        <v>#REF!</v>
      </c>
      <c r="CH40" s="11" t="e">
        <f t="shared" si="43"/>
        <v>#REF!</v>
      </c>
      <c r="CI40" s="11" t="e">
        <f t="shared" si="44"/>
        <v>#REF!</v>
      </c>
      <c r="CJ40" s="11" t="e">
        <f t="shared" si="45"/>
        <v>#REF!</v>
      </c>
      <c r="CK40" s="11" t="e">
        <f t="shared" si="46"/>
        <v>#REF!</v>
      </c>
      <c r="CN40" s="209">
        <f t="shared" si="47"/>
        <v>6.3257222982620754E-3</v>
      </c>
      <c r="CO40" s="209" t="e">
        <f t="shared" si="48"/>
        <v>#REF!</v>
      </c>
      <c r="CP40" s="209" t="e">
        <f t="shared" si="49"/>
        <v>#REF!</v>
      </c>
      <c r="CQ40" s="209" t="e">
        <f t="shared" si="50"/>
        <v>#REF!</v>
      </c>
      <c r="CR40" s="209" t="e">
        <f t="shared" si="51"/>
        <v>#REF!</v>
      </c>
    </row>
    <row r="41" spans="1:96" x14ac:dyDescent="0.25">
      <c r="A41" s="13" t="s">
        <v>98</v>
      </c>
      <c r="B41" s="14" t="s">
        <v>99</v>
      </c>
      <c r="C41" s="4" t="s">
        <v>102</v>
      </c>
      <c r="D41" s="4" t="s">
        <v>103</v>
      </c>
      <c r="E41" s="11">
        <f>SUMIFS('ICB Core Baseline 2024-25'!Q:Q,'ICB Core Baseline 2024-25'!C:C,C41)</f>
        <v>1696336.7513857663</v>
      </c>
      <c r="F41" s="43" t="e">
        <f>SUMIFS(#REF!,#REF!,C41)</f>
        <v>#REF!</v>
      </c>
      <c r="H41" s="43" t="e">
        <f>SUMIFS(#REF!,#REF!,C41)</f>
        <v>#REF!</v>
      </c>
      <c r="I41" s="43" t="e">
        <f t="shared" si="6"/>
        <v>#REF!</v>
      </c>
      <c r="J41" s="43" t="e">
        <f t="shared" si="7"/>
        <v>#REF!</v>
      </c>
      <c r="K41" s="11" t="e">
        <f t="shared" si="0"/>
        <v>#REF!</v>
      </c>
      <c r="L41" s="11" t="e">
        <f t="shared" si="1"/>
        <v>#REF!</v>
      </c>
      <c r="M41" s="43" t="e">
        <f>SUMIFS(#REF!,#REF!,C41)</f>
        <v>#REF!</v>
      </c>
      <c r="N41" s="11" t="e">
        <f t="shared" si="2"/>
        <v>#REF!</v>
      </c>
      <c r="O41" s="43" t="e">
        <f t="shared" si="8"/>
        <v>#REF!</v>
      </c>
      <c r="P41" s="11" t="e">
        <f t="shared" si="3"/>
        <v>#REF!</v>
      </c>
      <c r="Q41" s="11" t="e">
        <f t="shared" si="9"/>
        <v>#REF!</v>
      </c>
      <c r="R41" s="11" t="e">
        <f t="shared" si="4"/>
        <v>#REF!</v>
      </c>
      <c r="S41" s="257" t="e">
        <f t="shared" si="10"/>
        <v>#REF!</v>
      </c>
      <c r="T41" s="11" t="e">
        <f>(SUMIFS(#REF!,#REF!,C41)/SUMIFS(#REF!,#REF!,C41))*1000</f>
        <v>#REF!</v>
      </c>
      <c r="U41" s="11" t="e">
        <f t="shared" si="11"/>
        <v>#REF!</v>
      </c>
      <c r="V41" s="11"/>
      <c r="W41" s="11" t="e">
        <f t="shared" si="12"/>
        <v>#REF!</v>
      </c>
      <c r="X41" s="11" t="e">
        <f t="shared" si="13"/>
        <v>#REF!</v>
      </c>
      <c r="Y41" s="43" t="e">
        <f t="shared" si="14"/>
        <v>#REF!</v>
      </c>
      <c r="Z41" s="43" t="e">
        <f ca="1">OFFSET(#REF!,MATCH(C41,#REF!,0)+1,0)</f>
        <v>#REF!</v>
      </c>
      <c r="AA41" s="43" t="e">
        <f t="shared" ca="1" si="15"/>
        <v>#REF!</v>
      </c>
      <c r="AB41" s="43" t="e">
        <f t="shared" si="5"/>
        <v>#REF!</v>
      </c>
      <c r="AC41" s="11" t="e">
        <f>SUMIFS(#REF!,#REF!,C41)/(1+1.8%)*(1+1.8%+2.3%)</f>
        <v>#REF!</v>
      </c>
      <c r="AD41" s="11" t="e">
        <f t="shared" si="16"/>
        <v>#REF!</v>
      </c>
      <c r="AE41" s="64"/>
      <c r="AF41" s="11" t="e">
        <f>(SUMIFS(#REF!,#REF!,C41)/(1+1.8%))*(1+1.8%+2.3%)</f>
        <v>#REF!</v>
      </c>
      <c r="AG41" s="11" t="e">
        <f>-SUMIFS(#REF!,#REF!,C41)/1000</f>
        <v>#REF!</v>
      </c>
      <c r="AH41" s="11" t="e">
        <f>SUMIFS(#REF!,#REF!,C41)</f>
        <v>#REF!</v>
      </c>
      <c r="AI41" s="11" t="e">
        <f>SUMIFS(#REF!,#REF!,C41)</f>
        <v>#REF!</v>
      </c>
      <c r="AJ41" s="11" t="e">
        <f>SUMIFS(#REF!,#REF!,C41)</f>
        <v>#REF!</v>
      </c>
      <c r="AK41" s="11" t="e">
        <f>SUMIFS(#REF!,#REF!,C41)</f>
        <v>#REF!</v>
      </c>
      <c r="AL41" s="11"/>
      <c r="AM41" s="11" t="e">
        <f t="shared" si="17"/>
        <v>#REF!</v>
      </c>
      <c r="AO41" s="11" t="e">
        <f t="shared" si="18"/>
        <v>#REF!</v>
      </c>
      <c r="AP41" s="11" t="e">
        <f t="shared" si="19"/>
        <v>#REF!</v>
      </c>
      <c r="AR41" s="11" t="e">
        <f t="shared" si="20"/>
        <v>#REF!</v>
      </c>
      <c r="AT41" s="43" t="e">
        <f t="shared" si="21"/>
        <v>#REF!</v>
      </c>
      <c r="AU41" s="11" t="e">
        <f t="shared" si="22"/>
        <v>#REF!</v>
      </c>
      <c r="AW41" s="11" t="e">
        <f>'Share of £1bn'!$F$20*1000*$AP41/$AP$57</f>
        <v>#REF!</v>
      </c>
      <c r="AX41" s="11" t="e">
        <f>'Share of £1bn'!$F$27*1000*$AP41/$AP$57</f>
        <v>#REF!</v>
      </c>
      <c r="AY41" s="11" t="e">
        <f>'Share of £1bn'!$F$21*1000*$AP41/$AP$57</f>
        <v>#REF!</v>
      </c>
      <c r="BA41" s="11" t="e">
        <f>'Share of £1bn'!$F$43*1000*AP41/$AP$57</f>
        <v>#REF!</v>
      </c>
      <c r="BB41" s="11" t="e">
        <f>'Share of £1bn'!$F$50*1000*$AP41/$AP$57</f>
        <v>#REF!</v>
      </c>
      <c r="BC41" s="11" t="e">
        <f>'Share of £1bn'!$F$44*1000*AP41/$AP$57</f>
        <v>#REF!</v>
      </c>
      <c r="BE41" s="11" t="e">
        <f>'Share of £1bn'!$F$67*1000*AP41/$AP$57</f>
        <v>#REF!</v>
      </c>
      <c r="BG41" s="11">
        <f>SUMIFS('20-11 M6 deficits'!$BO:$BO,'20-11 M6 deficits'!$C:$C,$C41)*1000</f>
        <v>0</v>
      </c>
      <c r="BI41" s="11" t="e">
        <f t="shared" si="23"/>
        <v>#REF!</v>
      </c>
      <c r="BJ41" s="11" t="e">
        <f t="shared" si="24"/>
        <v>#REF!</v>
      </c>
      <c r="BK41" s="11" t="e">
        <f t="shared" si="25"/>
        <v>#REF!</v>
      </c>
      <c r="BL41" s="11" t="e">
        <f t="shared" si="26"/>
        <v>#REF!</v>
      </c>
      <c r="BM41" s="11" t="e">
        <f t="shared" si="27"/>
        <v>#REF!</v>
      </c>
      <c r="BO41" s="11" t="e">
        <f t="shared" si="28"/>
        <v>#REF!</v>
      </c>
      <c r="BP41" s="11" t="e">
        <f t="shared" si="29"/>
        <v>#REF!</v>
      </c>
      <c r="BQ41" s="11" t="e">
        <f t="shared" si="30"/>
        <v>#REF!</v>
      </c>
      <c r="BR41" s="11" t="e">
        <f t="shared" si="31"/>
        <v>#REF!</v>
      </c>
      <c r="BS41" s="11" t="e">
        <f t="shared" si="32"/>
        <v>#REF!</v>
      </c>
      <c r="BU41" s="11" t="e">
        <f t="shared" si="52"/>
        <v>#REF!</v>
      </c>
      <c r="BV41" s="11" t="e">
        <f t="shared" si="33"/>
        <v>#REF!</v>
      </c>
      <c r="BW41" s="11" t="e">
        <f t="shared" si="34"/>
        <v>#REF!</v>
      </c>
      <c r="BX41" s="11" t="e">
        <f t="shared" si="35"/>
        <v>#REF!</v>
      </c>
      <c r="BY41" s="11" t="e">
        <f t="shared" si="36"/>
        <v>#REF!</v>
      </c>
      <c r="CA41" s="11" t="e">
        <f t="shared" si="37"/>
        <v>#REF!</v>
      </c>
      <c r="CB41" s="11" t="e">
        <f t="shared" si="38"/>
        <v>#REF!</v>
      </c>
      <c r="CC41" s="11" t="e">
        <f t="shared" si="39"/>
        <v>#REF!</v>
      </c>
      <c r="CD41" s="11" t="e">
        <f t="shared" si="40"/>
        <v>#REF!</v>
      </c>
      <c r="CE41" s="11" t="e">
        <f t="shared" si="41"/>
        <v>#REF!</v>
      </c>
      <c r="CG41" s="11" t="e">
        <f t="shared" si="42"/>
        <v>#REF!</v>
      </c>
      <c r="CH41" s="11" t="e">
        <f t="shared" si="43"/>
        <v>#REF!</v>
      </c>
      <c r="CI41" s="11" t="e">
        <f t="shared" si="44"/>
        <v>#REF!</v>
      </c>
      <c r="CJ41" s="11" t="e">
        <f t="shared" si="45"/>
        <v>#REF!</v>
      </c>
      <c r="CK41" s="11" t="e">
        <f t="shared" si="46"/>
        <v>#REF!</v>
      </c>
      <c r="CN41" s="209">
        <f t="shared" si="47"/>
        <v>0</v>
      </c>
      <c r="CO41" s="209" t="e">
        <f t="shared" si="48"/>
        <v>#REF!</v>
      </c>
      <c r="CP41" s="209" t="e">
        <f t="shared" si="49"/>
        <v>#REF!</v>
      </c>
      <c r="CQ41" s="209" t="e">
        <f t="shared" si="50"/>
        <v>#REF!</v>
      </c>
      <c r="CR41" s="209" t="e">
        <f t="shared" si="51"/>
        <v>#REF!</v>
      </c>
    </row>
    <row r="42" spans="1:96" x14ac:dyDescent="0.25">
      <c r="A42" s="13" t="s">
        <v>98</v>
      </c>
      <c r="B42" s="14" t="s">
        <v>99</v>
      </c>
      <c r="C42" s="4" t="s">
        <v>104</v>
      </c>
      <c r="D42" s="4" t="s">
        <v>105</v>
      </c>
      <c r="E42" s="11">
        <f>SUMIFS('ICB Core Baseline 2024-25'!Q:Q,'ICB Core Baseline 2024-25'!C:C,C42)</f>
        <v>1099576.1345820946</v>
      </c>
      <c r="F42" s="43" t="e">
        <f>SUMIFS(#REF!,#REF!,C42)</f>
        <v>#REF!</v>
      </c>
      <c r="H42" s="43" t="e">
        <f>SUMIFS(#REF!,#REF!,C42)</f>
        <v>#REF!</v>
      </c>
      <c r="I42" s="43" t="e">
        <f t="shared" si="6"/>
        <v>#REF!</v>
      </c>
      <c r="J42" s="43" t="e">
        <f t="shared" si="7"/>
        <v>#REF!</v>
      </c>
      <c r="K42" s="11" t="e">
        <f t="shared" si="0"/>
        <v>#REF!</v>
      </c>
      <c r="L42" s="11" t="e">
        <f t="shared" si="1"/>
        <v>#REF!</v>
      </c>
      <c r="M42" s="43" t="e">
        <f>SUMIFS(#REF!,#REF!,C42)</f>
        <v>#REF!</v>
      </c>
      <c r="N42" s="11" t="e">
        <f t="shared" si="2"/>
        <v>#REF!</v>
      </c>
      <c r="O42" s="43" t="e">
        <f t="shared" si="8"/>
        <v>#REF!</v>
      </c>
      <c r="P42" s="11" t="e">
        <f t="shared" si="3"/>
        <v>#REF!</v>
      </c>
      <c r="Q42" s="11" t="e">
        <f t="shared" si="9"/>
        <v>#REF!</v>
      </c>
      <c r="R42" s="11" t="e">
        <f t="shared" si="4"/>
        <v>#REF!</v>
      </c>
      <c r="S42" s="257" t="e">
        <f t="shared" si="10"/>
        <v>#REF!</v>
      </c>
      <c r="T42" s="11" t="e">
        <f>(SUMIFS(#REF!,#REF!,C42)/SUMIFS(#REF!,#REF!,C42))*1000</f>
        <v>#REF!</v>
      </c>
      <c r="U42" s="11" t="e">
        <f t="shared" si="11"/>
        <v>#REF!</v>
      </c>
      <c r="V42" s="11"/>
      <c r="W42" s="11" t="e">
        <f t="shared" si="12"/>
        <v>#REF!</v>
      </c>
      <c r="X42" s="11" t="e">
        <f t="shared" si="13"/>
        <v>#REF!</v>
      </c>
      <c r="Y42" s="43" t="e">
        <f t="shared" si="14"/>
        <v>#REF!</v>
      </c>
      <c r="Z42" s="43" t="e">
        <f ca="1">OFFSET(#REF!,MATCH(C42,#REF!,0)+1,0)</f>
        <v>#REF!</v>
      </c>
      <c r="AA42" s="43" t="e">
        <f t="shared" ca="1" si="15"/>
        <v>#REF!</v>
      </c>
      <c r="AB42" s="43" t="e">
        <f t="shared" si="5"/>
        <v>#REF!</v>
      </c>
      <c r="AC42" s="11" t="e">
        <f>SUMIFS(#REF!,#REF!,C42)/(1+1.8%)*(1+1.8%+2.3%)</f>
        <v>#REF!</v>
      </c>
      <c r="AD42" s="11" t="e">
        <f t="shared" si="16"/>
        <v>#REF!</v>
      </c>
      <c r="AE42" s="64"/>
      <c r="AF42" s="11" t="e">
        <f>(SUMIFS(#REF!,#REF!,C42)/(1+1.8%))*(1+1.8%+2.3%)</f>
        <v>#REF!</v>
      </c>
      <c r="AG42" s="11" t="e">
        <f>-SUMIFS(#REF!,#REF!,C42)/1000</f>
        <v>#REF!</v>
      </c>
      <c r="AH42" s="11" t="e">
        <f>SUMIFS(#REF!,#REF!,C42)</f>
        <v>#REF!</v>
      </c>
      <c r="AI42" s="11" t="e">
        <f>SUMIFS(#REF!,#REF!,C42)</f>
        <v>#REF!</v>
      </c>
      <c r="AJ42" s="11" t="e">
        <f>SUMIFS(#REF!,#REF!,C42)</f>
        <v>#REF!</v>
      </c>
      <c r="AK42" s="11" t="e">
        <f>SUMIFS(#REF!,#REF!,C42)</f>
        <v>#REF!</v>
      </c>
      <c r="AL42" s="11"/>
      <c r="AM42" s="11" t="e">
        <f t="shared" si="17"/>
        <v>#REF!</v>
      </c>
      <c r="AO42" s="11" t="e">
        <f t="shared" si="18"/>
        <v>#REF!</v>
      </c>
      <c r="AP42" s="11" t="e">
        <f t="shared" si="19"/>
        <v>#REF!</v>
      </c>
      <c r="AR42" s="11" t="e">
        <f t="shared" si="20"/>
        <v>#REF!</v>
      </c>
      <c r="AT42" s="43" t="e">
        <f t="shared" si="21"/>
        <v>#REF!</v>
      </c>
      <c r="AU42" s="11" t="e">
        <f t="shared" si="22"/>
        <v>#REF!</v>
      </c>
      <c r="AW42" s="11" t="e">
        <f>'Share of £1bn'!$F$20*1000*$AP42/$AP$57</f>
        <v>#REF!</v>
      </c>
      <c r="AX42" s="11" t="e">
        <f>'Share of £1bn'!$F$27*1000*$AP42/$AP$57</f>
        <v>#REF!</v>
      </c>
      <c r="AY42" s="11" t="e">
        <f>'Share of £1bn'!$F$21*1000*$AP42/$AP$57</f>
        <v>#REF!</v>
      </c>
      <c r="BA42" s="11" t="e">
        <f>'Share of £1bn'!$F$43*1000*AP42/$AP$57</f>
        <v>#REF!</v>
      </c>
      <c r="BB42" s="11" t="e">
        <f>'Share of £1bn'!$F$50*1000*$AP42/$AP$57</f>
        <v>#REF!</v>
      </c>
      <c r="BC42" s="11" t="e">
        <f>'Share of £1bn'!$F$44*1000*AP42/$AP$57</f>
        <v>#REF!</v>
      </c>
      <c r="BE42" s="11" t="e">
        <f>'Share of £1bn'!$F$67*1000*AP42/$AP$57</f>
        <v>#REF!</v>
      </c>
      <c r="BG42" s="11">
        <f>SUMIFS('20-11 M6 deficits'!$BO:$BO,'20-11 M6 deficits'!$C:$C,$C42)*1000</f>
        <v>0</v>
      </c>
      <c r="BI42" s="11" t="e">
        <f t="shared" si="23"/>
        <v>#REF!</v>
      </c>
      <c r="BJ42" s="11" t="e">
        <f t="shared" si="24"/>
        <v>#REF!</v>
      </c>
      <c r="BK42" s="11" t="e">
        <f t="shared" si="25"/>
        <v>#REF!</v>
      </c>
      <c r="BL42" s="11" t="e">
        <f t="shared" si="26"/>
        <v>#REF!</v>
      </c>
      <c r="BM42" s="11" t="e">
        <f t="shared" si="27"/>
        <v>#REF!</v>
      </c>
      <c r="BO42" s="11" t="e">
        <f t="shared" si="28"/>
        <v>#REF!</v>
      </c>
      <c r="BP42" s="11" t="e">
        <f t="shared" si="29"/>
        <v>#REF!</v>
      </c>
      <c r="BQ42" s="11" t="e">
        <f t="shared" si="30"/>
        <v>#REF!</v>
      </c>
      <c r="BR42" s="11" t="e">
        <f t="shared" si="31"/>
        <v>#REF!</v>
      </c>
      <c r="BS42" s="11" t="e">
        <f t="shared" si="32"/>
        <v>#REF!</v>
      </c>
      <c r="BU42" s="11" t="e">
        <f t="shared" si="52"/>
        <v>#REF!</v>
      </c>
      <c r="BV42" s="11" t="e">
        <f t="shared" si="33"/>
        <v>#REF!</v>
      </c>
      <c r="BW42" s="11" t="e">
        <f t="shared" si="34"/>
        <v>#REF!</v>
      </c>
      <c r="BX42" s="11" t="e">
        <f t="shared" si="35"/>
        <v>#REF!</v>
      </c>
      <c r="BY42" s="11" t="e">
        <f t="shared" si="36"/>
        <v>#REF!</v>
      </c>
      <c r="CA42" s="11" t="e">
        <f t="shared" si="37"/>
        <v>#REF!</v>
      </c>
      <c r="CB42" s="11" t="e">
        <f t="shared" si="38"/>
        <v>#REF!</v>
      </c>
      <c r="CC42" s="11" t="e">
        <f t="shared" si="39"/>
        <v>#REF!</v>
      </c>
      <c r="CD42" s="11" t="e">
        <f t="shared" si="40"/>
        <v>#REF!</v>
      </c>
      <c r="CE42" s="11" t="e">
        <f t="shared" si="41"/>
        <v>#REF!</v>
      </c>
      <c r="CG42" s="11" t="e">
        <f t="shared" si="42"/>
        <v>#REF!</v>
      </c>
      <c r="CH42" s="11" t="e">
        <f t="shared" si="43"/>
        <v>#REF!</v>
      </c>
      <c r="CI42" s="11" t="e">
        <f t="shared" si="44"/>
        <v>#REF!</v>
      </c>
      <c r="CJ42" s="11" t="e">
        <f t="shared" si="45"/>
        <v>#REF!</v>
      </c>
      <c r="CK42" s="11" t="e">
        <f t="shared" si="46"/>
        <v>#REF!</v>
      </c>
      <c r="CN42" s="209">
        <f t="shared" si="47"/>
        <v>0</v>
      </c>
      <c r="CO42" s="209" t="e">
        <f t="shared" si="48"/>
        <v>#REF!</v>
      </c>
      <c r="CP42" s="209" t="e">
        <f t="shared" si="49"/>
        <v>#REF!</v>
      </c>
      <c r="CQ42" s="209" t="e">
        <f t="shared" si="50"/>
        <v>#REF!</v>
      </c>
      <c r="CR42" s="209" t="e">
        <f t="shared" si="51"/>
        <v>#REF!</v>
      </c>
    </row>
    <row r="43" spans="1:96" x14ac:dyDescent="0.25">
      <c r="A43" s="13" t="s">
        <v>98</v>
      </c>
      <c r="B43" s="14" t="s">
        <v>99</v>
      </c>
      <c r="C43" s="4" t="s">
        <v>106</v>
      </c>
      <c r="D43" s="4" t="s">
        <v>107</v>
      </c>
      <c r="E43" s="11">
        <f>SUMIFS('ICB Core Baseline 2024-25'!Q:Q,'ICB Core Baseline 2024-25'!C:C,C43)</f>
        <v>2261976.4170612651</v>
      </c>
      <c r="F43" s="43" t="e">
        <f>SUMIFS(#REF!,#REF!,C43)</f>
        <v>#REF!</v>
      </c>
      <c r="H43" s="43" t="e">
        <f>SUMIFS(#REF!,#REF!,C43)</f>
        <v>#REF!</v>
      </c>
      <c r="I43" s="43" t="e">
        <f t="shared" si="6"/>
        <v>#REF!</v>
      </c>
      <c r="J43" s="43" t="e">
        <f t="shared" si="7"/>
        <v>#REF!</v>
      </c>
      <c r="K43" s="11" t="e">
        <f t="shared" si="0"/>
        <v>#REF!</v>
      </c>
      <c r="L43" s="11" t="e">
        <f t="shared" si="1"/>
        <v>#REF!</v>
      </c>
      <c r="M43" s="43" t="e">
        <f>SUMIFS(#REF!,#REF!,C43)</f>
        <v>#REF!</v>
      </c>
      <c r="N43" s="11" t="e">
        <f t="shared" si="2"/>
        <v>#REF!</v>
      </c>
      <c r="O43" s="43" t="e">
        <f t="shared" si="8"/>
        <v>#REF!</v>
      </c>
      <c r="P43" s="11" t="e">
        <f t="shared" si="3"/>
        <v>#REF!</v>
      </c>
      <c r="Q43" s="11" t="e">
        <f t="shared" si="9"/>
        <v>#REF!</v>
      </c>
      <c r="R43" s="11" t="e">
        <f t="shared" si="4"/>
        <v>#REF!</v>
      </c>
      <c r="S43" s="257" t="e">
        <f t="shared" si="10"/>
        <v>#REF!</v>
      </c>
      <c r="T43" s="11" t="e">
        <f>(SUMIFS(#REF!,#REF!,C43)/SUMIFS(#REF!,#REF!,C43))*1000</f>
        <v>#REF!</v>
      </c>
      <c r="U43" s="11" t="e">
        <f t="shared" si="11"/>
        <v>#REF!</v>
      </c>
      <c r="V43" s="11"/>
      <c r="W43" s="11" t="e">
        <f t="shared" si="12"/>
        <v>#REF!</v>
      </c>
      <c r="X43" s="11" t="e">
        <f t="shared" si="13"/>
        <v>#REF!</v>
      </c>
      <c r="Y43" s="43" t="e">
        <f t="shared" si="14"/>
        <v>#REF!</v>
      </c>
      <c r="Z43" s="43" t="e">
        <f ca="1">OFFSET(#REF!,MATCH(C43,#REF!,0)+1,0)</f>
        <v>#REF!</v>
      </c>
      <c r="AA43" s="43" t="e">
        <f t="shared" ca="1" si="15"/>
        <v>#REF!</v>
      </c>
      <c r="AB43" s="43" t="e">
        <f t="shared" si="5"/>
        <v>#REF!</v>
      </c>
      <c r="AC43" s="11" t="e">
        <f>SUMIFS(#REF!,#REF!,C43)/(1+1.8%)*(1+1.8%+2.3%)</f>
        <v>#REF!</v>
      </c>
      <c r="AD43" s="11" t="e">
        <f t="shared" si="16"/>
        <v>#REF!</v>
      </c>
      <c r="AE43" s="64"/>
      <c r="AF43" s="11" t="e">
        <f>(SUMIFS(#REF!,#REF!,C43)/(1+1.8%))*(1+1.8%+2.3%)</f>
        <v>#REF!</v>
      </c>
      <c r="AG43" s="11" t="e">
        <f>-SUMIFS(#REF!,#REF!,C43)/1000</f>
        <v>#REF!</v>
      </c>
      <c r="AH43" s="11" t="e">
        <f>SUMIFS(#REF!,#REF!,C43)</f>
        <v>#REF!</v>
      </c>
      <c r="AI43" s="11" t="e">
        <f>SUMIFS(#REF!,#REF!,C43)</f>
        <v>#REF!</v>
      </c>
      <c r="AJ43" s="11" t="e">
        <f>SUMIFS(#REF!,#REF!,C43)</f>
        <v>#REF!</v>
      </c>
      <c r="AK43" s="11" t="e">
        <f>SUMIFS(#REF!,#REF!,C43)</f>
        <v>#REF!</v>
      </c>
      <c r="AL43" s="11"/>
      <c r="AM43" s="11" t="e">
        <f t="shared" si="17"/>
        <v>#REF!</v>
      </c>
      <c r="AO43" s="11" t="e">
        <f t="shared" si="18"/>
        <v>#REF!</v>
      </c>
      <c r="AP43" s="11" t="e">
        <f t="shared" si="19"/>
        <v>#REF!</v>
      </c>
      <c r="AR43" s="11" t="e">
        <f t="shared" si="20"/>
        <v>#REF!</v>
      </c>
      <c r="AT43" s="43" t="e">
        <f t="shared" si="21"/>
        <v>#REF!</v>
      </c>
      <c r="AU43" s="11" t="e">
        <f t="shared" si="22"/>
        <v>#REF!</v>
      </c>
      <c r="AW43" s="11" t="e">
        <f>'Share of £1bn'!$F$20*1000*$AP43/$AP$57</f>
        <v>#REF!</v>
      </c>
      <c r="AX43" s="11" t="e">
        <f>'Share of £1bn'!$F$27*1000*$AP43/$AP$57</f>
        <v>#REF!</v>
      </c>
      <c r="AY43" s="11" t="e">
        <f>'Share of £1bn'!$F$21*1000*$AP43/$AP$57</f>
        <v>#REF!</v>
      </c>
      <c r="BA43" s="11" t="e">
        <f>'Share of £1bn'!$F$43*1000*AP43/$AP$57</f>
        <v>#REF!</v>
      </c>
      <c r="BB43" s="11" t="e">
        <f>'Share of £1bn'!$F$50*1000*$AP43/$AP$57</f>
        <v>#REF!</v>
      </c>
      <c r="BC43" s="11" t="e">
        <f>'Share of £1bn'!$F$44*1000*AP43/$AP$57</f>
        <v>#REF!</v>
      </c>
      <c r="BE43" s="11" t="e">
        <f>'Share of £1bn'!$F$67*1000*AP43/$AP$57</f>
        <v>#REF!</v>
      </c>
      <c r="BG43" s="11">
        <f>SUMIFS('20-11 M6 deficits'!$BO:$BO,'20-11 M6 deficits'!$C:$C,$C43)*1000</f>
        <v>-70000</v>
      </c>
      <c r="BI43" s="11" t="e">
        <f t="shared" si="23"/>
        <v>#REF!</v>
      </c>
      <c r="BJ43" s="11" t="e">
        <f t="shared" si="24"/>
        <v>#REF!</v>
      </c>
      <c r="BK43" s="11" t="e">
        <f t="shared" si="25"/>
        <v>#REF!</v>
      </c>
      <c r="BL43" s="11" t="e">
        <f t="shared" si="26"/>
        <v>#REF!</v>
      </c>
      <c r="BM43" s="11" t="e">
        <f t="shared" si="27"/>
        <v>#REF!</v>
      </c>
      <c r="BO43" s="11" t="e">
        <f t="shared" si="28"/>
        <v>#REF!</v>
      </c>
      <c r="BP43" s="11" t="e">
        <f t="shared" si="29"/>
        <v>#REF!</v>
      </c>
      <c r="BQ43" s="11" t="e">
        <f t="shared" si="30"/>
        <v>#REF!</v>
      </c>
      <c r="BR43" s="11" t="e">
        <f t="shared" si="31"/>
        <v>#REF!</v>
      </c>
      <c r="BS43" s="11" t="e">
        <f t="shared" si="32"/>
        <v>#REF!</v>
      </c>
      <c r="BU43" s="11" t="e">
        <f t="shared" si="52"/>
        <v>#REF!</v>
      </c>
      <c r="BV43" s="11" t="e">
        <f t="shared" si="33"/>
        <v>#REF!</v>
      </c>
      <c r="BW43" s="11" t="e">
        <f t="shared" si="34"/>
        <v>#REF!</v>
      </c>
      <c r="BX43" s="11" t="e">
        <f t="shared" si="35"/>
        <v>#REF!</v>
      </c>
      <c r="BY43" s="11" t="e">
        <f t="shared" si="36"/>
        <v>#REF!</v>
      </c>
      <c r="CA43" s="11" t="e">
        <f t="shared" si="37"/>
        <v>#REF!</v>
      </c>
      <c r="CB43" s="11" t="e">
        <f t="shared" si="38"/>
        <v>#REF!</v>
      </c>
      <c r="CC43" s="11" t="e">
        <f t="shared" si="39"/>
        <v>#REF!</v>
      </c>
      <c r="CD43" s="11" t="e">
        <f t="shared" si="40"/>
        <v>#REF!</v>
      </c>
      <c r="CE43" s="11" t="e">
        <f t="shared" si="41"/>
        <v>#REF!</v>
      </c>
      <c r="CG43" s="11" t="e">
        <f t="shared" si="42"/>
        <v>#REF!</v>
      </c>
      <c r="CH43" s="11" t="e">
        <f t="shared" si="43"/>
        <v>#REF!</v>
      </c>
      <c r="CI43" s="11" t="e">
        <f t="shared" si="44"/>
        <v>#REF!</v>
      </c>
      <c r="CJ43" s="11" t="e">
        <f t="shared" si="45"/>
        <v>#REF!</v>
      </c>
      <c r="CK43" s="11" t="e">
        <f t="shared" si="46"/>
        <v>#REF!</v>
      </c>
      <c r="CN43" s="209">
        <f t="shared" si="47"/>
        <v>4.4280056087834523E-2</v>
      </c>
      <c r="CO43" s="209" t="e">
        <f t="shared" si="48"/>
        <v>#REF!</v>
      </c>
      <c r="CP43" s="209" t="e">
        <f t="shared" si="49"/>
        <v>#REF!</v>
      </c>
      <c r="CQ43" s="209" t="e">
        <f t="shared" si="50"/>
        <v>#REF!</v>
      </c>
      <c r="CR43" s="209" t="e">
        <f t="shared" si="51"/>
        <v>#REF!</v>
      </c>
    </row>
    <row r="44" spans="1:96" x14ac:dyDescent="0.25">
      <c r="A44" s="13" t="s">
        <v>98</v>
      </c>
      <c r="B44" s="14" t="s">
        <v>99</v>
      </c>
      <c r="C44" s="4" t="s">
        <v>108</v>
      </c>
      <c r="D44" s="4" t="s">
        <v>109</v>
      </c>
      <c r="E44" s="11">
        <f>SUMIFS('ICB Core Baseline 2024-25'!Q:Q,'ICB Core Baseline 2024-25'!C:C,C44)</f>
        <v>1451965.4129123772</v>
      </c>
      <c r="F44" s="43" t="e">
        <f>SUMIFS(#REF!,#REF!,C44)</f>
        <v>#REF!</v>
      </c>
      <c r="H44" s="43" t="e">
        <f>SUMIFS(#REF!,#REF!,C44)</f>
        <v>#REF!</v>
      </c>
      <c r="I44" s="43" t="e">
        <f t="shared" si="6"/>
        <v>#REF!</v>
      </c>
      <c r="J44" s="43" t="e">
        <f t="shared" si="7"/>
        <v>#REF!</v>
      </c>
      <c r="K44" s="11" t="e">
        <f t="shared" si="0"/>
        <v>#REF!</v>
      </c>
      <c r="L44" s="11" t="e">
        <f t="shared" si="1"/>
        <v>#REF!</v>
      </c>
      <c r="M44" s="43" t="e">
        <f>SUMIFS(#REF!,#REF!,C44)</f>
        <v>#REF!</v>
      </c>
      <c r="N44" s="11" t="e">
        <f t="shared" si="2"/>
        <v>#REF!</v>
      </c>
      <c r="O44" s="43" t="e">
        <f t="shared" si="8"/>
        <v>#REF!</v>
      </c>
      <c r="P44" s="11" t="e">
        <f t="shared" si="3"/>
        <v>#REF!</v>
      </c>
      <c r="Q44" s="11" t="e">
        <f t="shared" si="9"/>
        <v>#REF!</v>
      </c>
      <c r="R44" s="11" t="e">
        <f t="shared" si="4"/>
        <v>#REF!</v>
      </c>
      <c r="S44" s="257" t="e">
        <f t="shared" si="10"/>
        <v>#REF!</v>
      </c>
      <c r="T44" s="11" t="e">
        <f>(SUMIFS(#REF!,#REF!,C44)/SUMIFS(#REF!,#REF!,C44))*1000</f>
        <v>#REF!</v>
      </c>
      <c r="U44" s="11" t="e">
        <f t="shared" si="11"/>
        <v>#REF!</v>
      </c>
      <c r="V44" s="11"/>
      <c r="W44" s="11" t="e">
        <f t="shared" si="12"/>
        <v>#REF!</v>
      </c>
      <c r="X44" s="11" t="e">
        <f t="shared" si="13"/>
        <v>#REF!</v>
      </c>
      <c r="Y44" s="43" t="e">
        <f t="shared" si="14"/>
        <v>#REF!</v>
      </c>
      <c r="Z44" s="43" t="e">
        <f ca="1">OFFSET(#REF!,MATCH(C44,#REF!,0)+1,0)</f>
        <v>#REF!</v>
      </c>
      <c r="AA44" s="43" t="e">
        <f t="shared" ca="1" si="15"/>
        <v>#REF!</v>
      </c>
      <c r="AB44" s="43" t="e">
        <f t="shared" si="5"/>
        <v>#REF!</v>
      </c>
      <c r="AC44" s="11" t="e">
        <f>SUMIFS(#REF!,#REF!,C44)/(1+1.8%)*(1+1.8%+2.3%)</f>
        <v>#REF!</v>
      </c>
      <c r="AD44" s="11" t="e">
        <f t="shared" si="16"/>
        <v>#REF!</v>
      </c>
      <c r="AE44" s="64"/>
      <c r="AF44" s="11" t="e">
        <f>(SUMIFS(#REF!,#REF!,C44)/(1+1.8%))*(1+1.8%+2.3%)</f>
        <v>#REF!</v>
      </c>
      <c r="AG44" s="11" t="e">
        <f>-SUMIFS(#REF!,#REF!,C44)/1000</f>
        <v>#REF!</v>
      </c>
      <c r="AH44" s="11" t="e">
        <f>SUMIFS(#REF!,#REF!,C44)</f>
        <v>#REF!</v>
      </c>
      <c r="AI44" s="11" t="e">
        <f>SUMIFS(#REF!,#REF!,C44)</f>
        <v>#REF!</v>
      </c>
      <c r="AJ44" s="11" t="e">
        <f>SUMIFS(#REF!,#REF!,C44)</f>
        <v>#REF!</v>
      </c>
      <c r="AK44" s="11" t="e">
        <f>SUMIFS(#REF!,#REF!,C44)</f>
        <v>#REF!</v>
      </c>
      <c r="AL44" s="11"/>
      <c r="AM44" s="11" t="e">
        <f t="shared" si="17"/>
        <v>#REF!</v>
      </c>
      <c r="AO44" s="11" t="e">
        <f t="shared" si="18"/>
        <v>#REF!</v>
      </c>
      <c r="AP44" s="11" t="e">
        <f t="shared" si="19"/>
        <v>#REF!</v>
      </c>
      <c r="AR44" s="11" t="e">
        <f t="shared" si="20"/>
        <v>#REF!</v>
      </c>
      <c r="AT44" s="43" t="e">
        <f t="shared" si="21"/>
        <v>#REF!</v>
      </c>
      <c r="AU44" s="11" t="e">
        <f t="shared" si="22"/>
        <v>#REF!</v>
      </c>
      <c r="AW44" s="11" t="e">
        <f>'Share of £1bn'!$F$20*1000*$AP44/$AP$57</f>
        <v>#REF!</v>
      </c>
      <c r="AX44" s="11" t="e">
        <f>'Share of £1bn'!$F$27*1000*$AP44/$AP$57</f>
        <v>#REF!</v>
      </c>
      <c r="AY44" s="11" t="e">
        <f>'Share of £1bn'!$F$21*1000*$AP44/$AP$57</f>
        <v>#REF!</v>
      </c>
      <c r="BA44" s="11" t="e">
        <f>'Share of £1bn'!$F$43*1000*AP44/$AP$57</f>
        <v>#REF!</v>
      </c>
      <c r="BB44" s="11" t="e">
        <f>'Share of £1bn'!$F$50*1000*$AP44/$AP$57</f>
        <v>#REF!</v>
      </c>
      <c r="BC44" s="11" t="e">
        <f>'Share of £1bn'!$F$44*1000*AP44/$AP$57</f>
        <v>#REF!</v>
      </c>
      <c r="BE44" s="11" t="e">
        <f>'Share of £1bn'!$F$67*1000*AP44/$AP$57</f>
        <v>#REF!</v>
      </c>
      <c r="BG44" s="11">
        <f>SUMIFS('20-11 M6 deficits'!$BO:$BO,'20-11 M6 deficits'!$C:$C,$C44)*1000</f>
        <v>-20000</v>
      </c>
      <c r="BI44" s="11" t="e">
        <f t="shared" si="23"/>
        <v>#REF!</v>
      </c>
      <c r="BJ44" s="11" t="e">
        <f t="shared" si="24"/>
        <v>#REF!</v>
      </c>
      <c r="BK44" s="11" t="e">
        <f t="shared" si="25"/>
        <v>#REF!</v>
      </c>
      <c r="BL44" s="11" t="e">
        <f t="shared" si="26"/>
        <v>#REF!</v>
      </c>
      <c r="BM44" s="11" t="e">
        <f t="shared" si="27"/>
        <v>#REF!</v>
      </c>
      <c r="BO44" s="11" t="e">
        <f t="shared" si="28"/>
        <v>#REF!</v>
      </c>
      <c r="BP44" s="11" t="e">
        <f t="shared" si="29"/>
        <v>#REF!</v>
      </c>
      <c r="BQ44" s="11" t="e">
        <f t="shared" si="30"/>
        <v>#REF!</v>
      </c>
      <c r="BR44" s="11" t="e">
        <f t="shared" si="31"/>
        <v>#REF!</v>
      </c>
      <c r="BS44" s="11" t="e">
        <f t="shared" si="32"/>
        <v>#REF!</v>
      </c>
      <c r="BU44" s="11" t="e">
        <f t="shared" si="52"/>
        <v>#REF!</v>
      </c>
      <c r="BV44" s="11" t="e">
        <f t="shared" si="33"/>
        <v>#REF!</v>
      </c>
      <c r="BW44" s="11" t="e">
        <f t="shared" si="34"/>
        <v>#REF!</v>
      </c>
      <c r="BX44" s="11" t="e">
        <f t="shared" si="35"/>
        <v>#REF!</v>
      </c>
      <c r="BY44" s="11" t="e">
        <f t="shared" si="36"/>
        <v>#REF!</v>
      </c>
      <c r="CA44" s="11" t="e">
        <f t="shared" si="37"/>
        <v>#REF!</v>
      </c>
      <c r="CB44" s="11" t="e">
        <f t="shared" si="38"/>
        <v>#REF!</v>
      </c>
      <c r="CC44" s="11" t="e">
        <f t="shared" si="39"/>
        <v>#REF!</v>
      </c>
      <c r="CD44" s="11" t="e">
        <f t="shared" si="40"/>
        <v>#REF!</v>
      </c>
      <c r="CE44" s="11" t="e">
        <f t="shared" si="41"/>
        <v>#REF!</v>
      </c>
      <c r="CG44" s="11" t="e">
        <f t="shared" si="42"/>
        <v>#REF!</v>
      </c>
      <c r="CH44" s="11" t="e">
        <f t="shared" si="43"/>
        <v>#REF!</v>
      </c>
      <c r="CI44" s="11" t="e">
        <f t="shared" si="44"/>
        <v>#REF!</v>
      </c>
      <c r="CJ44" s="11" t="e">
        <f t="shared" si="45"/>
        <v>#REF!</v>
      </c>
      <c r="CK44" s="11" t="e">
        <f t="shared" si="46"/>
        <v>#REF!</v>
      </c>
      <c r="CN44" s="209">
        <f t="shared" si="47"/>
        <v>1.2651444596524151E-2</v>
      </c>
      <c r="CO44" s="209" t="e">
        <f t="shared" si="48"/>
        <v>#REF!</v>
      </c>
      <c r="CP44" s="209" t="e">
        <f t="shared" si="49"/>
        <v>#REF!</v>
      </c>
      <c r="CQ44" s="209" t="e">
        <f t="shared" si="50"/>
        <v>#REF!</v>
      </c>
      <c r="CR44" s="209" t="e">
        <f t="shared" si="51"/>
        <v>#REF!</v>
      </c>
    </row>
    <row r="45" spans="1:96" x14ac:dyDescent="0.25">
      <c r="A45" s="13" t="s">
        <v>98</v>
      </c>
      <c r="B45" s="14" t="s">
        <v>99</v>
      </c>
      <c r="C45" s="4" t="s">
        <v>110</v>
      </c>
      <c r="D45" s="4" t="s">
        <v>111</v>
      </c>
      <c r="E45" s="11">
        <f>SUMIFS('ICB Core Baseline 2024-25'!Q:Q,'ICB Core Baseline 2024-25'!C:C,C45)</f>
        <v>1065172.6958849912</v>
      </c>
      <c r="F45" s="43" t="e">
        <f>SUMIFS(#REF!,#REF!,C45)</f>
        <v>#REF!</v>
      </c>
      <c r="H45" s="43" t="e">
        <f>SUMIFS(#REF!,#REF!,C45)</f>
        <v>#REF!</v>
      </c>
      <c r="I45" s="43" t="e">
        <f t="shared" si="6"/>
        <v>#REF!</v>
      </c>
      <c r="J45" s="43" t="e">
        <f t="shared" si="7"/>
        <v>#REF!</v>
      </c>
      <c r="K45" s="11" t="e">
        <f t="shared" si="0"/>
        <v>#REF!</v>
      </c>
      <c r="L45" s="11" t="e">
        <f t="shared" si="1"/>
        <v>#REF!</v>
      </c>
      <c r="M45" s="43" t="e">
        <f>SUMIFS(#REF!,#REF!,C45)</f>
        <v>#REF!</v>
      </c>
      <c r="N45" s="11" t="e">
        <f t="shared" si="2"/>
        <v>#REF!</v>
      </c>
      <c r="O45" s="43" t="e">
        <f t="shared" si="8"/>
        <v>#REF!</v>
      </c>
      <c r="P45" s="11" t="e">
        <f t="shared" si="3"/>
        <v>#REF!</v>
      </c>
      <c r="Q45" s="11" t="e">
        <f t="shared" si="9"/>
        <v>#REF!</v>
      </c>
      <c r="R45" s="11" t="e">
        <f t="shared" si="4"/>
        <v>#REF!</v>
      </c>
      <c r="S45" s="257" t="e">
        <f t="shared" si="10"/>
        <v>#REF!</v>
      </c>
      <c r="T45" s="11" t="e">
        <f>(SUMIFS(#REF!,#REF!,C45)/SUMIFS(#REF!,#REF!,C45))*1000</f>
        <v>#REF!</v>
      </c>
      <c r="U45" s="11" t="e">
        <f t="shared" si="11"/>
        <v>#REF!</v>
      </c>
      <c r="V45" s="11"/>
      <c r="W45" s="11" t="e">
        <f t="shared" si="12"/>
        <v>#REF!</v>
      </c>
      <c r="X45" s="11" t="e">
        <f t="shared" si="13"/>
        <v>#REF!</v>
      </c>
      <c r="Y45" s="43" t="e">
        <f t="shared" si="14"/>
        <v>#REF!</v>
      </c>
      <c r="Z45" s="43" t="e">
        <f ca="1">OFFSET(#REF!,MATCH(C45,#REF!,0)+1,0)</f>
        <v>#REF!</v>
      </c>
      <c r="AA45" s="43" t="e">
        <f t="shared" ca="1" si="15"/>
        <v>#REF!</v>
      </c>
      <c r="AB45" s="43" t="e">
        <f t="shared" si="5"/>
        <v>#REF!</v>
      </c>
      <c r="AC45" s="11" t="e">
        <f>SUMIFS(#REF!,#REF!,C45)/(1+1.8%)*(1+1.8%+2.3%)</f>
        <v>#REF!</v>
      </c>
      <c r="AD45" s="11" t="e">
        <f t="shared" si="16"/>
        <v>#REF!</v>
      </c>
      <c r="AE45" s="64"/>
      <c r="AF45" s="11" t="e">
        <f>(SUMIFS(#REF!,#REF!,C45)/(1+1.8%))*(1+1.8%+2.3%)</f>
        <v>#REF!</v>
      </c>
      <c r="AG45" s="11" t="e">
        <f>-SUMIFS(#REF!,#REF!,C45)/1000</f>
        <v>#REF!</v>
      </c>
      <c r="AH45" s="11" t="e">
        <f>SUMIFS(#REF!,#REF!,C45)</f>
        <v>#REF!</v>
      </c>
      <c r="AI45" s="11" t="e">
        <f>SUMIFS(#REF!,#REF!,C45)</f>
        <v>#REF!</v>
      </c>
      <c r="AJ45" s="11" t="e">
        <f>SUMIFS(#REF!,#REF!,C45)</f>
        <v>#REF!</v>
      </c>
      <c r="AK45" s="11" t="e">
        <f>SUMIFS(#REF!,#REF!,C45)</f>
        <v>#REF!</v>
      </c>
      <c r="AL45" s="11"/>
      <c r="AM45" s="11" t="e">
        <f t="shared" si="17"/>
        <v>#REF!</v>
      </c>
      <c r="AO45" s="11" t="e">
        <f t="shared" si="18"/>
        <v>#REF!</v>
      </c>
      <c r="AP45" s="11" t="e">
        <f t="shared" si="19"/>
        <v>#REF!</v>
      </c>
      <c r="AR45" s="11" t="e">
        <f t="shared" si="20"/>
        <v>#REF!</v>
      </c>
      <c r="AT45" s="43" t="e">
        <f t="shared" si="21"/>
        <v>#REF!</v>
      </c>
      <c r="AU45" s="11" t="e">
        <f t="shared" si="22"/>
        <v>#REF!</v>
      </c>
      <c r="AW45" s="11" t="e">
        <f>'Share of £1bn'!$F$20*1000*$AP45/$AP$57</f>
        <v>#REF!</v>
      </c>
      <c r="AX45" s="11" t="e">
        <f>'Share of £1bn'!$F$27*1000*$AP45/$AP$57</f>
        <v>#REF!</v>
      </c>
      <c r="AY45" s="11" t="e">
        <f>'Share of £1bn'!$F$21*1000*$AP45/$AP$57</f>
        <v>#REF!</v>
      </c>
      <c r="BA45" s="11" t="e">
        <f>'Share of £1bn'!$F$43*1000*AP45/$AP$57</f>
        <v>#REF!</v>
      </c>
      <c r="BB45" s="11" t="e">
        <f>'Share of £1bn'!$F$50*1000*$AP45/$AP$57</f>
        <v>#REF!</v>
      </c>
      <c r="BC45" s="11" t="e">
        <f>'Share of £1bn'!$F$44*1000*AP45/$AP$57</f>
        <v>#REF!</v>
      </c>
      <c r="BE45" s="11" t="e">
        <f>'Share of £1bn'!$F$67*1000*AP45/$AP$57</f>
        <v>#REF!</v>
      </c>
      <c r="BG45" s="11">
        <f>SUMIFS('20-11 M6 deficits'!$BO:$BO,'20-11 M6 deficits'!$C:$C,$C45)*1000</f>
        <v>0</v>
      </c>
      <c r="BI45" s="11" t="e">
        <f t="shared" si="23"/>
        <v>#REF!</v>
      </c>
      <c r="BJ45" s="11" t="e">
        <f t="shared" si="24"/>
        <v>#REF!</v>
      </c>
      <c r="BK45" s="11" t="e">
        <f t="shared" si="25"/>
        <v>#REF!</v>
      </c>
      <c r="BL45" s="11" t="e">
        <f t="shared" si="26"/>
        <v>#REF!</v>
      </c>
      <c r="BM45" s="11" t="e">
        <f t="shared" si="27"/>
        <v>#REF!</v>
      </c>
      <c r="BO45" s="11" t="e">
        <f t="shared" si="28"/>
        <v>#REF!</v>
      </c>
      <c r="BP45" s="11" t="e">
        <f t="shared" si="29"/>
        <v>#REF!</v>
      </c>
      <c r="BQ45" s="11" t="e">
        <f t="shared" si="30"/>
        <v>#REF!</v>
      </c>
      <c r="BR45" s="11" t="e">
        <f t="shared" si="31"/>
        <v>#REF!</v>
      </c>
      <c r="BS45" s="11" t="e">
        <f t="shared" si="32"/>
        <v>#REF!</v>
      </c>
      <c r="BU45" s="11" t="e">
        <f t="shared" si="52"/>
        <v>#REF!</v>
      </c>
      <c r="BV45" s="11" t="e">
        <f t="shared" si="33"/>
        <v>#REF!</v>
      </c>
      <c r="BW45" s="11" t="e">
        <f t="shared" si="34"/>
        <v>#REF!</v>
      </c>
      <c r="BX45" s="11" t="e">
        <f t="shared" si="35"/>
        <v>#REF!</v>
      </c>
      <c r="BY45" s="11" t="e">
        <f t="shared" si="36"/>
        <v>#REF!</v>
      </c>
      <c r="CA45" s="11" t="e">
        <f t="shared" si="37"/>
        <v>#REF!</v>
      </c>
      <c r="CB45" s="11" t="e">
        <f t="shared" si="38"/>
        <v>#REF!</v>
      </c>
      <c r="CC45" s="11" t="e">
        <f t="shared" si="39"/>
        <v>#REF!</v>
      </c>
      <c r="CD45" s="11" t="e">
        <f t="shared" si="40"/>
        <v>#REF!</v>
      </c>
      <c r="CE45" s="11" t="e">
        <f t="shared" si="41"/>
        <v>#REF!</v>
      </c>
      <c r="CG45" s="11" t="e">
        <f t="shared" si="42"/>
        <v>#REF!</v>
      </c>
      <c r="CH45" s="11" t="e">
        <f t="shared" si="43"/>
        <v>#REF!</v>
      </c>
      <c r="CI45" s="11" t="e">
        <f t="shared" si="44"/>
        <v>#REF!</v>
      </c>
      <c r="CJ45" s="11" t="e">
        <f t="shared" si="45"/>
        <v>#REF!</v>
      </c>
      <c r="CK45" s="11" t="e">
        <f t="shared" si="46"/>
        <v>#REF!</v>
      </c>
      <c r="CN45" s="209">
        <f t="shared" si="47"/>
        <v>0</v>
      </c>
      <c r="CO45" s="209" t="e">
        <f t="shared" si="48"/>
        <v>#REF!</v>
      </c>
      <c r="CP45" s="209" t="e">
        <f t="shared" si="49"/>
        <v>#REF!</v>
      </c>
      <c r="CQ45" s="209" t="e">
        <f t="shared" si="50"/>
        <v>#REF!</v>
      </c>
      <c r="CR45" s="209" t="e">
        <f t="shared" si="51"/>
        <v>#REF!</v>
      </c>
    </row>
    <row r="46" spans="1:96" x14ac:dyDescent="0.25">
      <c r="A46" s="13" t="s">
        <v>98</v>
      </c>
      <c r="B46" s="14" t="s">
        <v>99</v>
      </c>
      <c r="C46" s="4" t="s">
        <v>112</v>
      </c>
      <c r="D46" s="4" t="s">
        <v>113</v>
      </c>
      <c r="E46" s="11">
        <f>SUMIFS('ICB Core Baseline 2024-25'!Q:Q,'ICB Core Baseline 2024-25'!C:C,C46)</f>
        <v>1058710.3515852729</v>
      </c>
      <c r="F46" s="43" t="e">
        <f>SUMIFS(#REF!,#REF!,C46)</f>
        <v>#REF!</v>
      </c>
      <c r="H46" s="43" t="e">
        <f>SUMIFS(#REF!,#REF!,C46)</f>
        <v>#REF!</v>
      </c>
      <c r="I46" s="43" t="e">
        <f t="shared" si="6"/>
        <v>#REF!</v>
      </c>
      <c r="J46" s="43" t="e">
        <f t="shared" si="7"/>
        <v>#REF!</v>
      </c>
      <c r="K46" s="11" t="e">
        <f t="shared" si="0"/>
        <v>#REF!</v>
      </c>
      <c r="L46" s="11" t="e">
        <f t="shared" si="1"/>
        <v>#REF!</v>
      </c>
      <c r="M46" s="43" t="e">
        <f>SUMIFS(#REF!,#REF!,C46)</f>
        <v>#REF!</v>
      </c>
      <c r="N46" s="11" t="e">
        <f t="shared" si="2"/>
        <v>#REF!</v>
      </c>
      <c r="O46" s="43" t="e">
        <f t="shared" si="8"/>
        <v>#REF!</v>
      </c>
      <c r="P46" s="11" t="e">
        <f t="shared" si="3"/>
        <v>#REF!</v>
      </c>
      <c r="Q46" s="11" t="e">
        <f t="shared" si="9"/>
        <v>#REF!</v>
      </c>
      <c r="R46" s="11" t="e">
        <f t="shared" si="4"/>
        <v>#REF!</v>
      </c>
      <c r="S46" s="257" t="e">
        <f t="shared" si="10"/>
        <v>#REF!</v>
      </c>
      <c r="T46" s="11" t="e">
        <f>(SUMIFS(#REF!,#REF!,C46)/SUMIFS(#REF!,#REF!,C46))*1000</f>
        <v>#REF!</v>
      </c>
      <c r="U46" s="11" t="e">
        <f t="shared" si="11"/>
        <v>#REF!</v>
      </c>
      <c r="V46" s="11"/>
      <c r="W46" s="11" t="e">
        <f t="shared" si="12"/>
        <v>#REF!</v>
      </c>
      <c r="X46" s="11" t="e">
        <f t="shared" si="13"/>
        <v>#REF!</v>
      </c>
      <c r="Y46" s="43" t="e">
        <f t="shared" si="14"/>
        <v>#REF!</v>
      </c>
      <c r="Z46" s="43" t="e">
        <f ca="1">OFFSET(#REF!,MATCH(C46,#REF!,0)+1,0)</f>
        <v>#REF!</v>
      </c>
      <c r="AA46" s="43" t="e">
        <f t="shared" ca="1" si="15"/>
        <v>#REF!</v>
      </c>
      <c r="AB46" s="43" t="e">
        <f t="shared" si="5"/>
        <v>#REF!</v>
      </c>
      <c r="AC46" s="11" t="e">
        <f>SUMIFS(#REF!,#REF!,C46)/(1+1.8%)*(1+1.8%+2.3%)</f>
        <v>#REF!</v>
      </c>
      <c r="AD46" s="11" t="e">
        <f t="shared" si="16"/>
        <v>#REF!</v>
      </c>
      <c r="AE46" s="64"/>
      <c r="AF46" s="11" t="e">
        <f>(SUMIFS(#REF!,#REF!,C46)/(1+1.8%))*(1+1.8%+2.3%)</f>
        <v>#REF!</v>
      </c>
      <c r="AG46" s="11" t="e">
        <f>-SUMIFS(#REF!,#REF!,C46)/1000</f>
        <v>#REF!</v>
      </c>
      <c r="AH46" s="11" t="e">
        <f>SUMIFS(#REF!,#REF!,C46)</f>
        <v>#REF!</v>
      </c>
      <c r="AI46" s="11" t="e">
        <f>SUMIFS(#REF!,#REF!,C46)</f>
        <v>#REF!</v>
      </c>
      <c r="AJ46" s="11" t="e">
        <f>SUMIFS(#REF!,#REF!,C46)</f>
        <v>#REF!</v>
      </c>
      <c r="AK46" s="11" t="e">
        <f>SUMIFS(#REF!,#REF!,C46)</f>
        <v>#REF!</v>
      </c>
      <c r="AL46" s="11"/>
      <c r="AM46" s="11" t="e">
        <f t="shared" si="17"/>
        <v>#REF!</v>
      </c>
      <c r="AO46" s="11" t="e">
        <f t="shared" si="18"/>
        <v>#REF!</v>
      </c>
      <c r="AP46" s="11" t="e">
        <f t="shared" si="19"/>
        <v>#REF!</v>
      </c>
      <c r="AR46" s="11" t="e">
        <f t="shared" si="20"/>
        <v>#REF!</v>
      </c>
      <c r="AT46" s="43" t="e">
        <f t="shared" si="21"/>
        <v>#REF!</v>
      </c>
      <c r="AU46" s="11" t="e">
        <f t="shared" si="22"/>
        <v>#REF!</v>
      </c>
      <c r="AW46" s="11" t="e">
        <f>'Share of £1bn'!$F$20*1000*$AP46/$AP$57</f>
        <v>#REF!</v>
      </c>
      <c r="AX46" s="11" t="e">
        <f>'Share of £1bn'!$F$27*1000*$AP46/$AP$57</f>
        <v>#REF!</v>
      </c>
      <c r="AY46" s="11" t="e">
        <f>'Share of £1bn'!$F$21*1000*$AP46/$AP$57</f>
        <v>#REF!</v>
      </c>
      <c r="BA46" s="11" t="e">
        <f>'Share of £1bn'!$F$43*1000*AP46/$AP$57</f>
        <v>#REF!</v>
      </c>
      <c r="BB46" s="11" t="e">
        <f>'Share of £1bn'!$F$50*1000*$AP46/$AP$57</f>
        <v>#REF!</v>
      </c>
      <c r="BC46" s="11" t="e">
        <f>'Share of £1bn'!$F$44*1000*AP46/$AP$57</f>
        <v>#REF!</v>
      </c>
      <c r="BE46" s="11" t="e">
        <f>'Share of £1bn'!$F$67*1000*AP46/$AP$57</f>
        <v>#REF!</v>
      </c>
      <c r="BG46" s="11">
        <f>SUMIFS('20-11 M6 deficits'!$BO:$BO,'20-11 M6 deficits'!$C:$C,$C46)*1000</f>
        <v>0</v>
      </c>
      <c r="BI46" s="11" t="e">
        <f t="shared" si="23"/>
        <v>#REF!</v>
      </c>
      <c r="BJ46" s="11" t="e">
        <f t="shared" si="24"/>
        <v>#REF!</v>
      </c>
      <c r="BK46" s="11" t="e">
        <f t="shared" si="25"/>
        <v>#REF!</v>
      </c>
      <c r="BL46" s="11" t="e">
        <f t="shared" si="26"/>
        <v>#REF!</v>
      </c>
      <c r="BM46" s="11" t="e">
        <f t="shared" si="27"/>
        <v>#REF!</v>
      </c>
      <c r="BO46" s="11" t="e">
        <f t="shared" si="28"/>
        <v>#REF!</v>
      </c>
      <c r="BP46" s="11" t="e">
        <f t="shared" si="29"/>
        <v>#REF!</v>
      </c>
      <c r="BQ46" s="11" t="e">
        <f t="shared" si="30"/>
        <v>#REF!</v>
      </c>
      <c r="BR46" s="11" t="e">
        <f t="shared" si="31"/>
        <v>#REF!</v>
      </c>
      <c r="BS46" s="11" t="e">
        <f t="shared" si="32"/>
        <v>#REF!</v>
      </c>
      <c r="BU46" s="11" t="e">
        <f t="shared" si="52"/>
        <v>#REF!</v>
      </c>
      <c r="BV46" s="11" t="e">
        <f t="shared" si="33"/>
        <v>#REF!</v>
      </c>
      <c r="BW46" s="11" t="e">
        <f t="shared" si="34"/>
        <v>#REF!</v>
      </c>
      <c r="BX46" s="11" t="e">
        <f t="shared" si="35"/>
        <v>#REF!</v>
      </c>
      <c r="BY46" s="11" t="e">
        <f t="shared" si="36"/>
        <v>#REF!</v>
      </c>
      <c r="CA46" s="11" t="e">
        <f t="shared" si="37"/>
        <v>#REF!</v>
      </c>
      <c r="CB46" s="11" t="e">
        <f t="shared" si="38"/>
        <v>#REF!</v>
      </c>
      <c r="CC46" s="11" t="e">
        <f t="shared" si="39"/>
        <v>#REF!</v>
      </c>
      <c r="CD46" s="11" t="e">
        <f t="shared" si="40"/>
        <v>#REF!</v>
      </c>
      <c r="CE46" s="11" t="e">
        <f t="shared" si="41"/>
        <v>#REF!</v>
      </c>
      <c r="CG46" s="11" t="e">
        <f t="shared" si="42"/>
        <v>#REF!</v>
      </c>
      <c r="CH46" s="11" t="e">
        <f t="shared" si="43"/>
        <v>#REF!</v>
      </c>
      <c r="CI46" s="11" t="e">
        <f t="shared" si="44"/>
        <v>#REF!</v>
      </c>
      <c r="CJ46" s="11" t="e">
        <f t="shared" si="45"/>
        <v>#REF!</v>
      </c>
      <c r="CK46" s="11" t="e">
        <f t="shared" si="46"/>
        <v>#REF!</v>
      </c>
      <c r="CN46" s="209">
        <f t="shared" si="47"/>
        <v>0</v>
      </c>
      <c r="CO46" s="209" t="e">
        <f t="shared" si="48"/>
        <v>#REF!</v>
      </c>
      <c r="CP46" s="209" t="e">
        <f t="shared" si="49"/>
        <v>#REF!</v>
      </c>
      <c r="CQ46" s="209" t="e">
        <f t="shared" si="50"/>
        <v>#REF!</v>
      </c>
      <c r="CR46" s="209" t="e">
        <f t="shared" si="51"/>
        <v>#REF!</v>
      </c>
    </row>
    <row r="47" spans="1:96" x14ac:dyDescent="0.25">
      <c r="A47" s="4"/>
      <c r="B47" s="4"/>
      <c r="C47" s="4"/>
      <c r="D47" s="4"/>
      <c r="AE47" s="63"/>
    </row>
    <row r="48" spans="1:96" x14ac:dyDescent="0.25">
      <c r="A48" s="4"/>
      <c r="B48" s="4"/>
      <c r="C48" s="4"/>
      <c r="D48" s="4"/>
      <c r="AE48" s="63"/>
    </row>
    <row r="49" spans="1:96" ht="114.75" x14ac:dyDescent="0.25">
      <c r="A49" s="4"/>
      <c r="B49" s="5" t="s">
        <v>114</v>
      </c>
      <c r="C49" s="5" t="s">
        <v>13</v>
      </c>
      <c r="D49" s="5" t="s">
        <v>14</v>
      </c>
      <c r="E49" s="27" t="s">
        <v>142</v>
      </c>
      <c r="F49" s="42" t="s">
        <v>146</v>
      </c>
      <c r="G49" s="36" t="s">
        <v>147</v>
      </c>
      <c r="H49" s="42" t="s">
        <v>127</v>
      </c>
      <c r="I49" s="42" t="s">
        <v>381</v>
      </c>
      <c r="J49" s="47" t="s">
        <v>128</v>
      </c>
      <c r="K49" s="47" t="s">
        <v>355</v>
      </c>
      <c r="L49" s="47" t="s">
        <v>356</v>
      </c>
      <c r="M49" s="42" t="s">
        <v>131</v>
      </c>
      <c r="N49" s="47" t="s">
        <v>357</v>
      </c>
      <c r="O49" s="47" t="s">
        <v>358</v>
      </c>
      <c r="P49" s="47" t="s">
        <v>359</v>
      </c>
      <c r="Q49" s="47" t="s">
        <v>355</v>
      </c>
      <c r="R49" s="47" t="s">
        <v>148</v>
      </c>
      <c r="S49" s="256"/>
      <c r="T49" s="59" t="s">
        <v>149</v>
      </c>
      <c r="U49" s="59" t="s">
        <v>150</v>
      </c>
      <c r="V49" s="47" t="s">
        <v>361</v>
      </c>
      <c r="W49" s="59"/>
      <c r="X49" s="59"/>
      <c r="Y49" s="42" t="s">
        <v>364</v>
      </c>
      <c r="Z49" s="42"/>
      <c r="AA49" s="42"/>
      <c r="AB49" s="42" t="s">
        <v>151</v>
      </c>
      <c r="AC49" s="27" t="s">
        <v>152</v>
      </c>
      <c r="AD49" s="27" t="s">
        <v>153</v>
      </c>
      <c r="AE49" s="62" t="s">
        <v>154</v>
      </c>
      <c r="AF49" s="47" t="s">
        <v>155</v>
      </c>
      <c r="AG49" s="47" t="s">
        <v>382</v>
      </c>
      <c r="AH49" s="47" t="s">
        <v>156</v>
      </c>
      <c r="AI49" s="47" t="s">
        <v>5</v>
      </c>
      <c r="AJ49" s="59" t="s">
        <v>6</v>
      </c>
      <c r="AK49" s="59" t="s">
        <v>157</v>
      </c>
      <c r="AL49" s="59" t="s">
        <v>158</v>
      </c>
      <c r="AM49" s="27" t="s">
        <v>383</v>
      </c>
      <c r="AO49" s="59" t="str">
        <f>AO3</f>
        <v>Changing base growth</v>
      </c>
      <c r="AP49" s="59" t="str">
        <f>AP3</f>
        <v>Impact of changing base growth (scaled up to £500m)</v>
      </c>
      <c r="AR49" s="59" t="str">
        <f>AR3</f>
        <v>Capacity</v>
      </c>
      <c r="AT49" s="59" t="s">
        <v>358</v>
      </c>
      <c r="AU49" s="59" t="str">
        <f>AU3</f>
        <v>Impact of changing convergence</v>
      </c>
      <c r="AW49" s="59" t="str">
        <f>AW3</f>
        <v>Base growth 1 - GDP Deflator (ICB Core)</v>
      </c>
      <c r="AX49" s="59" t="str">
        <f>AX3</f>
        <v>Base growth 1 - GDP Deflator (Other streams) - purely notional</v>
      </c>
      <c r="AY49" s="59" t="str">
        <f>AY3</f>
        <v>Base growth 1 - GDP Deflator (ICB Core leakage)</v>
      </c>
      <c r="BA49" s="59" t="str">
        <f>BA3</f>
        <v>Base growth 2 - UEC (ICB Core)</v>
      </c>
      <c r="BB49" s="59" t="str">
        <f>BB3</f>
        <v>Base growth 2 - UEC (Other streams) - purely notional</v>
      </c>
      <c r="BC49" s="59" t="str">
        <f>BC3</f>
        <v>Base growth 2 - UEC (ICB Core Leakage)</v>
      </c>
      <c r="BE49" s="59" t="str">
        <f>BE3</f>
        <v>Base growth 3 - Prescribing/CHC</v>
      </c>
      <c r="BG49" s="59" t="str">
        <f>BG3</f>
        <v>Deficits</v>
      </c>
      <c r="BI49" s="59" t="str">
        <f>BI3</f>
        <v>Base growth 1 - GDP Deflator (ICB Core leakage)</v>
      </c>
      <c r="BJ49" s="59" t="str">
        <f>BJ3</f>
        <v>New</v>
      </c>
      <c r="BK49" s="59" t="str">
        <f>BK3</f>
        <v>Good</v>
      </c>
      <c r="BL49" s="59" t="str">
        <f>BL3</f>
        <v>Good</v>
      </c>
      <c r="BM49" s="59" t="str">
        <f>BM3</f>
        <v>Bad</v>
      </c>
      <c r="BO49" s="59" t="str">
        <f>BO3</f>
        <v>Base growth 2 - UEC (ICB Core)</v>
      </c>
      <c r="BP49" s="59" t="str">
        <f>BP3</f>
        <v>New</v>
      </c>
      <c r="BQ49" s="59" t="str">
        <f>BQ3</f>
        <v>Good</v>
      </c>
      <c r="BR49" s="59" t="str">
        <f>BR3</f>
        <v>Good</v>
      </c>
      <c r="BS49" s="59" t="str">
        <f>BS3</f>
        <v>Bad</v>
      </c>
      <c r="BU49" s="59" t="str">
        <f>BU3</f>
        <v>Base growth 3 - Prescribing/CHC</v>
      </c>
      <c r="BV49" s="59" t="str">
        <f>BV3</f>
        <v>New</v>
      </c>
      <c r="BW49" s="59" t="str">
        <f>BW3</f>
        <v>Good</v>
      </c>
      <c r="BX49" s="59" t="str">
        <f>BX3</f>
        <v>Good</v>
      </c>
      <c r="BY49" s="59" t="str">
        <f>BY3</f>
        <v>Bad</v>
      </c>
      <c r="CA49" s="59" t="str">
        <f>CA3</f>
        <v>Convergence</v>
      </c>
      <c r="CB49" s="59" t="str">
        <f>CB3</f>
        <v>New</v>
      </c>
      <c r="CC49" s="59" t="str">
        <f>CC3</f>
        <v>Good</v>
      </c>
      <c r="CD49" s="59" t="str">
        <f>CD3</f>
        <v>Good</v>
      </c>
      <c r="CE49" s="59" t="str">
        <f>CE3</f>
        <v>Bad</v>
      </c>
      <c r="CG49" s="59" t="str">
        <f>CG3</f>
        <v>Capacity</v>
      </c>
      <c r="CH49" s="59" t="str">
        <f>CH3</f>
        <v>New</v>
      </c>
      <c r="CI49" s="59" t="str">
        <f>CI3</f>
        <v>Good</v>
      </c>
      <c r="CJ49" s="59" t="str">
        <f>CJ3</f>
        <v>Good</v>
      </c>
      <c r="CK49" s="59" t="str">
        <f>CK3</f>
        <v>Bad</v>
      </c>
    </row>
    <row r="50" spans="1:96" x14ac:dyDescent="0.25">
      <c r="A50" s="4"/>
      <c r="B50" s="21">
        <v>1</v>
      </c>
      <c r="C50" s="22" t="s">
        <v>17</v>
      </c>
      <c r="D50" s="22" t="s">
        <v>18</v>
      </c>
      <c r="E50" s="23">
        <f>SUMIFS(E$5:E$46,$A$5:$A$46,$C50)</f>
        <v>16103414.606958285</v>
      </c>
      <c r="F50" s="45" t="e">
        <f>SUMIFS(#REF!,#REF!,C50)</f>
        <v>#REF!</v>
      </c>
      <c r="H50" s="45" t="e" cm="1">
        <f t="array" ref="H50">SUMPRODUCT((H$5:H$46)*($E$5:$E$46)*($A$5:$A$46=$C50))/SUMPRODUCT(($E$5:$E$46)*($A$5:$A$46=$C50))</f>
        <v>#REF!</v>
      </c>
      <c r="I50" s="45" t="e" cm="1">
        <f t="array" ref="I50">SUMPRODUCT((I$5:I$46)*($E$5:$E$46)*($A$5:$A$46=$C50))/SUMPRODUCT(($E$5:$E$46)*($A$5:$A$46=$C50))</f>
        <v>#REF!</v>
      </c>
      <c r="J50" s="45" t="e" cm="1">
        <f t="array" ref="J50">SUMPRODUCT((J$5:J$46)*($E$5:$E$46)*($A$5:$A$46=$C50))/SUMPRODUCT(($E$5:$E$46)*($A$5:$A$46=$C50))</f>
        <v>#REF!</v>
      </c>
      <c r="K50" s="23" t="e">
        <f t="shared" ref="K50:L56" si="53">SUMIFS(K$5:K$46,$A$5:$A$46,$C50)</f>
        <v>#REF!</v>
      </c>
      <c r="L50" s="23" t="e">
        <f t="shared" si="53"/>
        <v>#REF!</v>
      </c>
      <c r="M50" s="45" t="e">
        <f>SUMIFS(#REF!,#REF!,C50)</f>
        <v>#REF!</v>
      </c>
      <c r="N50" s="23" t="e">
        <f t="shared" ref="N50:N56" si="54">SUMIFS(N$5:N$46,$A$5:$A$46,$C50)</f>
        <v>#REF!</v>
      </c>
      <c r="O50" s="45" t="e" cm="1">
        <f t="array" ref="O50">SUMPRODUCT((O$5:O$46)*($L$5:$L$46)*($A$5:$A$46=$C50))/SUMPRODUCT(($L$5:$L$46)*($A$5:$A$46=$C50))</f>
        <v>#REF!</v>
      </c>
      <c r="P50" s="23" t="e">
        <f t="shared" ref="P50:AR56" si="55">SUMIFS(P$5:P$46,$A$5:$A$46,$C50)</f>
        <v>#REF!</v>
      </c>
      <c r="Q50" s="23" t="e">
        <f t="shared" si="55"/>
        <v>#REF!</v>
      </c>
      <c r="R50" s="23" t="e">
        <f t="shared" si="55"/>
        <v>#REF!</v>
      </c>
      <c r="S50" s="258"/>
      <c r="T50" s="23" t="e">
        <f t="shared" si="55"/>
        <v>#REF!</v>
      </c>
      <c r="U50" s="23" t="e">
        <f t="shared" ref="U50:U57" si="56">(R50/T50)*1000</f>
        <v>#REF!</v>
      </c>
      <c r="V50" s="23"/>
      <c r="W50" s="23" t="e">
        <f t="shared" si="55"/>
        <v>#REF!</v>
      </c>
      <c r="X50" s="23" t="e">
        <f t="shared" si="55"/>
        <v>#REF!</v>
      </c>
      <c r="Y50" s="45"/>
      <c r="Z50" s="45"/>
      <c r="AA50" s="45"/>
      <c r="AB50" s="45" t="e">
        <f t="shared" ref="AB50:AB57" si="57">R50/E50-1</f>
        <v>#REF!</v>
      </c>
      <c r="AC50" s="23" t="e">
        <f t="shared" si="55"/>
        <v>#REF!</v>
      </c>
      <c r="AD50" s="23" t="e">
        <f t="shared" si="55"/>
        <v>#REF!</v>
      </c>
      <c r="AE50" s="66"/>
      <c r="AF50" s="23" t="e">
        <f t="shared" si="55"/>
        <v>#REF!</v>
      </c>
      <c r="AG50" s="23" t="e">
        <f t="shared" si="55"/>
        <v>#REF!</v>
      </c>
      <c r="AH50" s="23" t="e">
        <f t="shared" si="55"/>
        <v>#REF!</v>
      </c>
      <c r="AI50" s="23" t="e">
        <f t="shared" si="55"/>
        <v>#REF!</v>
      </c>
      <c r="AJ50" s="23" t="e">
        <f t="shared" si="55"/>
        <v>#REF!</v>
      </c>
      <c r="AK50" s="23" t="e">
        <f t="shared" si="55"/>
        <v>#REF!</v>
      </c>
      <c r="AL50" s="23">
        <f t="shared" si="55"/>
        <v>0</v>
      </c>
      <c r="AM50" s="23" t="e">
        <f t="shared" si="55"/>
        <v>#REF!</v>
      </c>
      <c r="AO50" s="23" t="e">
        <f t="shared" si="55"/>
        <v>#REF!</v>
      </c>
      <c r="AP50" s="23" t="e">
        <f t="shared" si="55"/>
        <v>#REF!</v>
      </c>
      <c r="AR50" s="23" t="e">
        <f t="shared" si="55"/>
        <v>#REF!</v>
      </c>
      <c r="AT50" s="45" t="e" cm="1">
        <f t="array" ref="AT50">SUMPRODUCT((AT$5:AT$46)*($L$5:$L$46)*($A$5:$A$46=$C50))/SUMPRODUCT(($L$5:$L$46)*($A$5:$A$46=$C50))</f>
        <v>#REF!</v>
      </c>
      <c r="AU50" s="23" t="e">
        <f t="shared" ref="AU50:BJ56" si="58">SUMIFS(AU$5:AU$46,$A$5:$A$46,$C50)</f>
        <v>#REF!</v>
      </c>
      <c r="AW50" s="23" t="e">
        <f t="shared" si="58"/>
        <v>#REF!</v>
      </c>
      <c r="AX50" s="23" t="e">
        <f t="shared" si="58"/>
        <v>#REF!</v>
      </c>
      <c r="AY50" s="23" t="e">
        <f t="shared" si="58"/>
        <v>#REF!</v>
      </c>
      <c r="BA50" s="23" t="e">
        <f t="shared" si="58"/>
        <v>#REF!</v>
      </c>
      <c r="BB50" s="23" t="e">
        <f t="shared" si="58"/>
        <v>#REF!</v>
      </c>
      <c r="BC50" s="23" t="e">
        <f t="shared" si="58"/>
        <v>#REF!</v>
      </c>
      <c r="BE50" s="23" t="e">
        <f t="shared" si="58"/>
        <v>#REF!</v>
      </c>
      <c r="BG50" s="23">
        <f t="shared" si="58"/>
        <v>-105017.77082265612</v>
      </c>
      <c r="BI50" s="23" t="e">
        <f t="shared" si="58"/>
        <v>#REF!</v>
      </c>
      <c r="BJ50" s="23" t="e">
        <f t="shared" si="58"/>
        <v>#REF!</v>
      </c>
      <c r="BK50" s="23" t="e">
        <f t="shared" ref="BK50:BM56" si="59">SUMIFS(BK$5:BK$46,$A$5:$A$46,$C50)</f>
        <v>#REF!</v>
      </c>
      <c r="BL50" s="23" t="e">
        <f t="shared" si="59"/>
        <v>#REF!</v>
      </c>
      <c r="BM50" s="23" t="e">
        <f t="shared" si="59"/>
        <v>#REF!</v>
      </c>
      <c r="BO50" s="23" t="e">
        <f t="shared" ref="BO50:CD56" si="60">SUMIFS(BO$5:BO$46,$A$5:$A$46,$C50)</f>
        <v>#REF!</v>
      </c>
      <c r="BP50" s="23" t="e">
        <f t="shared" si="60"/>
        <v>#REF!</v>
      </c>
      <c r="BQ50" s="23" t="e">
        <f t="shared" si="60"/>
        <v>#REF!</v>
      </c>
      <c r="BR50" s="23" t="e">
        <f t="shared" si="60"/>
        <v>#REF!</v>
      </c>
      <c r="BS50" s="23" t="e">
        <f t="shared" si="60"/>
        <v>#REF!</v>
      </c>
      <c r="BU50" s="23" t="e">
        <f t="shared" si="60"/>
        <v>#REF!</v>
      </c>
      <c r="BV50" s="23" t="e">
        <f t="shared" si="60"/>
        <v>#REF!</v>
      </c>
      <c r="BW50" s="23" t="e">
        <f t="shared" si="60"/>
        <v>#REF!</v>
      </c>
      <c r="BX50" s="23" t="e">
        <f t="shared" si="60"/>
        <v>#REF!</v>
      </c>
      <c r="BY50" s="23" t="e">
        <f t="shared" si="60"/>
        <v>#REF!</v>
      </c>
      <c r="CA50" s="23" t="e">
        <f t="shared" si="60"/>
        <v>#REF!</v>
      </c>
      <c r="CB50" s="23" t="e">
        <f t="shared" si="60"/>
        <v>#REF!</v>
      </c>
      <c r="CC50" s="23" t="e">
        <f t="shared" si="60"/>
        <v>#REF!</v>
      </c>
      <c r="CD50" s="23" t="e">
        <f t="shared" si="60"/>
        <v>#REF!</v>
      </c>
      <c r="CE50" s="23" t="e">
        <f t="shared" ref="CE50:CE56" si="61">SUMIFS(CE$5:CE$46,$A$5:$A$46,$C50)</f>
        <v>#REF!</v>
      </c>
      <c r="CG50" s="23" t="e">
        <f t="shared" ref="CG50:CK56" si="62">SUMIFS(CG$5:CG$46,$A$5:$A$46,$C50)</f>
        <v>#REF!</v>
      </c>
      <c r="CH50" s="23" t="e">
        <f t="shared" si="62"/>
        <v>#REF!</v>
      </c>
      <c r="CI50" s="23" t="e">
        <f t="shared" si="62"/>
        <v>#REF!</v>
      </c>
      <c r="CJ50" s="23" t="e">
        <f t="shared" si="62"/>
        <v>#REF!</v>
      </c>
      <c r="CK50" s="23" t="e">
        <f t="shared" si="62"/>
        <v>#REF!</v>
      </c>
      <c r="CN50" s="209">
        <f>SUMIFS(BG$5:BG$46,BG$5:BG$46,"&lt;0",$A$5:$A$46,$C50)/$BG$59</f>
        <v>6.6431325460665214E-2</v>
      </c>
      <c r="CO50" s="209" t="e">
        <f t="shared" ref="CO50:CO56" si="63">R50/$R$57</f>
        <v>#REF!</v>
      </c>
      <c r="CP50" s="209" t="e">
        <f t="shared" ref="CP50:CP56" si="64">AP50/$AP$57</f>
        <v>#REF!</v>
      </c>
      <c r="CQ50" s="209" t="e">
        <f t="shared" ref="CQ50:CQ56" si="65">CA50/$CA$57</f>
        <v>#REF!</v>
      </c>
      <c r="CR50" s="209" t="e">
        <f t="shared" ref="CR50:CR56" si="66">CG50/$CG$57</f>
        <v>#REF!</v>
      </c>
    </row>
    <row r="51" spans="1:96" x14ac:dyDescent="0.25">
      <c r="A51" s="4"/>
      <c r="B51" s="21">
        <v>2</v>
      </c>
      <c r="C51" s="22" t="s">
        <v>27</v>
      </c>
      <c r="D51" s="22" t="s">
        <v>28</v>
      </c>
      <c r="E51" s="23">
        <f t="shared" ref="E51:E56" si="67">SUMIFS(E$5:E$46,$A$5:$A$46,$C51)</f>
        <v>14450049.427944031</v>
      </c>
      <c r="F51" s="45" t="e">
        <f>SUMIFS(#REF!,#REF!,C51)</f>
        <v>#REF!</v>
      </c>
      <c r="H51" s="45" t="e" cm="1">
        <f t="array" ref="H51">SUMPRODUCT((H$5:H$46)*($E$5:$E$46)*($A$5:$A$46=$C51))/SUMPRODUCT(($E$5:$E$46)*($A$5:$A$46=$C51))</f>
        <v>#REF!</v>
      </c>
      <c r="I51" s="45" t="e" cm="1">
        <f t="array" ref="I51">SUMPRODUCT((I$5:I$46)*($E$5:$E$46)*($A$5:$A$46=$C51))/SUMPRODUCT(($E$5:$E$46)*($A$5:$A$46=$C51))</f>
        <v>#REF!</v>
      </c>
      <c r="J51" s="45" t="e" cm="1">
        <f t="array" ref="J51">SUMPRODUCT((J$5:J$46)*($E$5:$E$46)*($A$5:$A$46=$C51))/SUMPRODUCT(($E$5:$E$46)*($A$5:$A$46=$C51))</f>
        <v>#REF!</v>
      </c>
      <c r="K51" s="23" t="e">
        <f t="shared" si="53"/>
        <v>#REF!</v>
      </c>
      <c r="L51" s="23" t="e">
        <f t="shared" si="53"/>
        <v>#REF!</v>
      </c>
      <c r="M51" s="45" t="e">
        <f>SUMIFS(#REF!,#REF!,C51)</f>
        <v>#REF!</v>
      </c>
      <c r="N51" s="23" t="e">
        <f t="shared" si="54"/>
        <v>#REF!</v>
      </c>
      <c r="O51" s="45" t="e" cm="1">
        <f t="array" ref="O51">SUMPRODUCT((O$5:O$46)*($L$5:$L$46)*($A$5:$A$46=$C51))/SUMPRODUCT(($L$5:$L$46)*($A$5:$A$46=$C51))</f>
        <v>#REF!</v>
      </c>
      <c r="P51" s="23" t="e">
        <f t="shared" si="55"/>
        <v>#REF!</v>
      </c>
      <c r="Q51" s="23" t="e">
        <f t="shared" si="55"/>
        <v>#REF!</v>
      </c>
      <c r="R51" s="23" t="e">
        <f t="shared" si="55"/>
        <v>#REF!</v>
      </c>
      <c r="S51" s="258"/>
      <c r="T51" s="23" t="e">
        <f t="shared" si="55"/>
        <v>#REF!</v>
      </c>
      <c r="U51" s="23" t="e">
        <f t="shared" si="56"/>
        <v>#REF!</v>
      </c>
      <c r="V51" s="23"/>
      <c r="W51" s="23" t="e">
        <f t="shared" si="55"/>
        <v>#REF!</v>
      </c>
      <c r="X51" s="23" t="e">
        <f t="shared" si="55"/>
        <v>#REF!</v>
      </c>
      <c r="Y51" s="45"/>
      <c r="Z51" s="45"/>
      <c r="AA51" s="45"/>
      <c r="AB51" s="45" t="e">
        <f t="shared" si="57"/>
        <v>#REF!</v>
      </c>
      <c r="AC51" s="23" t="e">
        <f t="shared" si="55"/>
        <v>#REF!</v>
      </c>
      <c r="AD51" s="23" t="e">
        <f t="shared" si="55"/>
        <v>#REF!</v>
      </c>
      <c r="AE51" s="66"/>
      <c r="AF51" s="23" t="e">
        <f t="shared" si="55"/>
        <v>#REF!</v>
      </c>
      <c r="AG51" s="23" t="e">
        <f t="shared" si="55"/>
        <v>#REF!</v>
      </c>
      <c r="AH51" s="23" t="e">
        <f t="shared" si="55"/>
        <v>#REF!</v>
      </c>
      <c r="AI51" s="23" t="e">
        <f t="shared" si="55"/>
        <v>#REF!</v>
      </c>
      <c r="AJ51" s="23" t="e">
        <f t="shared" si="55"/>
        <v>#REF!</v>
      </c>
      <c r="AK51" s="23" t="e">
        <f t="shared" si="55"/>
        <v>#REF!</v>
      </c>
      <c r="AL51" s="23">
        <f t="shared" si="55"/>
        <v>0</v>
      </c>
      <c r="AM51" s="23" t="e">
        <f t="shared" si="55"/>
        <v>#REF!</v>
      </c>
      <c r="AO51" s="23" t="e">
        <f t="shared" si="55"/>
        <v>#REF!</v>
      </c>
      <c r="AP51" s="23" t="e">
        <f t="shared" si="55"/>
        <v>#REF!</v>
      </c>
      <c r="AR51" s="23" t="e">
        <f t="shared" si="55"/>
        <v>#REF!</v>
      </c>
      <c r="AT51" s="45" t="e" cm="1">
        <f t="array" ref="AT51">SUMPRODUCT((AT$5:AT$46)*($L$5:$L$46)*($A$5:$A$46=$C51))/SUMPRODUCT(($L$5:$L$46)*($A$5:$A$46=$C51))</f>
        <v>#REF!</v>
      </c>
      <c r="AU51" s="23" t="e">
        <f t="shared" si="58"/>
        <v>#REF!</v>
      </c>
      <c r="AW51" s="23" t="e">
        <f t="shared" si="58"/>
        <v>#REF!</v>
      </c>
      <c r="AX51" s="23" t="e">
        <f t="shared" si="58"/>
        <v>#REF!</v>
      </c>
      <c r="AY51" s="23" t="e">
        <f t="shared" si="58"/>
        <v>#REF!</v>
      </c>
      <c r="BA51" s="23" t="e">
        <f t="shared" si="58"/>
        <v>#REF!</v>
      </c>
      <c r="BB51" s="23" t="e">
        <f t="shared" si="58"/>
        <v>#REF!</v>
      </c>
      <c r="BC51" s="23" t="e">
        <f t="shared" si="58"/>
        <v>#REF!</v>
      </c>
      <c r="BE51" s="23" t="e">
        <f t="shared" si="58"/>
        <v>#REF!</v>
      </c>
      <c r="BG51" s="23">
        <f t="shared" si="58"/>
        <v>-421165.06055570475</v>
      </c>
      <c r="BI51" s="23" t="e">
        <f t="shared" si="58"/>
        <v>#REF!</v>
      </c>
      <c r="BJ51" s="23" t="e">
        <f t="shared" si="58"/>
        <v>#REF!</v>
      </c>
      <c r="BK51" s="23" t="e">
        <f t="shared" si="59"/>
        <v>#REF!</v>
      </c>
      <c r="BL51" s="23" t="e">
        <f t="shared" si="59"/>
        <v>#REF!</v>
      </c>
      <c r="BM51" s="23" t="e">
        <f t="shared" si="59"/>
        <v>#REF!</v>
      </c>
      <c r="BO51" s="23" t="e">
        <f t="shared" si="60"/>
        <v>#REF!</v>
      </c>
      <c r="BP51" s="23" t="e">
        <f t="shared" si="60"/>
        <v>#REF!</v>
      </c>
      <c r="BQ51" s="23" t="e">
        <f t="shared" si="60"/>
        <v>#REF!</v>
      </c>
      <c r="BR51" s="23" t="e">
        <f t="shared" si="60"/>
        <v>#REF!</v>
      </c>
      <c r="BS51" s="23" t="e">
        <f t="shared" si="60"/>
        <v>#REF!</v>
      </c>
      <c r="BU51" s="23" t="e">
        <f t="shared" si="60"/>
        <v>#REF!</v>
      </c>
      <c r="BV51" s="23" t="e">
        <f t="shared" si="60"/>
        <v>#REF!</v>
      </c>
      <c r="BW51" s="23" t="e">
        <f t="shared" si="60"/>
        <v>#REF!</v>
      </c>
      <c r="BX51" s="23" t="e">
        <f t="shared" si="60"/>
        <v>#REF!</v>
      </c>
      <c r="BY51" s="23" t="e">
        <f t="shared" si="60"/>
        <v>#REF!</v>
      </c>
      <c r="CA51" s="23" t="e">
        <f t="shared" si="60"/>
        <v>#REF!</v>
      </c>
      <c r="CB51" s="23" t="e">
        <f t="shared" si="60"/>
        <v>#REF!</v>
      </c>
      <c r="CC51" s="23" t="e">
        <f t="shared" si="60"/>
        <v>#REF!</v>
      </c>
      <c r="CD51" s="23" t="e">
        <f t="shared" si="60"/>
        <v>#REF!</v>
      </c>
      <c r="CE51" s="23" t="e">
        <f t="shared" si="61"/>
        <v>#REF!</v>
      </c>
      <c r="CG51" s="23" t="e">
        <f t="shared" si="62"/>
        <v>#REF!</v>
      </c>
      <c r="CH51" s="23" t="e">
        <f t="shared" si="62"/>
        <v>#REF!</v>
      </c>
      <c r="CI51" s="23" t="e">
        <f t="shared" si="62"/>
        <v>#REF!</v>
      </c>
      <c r="CJ51" s="23" t="e">
        <f t="shared" si="62"/>
        <v>#REF!</v>
      </c>
      <c r="CK51" s="23" t="e">
        <f t="shared" si="62"/>
        <v>#REF!</v>
      </c>
      <c r="CN51" s="209">
        <f t="shared" ref="CN51:CN56" si="68">SUMIFS(BG$5:BG$46,BG$5:BG$46,"&lt;0",$A$5:$A$46,$C51)/$BG$59</f>
        <v>0.26641732148061187</v>
      </c>
      <c r="CO51" s="209" t="e">
        <f t="shared" si="63"/>
        <v>#REF!</v>
      </c>
      <c r="CP51" s="209" t="e">
        <f t="shared" si="64"/>
        <v>#REF!</v>
      </c>
      <c r="CQ51" s="209" t="e">
        <f t="shared" si="65"/>
        <v>#REF!</v>
      </c>
      <c r="CR51" s="209" t="e">
        <f t="shared" si="66"/>
        <v>#REF!</v>
      </c>
    </row>
    <row r="52" spans="1:96" x14ac:dyDescent="0.25">
      <c r="A52" s="4"/>
      <c r="B52" s="21">
        <v>3</v>
      </c>
      <c r="C52" s="22" t="s">
        <v>34</v>
      </c>
      <c r="D52" s="22" t="s">
        <v>35</v>
      </c>
      <c r="E52" s="23">
        <f t="shared" si="67"/>
        <v>19536186.067950472</v>
      </c>
      <c r="F52" s="45" t="e">
        <f>SUMIFS(#REF!,#REF!,C52)</f>
        <v>#REF!</v>
      </c>
      <c r="H52" s="45" t="e" cm="1">
        <f t="array" ref="H52">SUMPRODUCT((H$5:H$46)*($E$5:$E$46)*($A$5:$A$46=$C52))/SUMPRODUCT(($E$5:$E$46)*($A$5:$A$46=$C52))</f>
        <v>#REF!</v>
      </c>
      <c r="I52" s="45" t="e" cm="1">
        <f t="array" ref="I52">SUMPRODUCT((I$5:I$46)*($E$5:$E$46)*($A$5:$A$46=$C52))/SUMPRODUCT(($E$5:$E$46)*($A$5:$A$46=$C52))</f>
        <v>#REF!</v>
      </c>
      <c r="J52" s="45" t="e" cm="1">
        <f t="array" ref="J52">SUMPRODUCT((J$5:J$46)*($E$5:$E$46)*($A$5:$A$46=$C52))/SUMPRODUCT(($E$5:$E$46)*($A$5:$A$46=$C52))</f>
        <v>#REF!</v>
      </c>
      <c r="K52" s="23" t="e">
        <f t="shared" si="53"/>
        <v>#REF!</v>
      </c>
      <c r="L52" s="23" t="e">
        <f t="shared" si="53"/>
        <v>#REF!</v>
      </c>
      <c r="M52" s="45" t="e">
        <f>SUMIFS(#REF!,#REF!,C52)</f>
        <v>#REF!</v>
      </c>
      <c r="N52" s="23" t="e">
        <f t="shared" si="54"/>
        <v>#REF!</v>
      </c>
      <c r="O52" s="45" t="e" cm="1">
        <f t="array" ref="O52">SUMPRODUCT((O$5:O$46)*($L$5:$L$46)*($A$5:$A$46=$C52))/SUMPRODUCT(($L$5:$L$46)*($A$5:$A$46=$C52))</f>
        <v>#REF!</v>
      </c>
      <c r="P52" s="23" t="e">
        <f t="shared" si="55"/>
        <v>#REF!</v>
      </c>
      <c r="Q52" s="23" t="e">
        <f t="shared" si="55"/>
        <v>#REF!</v>
      </c>
      <c r="R52" s="23" t="e">
        <f t="shared" si="55"/>
        <v>#REF!</v>
      </c>
      <c r="S52" s="258"/>
      <c r="T52" s="23" t="e">
        <f t="shared" si="55"/>
        <v>#REF!</v>
      </c>
      <c r="U52" s="23" t="e">
        <f t="shared" si="56"/>
        <v>#REF!</v>
      </c>
      <c r="V52" s="23"/>
      <c r="W52" s="23" t="e">
        <f t="shared" si="55"/>
        <v>#REF!</v>
      </c>
      <c r="X52" s="23" t="e">
        <f t="shared" si="55"/>
        <v>#REF!</v>
      </c>
      <c r="Y52" s="45"/>
      <c r="Z52" s="45"/>
      <c r="AA52" s="45"/>
      <c r="AB52" s="45" t="e">
        <f t="shared" si="57"/>
        <v>#REF!</v>
      </c>
      <c r="AC52" s="23" t="e">
        <f t="shared" si="55"/>
        <v>#REF!</v>
      </c>
      <c r="AD52" s="23" t="e">
        <f t="shared" si="55"/>
        <v>#REF!</v>
      </c>
      <c r="AE52" s="66"/>
      <c r="AF52" s="23" t="e">
        <f t="shared" si="55"/>
        <v>#REF!</v>
      </c>
      <c r="AG52" s="23" t="e">
        <f t="shared" si="55"/>
        <v>#REF!</v>
      </c>
      <c r="AH52" s="23" t="e">
        <f t="shared" si="55"/>
        <v>#REF!</v>
      </c>
      <c r="AI52" s="23" t="e">
        <f t="shared" si="55"/>
        <v>#REF!</v>
      </c>
      <c r="AJ52" s="23" t="e">
        <f t="shared" si="55"/>
        <v>#REF!</v>
      </c>
      <c r="AK52" s="23" t="e">
        <f t="shared" si="55"/>
        <v>#REF!</v>
      </c>
      <c r="AL52" s="23">
        <f t="shared" si="55"/>
        <v>0</v>
      </c>
      <c r="AM52" s="23" t="e">
        <f t="shared" si="55"/>
        <v>#REF!</v>
      </c>
      <c r="AO52" s="23" t="e">
        <f t="shared" si="55"/>
        <v>#REF!</v>
      </c>
      <c r="AP52" s="23" t="e">
        <f t="shared" si="55"/>
        <v>#REF!</v>
      </c>
      <c r="AR52" s="23" t="e">
        <f t="shared" si="55"/>
        <v>#REF!</v>
      </c>
      <c r="AT52" s="45" t="e" cm="1">
        <f t="array" ref="AT52">SUMPRODUCT((AT$5:AT$46)*($L$5:$L$46)*($A$5:$A$46=$C52))/SUMPRODUCT(($L$5:$L$46)*($A$5:$A$46=$C52))</f>
        <v>#REF!</v>
      </c>
      <c r="AU52" s="23" t="e">
        <f t="shared" si="58"/>
        <v>#REF!</v>
      </c>
      <c r="AW52" s="23" t="e">
        <f t="shared" si="58"/>
        <v>#REF!</v>
      </c>
      <c r="AX52" s="23" t="e">
        <f t="shared" si="58"/>
        <v>#REF!</v>
      </c>
      <c r="AY52" s="23" t="e">
        <f t="shared" si="58"/>
        <v>#REF!</v>
      </c>
      <c r="BA52" s="23" t="e">
        <f t="shared" si="58"/>
        <v>#REF!</v>
      </c>
      <c r="BB52" s="23" t="e">
        <f t="shared" si="58"/>
        <v>#REF!</v>
      </c>
      <c r="BC52" s="23" t="e">
        <f t="shared" si="58"/>
        <v>#REF!</v>
      </c>
      <c r="BE52" s="23" t="e">
        <f t="shared" si="58"/>
        <v>#REF!</v>
      </c>
      <c r="BG52" s="23">
        <f t="shared" si="58"/>
        <v>-497354.00760084507</v>
      </c>
      <c r="BI52" s="23" t="e">
        <f t="shared" si="58"/>
        <v>#REF!</v>
      </c>
      <c r="BJ52" s="23" t="e">
        <f t="shared" si="58"/>
        <v>#REF!</v>
      </c>
      <c r="BK52" s="23" t="e">
        <f t="shared" si="59"/>
        <v>#REF!</v>
      </c>
      <c r="BL52" s="23" t="e">
        <f t="shared" si="59"/>
        <v>#REF!</v>
      </c>
      <c r="BM52" s="23" t="e">
        <f t="shared" si="59"/>
        <v>#REF!</v>
      </c>
      <c r="BO52" s="23" t="e">
        <f t="shared" si="60"/>
        <v>#REF!</v>
      </c>
      <c r="BP52" s="23" t="e">
        <f t="shared" si="60"/>
        <v>#REF!</v>
      </c>
      <c r="BQ52" s="23" t="e">
        <f t="shared" si="60"/>
        <v>#REF!</v>
      </c>
      <c r="BR52" s="23" t="e">
        <f t="shared" si="60"/>
        <v>#REF!</v>
      </c>
      <c r="BS52" s="23" t="e">
        <f t="shared" si="60"/>
        <v>#REF!</v>
      </c>
      <c r="BU52" s="23" t="e">
        <f t="shared" si="60"/>
        <v>#REF!</v>
      </c>
      <c r="BV52" s="23" t="e">
        <f t="shared" si="60"/>
        <v>#REF!</v>
      </c>
      <c r="BW52" s="23" t="e">
        <f t="shared" si="60"/>
        <v>#REF!</v>
      </c>
      <c r="BX52" s="23" t="e">
        <f t="shared" si="60"/>
        <v>#REF!</v>
      </c>
      <c r="BY52" s="23" t="e">
        <f t="shared" si="60"/>
        <v>#REF!</v>
      </c>
      <c r="CA52" s="23" t="e">
        <f t="shared" si="60"/>
        <v>#REF!</v>
      </c>
      <c r="CB52" s="23" t="e">
        <f t="shared" si="60"/>
        <v>#REF!</v>
      </c>
      <c r="CC52" s="23" t="e">
        <f t="shared" si="60"/>
        <v>#REF!</v>
      </c>
      <c r="CD52" s="23" t="e">
        <f t="shared" si="60"/>
        <v>#REF!</v>
      </c>
      <c r="CE52" s="23" t="e">
        <f t="shared" si="61"/>
        <v>#REF!</v>
      </c>
      <c r="CG52" s="23" t="e">
        <f t="shared" si="62"/>
        <v>#REF!</v>
      </c>
      <c r="CH52" s="23" t="e">
        <f t="shared" si="62"/>
        <v>#REF!</v>
      </c>
      <c r="CI52" s="23" t="e">
        <f t="shared" si="62"/>
        <v>#REF!</v>
      </c>
      <c r="CJ52" s="23" t="e">
        <f t="shared" si="62"/>
        <v>#REF!</v>
      </c>
      <c r="CK52" s="23" t="e">
        <f t="shared" si="62"/>
        <v>#REF!</v>
      </c>
      <c r="CN52" s="209">
        <f t="shared" si="68"/>
        <v>0.31461233360106711</v>
      </c>
      <c r="CO52" s="209" t="e">
        <f t="shared" si="63"/>
        <v>#REF!</v>
      </c>
      <c r="CP52" s="209" t="e">
        <f t="shared" si="64"/>
        <v>#REF!</v>
      </c>
      <c r="CQ52" s="209" t="e">
        <f t="shared" si="65"/>
        <v>#REF!</v>
      </c>
      <c r="CR52" s="209" t="e">
        <f t="shared" si="66"/>
        <v>#REF!</v>
      </c>
    </row>
    <row r="53" spans="1:96" x14ac:dyDescent="0.25">
      <c r="A53" s="4"/>
      <c r="B53" s="21">
        <v>4</v>
      </c>
      <c r="C53" s="22" t="s">
        <v>58</v>
      </c>
      <c r="D53" s="22" t="s">
        <v>59</v>
      </c>
      <c r="E53" s="23">
        <f t="shared" si="67"/>
        <v>11559699.774078418</v>
      </c>
      <c r="F53" s="45" t="e">
        <f>SUMIFS(#REF!,#REF!,C53)</f>
        <v>#REF!</v>
      </c>
      <c r="H53" s="45" t="e" cm="1">
        <f t="array" ref="H53">SUMPRODUCT((H$5:H$46)*($E$5:$E$46)*($A$5:$A$46=$C53))/SUMPRODUCT(($E$5:$E$46)*($A$5:$A$46=$C53))</f>
        <v>#REF!</v>
      </c>
      <c r="I53" s="45" t="e" cm="1">
        <f t="array" ref="I53">SUMPRODUCT((I$5:I$46)*($E$5:$E$46)*($A$5:$A$46=$C53))/SUMPRODUCT(($E$5:$E$46)*($A$5:$A$46=$C53))</f>
        <v>#REF!</v>
      </c>
      <c r="J53" s="45" t="e" cm="1">
        <f t="array" ref="J53">SUMPRODUCT((J$5:J$46)*($E$5:$E$46)*($A$5:$A$46=$C53))/SUMPRODUCT(($E$5:$E$46)*($A$5:$A$46=$C53))</f>
        <v>#REF!</v>
      </c>
      <c r="K53" s="23" t="e">
        <f t="shared" si="53"/>
        <v>#REF!</v>
      </c>
      <c r="L53" s="23" t="e">
        <f t="shared" si="53"/>
        <v>#REF!</v>
      </c>
      <c r="M53" s="45" t="e">
        <f>SUMIFS(#REF!,#REF!,C53)</f>
        <v>#REF!</v>
      </c>
      <c r="N53" s="23" t="e">
        <f t="shared" si="54"/>
        <v>#REF!</v>
      </c>
      <c r="O53" s="45" t="e" cm="1">
        <f t="array" ref="O53">SUMPRODUCT((O$5:O$46)*($L$5:$L$46)*($A$5:$A$46=$C53))/SUMPRODUCT(($L$5:$L$46)*($A$5:$A$46=$C53))</f>
        <v>#REF!</v>
      </c>
      <c r="P53" s="23" t="e">
        <f t="shared" si="55"/>
        <v>#REF!</v>
      </c>
      <c r="Q53" s="23" t="e">
        <f t="shared" si="55"/>
        <v>#REF!</v>
      </c>
      <c r="R53" s="23" t="e">
        <f t="shared" si="55"/>
        <v>#REF!</v>
      </c>
      <c r="S53" s="258"/>
      <c r="T53" s="23" t="e">
        <f t="shared" si="55"/>
        <v>#REF!</v>
      </c>
      <c r="U53" s="23" t="e">
        <f t="shared" si="56"/>
        <v>#REF!</v>
      </c>
      <c r="V53" s="23"/>
      <c r="W53" s="23" t="e">
        <f t="shared" si="55"/>
        <v>#REF!</v>
      </c>
      <c r="X53" s="23" t="e">
        <f t="shared" si="55"/>
        <v>#REF!</v>
      </c>
      <c r="Y53" s="45"/>
      <c r="Z53" s="45"/>
      <c r="AA53" s="45"/>
      <c r="AB53" s="45" t="e">
        <f t="shared" si="57"/>
        <v>#REF!</v>
      </c>
      <c r="AC53" s="23" t="e">
        <f t="shared" si="55"/>
        <v>#REF!</v>
      </c>
      <c r="AD53" s="23" t="e">
        <f t="shared" si="55"/>
        <v>#REF!</v>
      </c>
      <c r="AE53" s="66"/>
      <c r="AF53" s="23" t="e">
        <f t="shared" si="55"/>
        <v>#REF!</v>
      </c>
      <c r="AG53" s="23" t="e">
        <f t="shared" si="55"/>
        <v>#REF!</v>
      </c>
      <c r="AH53" s="23" t="e">
        <f t="shared" si="55"/>
        <v>#REF!</v>
      </c>
      <c r="AI53" s="23" t="e">
        <f t="shared" si="55"/>
        <v>#REF!</v>
      </c>
      <c r="AJ53" s="23" t="e">
        <f t="shared" si="55"/>
        <v>#REF!</v>
      </c>
      <c r="AK53" s="23" t="e">
        <f t="shared" si="55"/>
        <v>#REF!</v>
      </c>
      <c r="AL53" s="23">
        <f t="shared" si="55"/>
        <v>0</v>
      </c>
      <c r="AM53" s="23" t="e">
        <f t="shared" si="55"/>
        <v>#REF!</v>
      </c>
      <c r="AO53" s="23" t="e">
        <f t="shared" si="55"/>
        <v>#REF!</v>
      </c>
      <c r="AP53" s="23" t="e">
        <f t="shared" si="55"/>
        <v>#REF!</v>
      </c>
      <c r="AR53" s="23" t="e">
        <f t="shared" si="55"/>
        <v>#REF!</v>
      </c>
      <c r="AT53" s="45" t="e" cm="1">
        <f t="array" ref="AT53">SUMPRODUCT((AT$5:AT$46)*($L$5:$L$46)*($A$5:$A$46=$C53))/SUMPRODUCT(($L$5:$L$46)*($A$5:$A$46=$C53))</f>
        <v>#REF!</v>
      </c>
      <c r="AU53" s="23" t="e">
        <f t="shared" si="58"/>
        <v>#REF!</v>
      </c>
      <c r="AW53" s="23" t="e">
        <f t="shared" si="58"/>
        <v>#REF!</v>
      </c>
      <c r="AX53" s="23" t="e">
        <f t="shared" si="58"/>
        <v>#REF!</v>
      </c>
      <c r="AY53" s="23" t="e">
        <f t="shared" si="58"/>
        <v>#REF!</v>
      </c>
      <c r="BA53" s="23" t="e">
        <f t="shared" si="58"/>
        <v>#REF!</v>
      </c>
      <c r="BB53" s="23" t="e">
        <f t="shared" si="58"/>
        <v>#REF!</v>
      </c>
      <c r="BC53" s="23" t="e">
        <f t="shared" si="58"/>
        <v>#REF!</v>
      </c>
      <c r="BE53" s="23" t="e">
        <f t="shared" si="58"/>
        <v>#REF!</v>
      </c>
      <c r="BG53" s="23">
        <f t="shared" si="58"/>
        <v>-50310.300445076602</v>
      </c>
      <c r="BI53" s="23" t="e">
        <f t="shared" si="58"/>
        <v>#REF!</v>
      </c>
      <c r="BJ53" s="23" t="e">
        <f t="shared" si="58"/>
        <v>#REF!</v>
      </c>
      <c r="BK53" s="23" t="e">
        <f t="shared" si="59"/>
        <v>#REF!</v>
      </c>
      <c r="BL53" s="23" t="e">
        <f t="shared" si="59"/>
        <v>#REF!</v>
      </c>
      <c r="BM53" s="23" t="e">
        <f t="shared" si="59"/>
        <v>#REF!</v>
      </c>
      <c r="BO53" s="23" t="e">
        <f t="shared" si="60"/>
        <v>#REF!</v>
      </c>
      <c r="BP53" s="23" t="e">
        <f t="shared" si="60"/>
        <v>#REF!</v>
      </c>
      <c r="BQ53" s="23" t="e">
        <f t="shared" si="60"/>
        <v>#REF!</v>
      </c>
      <c r="BR53" s="23" t="e">
        <f t="shared" si="60"/>
        <v>#REF!</v>
      </c>
      <c r="BS53" s="23" t="e">
        <f t="shared" si="60"/>
        <v>#REF!</v>
      </c>
      <c r="BU53" s="23" t="e">
        <f t="shared" si="60"/>
        <v>#REF!</v>
      </c>
      <c r="BV53" s="23" t="e">
        <f t="shared" si="60"/>
        <v>#REF!</v>
      </c>
      <c r="BW53" s="23" t="e">
        <f t="shared" si="60"/>
        <v>#REF!</v>
      </c>
      <c r="BX53" s="23" t="e">
        <f t="shared" si="60"/>
        <v>#REF!</v>
      </c>
      <c r="BY53" s="23" t="e">
        <f t="shared" si="60"/>
        <v>#REF!</v>
      </c>
      <c r="CA53" s="23" t="e">
        <f t="shared" si="60"/>
        <v>#REF!</v>
      </c>
      <c r="CB53" s="23" t="e">
        <f t="shared" si="60"/>
        <v>#REF!</v>
      </c>
      <c r="CC53" s="23" t="e">
        <f t="shared" si="60"/>
        <v>#REF!</v>
      </c>
      <c r="CD53" s="23" t="e">
        <f t="shared" si="60"/>
        <v>#REF!</v>
      </c>
      <c r="CE53" s="23" t="e">
        <f t="shared" si="61"/>
        <v>#REF!</v>
      </c>
      <c r="CG53" s="23" t="e">
        <f t="shared" si="62"/>
        <v>#REF!</v>
      </c>
      <c r="CH53" s="23" t="e">
        <f t="shared" si="62"/>
        <v>#REF!</v>
      </c>
      <c r="CI53" s="23" t="e">
        <f t="shared" si="62"/>
        <v>#REF!</v>
      </c>
      <c r="CJ53" s="23" t="e">
        <f t="shared" si="62"/>
        <v>#REF!</v>
      </c>
      <c r="CK53" s="23" t="e">
        <f t="shared" si="62"/>
        <v>#REF!</v>
      </c>
      <c r="CN53" s="209">
        <f t="shared" si="68"/>
        <v>3.1824898935768543E-2</v>
      </c>
      <c r="CO53" s="209" t="e">
        <f t="shared" si="63"/>
        <v>#REF!</v>
      </c>
      <c r="CP53" s="209" t="e">
        <f t="shared" si="64"/>
        <v>#REF!</v>
      </c>
      <c r="CQ53" s="209" t="e">
        <f t="shared" si="65"/>
        <v>#REF!</v>
      </c>
      <c r="CR53" s="209" t="e">
        <f t="shared" si="66"/>
        <v>#REF!</v>
      </c>
    </row>
    <row r="54" spans="1:96" x14ac:dyDescent="0.25">
      <c r="A54" s="4"/>
      <c r="B54" s="21">
        <v>5</v>
      </c>
      <c r="C54" s="22" t="s">
        <v>72</v>
      </c>
      <c r="D54" s="22" t="s">
        <v>73</v>
      </c>
      <c r="E54" s="23">
        <f t="shared" si="67"/>
        <v>16796669.95379521</v>
      </c>
      <c r="F54" s="45" t="e">
        <f>SUMIFS(#REF!,#REF!,C54)</f>
        <v>#REF!</v>
      </c>
      <c r="H54" s="45" t="e" cm="1">
        <f t="array" ref="H54">SUMPRODUCT((H$5:H$46)*($E$5:$E$46)*($A$5:$A$46=$C54))/SUMPRODUCT(($E$5:$E$46)*($A$5:$A$46=$C54))</f>
        <v>#REF!</v>
      </c>
      <c r="I54" s="45" t="e" cm="1">
        <f t="array" ref="I54">SUMPRODUCT((I$5:I$46)*($E$5:$E$46)*($A$5:$A$46=$C54))/SUMPRODUCT(($E$5:$E$46)*($A$5:$A$46=$C54))</f>
        <v>#REF!</v>
      </c>
      <c r="J54" s="45" t="e" cm="1">
        <f t="array" ref="J54">SUMPRODUCT((J$5:J$46)*($E$5:$E$46)*($A$5:$A$46=$C54))/SUMPRODUCT(($E$5:$E$46)*($A$5:$A$46=$C54))</f>
        <v>#REF!</v>
      </c>
      <c r="K54" s="23" t="e">
        <f t="shared" si="53"/>
        <v>#REF!</v>
      </c>
      <c r="L54" s="23" t="e">
        <f t="shared" si="53"/>
        <v>#REF!</v>
      </c>
      <c r="M54" s="45" t="e">
        <f>SUMIFS(#REF!,#REF!,C54)</f>
        <v>#REF!</v>
      </c>
      <c r="N54" s="23" t="e">
        <f t="shared" si="54"/>
        <v>#REF!</v>
      </c>
      <c r="O54" s="45" t="e" cm="1">
        <f t="array" ref="O54">SUMPRODUCT((O$5:O$46)*($L$5:$L$46)*($A$5:$A$46=$C54))/SUMPRODUCT(($L$5:$L$46)*($A$5:$A$46=$C54))</f>
        <v>#REF!</v>
      </c>
      <c r="P54" s="23" t="e">
        <f t="shared" si="55"/>
        <v>#REF!</v>
      </c>
      <c r="Q54" s="23" t="e">
        <f t="shared" si="55"/>
        <v>#REF!</v>
      </c>
      <c r="R54" s="23" t="e">
        <f t="shared" si="55"/>
        <v>#REF!</v>
      </c>
      <c r="S54" s="258"/>
      <c r="T54" s="23" t="e">
        <f t="shared" si="55"/>
        <v>#REF!</v>
      </c>
      <c r="U54" s="23" t="e">
        <f t="shared" si="56"/>
        <v>#REF!</v>
      </c>
      <c r="V54" s="23"/>
      <c r="W54" s="23" t="e">
        <f t="shared" si="55"/>
        <v>#REF!</v>
      </c>
      <c r="X54" s="23" t="e">
        <f t="shared" si="55"/>
        <v>#REF!</v>
      </c>
      <c r="Y54" s="45"/>
      <c r="Z54" s="45"/>
      <c r="AA54" s="45"/>
      <c r="AB54" s="45" t="e">
        <f t="shared" si="57"/>
        <v>#REF!</v>
      </c>
      <c r="AC54" s="23" t="e">
        <f t="shared" si="55"/>
        <v>#REF!</v>
      </c>
      <c r="AD54" s="23" t="e">
        <f t="shared" si="55"/>
        <v>#REF!</v>
      </c>
      <c r="AE54" s="66"/>
      <c r="AF54" s="23" t="e">
        <f t="shared" si="55"/>
        <v>#REF!</v>
      </c>
      <c r="AG54" s="23" t="e">
        <f t="shared" si="55"/>
        <v>#REF!</v>
      </c>
      <c r="AH54" s="23" t="e">
        <f t="shared" si="55"/>
        <v>#REF!</v>
      </c>
      <c r="AI54" s="23" t="e">
        <f t="shared" si="55"/>
        <v>#REF!</v>
      </c>
      <c r="AJ54" s="23" t="e">
        <f t="shared" si="55"/>
        <v>#REF!</v>
      </c>
      <c r="AK54" s="23" t="e">
        <f t="shared" si="55"/>
        <v>#REF!</v>
      </c>
      <c r="AL54" s="23">
        <f t="shared" si="55"/>
        <v>0</v>
      </c>
      <c r="AM54" s="23" t="e">
        <f t="shared" si="55"/>
        <v>#REF!</v>
      </c>
      <c r="AO54" s="23" t="e">
        <f t="shared" si="55"/>
        <v>#REF!</v>
      </c>
      <c r="AP54" s="23" t="e">
        <f t="shared" si="55"/>
        <v>#REF!</v>
      </c>
      <c r="AR54" s="23" t="e">
        <f t="shared" si="55"/>
        <v>#REF!</v>
      </c>
      <c r="AT54" s="45" t="e" cm="1">
        <f t="array" ref="AT54">SUMPRODUCT((AT$5:AT$46)*($L$5:$L$46)*($A$5:$A$46=$C54))/SUMPRODUCT(($L$5:$L$46)*($A$5:$A$46=$C54))</f>
        <v>#REF!</v>
      </c>
      <c r="AU54" s="23" t="e">
        <f t="shared" si="58"/>
        <v>#REF!</v>
      </c>
      <c r="AW54" s="23" t="e">
        <f t="shared" si="58"/>
        <v>#REF!</v>
      </c>
      <c r="AX54" s="23" t="e">
        <f t="shared" si="58"/>
        <v>#REF!</v>
      </c>
      <c r="AY54" s="23" t="e">
        <f t="shared" si="58"/>
        <v>#REF!</v>
      </c>
      <c r="BA54" s="23" t="e">
        <f t="shared" si="58"/>
        <v>#REF!</v>
      </c>
      <c r="BB54" s="23" t="e">
        <f t="shared" si="58"/>
        <v>#REF!</v>
      </c>
      <c r="BC54" s="23" t="e">
        <f t="shared" si="58"/>
        <v>#REF!</v>
      </c>
      <c r="BE54" s="23" t="e">
        <f t="shared" si="58"/>
        <v>#REF!</v>
      </c>
      <c r="BG54" s="23">
        <f t="shared" si="58"/>
        <v>-106600</v>
      </c>
      <c r="BI54" s="23" t="e">
        <f t="shared" si="58"/>
        <v>#REF!</v>
      </c>
      <c r="BJ54" s="23" t="e">
        <f t="shared" si="58"/>
        <v>#REF!</v>
      </c>
      <c r="BK54" s="23" t="e">
        <f t="shared" si="59"/>
        <v>#REF!</v>
      </c>
      <c r="BL54" s="23" t="e">
        <f t="shared" si="59"/>
        <v>#REF!</v>
      </c>
      <c r="BM54" s="23" t="e">
        <f t="shared" si="59"/>
        <v>#REF!</v>
      </c>
      <c r="BO54" s="23" t="e">
        <f t="shared" si="60"/>
        <v>#REF!</v>
      </c>
      <c r="BP54" s="23" t="e">
        <f t="shared" si="60"/>
        <v>#REF!</v>
      </c>
      <c r="BQ54" s="23" t="e">
        <f t="shared" si="60"/>
        <v>#REF!</v>
      </c>
      <c r="BR54" s="23" t="e">
        <f t="shared" si="60"/>
        <v>#REF!</v>
      </c>
      <c r="BS54" s="23" t="e">
        <f t="shared" si="60"/>
        <v>#REF!</v>
      </c>
      <c r="BU54" s="23" t="e">
        <f t="shared" si="60"/>
        <v>#REF!</v>
      </c>
      <c r="BV54" s="23" t="e">
        <f t="shared" si="60"/>
        <v>#REF!</v>
      </c>
      <c r="BW54" s="23" t="e">
        <f t="shared" si="60"/>
        <v>#REF!</v>
      </c>
      <c r="BX54" s="23" t="e">
        <f t="shared" si="60"/>
        <v>#REF!</v>
      </c>
      <c r="BY54" s="23" t="e">
        <f t="shared" si="60"/>
        <v>#REF!</v>
      </c>
      <c r="CA54" s="23" t="e">
        <f t="shared" si="60"/>
        <v>#REF!</v>
      </c>
      <c r="CB54" s="23" t="e">
        <f t="shared" si="60"/>
        <v>#REF!</v>
      </c>
      <c r="CC54" s="23" t="e">
        <f t="shared" si="60"/>
        <v>#REF!</v>
      </c>
      <c r="CD54" s="23" t="e">
        <f t="shared" si="60"/>
        <v>#REF!</v>
      </c>
      <c r="CE54" s="23" t="e">
        <f t="shared" si="61"/>
        <v>#REF!</v>
      </c>
      <c r="CG54" s="23" t="e">
        <f t="shared" si="62"/>
        <v>#REF!</v>
      </c>
      <c r="CH54" s="23" t="e">
        <f t="shared" si="62"/>
        <v>#REF!</v>
      </c>
      <c r="CI54" s="23" t="e">
        <f t="shared" si="62"/>
        <v>#REF!</v>
      </c>
      <c r="CJ54" s="23" t="e">
        <f t="shared" si="62"/>
        <v>#REF!</v>
      </c>
      <c r="CK54" s="23" t="e">
        <f t="shared" si="62"/>
        <v>#REF!</v>
      </c>
      <c r="CN54" s="209">
        <f t="shared" si="68"/>
        <v>6.7432199699473727E-2</v>
      </c>
      <c r="CO54" s="209" t="e">
        <f t="shared" si="63"/>
        <v>#REF!</v>
      </c>
      <c r="CP54" s="209" t="e">
        <f t="shared" si="64"/>
        <v>#REF!</v>
      </c>
      <c r="CQ54" s="209" t="e">
        <f t="shared" si="65"/>
        <v>#REF!</v>
      </c>
      <c r="CR54" s="209" t="e">
        <f t="shared" si="66"/>
        <v>#REF!</v>
      </c>
    </row>
    <row r="55" spans="1:96" x14ac:dyDescent="0.25">
      <c r="A55" s="4"/>
      <c r="B55" s="21">
        <v>6</v>
      </c>
      <c r="C55" s="22" t="s">
        <v>84</v>
      </c>
      <c r="D55" s="22" t="s">
        <v>85</v>
      </c>
      <c r="E55" s="23">
        <f t="shared" si="67"/>
        <v>15582342.155601533</v>
      </c>
      <c r="F55" s="45" t="e">
        <f>SUMIFS(#REF!,#REF!,C55)</f>
        <v>#REF!</v>
      </c>
      <c r="H55" s="45" t="e" cm="1">
        <f t="array" ref="H55">SUMPRODUCT((H$5:H$46)*($E$5:$E$46)*($A$5:$A$46=$C55))/SUMPRODUCT(($E$5:$E$46)*($A$5:$A$46=$C55))</f>
        <v>#REF!</v>
      </c>
      <c r="I55" s="45" t="e" cm="1">
        <f t="array" ref="I55">SUMPRODUCT((I$5:I$46)*($E$5:$E$46)*($A$5:$A$46=$C55))/SUMPRODUCT(($E$5:$E$46)*($A$5:$A$46=$C55))</f>
        <v>#REF!</v>
      </c>
      <c r="J55" s="45" t="e" cm="1">
        <f t="array" ref="J55">SUMPRODUCT((J$5:J$46)*($E$5:$E$46)*($A$5:$A$46=$C55))/SUMPRODUCT(($E$5:$E$46)*($A$5:$A$46=$C55))</f>
        <v>#REF!</v>
      </c>
      <c r="K55" s="23" t="e">
        <f t="shared" si="53"/>
        <v>#REF!</v>
      </c>
      <c r="L55" s="23" t="e">
        <f t="shared" si="53"/>
        <v>#REF!</v>
      </c>
      <c r="M55" s="45" t="e">
        <f>SUMIFS(#REF!,#REF!,C55)</f>
        <v>#REF!</v>
      </c>
      <c r="N55" s="23" t="e">
        <f t="shared" si="54"/>
        <v>#REF!</v>
      </c>
      <c r="O55" s="45" t="e" cm="1">
        <f t="array" ref="O55">SUMPRODUCT((O$5:O$46)*($L$5:$L$46)*($A$5:$A$46=$C55))/SUMPRODUCT(($L$5:$L$46)*($A$5:$A$46=$C55))</f>
        <v>#REF!</v>
      </c>
      <c r="P55" s="23" t="e">
        <f t="shared" si="55"/>
        <v>#REF!</v>
      </c>
      <c r="Q55" s="23" t="e">
        <f t="shared" si="55"/>
        <v>#REF!</v>
      </c>
      <c r="R55" s="23" t="e">
        <f t="shared" si="55"/>
        <v>#REF!</v>
      </c>
      <c r="S55" s="258"/>
      <c r="T55" s="23" t="e">
        <f t="shared" si="55"/>
        <v>#REF!</v>
      </c>
      <c r="U55" s="23" t="e">
        <f t="shared" si="56"/>
        <v>#REF!</v>
      </c>
      <c r="V55" s="23"/>
      <c r="W55" s="23" t="e">
        <f t="shared" si="55"/>
        <v>#REF!</v>
      </c>
      <c r="X55" s="23" t="e">
        <f t="shared" si="55"/>
        <v>#REF!</v>
      </c>
      <c r="Y55" s="45"/>
      <c r="Z55" s="45"/>
      <c r="AA55" s="45"/>
      <c r="AB55" s="45" t="e">
        <f t="shared" si="57"/>
        <v>#REF!</v>
      </c>
      <c r="AC55" s="23" t="e">
        <f t="shared" si="55"/>
        <v>#REF!</v>
      </c>
      <c r="AD55" s="23" t="e">
        <f t="shared" si="55"/>
        <v>#REF!</v>
      </c>
      <c r="AE55" s="66"/>
      <c r="AF55" s="23" t="e">
        <f t="shared" si="55"/>
        <v>#REF!</v>
      </c>
      <c r="AG55" s="23" t="e">
        <f t="shared" si="55"/>
        <v>#REF!</v>
      </c>
      <c r="AH55" s="23" t="e">
        <f t="shared" si="55"/>
        <v>#REF!</v>
      </c>
      <c r="AI55" s="23" t="e">
        <f t="shared" si="55"/>
        <v>#REF!</v>
      </c>
      <c r="AJ55" s="23" t="e">
        <f t="shared" si="55"/>
        <v>#REF!</v>
      </c>
      <c r="AK55" s="23" t="e">
        <f t="shared" si="55"/>
        <v>#REF!</v>
      </c>
      <c r="AL55" s="23">
        <f t="shared" si="55"/>
        <v>0</v>
      </c>
      <c r="AM55" s="23" t="e">
        <f t="shared" si="55"/>
        <v>#REF!</v>
      </c>
      <c r="AO55" s="23" t="e">
        <f t="shared" si="55"/>
        <v>#REF!</v>
      </c>
      <c r="AP55" s="23" t="e">
        <f t="shared" si="55"/>
        <v>#REF!</v>
      </c>
      <c r="AR55" s="23" t="e">
        <f t="shared" si="55"/>
        <v>#REF!</v>
      </c>
      <c r="AT55" s="45" t="e" cm="1">
        <f t="array" ref="AT55">SUMPRODUCT((AT$5:AT$46)*($L$5:$L$46)*($A$5:$A$46=$C55))/SUMPRODUCT(($L$5:$L$46)*($A$5:$A$46=$C55))</f>
        <v>#REF!</v>
      </c>
      <c r="AU55" s="23" t="e">
        <f t="shared" si="58"/>
        <v>#REF!</v>
      </c>
      <c r="AW55" s="23" t="e">
        <f t="shared" si="58"/>
        <v>#REF!</v>
      </c>
      <c r="AX55" s="23" t="e">
        <f t="shared" si="58"/>
        <v>#REF!</v>
      </c>
      <c r="AY55" s="23" t="e">
        <f t="shared" si="58"/>
        <v>#REF!</v>
      </c>
      <c r="BA55" s="23" t="e">
        <f t="shared" si="58"/>
        <v>#REF!</v>
      </c>
      <c r="BB55" s="23" t="e">
        <f t="shared" si="58"/>
        <v>#REF!</v>
      </c>
      <c r="BC55" s="23" t="e">
        <f t="shared" si="58"/>
        <v>#REF!</v>
      </c>
      <c r="BE55" s="23" t="e">
        <f t="shared" si="58"/>
        <v>#REF!</v>
      </c>
      <c r="BG55" s="23">
        <f t="shared" si="58"/>
        <v>-300400</v>
      </c>
      <c r="BI55" s="23" t="e">
        <f t="shared" si="58"/>
        <v>#REF!</v>
      </c>
      <c r="BJ55" s="23" t="e">
        <f t="shared" si="58"/>
        <v>#REF!</v>
      </c>
      <c r="BK55" s="23" t="e">
        <f t="shared" si="59"/>
        <v>#REF!</v>
      </c>
      <c r="BL55" s="23" t="e">
        <f t="shared" si="59"/>
        <v>#REF!</v>
      </c>
      <c r="BM55" s="23" t="e">
        <f t="shared" si="59"/>
        <v>#REF!</v>
      </c>
      <c r="BO55" s="23" t="e">
        <f t="shared" si="60"/>
        <v>#REF!</v>
      </c>
      <c r="BP55" s="23" t="e">
        <f t="shared" si="60"/>
        <v>#REF!</v>
      </c>
      <c r="BQ55" s="23" t="e">
        <f t="shared" si="60"/>
        <v>#REF!</v>
      </c>
      <c r="BR55" s="23" t="e">
        <f t="shared" si="60"/>
        <v>#REF!</v>
      </c>
      <c r="BS55" s="23" t="e">
        <f t="shared" si="60"/>
        <v>#REF!</v>
      </c>
      <c r="BU55" s="23" t="e">
        <f t="shared" si="60"/>
        <v>#REF!</v>
      </c>
      <c r="BV55" s="23" t="e">
        <f t="shared" si="60"/>
        <v>#REF!</v>
      </c>
      <c r="BW55" s="23" t="e">
        <f t="shared" si="60"/>
        <v>#REF!</v>
      </c>
      <c r="BX55" s="23" t="e">
        <f t="shared" si="60"/>
        <v>#REF!</v>
      </c>
      <c r="BY55" s="23" t="e">
        <f t="shared" si="60"/>
        <v>#REF!</v>
      </c>
      <c r="CA55" s="23" t="e">
        <f t="shared" si="60"/>
        <v>#REF!</v>
      </c>
      <c r="CB55" s="23" t="e">
        <f t="shared" si="60"/>
        <v>#REF!</v>
      </c>
      <c r="CC55" s="23" t="e">
        <f t="shared" si="60"/>
        <v>#REF!</v>
      </c>
      <c r="CD55" s="23" t="e">
        <f t="shared" si="60"/>
        <v>#REF!</v>
      </c>
      <c r="CE55" s="23" t="e">
        <f t="shared" si="61"/>
        <v>#REF!</v>
      </c>
      <c r="CG55" s="23" t="e">
        <f t="shared" si="62"/>
        <v>#REF!</v>
      </c>
      <c r="CH55" s="23" t="e">
        <f t="shared" si="62"/>
        <v>#REF!</v>
      </c>
      <c r="CI55" s="23" t="e">
        <f t="shared" si="62"/>
        <v>#REF!</v>
      </c>
      <c r="CJ55" s="23" t="e">
        <f t="shared" si="62"/>
        <v>#REF!</v>
      </c>
      <c r="CK55" s="23" t="e">
        <f t="shared" si="62"/>
        <v>#REF!</v>
      </c>
      <c r="CN55" s="209">
        <f t="shared" si="68"/>
        <v>0.19002469783979273</v>
      </c>
      <c r="CO55" s="209" t="e">
        <f t="shared" si="63"/>
        <v>#REF!</v>
      </c>
      <c r="CP55" s="209" t="e">
        <f t="shared" si="64"/>
        <v>#REF!</v>
      </c>
      <c r="CQ55" s="209" t="e">
        <f t="shared" si="65"/>
        <v>#REF!</v>
      </c>
      <c r="CR55" s="209" t="e">
        <f t="shared" si="66"/>
        <v>#REF!</v>
      </c>
    </row>
    <row r="56" spans="1:96" x14ac:dyDescent="0.25">
      <c r="A56" s="4"/>
      <c r="B56" s="21">
        <v>7</v>
      </c>
      <c r="C56" s="22" t="s">
        <v>98</v>
      </c>
      <c r="D56" s="22" t="s">
        <v>99</v>
      </c>
      <c r="E56" s="23">
        <f t="shared" si="67"/>
        <v>10165711.523301041</v>
      </c>
      <c r="F56" s="45" t="e">
        <f>SUMIFS(#REF!,#REF!,C56)</f>
        <v>#REF!</v>
      </c>
      <c r="H56" s="45" t="e" cm="1">
        <f t="array" ref="H56">SUMPRODUCT((H$5:H$46)*($E$5:$E$46)*($A$5:$A$46=$C56))/SUMPRODUCT(($E$5:$E$46)*($A$5:$A$46=$C56))</f>
        <v>#REF!</v>
      </c>
      <c r="I56" s="45" t="e" cm="1">
        <f t="array" ref="I56">SUMPRODUCT((I$5:I$46)*($E$5:$E$46)*($A$5:$A$46=$C56))/SUMPRODUCT(($E$5:$E$46)*($A$5:$A$46=$C56))</f>
        <v>#REF!</v>
      </c>
      <c r="J56" s="45" t="e" cm="1">
        <f t="array" ref="J56">SUMPRODUCT((J$5:J$46)*($E$5:$E$46)*($A$5:$A$46=$C56))/SUMPRODUCT(($E$5:$E$46)*($A$5:$A$46=$C56))</f>
        <v>#REF!</v>
      </c>
      <c r="K56" s="23" t="e">
        <f t="shared" si="53"/>
        <v>#REF!</v>
      </c>
      <c r="L56" s="23" t="e">
        <f t="shared" si="53"/>
        <v>#REF!</v>
      </c>
      <c r="M56" s="45" t="e">
        <f>SUMIFS(#REF!,#REF!,C56)</f>
        <v>#REF!</v>
      </c>
      <c r="N56" s="23" t="e">
        <f t="shared" si="54"/>
        <v>#REF!</v>
      </c>
      <c r="O56" s="45" t="e" cm="1">
        <f t="array" ref="O56">SUMPRODUCT((O$5:O$46)*($L$5:$L$46)*($A$5:$A$46=$C56))/SUMPRODUCT(($L$5:$L$46)*($A$5:$A$46=$C56))</f>
        <v>#REF!</v>
      </c>
      <c r="P56" s="23" t="e">
        <f t="shared" si="55"/>
        <v>#REF!</v>
      </c>
      <c r="Q56" s="23" t="e">
        <f t="shared" si="55"/>
        <v>#REF!</v>
      </c>
      <c r="R56" s="23" t="e">
        <f t="shared" si="55"/>
        <v>#REF!</v>
      </c>
      <c r="S56" s="258"/>
      <c r="T56" s="23" t="e">
        <f t="shared" si="55"/>
        <v>#REF!</v>
      </c>
      <c r="U56" s="23" t="e">
        <f t="shared" si="56"/>
        <v>#REF!</v>
      </c>
      <c r="V56" s="23"/>
      <c r="W56" s="23" t="e">
        <f t="shared" si="55"/>
        <v>#REF!</v>
      </c>
      <c r="X56" s="23" t="e">
        <f t="shared" si="55"/>
        <v>#REF!</v>
      </c>
      <c r="Y56" s="45"/>
      <c r="Z56" s="45"/>
      <c r="AA56" s="45"/>
      <c r="AB56" s="45" t="e">
        <f t="shared" si="57"/>
        <v>#REF!</v>
      </c>
      <c r="AC56" s="23" t="e">
        <f t="shared" si="55"/>
        <v>#REF!</v>
      </c>
      <c r="AD56" s="23" t="e">
        <f t="shared" si="55"/>
        <v>#REF!</v>
      </c>
      <c r="AE56" s="66"/>
      <c r="AF56" s="23" t="e">
        <f t="shared" si="55"/>
        <v>#REF!</v>
      </c>
      <c r="AG56" s="23" t="e">
        <f t="shared" si="55"/>
        <v>#REF!</v>
      </c>
      <c r="AH56" s="23" t="e">
        <f t="shared" si="55"/>
        <v>#REF!</v>
      </c>
      <c r="AI56" s="23" t="e">
        <f t="shared" si="55"/>
        <v>#REF!</v>
      </c>
      <c r="AJ56" s="23" t="e">
        <f t="shared" si="55"/>
        <v>#REF!</v>
      </c>
      <c r="AK56" s="23" t="e">
        <f t="shared" si="55"/>
        <v>#REF!</v>
      </c>
      <c r="AL56" s="23">
        <f t="shared" si="55"/>
        <v>0</v>
      </c>
      <c r="AM56" s="23" t="e">
        <f t="shared" si="55"/>
        <v>#REF!</v>
      </c>
      <c r="AO56" s="23" t="e">
        <f t="shared" si="55"/>
        <v>#REF!</v>
      </c>
      <c r="AP56" s="23" t="e">
        <f t="shared" si="55"/>
        <v>#REF!</v>
      </c>
      <c r="AR56" s="23" t="e">
        <f t="shared" si="55"/>
        <v>#REF!</v>
      </c>
      <c r="AT56" s="45" t="e" cm="1">
        <f t="array" ref="AT56">SUMPRODUCT((AT$5:AT$46)*($L$5:$L$46)*($A$5:$A$46=$C56))/SUMPRODUCT(($L$5:$L$46)*($A$5:$A$46=$C56))</f>
        <v>#REF!</v>
      </c>
      <c r="AU56" s="23" t="e">
        <f t="shared" si="58"/>
        <v>#REF!</v>
      </c>
      <c r="AW56" s="23" t="e">
        <f t="shared" si="58"/>
        <v>#REF!</v>
      </c>
      <c r="AX56" s="23" t="e">
        <f t="shared" si="58"/>
        <v>#REF!</v>
      </c>
      <c r="AY56" s="23" t="e">
        <f t="shared" si="58"/>
        <v>#REF!</v>
      </c>
      <c r="BA56" s="23" t="e">
        <f t="shared" si="58"/>
        <v>#REF!</v>
      </c>
      <c r="BB56" s="23" t="e">
        <f t="shared" si="58"/>
        <v>#REF!</v>
      </c>
      <c r="BC56" s="23" t="e">
        <f t="shared" si="58"/>
        <v>#REF!</v>
      </c>
      <c r="BE56" s="23" t="e">
        <f t="shared" si="58"/>
        <v>#REF!</v>
      </c>
      <c r="BG56" s="23">
        <f t="shared" si="58"/>
        <v>-100000</v>
      </c>
      <c r="BI56" s="23" t="e">
        <f t="shared" si="58"/>
        <v>#REF!</v>
      </c>
      <c r="BJ56" s="23" t="e">
        <f t="shared" si="58"/>
        <v>#REF!</v>
      </c>
      <c r="BK56" s="23" t="e">
        <f t="shared" si="59"/>
        <v>#REF!</v>
      </c>
      <c r="BL56" s="23" t="e">
        <f t="shared" si="59"/>
        <v>#REF!</v>
      </c>
      <c r="BM56" s="23" t="e">
        <f t="shared" si="59"/>
        <v>#REF!</v>
      </c>
      <c r="BO56" s="23" t="e">
        <f t="shared" si="60"/>
        <v>#REF!</v>
      </c>
      <c r="BP56" s="23" t="e">
        <f t="shared" si="60"/>
        <v>#REF!</v>
      </c>
      <c r="BQ56" s="23" t="e">
        <f t="shared" si="60"/>
        <v>#REF!</v>
      </c>
      <c r="BR56" s="23" t="e">
        <f t="shared" si="60"/>
        <v>#REF!</v>
      </c>
      <c r="BS56" s="23" t="e">
        <f t="shared" si="60"/>
        <v>#REF!</v>
      </c>
      <c r="BU56" s="23" t="e">
        <f t="shared" si="60"/>
        <v>#REF!</v>
      </c>
      <c r="BV56" s="23" t="e">
        <f t="shared" si="60"/>
        <v>#REF!</v>
      </c>
      <c r="BW56" s="23" t="e">
        <f t="shared" si="60"/>
        <v>#REF!</v>
      </c>
      <c r="BX56" s="23" t="e">
        <f t="shared" si="60"/>
        <v>#REF!</v>
      </c>
      <c r="BY56" s="23" t="e">
        <f t="shared" si="60"/>
        <v>#REF!</v>
      </c>
      <c r="CA56" s="23" t="e">
        <f t="shared" si="60"/>
        <v>#REF!</v>
      </c>
      <c r="CB56" s="23" t="e">
        <f t="shared" si="60"/>
        <v>#REF!</v>
      </c>
      <c r="CC56" s="23" t="e">
        <f t="shared" si="60"/>
        <v>#REF!</v>
      </c>
      <c r="CD56" s="23" t="e">
        <f t="shared" si="60"/>
        <v>#REF!</v>
      </c>
      <c r="CE56" s="23" t="e">
        <f t="shared" si="61"/>
        <v>#REF!</v>
      </c>
      <c r="CG56" s="23" t="e">
        <f t="shared" si="62"/>
        <v>#REF!</v>
      </c>
      <c r="CH56" s="23" t="e">
        <f t="shared" si="62"/>
        <v>#REF!</v>
      </c>
      <c r="CI56" s="23" t="e">
        <f t="shared" si="62"/>
        <v>#REF!</v>
      </c>
      <c r="CJ56" s="23" t="e">
        <f t="shared" si="62"/>
        <v>#REF!</v>
      </c>
      <c r="CK56" s="23" t="e">
        <f t="shared" si="62"/>
        <v>#REF!</v>
      </c>
      <c r="CN56" s="209">
        <f t="shared" si="68"/>
        <v>6.325722298262075E-2</v>
      </c>
      <c r="CO56" s="209" t="e">
        <f t="shared" si="63"/>
        <v>#REF!</v>
      </c>
      <c r="CP56" s="209" t="e">
        <f t="shared" si="64"/>
        <v>#REF!</v>
      </c>
      <c r="CQ56" s="209" t="e">
        <f t="shared" si="65"/>
        <v>#REF!</v>
      </c>
      <c r="CR56" s="209" t="e">
        <f t="shared" si="66"/>
        <v>#REF!</v>
      </c>
    </row>
    <row r="57" spans="1:96" x14ac:dyDescent="0.25">
      <c r="A57" s="22"/>
      <c r="B57" s="37"/>
      <c r="C57" s="38" t="s">
        <v>115</v>
      </c>
      <c r="D57" s="38" t="s">
        <v>116</v>
      </c>
      <c r="E57" s="33">
        <f>SUM(E50:E56)</f>
        <v>104194073.50962898</v>
      </c>
      <c r="F57" s="46" t="e">
        <f>SUMIFS(#REF!,#REF!,C57)</f>
        <v>#REF!</v>
      </c>
      <c r="H57" s="46" t="e">
        <f>SUMPRODUCT(H5:H46,E5:E46)/E57</f>
        <v>#REF!</v>
      </c>
      <c r="I57" s="46" t="e">
        <f t="shared" ref="I57" si="69">H57-$H$57</f>
        <v>#REF!</v>
      </c>
      <c r="J57" s="46" t="e">
        <f>$J$2+I57</f>
        <v>#REF!</v>
      </c>
      <c r="K57" s="33" t="e">
        <f>SUM(K50:K56)</f>
        <v>#REF!</v>
      </c>
      <c r="L57" s="33" t="e">
        <f>SUM(L50:L56)</f>
        <v>#REF!</v>
      </c>
      <c r="M57" s="46" t="e">
        <f>SUMIFS(#REF!,#REF!,C57)</f>
        <v>#REF!</v>
      </c>
      <c r="N57" s="33" t="e">
        <f t="shared" ref="N57:Q57" si="70">SUM(N50:N56)</f>
        <v>#REF!</v>
      </c>
      <c r="O57" s="46" t="e">
        <f>P57/L57</f>
        <v>#REF!</v>
      </c>
      <c r="P57" s="33" t="e">
        <f t="shared" si="70"/>
        <v>#REF!</v>
      </c>
      <c r="Q57" s="33" t="e">
        <f t="shared" si="70"/>
        <v>#REF!</v>
      </c>
      <c r="R57" s="33" t="e">
        <f t="shared" ref="R57" si="71">SUM(R50:R56)</f>
        <v>#REF!</v>
      </c>
      <c r="S57" s="259"/>
      <c r="T57" s="33" t="e">
        <f t="shared" ref="T57" si="72">SUM(T50:T56)</f>
        <v>#REF!</v>
      </c>
      <c r="U57" s="33" t="e">
        <f t="shared" si="56"/>
        <v>#REF!</v>
      </c>
      <c r="V57" s="33"/>
      <c r="W57" s="33" t="e">
        <f t="shared" ref="W57:X57" si="73">SUM(W50:W56)</f>
        <v>#REF!</v>
      </c>
      <c r="X57" s="33" t="e">
        <f t="shared" si="73"/>
        <v>#REF!</v>
      </c>
      <c r="Y57" s="46"/>
      <c r="Z57" s="46"/>
      <c r="AA57" s="46"/>
      <c r="AB57" s="46" t="e">
        <f t="shared" si="57"/>
        <v>#REF!</v>
      </c>
      <c r="AC57" s="33" t="e">
        <f t="shared" ref="AC57:AD57" si="74">SUM(AC50:AC56)</f>
        <v>#REF!</v>
      </c>
      <c r="AD57" s="33" t="e">
        <f t="shared" si="74"/>
        <v>#REF!</v>
      </c>
      <c r="AE57" s="67"/>
      <c r="AF57" s="33" t="e">
        <f t="shared" ref="AF57:AR57" si="75">SUM(AF50:AF56)</f>
        <v>#REF!</v>
      </c>
      <c r="AG57" s="33" t="e">
        <f t="shared" si="75"/>
        <v>#REF!</v>
      </c>
      <c r="AH57" s="33" t="e">
        <f t="shared" si="75"/>
        <v>#REF!</v>
      </c>
      <c r="AI57" s="33" t="e">
        <f t="shared" si="75"/>
        <v>#REF!</v>
      </c>
      <c r="AJ57" s="33" t="e">
        <f t="shared" si="75"/>
        <v>#REF!</v>
      </c>
      <c r="AK57" s="33" t="e">
        <f t="shared" si="75"/>
        <v>#REF!</v>
      </c>
      <c r="AL57" s="33">
        <f t="shared" si="75"/>
        <v>0</v>
      </c>
      <c r="AM57" s="33" t="e">
        <f t="shared" si="75"/>
        <v>#REF!</v>
      </c>
      <c r="AO57" s="33" t="e">
        <f t="shared" si="75"/>
        <v>#REF!</v>
      </c>
      <c r="AP57" s="33" t="e">
        <f t="shared" si="75"/>
        <v>#REF!</v>
      </c>
      <c r="AR57" s="33" t="e">
        <f t="shared" si="75"/>
        <v>#REF!</v>
      </c>
      <c r="AT57" s="46" t="e" cm="1">
        <f t="array" ref="AT57">SUMPRODUCT((AT$5:AT$46)*($L$5:$L$46))/SUMPRODUCT(($L$5:$L$46))</f>
        <v>#REF!</v>
      </c>
      <c r="AU57" s="33" t="e">
        <f t="shared" ref="AU57:AY57" si="76">SUM(AU50:AU56)</f>
        <v>#REF!</v>
      </c>
      <c r="AW57" s="33" t="e">
        <f t="shared" si="76"/>
        <v>#REF!</v>
      </c>
      <c r="AX57" s="33" t="e">
        <f t="shared" si="76"/>
        <v>#REF!</v>
      </c>
      <c r="AY57" s="33" t="e">
        <f t="shared" si="76"/>
        <v>#REF!</v>
      </c>
      <c r="BA57" s="33" t="e">
        <f t="shared" ref="BA57:BC57" si="77">SUM(BA50:BA56)</f>
        <v>#REF!</v>
      </c>
      <c r="BB57" s="33" t="e">
        <f t="shared" si="77"/>
        <v>#REF!</v>
      </c>
      <c r="BC57" s="33" t="e">
        <f t="shared" si="77"/>
        <v>#REF!</v>
      </c>
      <c r="BE57" s="33" t="e">
        <f t="shared" ref="BE57:BG57" si="78">SUM(BE50:BE56)</f>
        <v>#REF!</v>
      </c>
      <c r="BG57" s="33">
        <f t="shared" si="78"/>
        <v>-1580847.1394242826</v>
      </c>
      <c r="BI57" s="33" t="e">
        <f t="shared" ref="BI57:BM57" si="79">SUM(BI50:BI56)</f>
        <v>#REF!</v>
      </c>
      <c r="BJ57" s="33" t="e">
        <f t="shared" si="79"/>
        <v>#REF!</v>
      </c>
      <c r="BK57" s="33" t="e">
        <f t="shared" si="79"/>
        <v>#REF!</v>
      </c>
      <c r="BL57" s="33" t="e">
        <f t="shared" si="79"/>
        <v>#REF!</v>
      </c>
      <c r="BM57" s="33" t="e">
        <f t="shared" si="79"/>
        <v>#REF!</v>
      </c>
      <c r="BO57" s="33" t="e">
        <f t="shared" ref="BO57:BS57" si="80">SUM(BO50:BO56)</f>
        <v>#REF!</v>
      </c>
      <c r="BP57" s="33" t="e">
        <f t="shared" si="80"/>
        <v>#REF!</v>
      </c>
      <c r="BQ57" s="33" t="e">
        <f t="shared" si="80"/>
        <v>#REF!</v>
      </c>
      <c r="BR57" s="33" t="e">
        <f t="shared" si="80"/>
        <v>#REF!</v>
      </c>
      <c r="BS57" s="33" t="e">
        <f t="shared" si="80"/>
        <v>#REF!</v>
      </c>
      <c r="BU57" s="33" t="e">
        <f t="shared" ref="BU57:BY57" si="81">SUM(BU50:BU56)</f>
        <v>#REF!</v>
      </c>
      <c r="BV57" s="33" t="e">
        <f t="shared" si="81"/>
        <v>#REF!</v>
      </c>
      <c r="BW57" s="33" t="e">
        <f t="shared" si="81"/>
        <v>#REF!</v>
      </c>
      <c r="BX57" s="33" t="e">
        <f t="shared" si="81"/>
        <v>#REF!</v>
      </c>
      <c r="BY57" s="33" t="e">
        <f t="shared" si="81"/>
        <v>#REF!</v>
      </c>
      <c r="CA57" s="33" t="e">
        <f t="shared" ref="CA57:CE57" si="82">SUM(CA50:CA56)</f>
        <v>#REF!</v>
      </c>
      <c r="CB57" s="33" t="e">
        <f t="shared" si="82"/>
        <v>#REF!</v>
      </c>
      <c r="CC57" s="33" t="e">
        <f t="shared" si="82"/>
        <v>#REF!</v>
      </c>
      <c r="CD57" s="33" t="e">
        <f t="shared" si="82"/>
        <v>#REF!</v>
      </c>
      <c r="CE57" s="33" t="e">
        <f t="shared" si="82"/>
        <v>#REF!</v>
      </c>
      <c r="CG57" s="33" t="e">
        <f t="shared" ref="CG57:CK57" si="83">SUM(CG50:CG56)</f>
        <v>#REF!</v>
      </c>
      <c r="CH57" s="33" t="e">
        <f t="shared" si="83"/>
        <v>#REF!</v>
      </c>
      <c r="CI57" s="33" t="e">
        <f t="shared" si="83"/>
        <v>#REF!</v>
      </c>
      <c r="CJ57" s="33" t="e">
        <f t="shared" si="83"/>
        <v>#REF!</v>
      </c>
      <c r="CK57" s="33" t="e">
        <f t="shared" si="83"/>
        <v>#REF!</v>
      </c>
    </row>
    <row r="59" spans="1:96" x14ac:dyDescent="0.25">
      <c r="D59" s="22" t="s">
        <v>252</v>
      </c>
      <c r="E59" s="58" t="e">
        <f>E57-#REF!</f>
        <v>#REF!</v>
      </c>
      <c r="L59" s="58" t="e">
        <f>L57-E57</f>
        <v>#REF!</v>
      </c>
      <c r="N59" s="60"/>
      <c r="O59" s="41" t="e">
        <f>O57-M57</f>
        <v>#REF!</v>
      </c>
      <c r="AC59" s="58" t="e">
        <f>AC57-#REF!</f>
        <v>#REF!</v>
      </c>
      <c r="AF59" s="58" t="e">
        <f>AF57-#REF!</f>
        <v>#REF!</v>
      </c>
      <c r="AI59" s="58" t="e">
        <f>AI57-#REF!</f>
        <v>#REF!</v>
      </c>
      <c r="AJ59" s="58"/>
      <c r="AK59" s="58"/>
      <c r="AL59" s="58"/>
      <c r="AO59" s="58"/>
      <c r="AP59" s="58"/>
      <c r="AR59" s="58"/>
      <c r="AU59" s="58"/>
      <c r="AW59" s="58"/>
      <c r="AX59" s="58"/>
      <c r="AY59" s="58"/>
      <c r="BA59" s="58"/>
      <c r="BB59" s="58"/>
      <c r="BC59" s="58"/>
      <c r="BE59" s="58"/>
      <c r="BG59" s="58">
        <f>SUMIFS(BG$5:BG$46,BG$5:BG$46,"&lt;0")</f>
        <v>-1580847.1394242826</v>
      </c>
      <c r="BI59" s="58"/>
      <c r="BJ59" s="58">
        <f>SUMIFS(BJ$5:BJ$46,BJ$5:BJ$46,"&lt;0")</f>
        <v>0</v>
      </c>
      <c r="BK59" s="58"/>
      <c r="BL59" s="58"/>
      <c r="BM59" s="58"/>
      <c r="BO59" s="58"/>
      <c r="BP59" s="58">
        <f>SUMIFS(BP$5:BP$46,BP$5:BP$46,"&lt;0")</f>
        <v>0</v>
      </c>
      <c r="BQ59" s="58"/>
      <c r="BR59" s="58"/>
      <c r="BS59" s="58"/>
      <c r="BU59" s="58"/>
      <c r="BV59" s="58">
        <f>SUMIFS(BV$5:BV$46,BV$5:BV$46,"&lt;0")</f>
        <v>0</v>
      </c>
      <c r="BW59" s="58"/>
      <c r="BX59" s="58"/>
      <c r="BY59" s="58"/>
      <c r="CA59" s="58"/>
      <c r="CB59" s="58">
        <f>SUMIFS(CB$5:CB$46,CB$5:CB$46,"&lt;0")</f>
        <v>0</v>
      </c>
      <c r="CC59" s="58"/>
      <c r="CD59" s="58"/>
      <c r="CE59" s="58"/>
      <c r="CG59" s="58"/>
      <c r="CH59" s="58">
        <f>SUMIFS(CH$5:CH$46,CH$5:CH$46,"&lt;0")</f>
        <v>0</v>
      </c>
      <c r="CI59" s="58"/>
      <c r="CJ59" s="58"/>
      <c r="CK59" s="58"/>
    </row>
    <row r="60" spans="1:96" x14ac:dyDescent="0.25">
      <c r="D60" s="22" t="s">
        <v>384</v>
      </c>
      <c r="H60" s="48"/>
      <c r="N60" s="60"/>
      <c r="O60" s="48" t="e">
        <f>Q57/O59*0.1%</f>
        <v>#REF!</v>
      </c>
      <c r="R60" s="58" t="e">
        <f>R57-#REF!</f>
        <v>#REF!</v>
      </c>
      <c r="S60" s="260"/>
      <c r="T60" s="58"/>
      <c r="U60" s="58"/>
      <c r="BG60" s="58">
        <f>SUMIFS(BG$5:BG$46,BG$5:BG$46,"&gt;0")</f>
        <v>0</v>
      </c>
      <c r="BJ60" s="58">
        <f>SUMIFS(BJ$5:BJ$46,BJ$5:BJ$46,"&gt;0")</f>
        <v>0</v>
      </c>
      <c r="BP60" s="58">
        <f>SUMIFS(BP$5:BP$46,BP$5:BP$46,"&gt;0")</f>
        <v>0</v>
      </c>
      <c r="BV60" s="58">
        <f>SUMIFS(BV$5:BV$46,BV$5:BV$46,"&gt;0")</f>
        <v>0</v>
      </c>
      <c r="CB60" s="58">
        <f>SUMIFS(CB$5:CB$46,CB$5:CB$46,"&gt;0")</f>
        <v>0</v>
      </c>
      <c r="CH60" s="58">
        <f>SUMIFS(CH$5:CH$46,CH$5:CH$46,"&gt;0")</f>
        <v>0</v>
      </c>
    </row>
    <row r="61" spans="1:96" x14ac:dyDescent="0.25">
      <c r="D61" s="22" t="s">
        <v>115</v>
      </c>
      <c r="H61" s="48"/>
      <c r="L61">
        <v>107818948.98651202</v>
      </c>
      <c r="N61" s="60"/>
      <c r="R61" s="58"/>
      <c r="S61" s="260"/>
      <c r="T61" s="58"/>
      <c r="U61" s="58"/>
      <c r="AB61" s="41" t="s">
        <v>385</v>
      </c>
      <c r="AC61">
        <v>38.700000000000003</v>
      </c>
      <c r="AF61">
        <v>4.7</v>
      </c>
      <c r="BG61" s="58">
        <f>SUM(BG59:BG60)</f>
        <v>-1580847.1394242826</v>
      </c>
      <c r="BJ61" s="58">
        <f>SUM(BJ59:BJ60)</f>
        <v>0</v>
      </c>
      <c r="BP61" s="58">
        <f>SUM(BP59:BP60)</f>
        <v>0</v>
      </c>
      <c r="BV61" s="58">
        <f>SUM(BV59:BV60)</f>
        <v>0</v>
      </c>
      <c r="CB61" s="58">
        <f>SUM(CB59:CB60)</f>
        <v>0</v>
      </c>
      <c r="CH61" s="58">
        <f>SUM(CH59:CH60)</f>
        <v>0</v>
      </c>
    </row>
    <row r="62" spans="1:96" x14ac:dyDescent="0.25">
      <c r="L62" s="58" t="e">
        <f>L57-L61</f>
        <v>#REF!</v>
      </c>
      <c r="N62" s="60"/>
      <c r="O62" s="80">
        <v>305</v>
      </c>
      <c r="R62" s="58">
        <v>106793243.06720334</v>
      </c>
      <c r="S62" s="260"/>
      <c r="T62" s="58"/>
      <c r="U62" s="58"/>
      <c r="AB62" s="41" t="s">
        <v>386</v>
      </c>
      <c r="AC62">
        <v>16.899999999999999</v>
      </c>
      <c r="AF62">
        <v>2.1</v>
      </c>
    </row>
    <row r="63" spans="1:96" x14ac:dyDescent="0.25">
      <c r="D63" s="22" t="s">
        <v>252</v>
      </c>
      <c r="N63" s="60"/>
      <c r="O63" s="80">
        <v>50</v>
      </c>
      <c r="R63" s="58" t="e">
        <f>R57-R62</f>
        <v>#REF!</v>
      </c>
      <c r="S63" s="260"/>
      <c r="T63" s="58"/>
      <c r="U63" s="58"/>
      <c r="AB63" s="41" t="s">
        <v>115</v>
      </c>
      <c r="AC63">
        <f>SUM(AC61:AC62)</f>
        <v>55.6</v>
      </c>
      <c r="AF63">
        <f>SUM(AF61:AF62)</f>
        <v>6.8000000000000007</v>
      </c>
      <c r="BG63">
        <f>COUNTIFS(BG$5:BG$46,"&lt;0")</f>
        <v>27</v>
      </c>
      <c r="BJ63">
        <f>COUNTIFS(BJ$5:BJ$46,"&lt;0")</f>
        <v>0</v>
      </c>
      <c r="BP63">
        <f>COUNTIFS(BP$5:BP$46,"&lt;0")</f>
        <v>0</v>
      </c>
      <c r="BV63">
        <f>COUNTIFS(BV$5:BV$46,"&lt;0")</f>
        <v>0</v>
      </c>
      <c r="CB63">
        <f>COUNTIFS(CB$5:CB$46,"&lt;0")</f>
        <v>0</v>
      </c>
      <c r="CH63">
        <f>COUNTIFS(CH$5:CH$46,"&lt;0")</f>
        <v>0</v>
      </c>
    </row>
    <row r="64" spans="1:96" x14ac:dyDescent="0.25">
      <c r="D64" s="22" t="s">
        <v>257</v>
      </c>
      <c r="N64" s="60"/>
      <c r="O64" s="80">
        <v>150</v>
      </c>
      <c r="AB64" s="41" t="s">
        <v>387</v>
      </c>
      <c r="AC64" s="41" t="e">
        <f>(AC59/1000)/AC63-1</f>
        <v>#REF!</v>
      </c>
      <c r="AF64" s="41" t="e">
        <f>(AF59/1000)/AF63-1</f>
        <v>#REF!</v>
      </c>
      <c r="BG64">
        <f>COUNTIFS(BG$5:BG$46,0)</f>
        <v>15</v>
      </c>
      <c r="BJ64">
        <f>COUNTIFS(BJ$5:BJ$46,0)</f>
        <v>0</v>
      </c>
      <c r="BP64">
        <f>COUNTIFS(BP$5:BP$46,0)</f>
        <v>0</v>
      </c>
      <c r="BV64">
        <f>COUNTIFS(BV$5:BV$46,0)</f>
        <v>0</v>
      </c>
      <c r="CB64">
        <f>COUNTIFS(CB$5:CB$46,0)</f>
        <v>0</v>
      </c>
      <c r="CH64">
        <f>COUNTIFS(CH$5:CH$46,0)</f>
        <v>0</v>
      </c>
    </row>
    <row r="65" spans="4:86" x14ac:dyDescent="0.25">
      <c r="D65" s="22" t="s">
        <v>384</v>
      </c>
      <c r="N65" s="60"/>
      <c r="O65" s="81">
        <f>SUM(O62:O64)</f>
        <v>505</v>
      </c>
      <c r="AF65" t="s">
        <v>388</v>
      </c>
      <c r="BG65">
        <f>COUNTIFS(BG$5:BG$46,"&gt;0")</f>
        <v>0</v>
      </c>
      <c r="BJ65">
        <f>COUNTIFS(BJ$5:BJ$46,"&gt;0")</f>
        <v>0</v>
      </c>
      <c r="BP65">
        <f>COUNTIFS(BP$5:BP$46,"&gt;0")</f>
        <v>0</v>
      </c>
      <c r="BV65">
        <f>COUNTIFS(BV$5:BV$46,"&gt;0")</f>
        <v>0</v>
      </c>
      <c r="CB65">
        <f>COUNTIFS(CB$5:CB$46,"&gt;0")</f>
        <v>0</v>
      </c>
      <c r="CH65">
        <f>COUNTIFS(CH$5:CH$46,"&gt;0")</f>
        <v>0</v>
      </c>
    </row>
    <row r="66" spans="4:86" x14ac:dyDescent="0.25">
      <c r="N66" s="60"/>
    </row>
    <row r="67" spans="4:86" x14ac:dyDescent="0.25">
      <c r="AF67">
        <f>300/(1+1.8%)*2.3%</f>
        <v>6.7779960707269149</v>
      </c>
    </row>
    <row r="68" spans="4:86" x14ac:dyDescent="0.25">
      <c r="AF68">
        <f>500/(1+1.8%)*2.3%</f>
        <v>11.296660117878192</v>
      </c>
    </row>
    <row r="69" spans="4:86" x14ac:dyDescent="0.25">
      <c r="AF69">
        <f>AF68/AF67-1</f>
        <v>0.66666666666666674</v>
      </c>
    </row>
    <row r="72" spans="4:86" x14ac:dyDescent="0.25">
      <c r="AF72" t="e">
        <f>AF59/1000-AF63</f>
        <v>#REF!</v>
      </c>
    </row>
  </sheetData>
  <conditionalFormatting sqref="CN5:CN46">
    <cfRule type="colorScale" priority="2">
      <colorScale>
        <cfvo type="min"/>
        <cfvo type="percentile" val="50"/>
        <cfvo type="max"/>
        <color rgb="FF63BE7B"/>
        <color rgb="FFFFEB84"/>
        <color rgb="FFF8696B"/>
      </colorScale>
    </cfRule>
  </conditionalFormatting>
  <conditionalFormatting sqref="CN50:CN56">
    <cfRule type="colorScale" priority="3">
      <colorScale>
        <cfvo type="min"/>
        <cfvo type="percentile" val="50"/>
        <cfvo type="max"/>
        <color rgb="FF63BE7B"/>
        <color rgb="FFFFEB84"/>
        <color rgb="FFF8696B"/>
      </colorScale>
    </cfRule>
  </conditionalFormatting>
  <conditionalFormatting sqref="CO5:CR46">
    <cfRule type="colorScale" priority="1">
      <colorScale>
        <cfvo type="min"/>
        <cfvo type="percentile" val="50"/>
        <cfvo type="max"/>
        <color rgb="FFF8696B"/>
        <color rgb="FFFFEB84"/>
        <color rgb="FF63BE7B"/>
      </colorScale>
    </cfRule>
  </conditionalFormatting>
  <conditionalFormatting sqref="CO50:CR56">
    <cfRule type="colorScale" priority="4">
      <colorScale>
        <cfvo type="min"/>
        <cfvo type="percentile" val="50"/>
        <cfvo type="max"/>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E646-3DBC-4C16-AB8C-7348323275A7}">
  <sheetPr codeName="Sheet38"/>
  <dimension ref="A1:AM65"/>
  <sheetViews>
    <sheetView topLeftCell="I1" workbookViewId="0">
      <selection activeCell="J5" sqref="J4:BB61"/>
    </sheetView>
  </sheetViews>
  <sheetFormatPr defaultRowHeight="15" x14ac:dyDescent="0.25"/>
  <cols>
    <col min="1" max="1" width="4.7109375" customWidth="1"/>
    <col min="2" max="2" width="6.5703125" bestFit="1" customWidth="1"/>
    <col min="3" max="3" width="22.28515625" bestFit="1" customWidth="1"/>
    <col min="4" max="4" width="8.42578125" bestFit="1" customWidth="1"/>
    <col min="5" max="5" width="55.5703125" bestFit="1" customWidth="1"/>
    <col min="6" max="6" width="13.28515625" customWidth="1"/>
    <col min="7" max="10" width="11.7109375" customWidth="1"/>
    <col min="11" max="11" width="3.7109375" customWidth="1"/>
    <col min="12" max="21" width="11.7109375" customWidth="1"/>
    <col min="23" max="23" width="11.7109375" style="241" customWidth="1"/>
    <col min="24" max="24" width="11.7109375" customWidth="1"/>
    <col min="26" max="27" width="11.7109375" style="241" customWidth="1"/>
    <col min="30" max="30" width="11.28515625" bestFit="1" customWidth="1"/>
    <col min="31" max="31" width="11.28515625" customWidth="1"/>
    <col min="32" max="32" width="10.5703125" customWidth="1"/>
    <col min="34" max="36" width="13.28515625" customWidth="1"/>
    <col min="37" max="37" width="9.28515625" bestFit="1" customWidth="1"/>
    <col min="39" max="39" width="9.28515625" bestFit="1" customWidth="1"/>
  </cols>
  <sheetData>
    <row r="1" spans="1:39" ht="25.5" x14ac:dyDescent="0.35">
      <c r="A1" s="39" t="s">
        <v>310</v>
      </c>
      <c r="B1" s="39"/>
      <c r="C1" s="39"/>
      <c r="D1" s="39"/>
      <c r="E1" s="39"/>
      <c r="U1" s="243" t="s">
        <v>311</v>
      </c>
    </row>
    <row r="2" spans="1:39" x14ac:dyDescent="0.25">
      <c r="A2" s="4"/>
      <c r="B2" s="4"/>
      <c r="C2" s="4"/>
      <c r="D2" s="4"/>
      <c r="E2" s="4"/>
      <c r="Z2" s="241">
        <f>'Op 1 - Convergence'!E12</f>
        <v>2.9595557129901617E-3</v>
      </c>
      <c r="AA2" s="241" t="str">
        <f>'Op 1 - Convergence'!C7</f>
        <v>On</v>
      </c>
      <c r="AD2" t="str">
        <f>'Op 1 - Convergence'!C8</f>
        <v>On</v>
      </c>
      <c r="AE2" t="str">
        <f>'Op 1 - Convergence'!D12</f>
        <v>Not in floor</v>
      </c>
    </row>
    <row r="3" spans="1:39" ht="102" x14ac:dyDescent="0.25">
      <c r="A3" s="5" t="s">
        <v>114</v>
      </c>
      <c r="B3" s="5" t="s">
        <v>13</v>
      </c>
      <c r="C3" s="5" t="s">
        <v>14</v>
      </c>
      <c r="D3" s="5" t="s">
        <v>15</v>
      </c>
      <c r="E3" s="5" t="s">
        <v>16</v>
      </c>
      <c r="F3" s="8" t="s">
        <v>312</v>
      </c>
      <c r="G3" s="8" t="s">
        <v>313</v>
      </c>
      <c r="H3" s="8" t="s">
        <v>314</v>
      </c>
      <c r="I3" s="8" t="s">
        <v>315</v>
      </c>
      <c r="J3" s="8" t="s">
        <v>316</v>
      </c>
      <c r="K3" s="40" t="s">
        <v>147</v>
      </c>
      <c r="L3" s="8" t="s">
        <v>317</v>
      </c>
      <c r="M3" s="8" t="s">
        <v>318</v>
      </c>
      <c r="N3" s="8" t="s">
        <v>319</v>
      </c>
      <c r="O3" s="8" t="s">
        <v>320</v>
      </c>
      <c r="P3" s="8" t="s">
        <v>321</v>
      </c>
      <c r="Q3" s="8" t="s">
        <v>322</v>
      </c>
      <c r="R3" s="8" t="s">
        <v>323</v>
      </c>
      <c r="S3" s="8" t="s">
        <v>324</v>
      </c>
      <c r="T3" s="8" t="s">
        <v>325</v>
      </c>
      <c r="U3" s="8" t="s">
        <v>326</v>
      </c>
      <c r="W3" s="261" t="s">
        <v>327</v>
      </c>
      <c r="X3" s="8" t="s">
        <v>328</v>
      </c>
      <c r="Z3" s="261" t="s">
        <v>1</v>
      </c>
      <c r="AA3" s="261" t="s">
        <v>2</v>
      </c>
      <c r="AD3" t="s">
        <v>329</v>
      </c>
      <c r="AE3" t="s">
        <v>330</v>
      </c>
      <c r="AH3" t="s">
        <v>1</v>
      </c>
      <c r="AJ3" t="s">
        <v>1</v>
      </c>
      <c r="AK3" t="s">
        <v>2</v>
      </c>
    </row>
    <row r="4" spans="1:39" x14ac:dyDescent="0.25">
      <c r="A4" s="244">
        <v>1</v>
      </c>
      <c r="B4" s="10" t="s">
        <v>17</v>
      </c>
      <c r="C4" s="4" t="s">
        <v>18</v>
      </c>
      <c r="D4" s="4" t="s">
        <v>19</v>
      </c>
      <c r="E4" s="4" t="s">
        <v>20</v>
      </c>
      <c r="F4" s="245">
        <v>340469.92096067203</v>
      </c>
      <c r="G4" s="245">
        <v>178003.15861086579</v>
      </c>
      <c r="H4" s="245">
        <v>518473.07957153779</v>
      </c>
      <c r="I4" s="245">
        <v>556632.7577288131</v>
      </c>
      <c r="J4" s="75">
        <v>-6.855449598937613E-2</v>
      </c>
      <c r="K4" s="245"/>
      <c r="L4" s="75">
        <v>4.5842130413503934E-2</v>
      </c>
      <c r="M4" s="54">
        <v>1.0126218019110228E-3</v>
      </c>
      <c r="N4" s="245">
        <v>542790</v>
      </c>
      <c r="O4" s="245">
        <v>304.72077466709004</v>
      </c>
      <c r="P4" s="75">
        <v>-6.7611423054502073E-2</v>
      </c>
      <c r="Q4" s="75">
        <v>4.6901028012018564E-2</v>
      </c>
      <c r="R4" s="245">
        <v>193952.60961174962</v>
      </c>
      <c r="S4" s="245">
        <v>348837.39038825041</v>
      </c>
      <c r="T4" s="245">
        <v>195.83632681507353</v>
      </c>
      <c r="U4" s="75">
        <v>2.4576236878631308E-2</v>
      </c>
      <c r="V4" s="41"/>
      <c r="W4" s="54">
        <v>-7.6E-3</v>
      </c>
      <c r="X4" s="245">
        <f>H4*(1+L4)*(1+W4)</f>
        <v>538119.95857637841</v>
      </c>
      <c r="Z4" s="54">
        <f>L4+$Z$2</f>
        <v>4.8801686126494097E-2</v>
      </c>
      <c r="AA4" s="54">
        <f>IF($AA$2="ON",M4,W4)</f>
        <v>1.0126218019110228E-3</v>
      </c>
      <c r="AC4" s="69">
        <f>H4*(1+Z4)*(1+AA4)</f>
        <v>544326.07893177925</v>
      </c>
      <c r="AD4" s="223">
        <f>IF($AA$2="On",N4-H4*(1+L4)*(1+M4),0)</f>
        <v>-7.5149613432586193E-2</v>
      </c>
      <c r="AE4" s="223">
        <f>IF($AE$2="In floor",0,IF(AD4&lt;-1,-AH4,0))</f>
        <v>0</v>
      </c>
      <c r="AF4" s="69">
        <f>IF($AD$2="On",SUM(AC4:AE4),AC4)</f>
        <v>544326.00378216582</v>
      </c>
      <c r="AG4" s="69"/>
      <c r="AH4" s="223">
        <f>H4*(Z4-L4)*(1+AA4)</f>
        <v>1536.003782165722</v>
      </c>
      <c r="AI4" s="223"/>
      <c r="AJ4" s="223">
        <f>AH4+AE4</f>
        <v>1536.003782165722</v>
      </c>
      <c r="AK4" s="223">
        <f>H4*(1+Z4)*(AA4-W4)</f>
        <v>4683.3322104546833</v>
      </c>
      <c r="AM4" s="48">
        <f t="shared" ref="AM4:AM45" si="0">IF(U4=1.8%,S4*0.2%,0)</f>
        <v>0</v>
      </c>
    </row>
    <row r="5" spans="1:39" x14ac:dyDescent="0.25">
      <c r="A5" s="244">
        <v>2</v>
      </c>
      <c r="B5" s="13" t="s">
        <v>17</v>
      </c>
      <c r="C5" s="14" t="s">
        <v>18</v>
      </c>
      <c r="D5" s="4" t="s">
        <v>21</v>
      </c>
      <c r="E5" s="4" t="s">
        <v>22</v>
      </c>
      <c r="F5" s="245">
        <v>632219.03070435999</v>
      </c>
      <c r="G5" s="245">
        <v>312707.64401268255</v>
      </c>
      <c r="H5" s="245">
        <v>944926.6747170426</v>
      </c>
      <c r="I5" s="245">
        <v>1010955.6111500415</v>
      </c>
      <c r="J5" s="75">
        <v>-6.5313388347373436E-2</v>
      </c>
      <c r="K5" s="245"/>
      <c r="L5" s="75">
        <v>4.4782653050400079E-2</v>
      </c>
      <c r="M5" s="54">
        <v>9.6474724294495317E-4</v>
      </c>
      <c r="N5" s="245">
        <v>988195</v>
      </c>
      <c r="O5" s="245">
        <v>312.62557331175805</v>
      </c>
      <c r="P5" s="75">
        <v>-6.4412066802323031E-2</v>
      </c>
      <c r="Q5" s="75">
        <v>4.5790140590447503E-2</v>
      </c>
      <c r="R5" s="245">
        <v>340365.34332371672</v>
      </c>
      <c r="S5" s="245">
        <v>647829.65667628322</v>
      </c>
      <c r="T5" s="245">
        <v>204.94752333980887</v>
      </c>
      <c r="U5" s="75">
        <v>2.4691800173321843E-2</v>
      </c>
      <c r="W5" s="54">
        <v>-7.6E-3</v>
      </c>
      <c r="X5" s="245">
        <f t="shared" ref="X5:X45" si="1">H5*(1+L5)*(1+W5)</f>
        <v>979739.95136303199</v>
      </c>
      <c r="Z5" s="54">
        <f t="shared" ref="Z5:Z45" si="2">L5+$Z$2</f>
        <v>4.7742208763390241E-2</v>
      </c>
      <c r="AA5" s="54">
        <f t="shared" ref="AA5:AA45" si="3">IF($AA$2="ON",M5,W5)</f>
        <v>9.6474724294495317E-4</v>
      </c>
      <c r="AC5" s="69">
        <f t="shared" ref="AC5:AC45" si="4">H5*(1+Z5)*(1+AA5)</f>
        <v>990994.6992246384</v>
      </c>
      <c r="AD5" s="223">
        <f t="shared" ref="AD5:AD45" si="5">IF($AA$2="On",N5-H5*(1+L5)*(1+M5),0)</f>
        <v>-0.4381095451535657</v>
      </c>
      <c r="AE5" s="223">
        <f t="shared" ref="AE5:AE45" si="6">IF($AE$2="In floor",0,IF(AD5&lt;-1,-AH5,0))</f>
        <v>0</v>
      </c>
      <c r="AF5" s="69">
        <f t="shared" ref="AF5:AF45" si="7">IF($AD$2="On",SUM(AC5:AE5),AC5)</f>
        <v>990994.26111509325</v>
      </c>
      <c r="AG5" s="69"/>
      <c r="AH5" s="223">
        <f t="shared" ref="AH5:AH45" si="8">H5*(Z5-L5)*(1+AA5)</f>
        <v>2799.2611150932248</v>
      </c>
      <c r="AI5" s="223"/>
      <c r="AJ5" s="223">
        <f t="shared" ref="AJ5:AJ45" si="9">AH5+AE5</f>
        <v>2799.2611150932248</v>
      </c>
      <c r="AK5" s="223">
        <f t="shared" ref="AK5:AK45" si="10">H5*(1+Z5)*(AA5-W5)</f>
        <v>8479.4386029433736</v>
      </c>
      <c r="AM5" s="48">
        <f t="shared" si="0"/>
        <v>0</v>
      </c>
    </row>
    <row r="6" spans="1:39" x14ac:dyDescent="0.25">
      <c r="A6" s="244">
        <v>3</v>
      </c>
      <c r="B6" s="13" t="s">
        <v>17</v>
      </c>
      <c r="C6" s="14" t="s">
        <v>18</v>
      </c>
      <c r="D6" s="4" t="s">
        <v>23</v>
      </c>
      <c r="E6" s="4" t="s">
        <v>24</v>
      </c>
      <c r="F6" s="245">
        <v>338550.89971950202</v>
      </c>
      <c r="G6" s="245">
        <v>146295.6365761818</v>
      </c>
      <c r="H6" s="245">
        <v>484846.53629568382</v>
      </c>
      <c r="I6" s="245">
        <v>461725.4418771104</v>
      </c>
      <c r="J6" s="75">
        <v>5.0075417816649592E-2</v>
      </c>
      <c r="K6" s="245"/>
      <c r="L6" s="75">
        <v>4.6016763433807784E-2</v>
      </c>
      <c r="M6" s="54">
        <v>-7.7999999999999996E-3</v>
      </c>
      <c r="N6" s="245">
        <v>502671.97274236067</v>
      </c>
      <c r="O6" s="245">
        <v>336.83494002106016</v>
      </c>
      <c r="P6" s="75">
        <v>4.0787867428303093E-2</v>
      </c>
      <c r="Q6" s="75">
        <v>3.6765110426211223E-2</v>
      </c>
      <c r="R6" s="245">
        <v>158027.15682790763</v>
      </c>
      <c r="S6" s="245">
        <v>344644.81591445307</v>
      </c>
      <c r="T6" s="245">
        <v>230.69943262768058</v>
      </c>
      <c r="U6" s="75">
        <v>1.8000000000000016E-2</v>
      </c>
      <c r="W6" s="54">
        <v>-8.6999999999999994E-3</v>
      </c>
      <c r="X6" s="245">
        <f t="shared" si="1"/>
        <v>502745.33349757793</v>
      </c>
      <c r="Z6" s="54">
        <f t="shared" si="2"/>
        <v>4.8976319146797946E-2</v>
      </c>
      <c r="AA6" s="54">
        <f t="shared" si="3"/>
        <v>-7.7999999999999996E-3</v>
      </c>
      <c r="AC6" s="69">
        <f t="shared" si="4"/>
        <v>504625.51322156354</v>
      </c>
      <c r="AD6" s="223">
        <f t="shared" si="5"/>
        <v>-529.80259940953692</v>
      </c>
      <c r="AE6" s="223">
        <f>IF($AE$2="In floor",0,IF(AD6&lt;-1,-AH6,0))</f>
        <v>-1423.7378797933275</v>
      </c>
      <c r="AF6" s="69">
        <f t="shared" si="7"/>
        <v>502671.97274236067</v>
      </c>
      <c r="AG6" s="69"/>
      <c r="AH6" s="223">
        <f t="shared" si="8"/>
        <v>1423.7378797933275</v>
      </c>
      <c r="AI6" s="223"/>
      <c r="AJ6" s="223">
        <f t="shared" si="9"/>
        <v>0</v>
      </c>
      <c r="AK6" s="223">
        <f t="shared" si="10"/>
        <v>457.73328149506864</v>
      </c>
      <c r="AM6" s="48">
        <f t="shared" si="0"/>
        <v>689.28963182890618</v>
      </c>
    </row>
    <row r="7" spans="1:39" x14ac:dyDescent="0.25">
      <c r="A7" s="246">
        <v>4</v>
      </c>
      <c r="B7" s="15" t="s">
        <v>17</v>
      </c>
      <c r="C7" s="16" t="s">
        <v>18</v>
      </c>
      <c r="D7" s="17" t="s">
        <v>25</v>
      </c>
      <c r="E7" s="17" t="s">
        <v>26</v>
      </c>
      <c r="F7" s="247">
        <v>483559.027201947</v>
      </c>
      <c r="G7" s="247">
        <v>213473.28510783444</v>
      </c>
      <c r="H7" s="247">
        <v>697032.31230978144</v>
      </c>
      <c r="I7" s="247">
        <v>772062.39396838204</v>
      </c>
      <c r="J7" s="78">
        <v>-9.7181370631132302E-2</v>
      </c>
      <c r="K7" s="247"/>
      <c r="L7" s="78">
        <v>4.5494016106689239E-2</v>
      </c>
      <c r="M7" s="248">
        <v>1.4354707626459721E-3</v>
      </c>
      <c r="N7" s="247">
        <v>729789</v>
      </c>
      <c r="O7" s="247">
        <v>276.65075551954271</v>
      </c>
      <c r="P7" s="78">
        <v>-9.5885649876689016E-2</v>
      </c>
      <c r="Q7" s="78">
        <v>4.6994503858324155E-2</v>
      </c>
      <c r="R7" s="247">
        <v>232621.70127573685</v>
      </c>
      <c r="S7" s="247">
        <v>497167.29872426309</v>
      </c>
      <c r="T7" s="247">
        <v>188.46777467415589</v>
      </c>
      <c r="U7" s="78">
        <v>2.8141903587362682E-2</v>
      </c>
      <c r="W7" s="248">
        <v>-7.6E-3</v>
      </c>
      <c r="X7" s="247">
        <f t="shared" si="1"/>
        <v>723204.66390508355</v>
      </c>
      <c r="Z7" s="248">
        <f t="shared" si="2"/>
        <v>4.8453571819679402E-2</v>
      </c>
      <c r="AA7" s="248">
        <f t="shared" si="3"/>
        <v>1.4354707626459721E-3</v>
      </c>
      <c r="AC7" s="69">
        <f t="shared" si="4"/>
        <v>731855.06818622909</v>
      </c>
      <c r="AD7" s="223">
        <f t="shared" si="5"/>
        <v>-0.20098299940582365</v>
      </c>
      <c r="AE7" s="223">
        <f t="shared" si="6"/>
        <v>0</v>
      </c>
      <c r="AF7" s="69">
        <f t="shared" si="7"/>
        <v>731854.86720322969</v>
      </c>
      <c r="AG7" s="69"/>
      <c r="AH7" s="223">
        <f t="shared" si="8"/>
        <v>2065.8672032297463</v>
      </c>
      <c r="AI7" s="223"/>
      <c r="AJ7" s="223">
        <f t="shared" si="9"/>
        <v>2065.8672032297463</v>
      </c>
      <c r="AK7" s="223">
        <f t="shared" si="10"/>
        <v>6603.1764044218062</v>
      </c>
      <c r="AM7" s="48">
        <f t="shared" si="0"/>
        <v>0</v>
      </c>
    </row>
    <row r="8" spans="1:39" x14ac:dyDescent="0.25">
      <c r="A8" s="244">
        <v>5</v>
      </c>
      <c r="B8" s="10" t="s">
        <v>27</v>
      </c>
      <c r="C8" s="4" t="s">
        <v>28</v>
      </c>
      <c r="D8" s="4" t="s">
        <v>29</v>
      </c>
      <c r="E8" s="4" t="s">
        <v>30</v>
      </c>
      <c r="F8" s="245">
        <v>656461.58820716804</v>
      </c>
      <c r="G8" s="245">
        <v>285285.46328207728</v>
      </c>
      <c r="H8" s="245">
        <v>941747.05148924538</v>
      </c>
      <c r="I8" s="245">
        <v>887624.7498719322</v>
      </c>
      <c r="J8" s="75">
        <v>6.0974304316234962E-2</v>
      </c>
      <c r="K8" s="245"/>
      <c r="L8" s="75">
        <v>4.6486278485531107E-2</v>
      </c>
      <c r="M8" s="54">
        <v>-7.7999999999999996E-3</v>
      </c>
      <c r="N8" s="245">
        <v>976578.64335209492</v>
      </c>
      <c r="O8" s="245">
        <v>357.07030091764886</v>
      </c>
      <c r="P8" s="75">
        <v>5.1342645494017125E-2</v>
      </c>
      <c r="Q8" s="75">
        <v>3.6986143792824278E-2</v>
      </c>
      <c r="R8" s="245">
        <v>308300.74655719788</v>
      </c>
      <c r="S8" s="245">
        <v>668277.89679489704</v>
      </c>
      <c r="T8" s="245">
        <v>244.0303912357337</v>
      </c>
      <c r="U8" s="75">
        <v>1.8000000000000016E-2</v>
      </c>
      <c r="W8" s="54">
        <v>-8.6999999999999994E-3</v>
      </c>
      <c r="X8" s="245">
        <f t="shared" si="1"/>
        <v>976951.29649316915</v>
      </c>
      <c r="Z8" s="54">
        <f t="shared" si="2"/>
        <v>4.944583419852127E-2</v>
      </c>
      <c r="AA8" s="54">
        <f t="shared" si="3"/>
        <v>-7.7999999999999996E-3</v>
      </c>
      <c r="AC8" s="69">
        <f t="shared" si="4"/>
        <v>980603.68239770667</v>
      </c>
      <c r="AD8" s="223">
        <f t="shared" si="5"/>
        <v>-1259.625971543137</v>
      </c>
      <c r="AE8" s="223">
        <f t="shared" si="6"/>
        <v>-2765.4130740685091</v>
      </c>
      <c r="AF8" s="69">
        <f t="shared" si="7"/>
        <v>976578.64335209504</v>
      </c>
      <c r="AG8" s="69"/>
      <c r="AH8" s="223">
        <f t="shared" si="8"/>
        <v>2765.4130740685091</v>
      </c>
      <c r="AI8" s="223"/>
      <c r="AJ8" s="223">
        <f t="shared" si="9"/>
        <v>0</v>
      </c>
      <c r="AK8" s="223">
        <f t="shared" si="10"/>
        <v>889.48126804871583</v>
      </c>
      <c r="AM8" s="48">
        <f t="shared" si="0"/>
        <v>1336.5557935897941</v>
      </c>
    </row>
    <row r="9" spans="1:39" x14ac:dyDescent="0.25">
      <c r="A9" s="244">
        <v>6</v>
      </c>
      <c r="B9" s="13" t="s">
        <v>27</v>
      </c>
      <c r="C9" s="14" t="s">
        <v>28</v>
      </c>
      <c r="D9" s="4" t="s">
        <v>31</v>
      </c>
      <c r="E9" s="4" t="s">
        <v>8</v>
      </c>
      <c r="F9" s="245">
        <v>833679.61241630698</v>
      </c>
      <c r="G9" s="245">
        <v>283212.33324573527</v>
      </c>
      <c r="H9" s="245">
        <v>1116891.9456620421</v>
      </c>
      <c r="I9" s="245">
        <v>1026930.2315623323</v>
      </c>
      <c r="J9" s="75">
        <v>8.7602556955447275E-2</v>
      </c>
      <c r="K9" s="245"/>
      <c r="L9" s="75">
        <v>4.5696442536330872E-2</v>
      </c>
      <c r="M9" s="54">
        <v>-7.7999999999999996E-3</v>
      </c>
      <c r="N9" s="245">
        <v>1154515.2768018316</v>
      </c>
      <c r="O9" s="245">
        <v>363.62264290971615</v>
      </c>
      <c r="P9" s="75">
        <v>7.511052696143028E-2</v>
      </c>
      <c r="Q9" s="75">
        <v>3.3685739507672841E-2</v>
      </c>
      <c r="R9" s="245">
        <v>305829.43136203103</v>
      </c>
      <c r="S9" s="245">
        <v>848685.84543980053</v>
      </c>
      <c r="T9" s="245">
        <v>266.30657920892554</v>
      </c>
      <c r="U9" s="75">
        <v>1.8000000000000016E-2</v>
      </c>
      <c r="W9" s="54">
        <v>-8.6999999999999994E-3</v>
      </c>
      <c r="X9" s="245">
        <f t="shared" si="1"/>
        <v>1157768.9438480746</v>
      </c>
      <c r="Z9" s="54">
        <f t="shared" si="2"/>
        <v>4.8655998249321035E-2</v>
      </c>
      <c r="AA9" s="54">
        <f t="shared" si="3"/>
        <v>-7.7999999999999996E-3</v>
      </c>
      <c r="AC9" s="69">
        <f t="shared" si="4"/>
        <v>1162099.8017967793</v>
      </c>
      <c r="AD9" s="223">
        <f t="shared" si="5"/>
        <v>-4304.8039870918728</v>
      </c>
      <c r="AE9" s="223">
        <f t="shared" si="6"/>
        <v>-3279.721007855896</v>
      </c>
      <c r="AF9" s="69">
        <f t="shared" si="7"/>
        <v>1154515.2768018316</v>
      </c>
      <c r="AG9" s="69"/>
      <c r="AH9" s="223">
        <f t="shared" si="8"/>
        <v>3279.721007855896</v>
      </c>
      <c r="AI9" s="223"/>
      <c r="AJ9" s="223">
        <f t="shared" si="9"/>
        <v>0</v>
      </c>
      <c r="AK9" s="223">
        <f t="shared" si="10"/>
        <v>1054.1118943933695</v>
      </c>
      <c r="AM9" s="48">
        <f t="shared" si="0"/>
        <v>1697.3716908796011</v>
      </c>
    </row>
    <row r="10" spans="1:39" x14ac:dyDescent="0.25">
      <c r="A10" s="246">
        <v>7</v>
      </c>
      <c r="B10" s="15" t="s">
        <v>27</v>
      </c>
      <c r="C10" s="16" t="s">
        <v>28</v>
      </c>
      <c r="D10" s="17" t="s">
        <v>32</v>
      </c>
      <c r="E10" s="17" t="s">
        <v>33</v>
      </c>
      <c r="F10" s="247">
        <v>423281.82473633997</v>
      </c>
      <c r="G10" s="247">
        <v>178553.38736999765</v>
      </c>
      <c r="H10" s="247">
        <v>601835.21210633765</v>
      </c>
      <c r="I10" s="247">
        <v>633029.47029281431</v>
      </c>
      <c r="J10" s="78">
        <v>-4.927773452955897E-2</v>
      </c>
      <c r="K10" s="247"/>
      <c r="L10" s="78">
        <v>4.5527869843340119E-2</v>
      </c>
      <c r="M10" s="248">
        <v>7.2788381875271268E-4</v>
      </c>
      <c r="N10" s="247">
        <v>629693</v>
      </c>
      <c r="O10" s="247">
        <v>345.04296807400209</v>
      </c>
      <c r="P10" s="78">
        <v>-4.8586471068344683E-2</v>
      </c>
      <c r="Q10" s="78">
        <v>4.6288065791571187E-2</v>
      </c>
      <c r="R10" s="247">
        <v>194438.22941714883</v>
      </c>
      <c r="S10" s="247">
        <v>435254.7705828512</v>
      </c>
      <c r="T10" s="247">
        <v>238.49971003373997</v>
      </c>
      <c r="U10" s="78">
        <v>2.8285990909175274E-2</v>
      </c>
      <c r="W10" s="248">
        <v>-7.6E-3</v>
      </c>
      <c r="X10" s="247">
        <f t="shared" si="1"/>
        <v>624453.29760669603</v>
      </c>
      <c r="Z10" s="248">
        <f t="shared" si="2"/>
        <v>4.8487425556330281E-2</v>
      </c>
      <c r="AA10" s="248">
        <f t="shared" si="3"/>
        <v>7.2788381875271268E-4</v>
      </c>
      <c r="AC10" s="69">
        <f t="shared" si="4"/>
        <v>631475.95896098588</v>
      </c>
      <c r="AD10" s="223">
        <f t="shared" si="5"/>
        <v>-0.49763965210877359</v>
      </c>
      <c r="AE10" s="223">
        <f t="shared" si="6"/>
        <v>0</v>
      </c>
      <c r="AF10" s="69">
        <f t="shared" si="7"/>
        <v>631475.46132133377</v>
      </c>
      <c r="AG10" s="69"/>
      <c r="AH10" s="223">
        <f t="shared" si="8"/>
        <v>1782.4613213337202</v>
      </c>
      <c r="AI10" s="223"/>
      <c r="AJ10" s="223">
        <f>AH10+AE10</f>
        <v>1782.4613213337202</v>
      </c>
      <c r="AK10" s="223">
        <f t="shared" si="10"/>
        <v>5255.033366807841</v>
      </c>
      <c r="AM10" s="48">
        <f t="shared" si="0"/>
        <v>0</v>
      </c>
    </row>
    <row r="11" spans="1:39" x14ac:dyDescent="0.25">
      <c r="A11" s="244">
        <v>8</v>
      </c>
      <c r="B11" s="10" t="s">
        <v>34</v>
      </c>
      <c r="C11" s="4" t="s">
        <v>35</v>
      </c>
      <c r="D11" s="4" t="s">
        <v>36</v>
      </c>
      <c r="E11" s="4" t="s">
        <v>37</v>
      </c>
      <c r="F11" s="245">
        <v>410779.90850156202</v>
      </c>
      <c r="G11" s="245">
        <v>134182.18185765084</v>
      </c>
      <c r="H11" s="245">
        <v>544962.09035921283</v>
      </c>
      <c r="I11" s="245">
        <v>465992.61050089134</v>
      </c>
      <c r="J11" s="75">
        <v>0.16946509038724433</v>
      </c>
      <c r="K11" s="245"/>
      <c r="L11" s="75">
        <v>4.4561699049711079E-2</v>
      </c>
      <c r="M11" s="54">
        <v>-1.0303635738090147E-2</v>
      </c>
      <c r="N11" s="245">
        <v>562549.29546539253</v>
      </c>
      <c r="O11" s="245">
        <v>356.16439522778205</v>
      </c>
      <c r="P11" s="75">
        <v>0.15570623875196032</v>
      </c>
      <c r="Q11" s="75">
        <v>3.2272345943526126E-2</v>
      </c>
      <c r="R11" s="245">
        <v>144375.34861080238</v>
      </c>
      <c r="S11" s="245">
        <v>418173.94685459015</v>
      </c>
      <c r="T11" s="245">
        <v>264.36580374822682</v>
      </c>
      <c r="U11" s="75">
        <v>1.8000000000000016E-2</v>
      </c>
      <c r="W11" s="54">
        <v>-1.0803247351104562E-2</v>
      </c>
      <c r="X11" s="245">
        <f t="shared" si="1"/>
        <v>563096.81598811154</v>
      </c>
      <c r="Z11" s="54">
        <f t="shared" si="2"/>
        <v>4.7521254762701241E-2</v>
      </c>
      <c r="AA11" s="54">
        <f t="shared" si="3"/>
        <v>-1.0303635738090147E-2</v>
      </c>
      <c r="AC11" s="69">
        <f t="shared" si="4"/>
        <v>564977.44565730263</v>
      </c>
      <c r="AD11" s="223">
        <f t="shared" si="5"/>
        <v>-831.92269828810822</v>
      </c>
      <c r="AE11" s="223">
        <f t="shared" si="6"/>
        <v>-1596.227493622019</v>
      </c>
      <c r="AF11" s="69">
        <f t="shared" si="7"/>
        <v>562549.29546539253</v>
      </c>
      <c r="AG11" s="69"/>
      <c r="AH11" s="223">
        <f t="shared" si="8"/>
        <v>1596.227493622019</v>
      </c>
      <c r="AI11" s="223"/>
      <c r="AJ11" s="223">
        <f t="shared" si="9"/>
        <v>0</v>
      </c>
      <c r="AK11" s="223">
        <f t="shared" si="10"/>
        <v>285.20797199464158</v>
      </c>
      <c r="AM11" s="48">
        <f t="shared" si="0"/>
        <v>836.34789370918031</v>
      </c>
    </row>
    <row r="12" spans="1:39" x14ac:dyDescent="0.25">
      <c r="A12" s="244">
        <v>9</v>
      </c>
      <c r="B12" s="13" t="s">
        <v>34</v>
      </c>
      <c r="C12" s="14" t="s">
        <v>35</v>
      </c>
      <c r="D12" s="4" t="s">
        <v>38</v>
      </c>
      <c r="E12" s="4" t="s">
        <v>39</v>
      </c>
      <c r="F12" s="245">
        <v>286749.12745323998</v>
      </c>
      <c r="G12" s="245">
        <v>126079.12107806749</v>
      </c>
      <c r="H12" s="245">
        <v>412828.24853130744</v>
      </c>
      <c r="I12" s="245">
        <v>402614.85385812121</v>
      </c>
      <c r="J12" s="75">
        <v>2.536765490720172E-2</v>
      </c>
      <c r="K12" s="245"/>
      <c r="L12" s="75">
        <v>4.5903890925765412E-2</v>
      </c>
      <c r="M12" s="54">
        <v>-7.7999999999999996E-3</v>
      </c>
      <c r="N12" s="245">
        <v>428085.38827573595</v>
      </c>
      <c r="O12" s="245">
        <v>329.05458048125905</v>
      </c>
      <c r="P12" s="75">
        <v>1.659702001896024E-2</v>
      </c>
      <c r="Q12" s="75">
        <v>3.6957596285399186E-2</v>
      </c>
      <c r="R12" s="245">
        <v>136174.77652833762</v>
      </c>
      <c r="S12" s="245">
        <v>291910.61174739833</v>
      </c>
      <c r="T12" s="245">
        <v>224.21115210993148</v>
      </c>
      <c r="U12" s="75">
        <v>1.8000000000000016E-2</v>
      </c>
      <c r="W12" s="54">
        <v>-8.6999999999999994E-3</v>
      </c>
      <c r="X12" s="245">
        <f t="shared" si="1"/>
        <v>428022.19698158361</v>
      </c>
      <c r="Z12" s="54">
        <f t="shared" si="2"/>
        <v>4.8863446638755574E-2</v>
      </c>
      <c r="AA12" s="54">
        <f t="shared" si="3"/>
        <v>-7.7999999999999996E-3</v>
      </c>
      <c r="AC12" s="69">
        <f t="shared" si="4"/>
        <v>429623.05603931769</v>
      </c>
      <c r="AD12" s="223">
        <f t="shared" si="5"/>
        <v>-325.40951012831647</v>
      </c>
      <c r="AE12" s="223">
        <f t="shared" si="6"/>
        <v>-1212.258253453442</v>
      </c>
      <c r="AF12" s="69">
        <f t="shared" si="7"/>
        <v>428085.38827573595</v>
      </c>
      <c r="AG12" s="69"/>
      <c r="AH12" s="223">
        <f t="shared" si="8"/>
        <v>1212.258253453442</v>
      </c>
      <c r="AI12" s="223"/>
      <c r="AJ12" s="223">
        <f t="shared" si="9"/>
        <v>0</v>
      </c>
      <c r="AK12" s="223">
        <f t="shared" si="10"/>
        <v>389.70041366194903</v>
      </c>
      <c r="AM12" s="48">
        <f t="shared" si="0"/>
        <v>583.82122349479664</v>
      </c>
    </row>
    <row r="13" spans="1:39" x14ac:dyDescent="0.25">
      <c r="A13" s="244">
        <v>10</v>
      </c>
      <c r="B13" s="13" t="s">
        <v>34</v>
      </c>
      <c r="C13" s="14" t="s">
        <v>35</v>
      </c>
      <c r="D13" s="4" t="s">
        <v>40</v>
      </c>
      <c r="E13" s="4" t="s">
        <v>41</v>
      </c>
      <c r="F13" s="245">
        <v>217587.63253251501</v>
      </c>
      <c r="G13" s="245">
        <v>95467.567461257422</v>
      </c>
      <c r="H13" s="245">
        <v>313055.19999377243</v>
      </c>
      <c r="I13" s="245">
        <v>311549.16418860533</v>
      </c>
      <c r="J13" s="75">
        <v>4.8340229353187603E-3</v>
      </c>
      <c r="K13" s="245"/>
      <c r="L13" s="75">
        <v>4.9265711599797424E-2</v>
      </c>
      <c r="M13" s="54">
        <v>-4.8340229353187603E-3</v>
      </c>
      <c r="N13" s="245">
        <v>326890</v>
      </c>
      <c r="O13" s="245">
        <v>304.66672497940584</v>
      </c>
      <c r="P13" s="75">
        <v>-2.4030321850943004E-5</v>
      </c>
      <c r="Q13" s="75">
        <v>4.4192845244234169E-2</v>
      </c>
      <c r="R13" s="245">
        <v>103752.56975950321</v>
      </c>
      <c r="S13" s="245">
        <v>223137.43024049679</v>
      </c>
      <c r="T13" s="245">
        <v>207.96766524424973</v>
      </c>
      <c r="U13" s="75">
        <v>2.550603471064683E-2</v>
      </c>
      <c r="W13" s="54">
        <v>-8.4121585982709357E-3</v>
      </c>
      <c r="X13" s="245">
        <f t="shared" si="1"/>
        <v>325714.87742597109</v>
      </c>
      <c r="Z13" s="54">
        <f t="shared" si="2"/>
        <v>5.2225267312787586E-2</v>
      </c>
      <c r="AA13" s="54">
        <f t="shared" si="3"/>
        <v>-4.8340229353187603E-3</v>
      </c>
      <c r="AC13" s="69">
        <f t="shared" si="4"/>
        <v>327812.24214680906</v>
      </c>
      <c r="AD13" s="223">
        <f t="shared" si="5"/>
        <v>-0.21658424928318709</v>
      </c>
      <c r="AE13" s="223">
        <f t="shared" si="6"/>
        <v>0</v>
      </c>
      <c r="AF13" s="69">
        <f t="shared" si="7"/>
        <v>327812.02556255978</v>
      </c>
      <c r="AG13" s="69"/>
      <c r="AH13" s="223">
        <f t="shared" si="8"/>
        <v>922.02556255979471</v>
      </c>
      <c r="AI13" s="223"/>
      <c r="AJ13" s="223">
        <f t="shared" si="9"/>
        <v>922.02556255979471</v>
      </c>
      <c r="AK13" s="223">
        <f t="shared" si="10"/>
        <v>1178.6543163759857</v>
      </c>
      <c r="AM13" s="48">
        <f t="shared" si="0"/>
        <v>0</v>
      </c>
    </row>
    <row r="14" spans="1:39" x14ac:dyDescent="0.25">
      <c r="A14" s="244">
        <v>11</v>
      </c>
      <c r="B14" s="13" t="s">
        <v>34</v>
      </c>
      <c r="C14" s="14" t="s">
        <v>35</v>
      </c>
      <c r="D14" s="4" t="s">
        <v>42</v>
      </c>
      <c r="E14" s="4" t="s">
        <v>43</v>
      </c>
      <c r="F14" s="245">
        <v>220334.603605059</v>
      </c>
      <c r="G14" s="245">
        <v>101767.4993358691</v>
      </c>
      <c r="H14" s="245">
        <v>322102.10294092807</v>
      </c>
      <c r="I14" s="245">
        <v>350328.11184992513</v>
      </c>
      <c r="J14" s="75">
        <v>-8.0570208196962034E-2</v>
      </c>
      <c r="K14" s="245"/>
      <c r="L14" s="75">
        <v>4.7155575384280946E-2</v>
      </c>
      <c r="M14" s="54">
        <v>1.1901064726286827E-3</v>
      </c>
      <c r="N14" s="245">
        <v>337692</v>
      </c>
      <c r="O14" s="245">
        <v>301.55849640626326</v>
      </c>
      <c r="P14" s="75">
        <v>-7.9477147791668812E-2</v>
      </c>
      <c r="Q14" s="75">
        <v>4.8400482073012174E-2</v>
      </c>
      <c r="R14" s="245">
        <v>111044.89743129243</v>
      </c>
      <c r="S14" s="245">
        <v>226647.10256870755</v>
      </c>
      <c r="T14" s="245">
        <v>202.39555413055558</v>
      </c>
      <c r="U14" s="75">
        <v>2.8649603196071016E-2</v>
      </c>
      <c r="W14" s="54">
        <v>-7.6E-3</v>
      </c>
      <c r="X14" s="245">
        <f t="shared" si="1"/>
        <v>334727.60123926873</v>
      </c>
      <c r="Z14" s="54">
        <f t="shared" si="2"/>
        <v>5.0115131097271108E-2</v>
      </c>
      <c r="AA14" s="54">
        <f t="shared" si="3"/>
        <v>1.1901064726286827E-3</v>
      </c>
      <c r="AC14" s="69">
        <f t="shared" si="4"/>
        <v>338646.83877782559</v>
      </c>
      <c r="AD14" s="223">
        <f t="shared" si="5"/>
        <v>-0.42515525099588558</v>
      </c>
      <c r="AE14" s="223">
        <f t="shared" si="6"/>
        <v>0</v>
      </c>
      <c r="AF14" s="69">
        <f t="shared" si="7"/>
        <v>338646.41362257459</v>
      </c>
      <c r="AG14" s="69"/>
      <c r="AH14" s="223">
        <f t="shared" si="8"/>
        <v>954.41362257462356</v>
      </c>
      <c r="AI14" s="223"/>
      <c r="AJ14" s="223">
        <f t="shared" si="9"/>
        <v>954.41362257462356</v>
      </c>
      <c r="AK14" s="223">
        <f t="shared" si="10"/>
        <v>2973.2033409357182</v>
      </c>
      <c r="AM14" s="48">
        <f t="shared" si="0"/>
        <v>0</v>
      </c>
    </row>
    <row r="15" spans="1:39" x14ac:dyDescent="0.25">
      <c r="A15" s="244">
        <v>12</v>
      </c>
      <c r="B15" s="13" t="s">
        <v>34</v>
      </c>
      <c r="C15" s="14" t="s">
        <v>35</v>
      </c>
      <c r="D15" s="4" t="s">
        <v>44</v>
      </c>
      <c r="E15" s="4" t="s">
        <v>45</v>
      </c>
      <c r="F15" s="245">
        <v>166532.93561281278</v>
      </c>
      <c r="G15" s="245">
        <v>88264.187473495389</v>
      </c>
      <c r="H15" s="245">
        <v>254797.12308630819</v>
      </c>
      <c r="I15" s="245">
        <v>255274.02212638748</v>
      </c>
      <c r="J15" s="75">
        <v>-1.8681847690839026E-3</v>
      </c>
      <c r="K15" s="245"/>
      <c r="L15" s="75">
        <v>4.8738353118090494E-2</v>
      </c>
      <c r="M15" s="54">
        <v>2.7595048287795687E-5</v>
      </c>
      <c r="N15" s="245">
        <v>267223</v>
      </c>
      <c r="O15" s="245">
        <v>323.51589655823949</v>
      </c>
      <c r="P15" s="75">
        <v>-1.8402269151950312E-3</v>
      </c>
      <c r="Q15" s="75">
        <v>4.8767728470320071E-2</v>
      </c>
      <c r="R15" s="245">
        <v>96344.324291956975</v>
      </c>
      <c r="S15" s="245">
        <v>170878.67570804301</v>
      </c>
      <c r="T15" s="245">
        <v>206.87578529682023</v>
      </c>
      <c r="U15" s="75">
        <v>2.6095379146705344E-2</v>
      </c>
      <c r="W15" s="54">
        <v>-7.6E-3</v>
      </c>
      <c r="X15" s="245">
        <f t="shared" si="1"/>
        <v>265184.67732890201</v>
      </c>
      <c r="Z15" s="54">
        <f t="shared" si="2"/>
        <v>5.1697908831080656E-2</v>
      </c>
      <c r="AA15" s="54">
        <f t="shared" si="3"/>
        <v>2.7595048287795687E-5</v>
      </c>
      <c r="AC15" s="69">
        <f t="shared" si="4"/>
        <v>267976.99616013956</v>
      </c>
      <c r="AD15" s="223">
        <f t="shared" si="5"/>
        <v>0.11093019135296345</v>
      </c>
      <c r="AE15" s="223">
        <f t="shared" si="6"/>
        <v>0</v>
      </c>
      <c r="AF15" s="69">
        <f t="shared" si="7"/>
        <v>267977.10709033092</v>
      </c>
      <c r="AG15" s="69"/>
      <c r="AH15" s="223">
        <f t="shared" si="8"/>
        <v>754.10709033088608</v>
      </c>
      <c r="AI15" s="223"/>
      <c r="AJ15" s="223">
        <f t="shared" si="9"/>
        <v>754.10709033088608</v>
      </c>
      <c r="AK15" s="223">
        <f t="shared" si="10"/>
        <v>2043.9636056917209</v>
      </c>
      <c r="AM15" s="48">
        <f t="shared" si="0"/>
        <v>0</v>
      </c>
    </row>
    <row r="16" spans="1:39" x14ac:dyDescent="0.25">
      <c r="A16" s="244">
        <v>13</v>
      </c>
      <c r="B16" s="13" t="s">
        <v>34</v>
      </c>
      <c r="C16" s="14" t="s">
        <v>35</v>
      </c>
      <c r="D16" s="4" t="s">
        <v>46</v>
      </c>
      <c r="E16" s="4" t="s">
        <v>47</v>
      </c>
      <c r="F16" s="245">
        <v>264944.15775333234</v>
      </c>
      <c r="G16" s="245">
        <v>94846.66415394198</v>
      </c>
      <c r="H16" s="245">
        <v>359790.82190727431</v>
      </c>
      <c r="I16" s="245">
        <v>331371.71101393778</v>
      </c>
      <c r="J16" s="75">
        <v>8.5762030821457724E-2</v>
      </c>
      <c r="K16" s="245"/>
      <c r="L16" s="75">
        <v>5.0020054139896963E-2</v>
      </c>
      <c r="M16" s="54">
        <v>-7.7999999999999996E-3</v>
      </c>
      <c r="N16" s="245">
        <v>372557.72113862413</v>
      </c>
      <c r="O16" s="245">
        <v>310.82318142886095</v>
      </c>
      <c r="P16" s="75">
        <v>7.0731413997118464E-2</v>
      </c>
      <c r="Q16" s="75">
        <v>3.5484227095265108E-2</v>
      </c>
      <c r="R16" s="245">
        <v>102844.56854573179</v>
      </c>
      <c r="S16" s="245">
        <v>269713.15259289235</v>
      </c>
      <c r="T16" s="245">
        <v>223.64976126445782</v>
      </c>
      <c r="U16" s="75">
        <v>1.8000000000000016E-2</v>
      </c>
      <c r="W16" s="54">
        <v>-8.6999999999999994E-3</v>
      </c>
      <c r="X16" s="245">
        <f t="shared" si="1"/>
        <v>374500.82636692055</v>
      </c>
      <c r="Z16" s="54">
        <f t="shared" si="2"/>
        <v>5.2979609852887126E-2</v>
      </c>
      <c r="AA16" s="54">
        <f t="shared" si="3"/>
        <v>-7.7999999999999996E-3</v>
      </c>
      <c r="AC16" s="69">
        <f t="shared" si="4"/>
        <v>375897.35056618287</v>
      </c>
      <c r="AD16" s="223">
        <f t="shared" si="5"/>
        <v>-2283.1140487647499</v>
      </c>
      <c r="AE16" s="223">
        <f t="shared" si="6"/>
        <v>-1056.5153787939344</v>
      </c>
      <c r="AF16" s="69">
        <f t="shared" si="7"/>
        <v>372557.72113862418</v>
      </c>
      <c r="AG16" s="69"/>
      <c r="AH16" s="223">
        <f t="shared" si="8"/>
        <v>1056.5153787939344</v>
      </c>
      <c r="AI16" s="223"/>
      <c r="AJ16" s="223">
        <f t="shared" si="9"/>
        <v>0</v>
      </c>
      <c r="AK16" s="223">
        <f t="shared" si="10"/>
        <v>340.9671593525141</v>
      </c>
      <c r="AM16" s="48">
        <f t="shared" si="0"/>
        <v>539.42630518578471</v>
      </c>
    </row>
    <row r="17" spans="1:39" x14ac:dyDescent="0.25">
      <c r="A17" s="244">
        <v>14</v>
      </c>
      <c r="B17" s="13" t="s">
        <v>34</v>
      </c>
      <c r="C17" s="14" t="s">
        <v>35</v>
      </c>
      <c r="D17" s="4" t="s">
        <v>48</v>
      </c>
      <c r="E17" s="4" t="s">
        <v>49</v>
      </c>
      <c r="F17" s="245">
        <v>165219.35948591257</v>
      </c>
      <c r="G17" s="245">
        <v>79397.900751294699</v>
      </c>
      <c r="H17" s="245">
        <v>244617.26023720729</v>
      </c>
      <c r="I17" s="245">
        <v>246950.74431256208</v>
      </c>
      <c r="J17" s="75">
        <v>-9.4491882656621007E-3</v>
      </c>
      <c r="K17" s="245"/>
      <c r="L17" s="75">
        <v>4.865628745225381E-2</v>
      </c>
      <c r="M17" s="54">
        <v>1.3957442046767929E-4</v>
      </c>
      <c r="N17" s="245">
        <v>256555</v>
      </c>
      <c r="O17" s="245">
        <v>314.66108651314022</v>
      </c>
      <c r="P17" s="75">
        <v>-9.311826716278726E-3</v>
      </c>
      <c r="Q17" s="75">
        <v>4.8801706597549899E-2</v>
      </c>
      <c r="R17" s="245">
        <v>86669.182007483047</v>
      </c>
      <c r="S17" s="245">
        <v>169885.81799251697</v>
      </c>
      <c r="T17" s="245">
        <v>208.36255801952396</v>
      </c>
      <c r="U17" s="75">
        <v>2.8244017657036657E-2</v>
      </c>
      <c r="W17" s="54">
        <v>-7.6E-3</v>
      </c>
      <c r="X17" s="245">
        <f t="shared" si="1"/>
        <v>254569.88031454172</v>
      </c>
      <c r="Z17" s="54">
        <f t="shared" si="2"/>
        <v>5.1615843165243973E-2</v>
      </c>
      <c r="AA17" s="54">
        <f t="shared" si="3"/>
        <v>1.3957442046767929E-4</v>
      </c>
      <c r="AC17" s="69">
        <f t="shared" si="4"/>
        <v>257279.2909736954</v>
      </c>
      <c r="AD17" s="223">
        <f t="shared" si="5"/>
        <v>-0.23151758883614093</v>
      </c>
      <c r="AE17" s="223">
        <f t="shared" si="6"/>
        <v>0</v>
      </c>
      <c r="AF17" s="69">
        <f t="shared" si="7"/>
        <v>257279.05945610657</v>
      </c>
      <c r="AG17" s="69"/>
      <c r="AH17" s="223">
        <f t="shared" si="8"/>
        <v>724.05945610655101</v>
      </c>
      <c r="AI17" s="223"/>
      <c r="AJ17" s="223">
        <f t="shared" si="9"/>
        <v>724.05945610655101</v>
      </c>
      <c r="AK17" s="223">
        <f t="shared" si="10"/>
        <v>1990.9543330388624</v>
      </c>
      <c r="AM17" s="48">
        <f t="shared" si="0"/>
        <v>0</v>
      </c>
    </row>
    <row r="18" spans="1:39" x14ac:dyDescent="0.25">
      <c r="A18" s="244">
        <v>15</v>
      </c>
      <c r="B18" s="13" t="s">
        <v>34</v>
      </c>
      <c r="C18" s="14" t="s">
        <v>35</v>
      </c>
      <c r="D18" s="4" t="s">
        <v>50</v>
      </c>
      <c r="E18" s="4" t="s">
        <v>51</v>
      </c>
      <c r="F18" s="245">
        <v>161848.85166701238</v>
      </c>
      <c r="G18" s="245">
        <v>65537.846735118539</v>
      </c>
      <c r="H18" s="245">
        <v>227386.69840213092</v>
      </c>
      <c r="I18" s="245">
        <v>251721.69411984814</v>
      </c>
      <c r="J18" s="75">
        <v>-9.6674209200781069E-2</v>
      </c>
      <c r="K18" s="245"/>
      <c r="L18" s="75">
        <v>5.0786431777659846E-2</v>
      </c>
      <c r="M18" s="54">
        <v>1.4279794564369466E-3</v>
      </c>
      <c r="N18" s="245">
        <v>239276</v>
      </c>
      <c r="O18" s="245">
        <v>289.84364108316163</v>
      </c>
      <c r="P18" s="75">
        <v>-9.5384473290569982E-2</v>
      </c>
      <c r="Q18" s="75">
        <v>5.2286706660575888E-2</v>
      </c>
      <c r="R18" s="245">
        <v>71777.535853923939</v>
      </c>
      <c r="S18" s="245">
        <v>167498.46414607606</v>
      </c>
      <c r="T18" s="245">
        <v>202.89692540804799</v>
      </c>
      <c r="U18" s="75">
        <v>3.4906719577394218E-2</v>
      </c>
      <c r="W18" s="54">
        <v>-7.6E-3</v>
      </c>
      <c r="X18" s="245">
        <f t="shared" si="1"/>
        <v>237118.95253107569</v>
      </c>
      <c r="Z18" s="54">
        <f t="shared" si="2"/>
        <v>5.3745987490650009E-2</v>
      </c>
      <c r="AA18" s="54">
        <f t="shared" si="3"/>
        <v>1.4279794564369466E-3</v>
      </c>
      <c r="AC18" s="69">
        <f t="shared" si="4"/>
        <v>239949.97609605305</v>
      </c>
      <c r="AD18" s="223">
        <f t="shared" si="5"/>
        <v>-5.1515540020773187E-2</v>
      </c>
      <c r="AE18" s="223">
        <f t="shared" si="6"/>
        <v>0</v>
      </c>
      <c r="AF18" s="69">
        <f t="shared" si="7"/>
        <v>239949.92458051303</v>
      </c>
      <c r="AG18" s="69"/>
      <c r="AH18" s="223">
        <f t="shared" si="8"/>
        <v>673.92458051303174</v>
      </c>
      <c r="AI18" s="223"/>
      <c r="AJ18" s="223">
        <f t="shared" si="9"/>
        <v>673.92458051303174</v>
      </c>
      <c r="AK18" s="223">
        <f t="shared" si="10"/>
        <v>2163.1744860409481</v>
      </c>
      <c r="AM18" s="48">
        <f t="shared" si="0"/>
        <v>0</v>
      </c>
    </row>
    <row r="19" spans="1:39" x14ac:dyDescent="0.25">
      <c r="A19" s="244">
        <v>16</v>
      </c>
      <c r="B19" s="13" t="s">
        <v>34</v>
      </c>
      <c r="C19" s="14" t="s">
        <v>35</v>
      </c>
      <c r="D19" s="4" t="s">
        <v>52</v>
      </c>
      <c r="E19" s="4" t="s">
        <v>53</v>
      </c>
      <c r="F19" s="245">
        <v>284417.56187980756</v>
      </c>
      <c r="G19" s="245">
        <v>121263.93790013848</v>
      </c>
      <c r="H19" s="245">
        <v>405681.49977994605</v>
      </c>
      <c r="I19" s="245">
        <v>386045.27316086693</v>
      </c>
      <c r="J19" s="75">
        <v>5.0865087553854327E-2</v>
      </c>
      <c r="K19" s="245"/>
      <c r="L19" s="75">
        <v>4.8091707313601573E-2</v>
      </c>
      <c r="M19" s="54">
        <v>-7.7999999999999996E-3</v>
      </c>
      <c r="N19" s="245">
        <v>420785.03341238678</v>
      </c>
      <c r="O19" s="245">
        <v>335.83920075928751</v>
      </c>
      <c r="P19" s="75">
        <v>3.9974666984222695E-2</v>
      </c>
      <c r="Q19" s="75">
        <v>3.7230028090098566E-2</v>
      </c>
      <c r="R19" s="245">
        <v>131247.95541874267</v>
      </c>
      <c r="S19" s="245">
        <v>289537.07799364411</v>
      </c>
      <c r="T19" s="245">
        <v>230.48983908400578</v>
      </c>
      <c r="U19" s="75">
        <v>1.8000000000000016E-2</v>
      </c>
      <c r="W19" s="54">
        <v>-8.6999999999999994E-3</v>
      </c>
      <c r="X19" s="245">
        <f t="shared" si="1"/>
        <v>421492.25041305594</v>
      </c>
      <c r="Z19" s="54">
        <f t="shared" si="2"/>
        <v>5.1051263026591735E-2</v>
      </c>
      <c r="AA19" s="54">
        <f t="shared" si="3"/>
        <v>-7.7999999999999996E-3</v>
      </c>
      <c r="AC19" s="69">
        <f t="shared" si="4"/>
        <v>423066.1947189385</v>
      </c>
      <c r="AD19" s="223">
        <f t="shared" si="5"/>
        <v>-1089.8892748260405</v>
      </c>
      <c r="AE19" s="223">
        <f t="shared" si="6"/>
        <v>-1191.2720317255971</v>
      </c>
      <c r="AF19" s="69">
        <f t="shared" si="7"/>
        <v>420785.03341238684</v>
      </c>
      <c r="AG19" s="69"/>
      <c r="AH19" s="223">
        <f t="shared" si="8"/>
        <v>1191.2720317255971</v>
      </c>
      <c r="AI19" s="223"/>
      <c r="AJ19" s="223">
        <f t="shared" si="9"/>
        <v>0</v>
      </c>
      <c r="AK19" s="223">
        <f t="shared" si="10"/>
        <v>383.75284745721081</v>
      </c>
      <c r="AM19" s="48">
        <f t="shared" si="0"/>
        <v>579.07415598728824</v>
      </c>
    </row>
    <row r="20" spans="1:39" x14ac:dyDescent="0.25">
      <c r="A20" s="244">
        <v>17</v>
      </c>
      <c r="B20" s="13" t="s">
        <v>34</v>
      </c>
      <c r="C20" s="14" t="s">
        <v>35</v>
      </c>
      <c r="D20" s="4" t="s">
        <v>54</v>
      </c>
      <c r="E20" s="4" t="s">
        <v>55</v>
      </c>
      <c r="F20" s="245">
        <v>104267.72502064651</v>
      </c>
      <c r="G20" s="245">
        <v>50204.010052273348</v>
      </c>
      <c r="H20" s="245">
        <v>154471.73507291987</v>
      </c>
      <c r="I20" s="245">
        <v>166986.00346393083</v>
      </c>
      <c r="J20" s="75">
        <v>-7.4942019878414867E-2</v>
      </c>
      <c r="K20" s="245"/>
      <c r="L20" s="75">
        <v>5.273477274982441E-2</v>
      </c>
      <c r="M20" s="54">
        <v>1.1069722286324174E-3</v>
      </c>
      <c r="N20" s="245">
        <v>162798</v>
      </c>
      <c r="O20" s="245">
        <v>307.89353071810547</v>
      </c>
      <c r="P20" s="75">
        <v>-7.3916756441929188E-2</v>
      </c>
      <c r="Q20" s="75">
        <v>5.3901543367462335E-2</v>
      </c>
      <c r="R20" s="245">
        <v>55068.182200873511</v>
      </c>
      <c r="S20" s="245">
        <v>107729.81779912648</v>
      </c>
      <c r="T20" s="245">
        <v>203.74521779009117</v>
      </c>
      <c r="U20" s="75">
        <v>3.3203877592940856E-2</v>
      </c>
      <c r="W20" s="54">
        <v>-7.6E-3</v>
      </c>
      <c r="X20" s="245">
        <f t="shared" si="1"/>
        <v>161381.8718896826</v>
      </c>
      <c r="Z20" s="54">
        <f t="shared" si="2"/>
        <v>5.5694328462814573E-2</v>
      </c>
      <c r="AA20" s="54">
        <f t="shared" si="3"/>
        <v>1.1069722286324174E-3</v>
      </c>
      <c r="AC20" s="69">
        <f t="shared" si="4"/>
        <v>163255.45404810709</v>
      </c>
      <c r="AD20" s="223">
        <f t="shared" si="5"/>
        <v>0.21972987789195031</v>
      </c>
      <c r="AE20" s="223">
        <f t="shared" si="6"/>
        <v>0</v>
      </c>
      <c r="AF20" s="69">
        <f t="shared" si="7"/>
        <v>163255.67377798498</v>
      </c>
      <c r="AG20" s="69"/>
      <c r="AH20" s="223">
        <f t="shared" si="8"/>
        <v>457.67377798496619</v>
      </c>
      <c r="AI20" s="223"/>
      <c r="AJ20" s="223">
        <f t="shared" si="9"/>
        <v>457.67377798496619</v>
      </c>
      <c r="AK20" s="223">
        <f t="shared" si="10"/>
        <v>1419.8889269597571</v>
      </c>
      <c r="AM20" s="48">
        <f t="shared" si="0"/>
        <v>0</v>
      </c>
    </row>
    <row r="21" spans="1:39" x14ac:dyDescent="0.25">
      <c r="A21" s="246">
        <v>18</v>
      </c>
      <c r="B21" s="15" t="s">
        <v>34</v>
      </c>
      <c r="C21" s="16" t="s">
        <v>35</v>
      </c>
      <c r="D21" s="17" t="s">
        <v>56</v>
      </c>
      <c r="E21" s="17" t="s">
        <v>57</v>
      </c>
      <c r="F21" s="247">
        <v>267217.54103889439</v>
      </c>
      <c r="G21" s="247">
        <v>122739.92886337009</v>
      </c>
      <c r="H21" s="247">
        <v>389957.46990226448</v>
      </c>
      <c r="I21" s="247">
        <v>381147.36814734543</v>
      </c>
      <c r="J21" s="78">
        <v>2.3114686053697708E-2</v>
      </c>
      <c r="K21" s="247"/>
      <c r="L21" s="78">
        <v>4.5661993491080466E-2</v>
      </c>
      <c r="M21" s="248">
        <v>-7.7999999999999996E-3</v>
      </c>
      <c r="N21" s="247">
        <v>404564.88705847628</v>
      </c>
      <c r="O21" s="247">
        <v>342.83204689886293</v>
      </c>
      <c r="P21" s="78">
        <v>1.5088572071636941E-2</v>
      </c>
      <c r="Q21" s="78">
        <v>3.7459000746601578E-2</v>
      </c>
      <c r="R21" s="247">
        <v>132537.43028088182</v>
      </c>
      <c r="S21" s="247">
        <v>272027.45677759446</v>
      </c>
      <c r="T21" s="247">
        <v>230.50827597737589</v>
      </c>
      <c r="U21" s="78">
        <v>1.8000000000000016E-2</v>
      </c>
      <c r="W21" s="248">
        <v>-8.6999999999999994E-3</v>
      </c>
      <c r="X21" s="247">
        <f t="shared" si="1"/>
        <v>404216.16111815366</v>
      </c>
      <c r="Z21" s="248">
        <f t="shared" si="2"/>
        <v>4.8621549204070628E-2</v>
      </c>
      <c r="AA21" s="248">
        <f t="shared" si="3"/>
        <v>-7.7999999999999996E-3</v>
      </c>
      <c r="AC21" s="69">
        <f t="shared" si="4"/>
        <v>405728.24732415396</v>
      </c>
      <c r="AD21" s="223">
        <f t="shared" si="5"/>
        <v>-18.261394496657886</v>
      </c>
      <c r="AE21" s="223">
        <f t="shared" si="6"/>
        <v>-1145.098871181031</v>
      </c>
      <c r="AF21" s="69">
        <f t="shared" si="7"/>
        <v>404564.88705847628</v>
      </c>
      <c r="AG21" s="69"/>
      <c r="AH21" s="223">
        <f t="shared" si="8"/>
        <v>1145.098871181031</v>
      </c>
      <c r="AI21" s="223"/>
      <c r="AJ21" s="223">
        <f t="shared" si="9"/>
        <v>0</v>
      </c>
      <c r="AK21" s="223">
        <f t="shared" si="10"/>
        <v>368.02602559135102</v>
      </c>
      <c r="AM21" s="48">
        <f t="shared" si="0"/>
        <v>544.05491355518893</v>
      </c>
    </row>
    <row r="22" spans="1:39" x14ac:dyDescent="0.25">
      <c r="A22" s="244">
        <v>19</v>
      </c>
      <c r="B22" s="10" t="s">
        <v>58</v>
      </c>
      <c r="C22" s="4" t="s">
        <v>59</v>
      </c>
      <c r="D22" s="4" t="s">
        <v>60</v>
      </c>
      <c r="E22" s="4" t="s">
        <v>61</v>
      </c>
      <c r="F22" s="245">
        <v>215401.3318750975</v>
      </c>
      <c r="G22" s="245">
        <v>97657.04703425942</v>
      </c>
      <c r="H22" s="245">
        <v>313058.37890935689</v>
      </c>
      <c r="I22" s="245">
        <v>352197.72267391061</v>
      </c>
      <c r="J22" s="75">
        <v>-0.11112889506327583</v>
      </c>
      <c r="K22" s="245"/>
      <c r="L22" s="75">
        <v>4.661366087608565E-2</v>
      </c>
      <c r="M22" s="54">
        <v>1.6414903258977196E-3</v>
      </c>
      <c r="N22" s="245">
        <v>328189</v>
      </c>
      <c r="O22" s="245">
        <v>302.51041150357133</v>
      </c>
      <c r="P22" s="75">
        <v>-0.10966985498679893</v>
      </c>
      <c r="Q22" s="75">
        <v>4.8331627932642007E-2</v>
      </c>
      <c r="R22" s="245">
        <v>106552.72692249846</v>
      </c>
      <c r="S22" s="245">
        <v>221636.27307750154</v>
      </c>
      <c r="T22" s="245">
        <v>204.29472094674992</v>
      </c>
      <c r="U22" s="75">
        <v>2.8945694755589724E-2</v>
      </c>
      <c r="W22" s="54">
        <v>-7.6E-3</v>
      </c>
      <c r="X22" s="245">
        <f t="shared" si="1"/>
        <v>325161.02708051604</v>
      </c>
      <c r="Z22" s="54">
        <f t="shared" si="2"/>
        <v>4.9573216589075812E-2</v>
      </c>
      <c r="AA22" s="54">
        <f t="shared" si="3"/>
        <v>1.6414903258977196E-3</v>
      </c>
      <c r="AC22" s="69">
        <f t="shared" si="4"/>
        <v>329117.04683105636</v>
      </c>
      <c r="AD22" s="223">
        <f t="shared" si="5"/>
        <v>-1.2253957742359489E-2</v>
      </c>
      <c r="AE22" s="223">
        <f t="shared" si="6"/>
        <v>0</v>
      </c>
      <c r="AF22" s="69">
        <f t="shared" si="7"/>
        <v>329117.03457709862</v>
      </c>
      <c r="AG22" s="69"/>
      <c r="AH22" s="223">
        <f t="shared" si="8"/>
        <v>928.03457709864142</v>
      </c>
      <c r="AI22" s="223"/>
      <c r="AJ22" s="223">
        <f t="shared" si="9"/>
        <v>928.03457709864142</v>
      </c>
      <c r="AK22" s="223">
        <f t="shared" si="10"/>
        <v>3036.5475409646128</v>
      </c>
      <c r="AM22" s="48">
        <f t="shared" si="0"/>
        <v>0</v>
      </c>
    </row>
    <row r="23" spans="1:39" x14ac:dyDescent="0.25">
      <c r="A23" s="244">
        <v>20</v>
      </c>
      <c r="B23" s="13" t="s">
        <v>58</v>
      </c>
      <c r="C23" s="14" t="s">
        <v>59</v>
      </c>
      <c r="D23" s="4" t="s">
        <v>62</v>
      </c>
      <c r="E23" s="4" t="s">
        <v>63</v>
      </c>
      <c r="F23" s="245">
        <v>225281.4780183362</v>
      </c>
      <c r="G23" s="245">
        <v>96534.13785101012</v>
      </c>
      <c r="H23" s="245">
        <v>321815.61586934631</v>
      </c>
      <c r="I23" s="245">
        <v>289548.07963351405</v>
      </c>
      <c r="J23" s="75">
        <v>0.11144103002400785</v>
      </c>
      <c r="K23" s="245"/>
      <c r="L23" s="75">
        <v>4.7823358631854163E-2</v>
      </c>
      <c r="M23" s="54">
        <v>-7.8017691220965239E-3</v>
      </c>
      <c r="N23" s="245">
        <v>333791.62968579959</v>
      </c>
      <c r="O23" s="245">
        <v>327.22179717439286</v>
      </c>
      <c r="P23" s="75">
        <v>0.10018742637447731</v>
      </c>
      <c r="Q23" s="75">
        <v>3.7213898971625525E-2</v>
      </c>
      <c r="R23" s="245">
        <v>104455.08506313332</v>
      </c>
      <c r="S23" s="245">
        <v>229336.54462266626</v>
      </c>
      <c r="T23" s="245">
        <v>224.2962453536403</v>
      </c>
      <c r="U23" s="75">
        <v>1.8000000000000016E-2</v>
      </c>
      <c r="W23" s="54">
        <v>-8.6999999999999994E-3</v>
      </c>
      <c r="X23" s="245">
        <f t="shared" si="1"/>
        <v>334272.22798091761</v>
      </c>
      <c r="Z23" s="54">
        <f t="shared" si="2"/>
        <v>5.0782914344844325E-2</v>
      </c>
      <c r="AA23" s="54">
        <f t="shared" si="3"/>
        <v>-7.8017691220965239E-3</v>
      </c>
      <c r="AC23" s="69">
        <f t="shared" si="4"/>
        <v>335520.11734580825</v>
      </c>
      <c r="AD23" s="223">
        <f t="shared" si="5"/>
        <v>-783.48706420714734</v>
      </c>
      <c r="AE23" s="223">
        <f t="shared" si="6"/>
        <v>-945.00059580150196</v>
      </c>
      <c r="AF23" s="69">
        <f t="shared" si="7"/>
        <v>333791.62968579959</v>
      </c>
      <c r="AG23" s="69"/>
      <c r="AH23" s="223">
        <f t="shared" si="8"/>
        <v>945.00059580150196</v>
      </c>
      <c r="AI23" s="223"/>
      <c r="AJ23" s="223">
        <f t="shared" si="9"/>
        <v>0</v>
      </c>
      <c r="AK23" s="223">
        <f t="shared" si="10"/>
        <v>303.74427224199371</v>
      </c>
      <c r="AM23" s="48">
        <f t="shared" si="0"/>
        <v>458.67308924533251</v>
      </c>
    </row>
    <row r="24" spans="1:39" x14ac:dyDescent="0.25">
      <c r="A24" s="244">
        <v>21</v>
      </c>
      <c r="B24" s="13" t="s">
        <v>58</v>
      </c>
      <c r="C24" s="14" t="s">
        <v>59</v>
      </c>
      <c r="D24" s="4" t="s">
        <v>64</v>
      </c>
      <c r="E24" s="4" t="s">
        <v>65</v>
      </c>
      <c r="F24" s="245">
        <v>353396.97367806395</v>
      </c>
      <c r="G24" s="245">
        <v>155929.0304516154</v>
      </c>
      <c r="H24" s="245">
        <v>509326.00412967935</v>
      </c>
      <c r="I24" s="245">
        <v>517065.39012524346</v>
      </c>
      <c r="J24" s="75">
        <v>-1.4967905691172789E-2</v>
      </c>
      <c r="K24" s="245"/>
      <c r="L24" s="75">
        <v>4.6064218600991191E-2</v>
      </c>
      <c r="M24" s="54">
        <v>2.2109166456680293E-4</v>
      </c>
      <c r="N24" s="245">
        <v>532906</v>
      </c>
      <c r="O24" s="245">
        <v>328.68894698209925</v>
      </c>
      <c r="P24" s="75">
        <v>-1.4749205260612519E-2</v>
      </c>
      <c r="Q24" s="75">
        <v>4.6296469607149504E-2</v>
      </c>
      <c r="R24" s="245">
        <v>169802.48071403764</v>
      </c>
      <c r="S24" s="245">
        <v>363103.51928596233</v>
      </c>
      <c r="T24" s="245">
        <v>223.95715829733075</v>
      </c>
      <c r="U24" s="75">
        <v>2.7466408404336784E-2</v>
      </c>
      <c r="W24" s="54">
        <v>-7.6E-3</v>
      </c>
      <c r="X24" s="245">
        <f t="shared" si="1"/>
        <v>528738.52193830279</v>
      </c>
      <c r="Z24" s="54">
        <f t="shared" si="2"/>
        <v>4.9023774313981354E-2</v>
      </c>
      <c r="AA24" s="54">
        <f t="shared" si="3"/>
        <v>2.2109166456680293E-4</v>
      </c>
      <c r="AC24" s="69">
        <f t="shared" si="4"/>
        <v>534413.21539857553</v>
      </c>
      <c r="AD24" s="223">
        <f t="shared" si="5"/>
        <v>0.49655558366794139</v>
      </c>
      <c r="AE24" s="223">
        <f t="shared" si="6"/>
        <v>0</v>
      </c>
      <c r="AF24" s="69">
        <f t="shared" si="7"/>
        <v>534413.7119541592</v>
      </c>
      <c r="AG24" s="69"/>
      <c r="AH24" s="223">
        <f t="shared" si="8"/>
        <v>1507.7119541591082</v>
      </c>
      <c r="AI24" s="223"/>
      <c r="AJ24" s="223">
        <f t="shared" si="9"/>
        <v>1507.7119541591082</v>
      </c>
      <c r="AK24" s="223">
        <f t="shared" si="10"/>
        <v>4178.7708529844131</v>
      </c>
      <c r="AM24" s="48">
        <f t="shared" si="0"/>
        <v>0</v>
      </c>
    </row>
    <row r="25" spans="1:39" x14ac:dyDescent="0.25">
      <c r="A25" s="244">
        <v>22</v>
      </c>
      <c r="B25" s="13" t="s">
        <v>58</v>
      </c>
      <c r="C25" s="14" t="s">
        <v>59</v>
      </c>
      <c r="D25" s="4" t="s">
        <v>66</v>
      </c>
      <c r="E25" s="4" t="s">
        <v>67</v>
      </c>
      <c r="F25" s="245">
        <v>264012.42820264836</v>
      </c>
      <c r="G25" s="245">
        <v>127875.16578077592</v>
      </c>
      <c r="H25" s="245">
        <v>391887.59398342425</v>
      </c>
      <c r="I25" s="245">
        <v>408911.44752427546</v>
      </c>
      <c r="J25" s="75">
        <v>-4.1632127552116427E-2</v>
      </c>
      <c r="K25" s="245"/>
      <c r="L25" s="75">
        <v>4.7069404152651151E-2</v>
      </c>
      <c r="M25" s="54">
        <v>6.1495018540792183E-4</v>
      </c>
      <c r="N25" s="245">
        <v>410585.99999999994</v>
      </c>
      <c r="O25" s="245">
        <v>324.18643546037396</v>
      </c>
      <c r="P25" s="75">
        <v>-4.1042415155332579E-2</v>
      </c>
      <c r="Q25" s="75">
        <v>4.7713697253112253E-2</v>
      </c>
      <c r="R25" s="245">
        <v>139441.20390912454</v>
      </c>
      <c r="S25" s="245">
        <v>271144.7960908754</v>
      </c>
      <c r="T25" s="245">
        <v>214.08782797837927</v>
      </c>
      <c r="U25" s="75">
        <v>2.701527324597186E-2</v>
      </c>
      <c r="W25" s="54">
        <v>-7.6E-3</v>
      </c>
      <c r="X25" s="245">
        <f t="shared" si="1"/>
        <v>407214.97485463461</v>
      </c>
      <c r="Z25" s="54">
        <f t="shared" si="2"/>
        <v>5.0028959865641313E-2</v>
      </c>
      <c r="AA25" s="54">
        <f t="shared" si="3"/>
        <v>6.1495018540792183E-4</v>
      </c>
      <c r="AC25" s="69">
        <f t="shared" si="4"/>
        <v>411746.37058974896</v>
      </c>
      <c r="AD25" s="223">
        <f t="shared" si="5"/>
        <v>0.15580519702052698</v>
      </c>
      <c r="AE25" s="223">
        <f t="shared" si="6"/>
        <v>0</v>
      </c>
      <c r="AF25" s="69">
        <f t="shared" si="7"/>
        <v>411746.52639494598</v>
      </c>
      <c r="AG25" s="69"/>
      <c r="AH25" s="223">
        <f t="shared" si="8"/>
        <v>1160.5263949460814</v>
      </c>
      <c r="AI25" s="223"/>
      <c r="AJ25" s="223">
        <f t="shared" si="9"/>
        <v>1160.5263949460814</v>
      </c>
      <c r="AK25" s="223">
        <f t="shared" si="10"/>
        <v>3380.3971475646495</v>
      </c>
      <c r="AM25" s="48">
        <f t="shared" si="0"/>
        <v>0</v>
      </c>
    </row>
    <row r="26" spans="1:39" x14ac:dyDescent="0.25">
      <c r="A26" s="244">
        <v>23</v>
      </c>
      <c r="B26" s="13" t="s">
        <v>58</v>
      </c>
      <c r="C26" s="14" t="s">
        <v>59</v>
      </c>
      <c r="D26" s="4" t="s">
        <v>68</v>
      </c>
      <c r="E26" s="4" t="s">
        <v>69</v>
      </c>
      <c r="F26" s="245">
        <v>212340.75368856272</v>
      </c>
      <c r="G26" s="245">
        <v>117451.84689111999</v>
      </c>
      <c r="H26" s="245">
        <v>329792.60057968274</v>
      </c>
      <c r="I26" s="245">
        <v>362631.50583898759</v>
      </c>
      <c r="J26" s="75">
        <v>-9.0557231598860866E-2</v>
      </c>
      <c r="K26" s="245"/>
      <c r="L26" s="75">
        <v>4.8800163486483195E-2</v>
      </c>
      <c r="M26" s="54">
        <v>1.3376252821102018E-3</v>
      </c>
      <c r="N26" s="245">
        <v>346349</v>
      </c>
      <c r="O26" s="245">
        <v>316.53984348386632</v>
      </c>
      <c r="P26" s="75">
        <v>-8.9341263759146305E-2</v>
      </c>
      <c r="Q26" s="75">
        <v>5.0202458730777444E-2</v>
      </c>
      <c r="R26" s="245">
        <v>128379.35025281728</v>
      </c>
      <c r="S26" s="245">
        <v>217969.64974718273</v>
      </c>
      <c r="T26" s="245">
        <v>199.20969546672973</v>
      </c>
      <c r="U26" s="75">
        <v>2.6508788166382136E-2</v>
      </c>
      <c r="W26" s="54">
        <v>-7.6E-3</v>
      </c>
      <c r="X26" s="245">
        <f t="shared" si="1"/>
        <v>343257.79575072869</v>
      </c>
      <c r="Z26" s="54">
        <f t="shared" si="2"/>
        <v>5.1759719199473357E-2</v>
      </c>
      <c r="AA26" s="54">
        <f t="shared" si="3"/>
        <v>1.3376252821102018E-3</v>
      </c>
      <c r="AC26" s="69">
        <f t="shared" si="4"/>
        <v>347326.54512678675</v>
      </c>
      <c r="AD26" s="223">
        <f t="shared" si="5"/>
        <v>-0.19997642718954012</v>
      </c>
      <c r="AE26" s="223">
        <f t="shared" si="6"/>
        <v>0</v>
      </c>
      <c r="AF26" s="69">
        <f t="shared" si="7"/>
        <v>347326.34515035956</v>
      </c>
      <c r="AG26" s="69"/>
      <c r="AH26" s="223">
        <f t="shared" si="8"/>
        <v>977.3451503595403</v>
      </c>
      <c r="AI26" s="223"/>
      <c r="AJ26" s="223">
        <f t="shared" si="9"/>
        <v>977.3451503595403</v>
      </c>
      <c r="AK26" s="223">
        <f t="shared" si="10"/>
        <v>3100.1277016816193</v>
      </c>
      <c r="AM26" s="48">
        <f t="shared" si="0"/>
        <v>0</v>
      </c>
    </row>
    <row r="27" spans="1:39" x14ac:dyDescent="0.25">
      <c r="A27" s="246">
        <v>24</v>
      </c>
      <c r="B27" s="15" t="s">
        <v>58</v>
      </c>
      <c r="C27" s="16" t="s">
        <v>59</v>
      </c>
      <c r="D27" s="17" t="s">
        <v>70</v>
      </c>
      <c r="E27" s="17" t="s">
        <v>71</v>
      </c>
      <c r="F27" s="247">
        <v>214825.0295943963</v>
      </c>
      <c r="G27" s="247">
        <v>111070.02297750764</v>
      </c>
      <c r="H27" s="247">
        <v>325895.05257190391</v>
      </c>
      <c r="I27" s="247">
        <v>346758.62199155206</v>
      </c>
      <c r="J27" s="78">
        <v>-6.0167413573804174E-2</v>
      </c>
      <c r="K27" s="247"/>
      <c r="L27" s="78">
        <v>4.7688292443842872E-2</v>
      </c>
      <c r="M27" s="248">
        <v>8.8873579872679573E-4</v>
      </c>
      <c r="N27" s="247">
        <v>341740</v>
      </c>
      <c r="O27" s="247">
        <v>322.84214798320403</v>
      </c>
      <c r="P27" s="78">
        <v>-5.9331814685779083E-2</v>
      </c>
      <c r="Q27" s="78">
        <v>4.8619785121162939E-2</v>
      </c>
      <c r="R27" s="247">
        <v>121220.81557916554</v>
      </c>
      <c r="S27" s="247">
        <v>220519.18442083447</v>
      </c>
      <c r="T27" s="247">
        <v>208.32471226642042</v>
      </c>
      <c r="U27" s="78">
        <v>2.6506012065675488E-2</v>
      </c>
      <c r="W27" s="248">
        <v>-7.6E-3</v>
      </c>
      <c r="X27" s="247">
        <f t="shared" si="1"/>
        <v>338841.51426825271</v>
      </c>
      <c r="Z27" s="248">
        <f t="shared" si="2"/>
        <v>5.0647848156833035E-2</v>
      </c>
      <c r="AA27" s="248">
        <f t="shared" si="3"/>
        <v>8.8873579872679573E-4</v>
      </c>
      <c r="AC27" s="69">
        <f t="shared" si="4"/>
        <v>342705.23967871157</v>
      </c>
      <c r="AD27" s="223">
        <f t="shared" si="5"/>
        <v>0.12207569752354175</v>
      </c>
      <c r="AE27" s="223">
        <f t="shared" si="6"/>
        <v>0</v>
      </c>
      <c r="AF27" s="69">
        <f t="shared" si="7"/>
        <v>342705.3617544091</v>
      </c>
      <c r="AG27" s="69"/>
      <c r="AH27" s="223">
        <f t="shared" si="8"/>
        <v>965.36175440906914</v>
      </c>
      <c r="AI27" s="223"/>
      <c r="AJ27" s="223">
        <f t="shared" si="9"/>
        <v>965.36175440906914</v>
      </c>
      <c r="AK27" s="223">
        <f t="shared" si="10"/>
        <v>2906.5510804758783</v>
      </c>
      <c r="AM27" s="48">
        <f t="shared" si="0"/>
        <v>0</v>
      </c>
    </row>
    <row r="28" spans="1:39" x14ac:dyDescent="0.25">
      <c r="A28" s="244">
        <v>25</v>
      </c>
      <c r="B28" s="10" t="s">
        <v>72</v>
      </c>
      <c r="C28" s="4" t="s">
        <v>73</v>
      </c>
      <c r="D28" s="4" t="s">
        <v>74</v>
      </c>
      <c r="E28" s="4" t="s">
        <v>75</v>
      </c>
      <c r="F28" s="245">
        <v>519117.57979195454</v>
      </c>
      <c r="G28" s="245">
        <v>175431.34680375853</v>
      </c>
      <c r="H28" s="245">
        <v>694548.92659571301</v>
      </c>
      <c r="I28" s="245">
        <v>566567.54444987886</v>
      </c>
      <c r="J28" s="75">
        <v>0.22588901076234524</v>
      </c>
      <c r="K28" s="245"/>
      <c r="L28" s="75">
        <v>4.9899049787031302E-2</v>
      </c>
      <c r="M28" s="54">
        <v>-1.2736507926734629E-2</v>
      </c>
      <c r="N28" s="245">
        <v>717717.96816950373</v>
      </c>
      <c r="O28" s="245">
        <v>408.38884092314009</v>
      </c>
      <c r="P28" s="75">
        <v>0.20657572569697602</v>
      </c>
      <c r="Q28" s="75">
        <v>3.3358400951466916E-2</v>
      </c>
      <c r="R28" s="245">
        <v>189256.27194129393</v>
      </c>
      <c r="S28" s="245">
        <v>528461.69622820977</v>
      </c>
      <c r="T28" s="245">
        <v>299.78075254982178</v>
      </c>
      <c r="U28" s="75">
        <v>1.8000000000000016E-2</v>
      </c>
      <c r="W28" s="54">
        <v>-1.1832180180451207E-2</v>
      </c>
      <c r="X28" s="245">
        <f t="shared" si="1"/>
        <v>720578.15822932241</v>
      </c>
      <c r="Z28" s="54">
        <f t="shared" si="2"/>
        <v>5.2858605500021465E-2</v>
      </c>
      <c r="AA28" s="54">
        <f t="shared" si="3"/>
        <v>-1.2736507926734629E-2</v>
      </c>
      <c r="AC28" s="69">
        <f t="shared" si="4"/>
        <v>721948.0924126585</v>
      </c>
      <c r="AD28" s="223">
        <f t="shared" si="5"/>
        <v>-2200.7486078883521</v>
      </c>
      <c r="AE28" s="223">
        <f t="shared" si="6"/>
        <v>-2029.3756352663345</v>
      </c>
      <c r="AF28" s="69">
        <f t="shared" si="7"/>
        <v>717717.96816950385</v>
      </c>
      <c r="AG28" s="69"/>
      <c r="AH28" s="223">
        <f t="shared" si="8"/>
        <v>2029.3756352663345</v>
      </c>
      <c r="AI28" s="223"/>
      <c r="AJ28" s="223">
        <f t="shared" si="9"/>
        <v>0</v>
      </c>
      <c r="AK28" s="223">
        <f t="shared" si="10"/>
        <v>-661.3003484754654</v>
      </c>
      <c r="AM28" s="48">
        <f t="shared" si="0"/>
        <v>1056.9233924564196</v>
      </c>
    </row>
    <row r="29" spans="1:39" x14ac:dyDescent="0.25">
      <c r="A29" s="244">
        <v>26</v>
      </c>
      <c r="B29" s="13" t="s">
        <v>72</v>
      </c>
      <c r="C29" s="14" t="s">
        <v>73</v>
      </c>
      <c r="D29" s="4" t="s">
        <v>76</v>
      </c>
      <c r="E29" s="4" t="s">
        <v>77</v>
      </c>
      <c r="F29" s="245">
        <v>587091.44454259949</v>
      </c>
      <c r="G29" s="245">
        <v>190385.26054006696</v>
      </c>
      <c r="H29" s="245">
        <v>777476.70508266648</v>
      </c>
      <c r="I29" s="245">
        <v>762851.98649754655</v>
      </c>
      <c r="J29" s="75">
        <v>1.917110900145369E-2</v>
      </c>
      <c r="K29" s="245"/>
      <c r="L29" s="75">
        <v>5.0852225633180703E-2</v>
      </c>
      <c r="M29" s="54">
        <v>-7.7999999999999996E-3</v>
      </c>
      <c r="N29" s="245">
        <v>804261.91722753015</v>
      </c>
      <c r="O29" s="245">
        <v>339.84956293065238</v>
      </c>
      <c r="P29" s="75">
        <v>3.2647996828214509E-3</v>
      </c>
      <c r="Q29" s="75">
        <v>3.4451465837829431E-2</v>
      </c>
      <c r="R29" s="245">
        <v>206602.82668316385</v>
      </c>
      <c r="S29" s="245">
        <v>597659.09054436628</v>
      </c>
      <c r="T29" s="245">
        <v>250.56027423151346</v>
      </c>
      <c r="U29" s="75">
        <v>1.8000000000000016E-2</v>
      </c>
      <c r="W29" s="54">
        <v>-8.6999999999999994E-3</v>
      </c>
      <c r="X29" s="245">
        <f t="shared" si="1"/>
        <v>809905.11171861971</v>
      </c>
      <c r="Z29" s="54">
        <f t="shared" si="2"/>
        <v>5.3811781346170866E-2</v>
      </c>
      <c r="AA29" s="54">
        <f t="shared" si="3"/>
        <v>-7.7999999999999996E-3</v>
      </c>
      <c r="AC29" s="69">
        <f t="shared" si="4"/>
        <v>812923.46146831743</v>
      </c>
      <c r="AD29" s="223">
        <f t="shared" si="5"/>
        <v>-6378.5063044122653</v>
      </c>
      <c r="AE29" s="223">
        <f t="shared" si="6"/>
        <v>-2283.0379363750685</v>
      </c>
      <c r="AF29" s="69">
        <f t="shared" si="7"/>
        <v>804261.91722753015</v>
      </c>
      <c r="AG29" s="69"/>
      <c r="AH29" s="223">
        <f t="shared" si="8"/>
        <v>2283.0379363750685</v>
      </c>
      <c r="AI29" s="223"/>
      <c r="AJ29" s="223">
        <f t="shared" si="9"/>
        <v>0</v>
      </c>
      <c r="AK29" s="223">
        <f t="shared" si="10"/>
        <v>737.38270038448456</v>
      </c>
      <c r="AM29" s="48">
        <f t="shared" si="0"/>
        <v>1195.3181810887327</v>
      </c>
    </row>
    <row r="30" spans="1:39" x14ac:dyDescent="0.25">
      <c r="A30" s="244">
        <v>27</v>
      </c>
      <c r="B30" s="13" t="s">
        <v>72</v>
      </c>
      <c r="C30" s="14" t="s">
        <v>73</v>
      </c>
      <c r="D30" s="4" t="s">
        <v>78</v>
      </c>
      <c r="E30" s="4" t="s">
        <v>79</v>
      </c>
      <c r="F30" s="245">
        <v>618903.41749570286</v>
      </c>
      <c r="G30" s="245">
        <v>222666.03533366945</v>
      </c>
      <c r="H30" s="245">
        <v>841569.45282937237</v>
      </c>
      <c r="I30" s="245">
        <v>855946.08207718923</v>
      </c>
      <c r="J30" s="75">
        <v>-1.6796185587914625E-2</v>
      </c>
      <c r="K30" s="245"/>
      <c r="L30" s="75">
        <v>4.750155113525234E-2</v>
      </c>
      <c r="M30" s="54">
        <v>2.4809727604009298E-4</v>
      </c>
      <c r="N30" s="245">
        <v>881764</v>
      </c>
      <c r="O30" s="245">
        <v>317.82772856727416</v>
      </c>
      <c r="P30" s="75">
        <v>-1.6552273486041713E-2</v>
      </c>
      <c r="Q30" s="75">
        <v>4.7761414147688974E-2</v>
      </c>
      <c r="R30" s="245">
        <v>242816.76531323575</v>
      </c>
      <c r="S30" s="245">
        <v>638947.23468676419</v>
      </c>
      <c r="T30" s="245">
        <v>230.30555599325365</v>
      </c>
      <c r="U30" s="75">
        <v>3.2386017954409763E-2</v>
      </c>
      <c r="W30" s="54">
        <v>-7.6E-3</v>
      </c>
      <c r="X30" s="245">
        <f t="shared" si="1"/>
        <v>874845.56289188936</v>
      </c>
      <c r="Z30" s="54">
        <f t="shared" si="2"/>
        <v>5.0461106848242503E-2</v>
      </c>
      <c r="AA30" s="54">
        <f t="shared" si="3"/>
        <v>2.4809727604009298E-4</v>
      </c>
      <c r="AC30" s="69">
        <f t="shared" si="4"/>
        <v>884255.30582710111</v>
      </c>
      <c r="AD30" s="223">
        <f t="shared" si="5"/>
        <v>-1.621624210383743E-2</v>
      </c>
      <c r="AE30" s="223">
        <f t="shared" si="6"/>
        <v>0</v>
      </c>
      <c r="AF30" s="69">
        <f t="shared" si="7"/>
        <v>884255.28961085901</v>
      </c>
      <c r="AG30" s="69"/>
      <c r="AH30" s="223">
        <f t="shared" si="8"/>
        <v>2491.2896108589885</v>
      </c>
      <c r="AI30" s="223"/>
      <c r="AJ30" s="223">
        <f t="shared" si="9"/>
        <v>2491.2896108589885</v>
      </c>
      <c r="AK30" s="223">
        <f t="shared" si="10"/>
        <v>6938.0003579956883</v>
      </c>
      <c r="AM30" s="48">
        <f t="shared" si="0"/>
        <v>0</v>
      </c>
    </row>
    <row r="31" spans="1:39" x14ac:dyDescent="0.25">
      <c r="A31" s="244">
        <v>28</v>
      </c>
      <c r="B31" s="13" t="s">
        <v>72</v>
      </c>
      <c r="C31" s="14" t="s">
        <v>73</v>
      </c>
      <c r="D31" s="4" t="s">
        <v>80</v>
      </c>
      <c r="E31" s="4" t="s">
        <v>81</v>
      </c>
      <c r="F31" s="245">
        <v>662181.49835869868</v>
      </c>
      <c r="G31" s="245">
        <v>200634.77557067154</v>
      </c>
      <c r="H31" s="245">
        <v>862816.27392937022</v>
      </c>
      <c r="I31" s="245">
        <v>689332.83993470273</v>
      </c>
      <c r="J31" s="75">
        <v>0.25166860469189412</v>
      </c>
      <c r="K31" s="245"/>
      <c r="L31" s="75">
        <v>4.9596879983528908E-2</v>
      </c>
      <c r="M31" s="54">
        <v>-1.3848065873945702E-2</v>
      </c>
      <c r="N31" s="245">
        <v>890240.54433287994</v>
      </c>
      <c r="O31" s="245">
        <v>430.7322400976542</v>
      </c>
      <c r="P31" s="75">
        <v>0.23042704836034988</v>
      </c>
      <c r="Q31" s="75">
        <v>3.1784600305017952E-2</v>
      </c>
      <c r="R31" s="245">
        <v>216139.77900372478</v>
      </c>
      <c r="S31" s="245">
        <v>674100.76532915526</v>
      </c>
      <c r="T31" s="245">
        <v>325.12298358217981</v>
      </c>
      <c r="U31" s="75">
        <v>1.8000000000000016E-2</v>
      </c>
      <c r="W31" s="54">
        <v>-1.2978007348500567E-2</v>
      </c>
      <c r="X31" s="245">
        <f t="shared" si="1"/>
        <v>893856.26536583249</v>
      </c>
      <c r="Z31" s="54">
        <f t="shared" si="2"/>
        <v>5.255643569651907E-2</v>
      </c>
      <c r="AA31" s="54">
        <f t="shared" si="3"/>
        <v>-1.3848065873945702E-2</v>
      </c>
      <c r="AC31" s="69">
        <f>H31*(1+Z31)*(1+AA31)</f>
        <v>895586.52336544439</v>
      </c>
      <c r="AD31" s="223">
        <f t="shared" si="5"/>
        <v>-2827.7879676365992</v>
      </c>
      <c r="AE31" s="223">
        <f t="shared" si="6"/>
        <v>-2518.1910649277734</v>
      </c>
      <c r="AF31" s="69">
        <f t="shared" si="7"/>
        <v>890240.54433288006</v>
      </c>
      <c r="AG31" s="69"/>
      <c r="AH31" s="223">
        <f t="shared" si="8"/>
        <v>2518.1910649277734</v>
      </c>
      <c r="AI31" s="223"/>
      <c r="AJ31" s="223">
        <f t="shared" si="9"/>
        <v>0</v>
      </c>
      <c r="AK31" s="223">
        <f t="shared" si="10"/>
        <v>-790.15480572821275</v>
      </c>
      <c r="AM31" s="48">
        <f t="shared" si="0"/>
        <v>1348.2015306583105</v>
      </c>
    </row>
    <row r="32" spans="1:39" x14ac:dyDescent="0.25">
      <c r="A32" s="246">
        <v>29</v>
      </c>
      <c r="B32" s="15" t="s">
        <v>72</v>
      </c>
      <c r="C32" s="16" t="s">
        <v>73</v>
      </c>
      <c r="D32" s="17" t="s">
        <v>82</v>
      </c>
      <c r="E32" s="17" t="s">
        <v>83</v>
      </c>
      <c r="F32" s="247">
        <v>430252.11224097438</v>
      </c>
      <c r="G32" s="247">
        <v>134999.1129481775</v>
      </c>
      <c r="H32" s="247">
        <v>565251.22518915194</v>
      </c>
      <c r="I32" s="247">
        <v>534689.44240284723</v>
      </c>
      <c r="J32" s="78">
        <v>5.7158006802907391E-2</v>
      </c>
      <c r="K32" s="247"/>
      <c r="L32" s="78">
        <v>4.8149003676862145E-2</v>
      </c>
      <c r="M32" s="248">
        <v>-7.7999999999999996E-3</v>
      </c>
      <c r="N32" s="247">
        <v>584118.53395401046</v>
      </c>
      <c r="O32" s="247">
        <v>337.91699690213932</v>
      </c>
      <c r="P32" s="78">
        <v>4.2260674590118619E-2</v>
      </c>
      <c r="Q32" s="78">
        <v>3.3378625156530894E-2</v>
      </c>
      <c r="R32" s="247">
        <v>146121.88369269852</v>
      </c>
      <c r="S32" s="247">
        <v>437996.65026131191</v>
      </c>
      <c r="T32" s="247">
        <v>251.77769808674233</v>
      </c>
      <c r="U32" s="78">
        <v>1.8000000000000016E-2</v>
      </c>
      <c r="W32" s="248">
        <v>-8.6999999999999994E-3</v>
      </c>
      <c r="X32" s="247">
        <f t="shared" si="1"/>
        <v>587313.04118510569</v>
      </c>
      <c r="Z32" s="248">
        <f t="shared" si="2"/>
        <v>5.1108559389852308E-2</v>
      </c>
      <c r="AA32" s="248">
        <f t="shared" si="3"/>
        <v>-7.7999999999999996E-3</v>
      </c>
      <c r="AC32" s="69">
        <f t="shared" si="4"/>
        <v>589506.10587410349</v>
      </c>
      <c r="AD32" s="223">
        <f t="shared" si="5"/>
        <v>-3727.7279887534678</v>
      </c>
      <c r="AE32" s="223">
        <f t="shared" si="6"/>
        <v>-1659.8439313395343</v>
      </c>
      <c r="AF32" s="69">
        <f t="shared" si="7"/>
        <v>584118.53395401046</v>
      </c>
      <c r="AG32" s="69"/>
      <c r="AH32" s="223">
        <f t="shared" si="8"/>
        <v>1659.8439313395343</v>
      </c>
      <c r="AI32" s="223"/>
      <c r="AJ32" s="223">
        <f t="shared" si="9"/>
        <v>0</v>
      </c>
      <c r="AK32" s="223">
        <f t="shared" si="10"/>
        <v>534.72636090172648</v>
      </c>
      <c r="AM32" s="48">
        <f t="shared" si="0"/>
        <v>875.99330052262383</v>
      </c>
    </row>
    <row r="33" spans="1:39" x14ac:dyDescent="0.25">
      <c r="A33" s="244">
        <v>30</v>
      </c>
      <c r="B33" s="10" t="s">
        <v>84</v>
      </c>
      <c r="C33" s="4" t="s">
        <v>85</v>
      </c>
      <c r="D33" s="4" t="s">
        <v>86</v>
      </c>
      <c r="E33" s="4" t="s">
        <v>87</v>
      </c>
      <c r="F33" s="245">
        <v>408729.9822829123</v>
      </c>
      <c r="G33" s="245">
        <v>168368.60691046776</v>
      </c>
      <c r="H33" s="245">
        <v>577098.58919338009</v>
      </c>
      <c r="I33" s="245">
        <v>554768.73001401825</v>
      </c>
      <c r="J33" s="75">
        <v>4.0250753099940528E-2</v>
      </c>
      <c r="K33" s="245"/>
      <c r="L33" s="75">
        <v>4.6417551145683467E-2</v>
      </c>
      <c r="M33" s="54">
        <v>-7.7999999999999996E-3</v>
      </c>
      <c r="N33" s="245">
        <v>598026.96160672291</v>
      </c>
      <c r="O33" s="245">
        <v>306.60382500619693</v>
      </c>
      <c r="P33" s="75">
        <v>3.0157847546225192E-2</v>
      </c>
      <c r="Q33" s="75">
        <v>3.6264812989050599E-2</v>
      </c>
      <c r="R33" s="245">
        <v>181939.8396427182</v>
      </c>
      <c r="S33" s="245">
        <v>416087.12196400471</v>
      </c>
      <c r="T33" s="245">
        <v>212.91557594093192</v>
      </c>
      <c r="U33" s="75">
        <v>1.8000000000000016E-2</v>
      </c>
      <c r="W33" s="54">
        <v>-8.6999999999999994E-3</v>
      </c>
      <c r="X33" s="245">
        <f t="shared" si="1"/>
        <v>598632.28346884728</v>
      </c>
      <c r="Z33" s="54">
        <f t="shared" si="2"/>
        <v>4.9377106858673629E-2</v>
      </c>
      <c r="AA33" s="54">
        <f t="shared" si="3"/>
        <v>-7.7999999999999996E-3</v>
      </c>
      <c r="AC33" s="69">
        <f t="shared" si="4"/>
        <v>600870.41432635172</v>
      </c>
      <c r="AD33" s="223">
        <f t="shared" si="5"/>
        <v>-1148.8193453503773</v>
      </c>
      <c r="AE33" s="223">
        <f t="shared" si="6"/>
        <v>-1694.6333742783054</v>
      </c>
      <c r="AF33" s="69">
        <f t="shared" si="7"/>
        <v>598026.96160672302</v>
      </c>
      <c r="AG33" s="69"/>
      <c r="AH33" s="223">
        <f t="shared" si="8"/>
        <v>1694.6333742783054</v>
      </c>
      <c r="AI33" s="223"/>
      <c r="AJ33" s="223">
        <f t="shared" si="9"/>
        <v>0</v>
      </c>
      <c r="AK33" s="223">
        <f t="shared" si="10"/>
        <v>545.03464310997424</v>
      </c>
      <c r="AM33" s="48">
        <f t="shared" si="0"/>
        <v>832.17424392800945</v>
      </c>
    </row>
    <row r="34" spans="1:39" x14ac:dyDescent="0.25">
      <c r="A34" s="244">
        <v>31</v>
      </c>
      <c r="B34" s="13" t="s">
        <v>84</v>
      </c>
      <c r="C34" s="14" t="s">
        <v>85</v>
      </c>
      <c r="D34" s="4" t="s">
        <v>88</v>
      </c>
      <c r="E34" s="4" t="s">
        <v>89</v>
      </c>
      <c r="F34" s="245">
        <v>149682.1038893176</v>
      </c>
      <c r="G34" s="245">
        <v>73480.373885464505</v>
      </c>
      <c r="H34" s="245">
        <v>223162.47777478211</v>
      </c>
      <c r="I34" s="245">
        <v>242322.31602513581</v>
      </c>
      <c r="J34" s="75">
        <v>-7.9067576460297051E-2</v>
      </c>
      <c r="K34" s="245"/>
      <c r="L34" s="75">
        <v>4.5415789849324817E-2</v>
      </c>
      <c r="M34" s="54">
        <v>1.1679110260014369E-3</v>
      </c>
      <c r="N34" s="245">
        <v>233570</v>
      </c>
      <c r="O34" s="245">
        <v>287.03757087792013</v>
      </c>
      <c r="P34" s="75">
        <v>-7.7992201890798918E-2</v>
      </c>
      <c r="Q34" s="75">
        <v>4.6636523886068648E-2</v>
      </c>
      <c r="R34" s="245">
        <v>80044.138680234042</v>
      </c>
      <c r="S34" s="245">
        <v>153525.86131976597</v>
      </c>
      <c r="T34" s="245">
        <v>188.67016440538626</v>
      </c>
      <c r="U34" s="75">
        <v>2.5679472231968647E-2</v>
      </c>
      <c r="W34" s="54">
        <v>-7.6E-3</v>
      </c>
      <c r="X34" s="245">
        <f t="shared" si="1"/>
        <v>231524.51637510202</v>
      </c>
      <c r="Z34" s="54">
        <f t="shared" si="2"/>
        <v>4.8375345562314979E-2</v>
      </c>
      <c r="AA34" s="54">
        <f t="shared" si="3"/>
        <v>1.1679110260014369E-3</v>
      </c>
      <c r="AC34" s="69">
        <f t="shared" si="4"/>
        <v>234231.28192792967</v>
      </c>
      <c r="AD34" s="223">
        <f t="shared" si="5"/>
        <v>-4.8781304067233577E-2</v>
      </c>
      <c r="AE34" s="223">
        <f t="shared" si="6"/>
        <v>0</v>
      </c>
      <c r="AF34" s="69">
        <f t="shared" si="7"/>
        <v>234231.2331466256</v>
      </c>
      <c r="AG34" s="69"/>
      <c r="AH34" s="223">
        <f t="shared" si="8"/>
        <v>661.23314662554594</v>
      </c>
      <c r="AI34" s="223"/>
      <c r="AJ34" s="223">
        <f t="shared" si="9"/>
        <v>661.23314662554594</v>
      </c>
      <c r="AK34" s="223">
        <f t="shared" si="10"/>
        <v>2051.3232763779702</v>
      </c>
      <c r="AM34" s="48">
        <f t="shared" si="0"/>
        <v>0</v>
      </c>
    </row>
    <row r="35" spans="1:39" x14ac:dyDescent="0.25">
      <c r="A35" s="244">
        <v>32</v>
      </c>
      <c r="B35" s="13" t="s">
        <v>84</v>
      </c>
      <c r="C35" s="14" t="s">
        <v>85</v>
      </c>
      <c r="D35" s="4" t="s">
        <v>90</v>
      </c>
      <c r="E35" s="4" t="s">
        <v>91</v>
      </c>
      <c r="F35" s="245">
        <v>423725.55508800212</v>
      </c>
      <c r="G35" s="245">
        <v>196268.45116821025</v>
      </c>
      <c r="H35" s="245">
        <v>619994.00625621236</v>
      </c>
      <c r="I35" s="245">
        <v>592484.46841431514</v>
      </c>
      <c r="J35" s="75">
        <v>4.6430816854190038E-2</v>
      </c>
      <c r="K35" s="245"/>
      <c r="L35" s="75">
        <v>4.6514811528313382E-2</v>
      </c>
      <c r="M35" s="54">
        <v>-7.7999999999999996E-3</v>
      </c>
      <c r="N35" s="245">
        <v>643460.77690428821</v>
      </c>
      <c r="O35" s="245">
        <v>332.82027545122816</v>
      </c>
      <c r="P35" s="75">
        <v>3.776669676141875E-2</v>
      </c>
      <c r="Q35" s="75">
        <v>3.7849995985893781E-2</v>
      </c>
      <c r="R35" s="245">
        <v>212108.16182470202</v>
      </c>
      <c r="S35" s="245">
        <v>431352.61507958616</v>
      </c>
      <c r="T35" s="245">
        <v>223.00270308027604</v>
      </c>
      <c r="U35" s="75">
        <v>1.8000000000000016E-2</v>
      </c>
      <c r="W35" s="54">
        <v>-8.6999999999999994E-3</v>
      </c>
      <c r="X35" s="245">
        <f t="shared" si="1"/>
        <v>643188.06428363267</v>
      </c>
      <c r="Z35" s="54">
        <f t="shared" si="2"/>
        <v>4.9474367241303545E-2</v>
      </c>
      <c r="AA35" s="54">
        <f t="shared" si="3"/>
        <v>-7.7999999999999996E-3</v>
      </c>
      <c r="AC35" s="69">
        <f t="shared" si="4"/>
        <v>645592.60843334789</v>
      </c>
      <c r="AD35" s="223">
        <f t="shared" si="5"/>
        <v>-311.2369988898281</v>
      </c>
      <c r="AE35" s="223">
        <f t="shared" si="6"/>
        <v>-1820.5945301699969</v>
      </c>
      <c r="AF35" s="69">
        <f t="shared" si="7"/>
        <v>643460.7769042881</v>
      </c>
      <c r="AG35" s="69"/>
      <c r="AH35" s="223">
        <f t="shared" si="8"/>
        <v>1820.5945301699969</v>
      </c>
      <c r="AI35" s="223"/>
      <c r="AJ35" s="223">
        <f t="shared" si="9"/>
        <v>0</v>
      </c>
      <c r="AK35" s="223">
        <f t="shared" si="10"/>
        <v>585.60103566822511</v>
      </c>
      <c r="AM35" s="48">
        <f t="shared" si="0"/>
        <v>862.70523015917229</v>
      </c>
    </row>
    <row r="36" spans="1:39" x14ac:dyDescent="0.25">
      <c r="A36" s="244">
        <v>33</v>
      </c>
      <c r="B36" s="13" t="s">
        <v>84</v>
      </c>
      <c r="C36" s="14" t="s">
        <v>85</v>
      </c>
      <c r="D36" s="4" t="s">
        <v>92</v>
      </c>
      <c r="E36" s="4" t="s">
        <v>93</v>
      </c>
      <c r="F36" s="245">
        <v>423289.57047475222</v>
      </c>
      <c r="G36" s="245">
        <v>190656.00150667373</v>
      </c>
      <c r="H36" s="245">
        <v>613945.57198142598</v>
      </c>
      <c r="I36" s="245">
        <v>633600.87376469444</v>
      </c>
      <c r="J36" s="75">
        <v>-3.1021582509003887E-2</v>
      </c>
      <c r="K36" s="245"/>
      <c r="L36" s="75">
        <v>4.8691780028701004E-2</v>
      </c>
      <c r="M36" s="54">
        <v>4.5822130737081411E-4</v>
      </c>
      <c r="N36" s="245">
        <v>644135</v>
      </c>
      <c r="O36" s="245">
        <v>323.6437922153612</v>
      </c>
      <c r="P36" s="75">
        <v>-3.0577118099906153E-2</v>
      </c>
      <c r="Q36" s="75">
        <v>4.9172808464342799E-2</v>
      </c>
      <c r="R36" s="245">
        <v>208189.96843086308</v>
      </c>
      <c r="S36" s="245">
        <v>435945.03156913689</v>
      </c>
      <c r="T36" s="245">
        <v>219.03933680747176</v>
      </c>
      <c r="U36" s="75">
        <v>2.9897880734908178E-2</v>
      </c>
      <c r="W36" s="54">
        <v>-7.6E-3</v>
      </c>
      <c r="X36" s="245">
        <f t="shared" si="1"/>
        <v>638946.49319405376</v>
      </c>
      <c r="Z36" s="54">
        <f t="shared" si="2"/>
        <v>5.1651335741691166E-2</v>
      </c>
      <c r="AA36" s="54">
        <f t="shared" si="3"/>
        <v>4.5822130737081411E-4</v>
      </c>
      <c r="AC36" s="69">
        <f t="shared" si="4"/>
        <v>645952.53449537361</v>
      </c>
      <c r="AD36" s="223">
        <f t="shared" si="5"/>
        <v>0.30422057118266821</v>
      </c>
      <c r="AE36" s="223">
        <f t="shared" si="6"/>
        <v>0</v>
      </c>
      <c r="AF36" s="69">
        <f t="shared" si="7"/>
        <v>645952.83871594479</v>
      </c>
      <c r="AG36" s="69"/>
      <c r="AH36" s="223">
        <f t="shared" si="8"/>
        <v>1817.8387159447509</v>
      </c>
      <c r="AI36" s="223"/>
      <c r="AJ36" s="223">
        <f t="shared" si="9"/>
        <v>1817.8387159447509</v>
      </c>
      <c r="AK36" s="223">
        <f t="shared" si="10"/>
        <v>5202.8444228473172</v>
      </c>
      <c r="AM36" s="48">
        <f t="shared" si="0"/>
        <v>0</v>
      </c>
    </row>
    <row r="37" spans="1:39" x14ac:dyDescent="0.25">
      <c r="A37" s="244">
        <v>34</v>
      </c>
      <c r="B37" s="13" t="s">
        <v>84</v>
      </c>
      <c r="C37" s="14" t="s">
        <v>85</v>
      </c>
      <c r="D37" s="4" t="s">
        <v>94</v>
      </c>
      <c r="E37" s="4" t="s">
        <v>95</v>
      </c>
      <c r="F37" s="245">
        <v>248343.14258779713</v>
      </c>
      <c r="G37" s="245">
        <v>104043.19078370059</v>
      </c>
      <c r="H37" s="245">
        <v>352386.33337149769</v>
      </c>
      <c r="I37" s="245">
        <v>353623.63679092546</v>
      </c>
      <c r="J37" s="75">
        <v>-3.4989273642906937E-3</v>
      </c>
      <c r="K37" s="245"/>
      <c r="L37" s="75">
        <v>4.4828939471693863E-2</v>
      </c>
      <c r="M37" s="54">
        <v>5.1682826651267564E-5</v>
      </c>
      <c r="N37" s="245">
        <v>368202</v>
      </c>
      <c r="O37" s="245">
        <v>326.28155212101467</v>
      </c>
      <c r="P37" s="75">
        <v>-3.4486913310440848E-3</v>
      </c>
      <c r="Q37" s="75">
        <v>4.4881611829789447E-2</v>
      </c>
      <c r="R37" s="245">
        <v>113146.99943317592</v>
      </c>
      <c r="S37" s="245">
        <v>255055.00056682405</v>
      </c>
      <c r="T37" s="245">
        <v>226.0165383707031</v>
      </c>
      <c r="U37" s="75">
        <v>2.7026548464707645E-2</v>
      </c>
      <c r="W37" s="54">
        <v>-7.6E-3</v>
      </c>
      <c r="X37" s="245">
        <f t="shared" si="1"/>
        <v>365385.24484460615</v>
      </c>
      <c r="Z37" s="54">
        <f t="shared" si="2"/>
        <v>4.7788495184684025E-2</v>
      </c>
      <c r="AA37" s="54">
        <f t="shared" si="3"/>
        <v>5.1682826651267564E-5</v>
      </c>
      <c r="AC37" s="69">
        <f t="shared" si="4"/>
        <v>369245.42862820363</v>
      </c>
      <c r="AD37" s="223">
        <f t="shared" si="5"/>
        <v>-0.46774171339347959</v>
      </c>
      <c r="AE37" s="223">
        <f t="shared" si="6"/>
        <v>0</v>
      </c>
      <c r="AF37" s="69">
        <f t="shared" si="7"/>
        <v>369244.96088649024</v>
      </c>
      <c r="AG37" s="69"/>
      <c r="AH37" s="223">
        <f t="shared" si="8"/>
        <v>1042.9608864902484</v>
      </c>
      <c r="AI37" s="223"/>
      <c r="AJ37" s="223">
        <f t="shared" si="9"/>
        <v>1042.9608864902484</v>
      </c>
      <c r="AK37" s="223">
        <f t="shared" si="10"/>
        <v>2825.2028905826637</v>
      </c>
      <c r="AM37" s="48">
        <f t="shared" si="0"/>
        <v>0</v>
      </c>
    </row>
    <row r="38" spans="1:39" x14ac:dyDescent="0.25">
      <c r="A38" s="246">
        <v>35</v>
      </c>
      <c r="B38" s="15" t="s">
        <v>84</v>
      </c>
      <c r="C38" s="16" t="s">
        <v>85</v>
      </c>
      <c r="D38" s="17" t="s">
        <v>96</v>
      </c>
      <c r="E38" s="17" t="s">
        <v>97</v>
      </c>
      <c r="F38" s="247">
        <v>390439.27085392177</v>
      </c>
      <c r="G38" s="247">
        <v>200540.12730084799</v>
      </c>
      <c r="H38" s="247">
        <v>590979.39815476979</v>
      </c>
      <c r="I38" s="247">
        <v>576261.67009925761</v>
      </c>
      <c r="J38" s="78">
        <v>2.5540008678656578E-2</v>
      </c>
      <c r="K38" s="247"/>
      <c r="L38" s="78">
        <v>4.8592455642142873E-2</v>
      </c>
      <c r="M38" s="248">
        <v>-7.7999999999999996E-3</v>
      </c>
      <c r="N38" s="247">
        <v>614622.05944598129</v>
      </c>
      <c r="O38" s="247">
        <v>334.57682096478987</v>
      </c>
      <c r="P38" s="78">
        <v>1.7142219095930056E-2</v>
      </c>
      <c r="Q38" s="78">
        <v>4.0005897608328844E-2</v>
      </c>
      <c r="R38" s="247">
        <v>217154.88171668892</v>
      </c>
      <c r="S38" s="247">
        <v>397467.17772929237</v>
      </c>
      <c r="T38" s="247">
        <v>216.28119558749469</v>
      </c>
      <c r="U38" s="78">
        <v>1.8000000000000016E-2</v>
      </c>
      <c r="W38" s="248">
        <v>-8.6999999999999994E-3</v>
      </c>
      <c r="X38" s="247">
        <f t="shared" si="1"/>
        <v>614305.17846142396</v>
      </c>
      <c r="Z38" s="248">
        <f t="shared" si="2"/>
        <v>5.1552011355133036E-2</v>
      </c>
      <c r="AA38" s="248">
        <f t="shared" si="3"/>
        <v>-7.7999999999999996E-3</v>
      </c>
      <c r="AC38" s="69">
        <f t="shared" si="4"/>
        <v>616598.29931566131</v>
      </c>
      <c r="AD38" s="223">
        <f t="shared" si="5"/>
        <v>-240.84589995327406</v>
      </c>
      <c r="AE38" s="223">
        <f t="shared" si="6"/>
        <v>-1735.3939697267028</v>
      </c>
      <c r="AF38" s="69">
        <f t="shared" si="7"/>
        <v>614622.05944598129</v>
      </c>
      <c r="AG38" s="69"/>
      <c r="AH38" s="223">
        <f t="shared" si="8"/>
        <v>1735.3939697267028</v>
      </c>
      <c r="AI38" s="223"/>
      <c r="AJ38" s="223">
        <f t="shared" si="9"/>
        <v>0</v>
      </c>
      <c r="AK38" s="223">
        <f t="shared" si="10"/>
        <v>559.30101731918467</v>
      </c>
      <c r="AM38" s="48">
        <f t="shared" si="0"/>
        <v>794.93435545858472</v>
      </c>
    </row>
    <row r="39" spans="1:39" x14ac:dyDescent="0.25">
      <c r="A39" s="244">
        <v>36</v>
      </c>
      <c r="B39" s="10" t="s">
        <v>98</v>
      </c>
      <c r="C39" s="4" t="s">
        <v>99</v>
      </c>
      <c r="D39" s="4" t="s">
        <v>100</v>
      </c>
      <c r="E39" s="4" t="s">
        <v>101</v>
      </c>
      <c r="F39" s="245">
        <v>188664.90512205023</v>
      </c>
      <c r="G39" s="245">
        <v>95992.245448609654</v>
      </c>
      <c r="H39" s="245">
        <v>284657.1505706599</v>
      </c>
      <c r="I39" s="245">
        <v>297455.51604424382</v>
      </c>
      <c r="J39" s="75">
        <v>-4.3026149401379055E-2</v>
      </c>
      <c r="K39" s="245"/>
      <c r="L39" s="75">
        <v>4.9134287250760078E-2</v>
      </c>
      <c r="M39" s="54">
        <v>6.3554135009422541E-4</v>
      </c>
      <c r="N39" s="245">
        <v>298833</v>
      </c>
      <c r="O39" s="245">
        <v>301.25901731109167</v>
      </c>
      <c r="P39" s="75">
        <v>-4.241916138178814E-2</v>
      </c>
      <c r="Q39" s="75">
        <v>4.9799730661679753E-2</v>
      </c>
      <c r="R39" s="245">
        <v>104882.95145672037</v>
      </c>
      <c r="S39" s="245">
        <v>193950.04854327964</v>
      </c>
      <c r="T39" s="245">
        <v>195.52459410970997</v>
      </c>
      <c r="U39" s="75">
        <v>2.8013389230023389E-2</v>
      </c>
      <c r="W39" s="54">
        <v>-7.6E-3</v>
      </c>
      <c r="X39" s="245">
        <f t="shared" si="1"/>
        <v>296373.88559129322</v>
      </c>
      <c r="Z39" s="54">
        <f t="shared" si="2"/>
        <v>5.2093842963750241E-2</v>
      </c>
      <c r="AA39" s="54">
        <f t="shared" si="3"/>
        <v>6.3554135009422541E-4</v>
      </c>
      <c r="AC39" s="69">
        <f t="shared" si="4"/>
        <v>299676.37123031408</v>
      </c>
      <c r="AD39" s="223">
        <f t="shared" si="5"/>
        <v>-0.37711676198523492</v>
      </c>
      <c r="AE39" s="223">
        <f t="shared" si="6"/>
        <v>0</v>
      </c>
      <c r="AF39" s="69">
        <f t="shared" si="7"/>
        <v>299675.99411355209</v>
      </c>
      <c r="AG39" s="69"/>
      <c r="AH39" s="223">
        <f t="shared" si="8"/>
        <v>842.99411355208838</v>
      </c>
      <c r="AI39" s="223"/>
      <c r="AJ39" s="223">
        <f t="shared" si="9"/>
        <v>842.99411355208838</v>
      </c>
      <c r="AK39" s="223">
        <f t="shared" si="10"/>
        <v>2466.4296288971773</v>
      </c>
      <c r="AM39" s="48">
        <f t="shared" si="0"/>
        <v>0</v>
      </c>
    </row>
    <row r="40" spans="1:39" x14ac:dyDescent="0.25">
      <c r="A40" s="244">
        <v>37</v>
      </c>
      <c r="B40" s="13" t="s">
        <v>98</v>
      </c>
      <c r="C40" s="14" t="s">
        <v>99</v>
      </c>
      <c r="D40" s="4" t="s">
        <v>102</v>
      </c>
      <c r="E40" s="4" t="s">
        <v>103</v>
      </c>
      <c r="F40" s="245">
        <v>281613.19586086075</v>
      </c>
      <c r="G40" s="245">
        <v>94566.573520020524</v>
      </c>
      <c r="H40" s="245">
        <v>376179.76938088128</v>
      </c>
      <c r="I40" s="245">
        <v>317436.33654626424</v>
      </c>
      <c r="J40" s="75">
        <v>0.18505579252126858</v>
      </c>
      <c r="K40" s="245"/>
      <c r="L40" s="75">
        <v>4.6949407263728427E-2</v>
      </c>
      <c r="M40" s="54">
        <v>-1.097587165099996E-2</v>
      </c>
      <c r="N40" s="245">
        <v>388595.80956282374</v>
      </c>
      <c r="O40" s="245">
        <v>362.35899510660784</v>
      </c>
      <c r="P40" s="75">
        <v>0.16927261740515442</v>
      </c>
      <c r="Q40" s="75">
        <v>3.3005603151857077E-2</v>
      </c>
      <c r="R40" s="245">
        <v>101913.57617646745</v>
      </c>
      <c r="S40" s="245">
        <v>286682.23338635627</v>
      </c>
      <c r="T40" s="245">
        <v>266.69341597769056</v>
      </c>
      <c r="U40" s="75">
        <v>1.8000000000000016E-2</v>
      </c>
      <c r="W40" s="54">
        <v>-1.165896439544725E-2</v>
      </c>
      <c r="X40" s="245">
        <f t="shared" si="1"/>
        <v>389249.40620614705</v>
      </c>
      <c r="Z40" s="54">
        <f t="shared" si="2"/>
        <v>4.9908962976718589E-2</v>
      </c>
      <c r="AA40" s="54">
        <f t="shared" si="3"/>
        <v>-1.097587165099996E-2</v>
      </c>
      <c r="AC40" s="69">
        <f t="shared" si="4"/>
        <v>390619.54153659788</v>
      </c>
      <c r="AD40" s="223">
        <f t="shared" si="5"/>
        <v>-922.62670033919858</v>
      </c>
      <c r="AE40" s="223">
        <f t="shared" si="6"/>
        <v>-1101.1052734349039</v>
      </c>
      <c r="AF40" s="69">
        <f t="shared" si="7"/>
        <v>388595.80956282379</v>
      </c>
      <c r="AG40" s="69"/>
      <c r="AH40" s="223">
        <f t="shared" si="8"/>
        <v>1101.1052734349039</v>
      </c>
      <c r="AI40" s="223"/>
      <c r="AJ40" s="223">
        <f t="shared" si="9"/>
        <v>0</v>
      </c>
      <c r="AK40" s="223">
        <f t="shared" si="10"/>
        <v>269.79056123575168</v>
      </c>
      <c r="AM40" s="48">
        <f t="shared" si="0"/>
        <v>573.36446677271249</v>
      </c>
    </row>
    <row r="41" spans="1:39" x14ac:dyDescent="0.25">
      <c r="A41" s="244">
        <v>38</v>
      </c>
      <c r="B41" s="13" t="s">
        <v>98</v>
      </c>
      <c r="C41" s="14" t="s">
        <v>99</v>
      </c>
      <c r="D41" s="4" t="s">
        <v>104</v>
      </c>
      <c r="E41" s="4" t="s">
        <v>105</v>
      </c>
      <c r="F41" s="245">
        <v>136301.59114967679</v>
      </c>
      <c r="G41" s="245">
        <v>67498.305403613427</v>
      </c>
      <c r="H41" s="245">
        <v>203799.89655329022</v>
      </c>
      <c r="I41" s="245">
        <v>219997.59560761249</v>
      </c>
      <c r="J41" s="75">
        <v>-7.3626709462827344E-2</v>
      </c>
      <c r="K41" s="245"/>
      <c r="L41" s="75">
        <v>5.1933369491447889E-2</v>
      </c>
      <c r="M41" s="54">
        <v>1.08754371436968E-3</v>
      </c>
      <c r="N41" s="245">
        <v>214617</v>
      </c>
      <c r="O41" s="245">
        <v>352.93530613327312</v>
      </c>
      <c r="P41" s="75">
        <v>-7.2619513522864665E-2</v>
      </c>
      <c r="Q41" s="75">
        <v>5.3077080163685508E-2</v>
      </c>
      <c r="R41" s="245">
        <v>73980.169596780746</v>
      </c>
      <c r="S41" s="245">
        <v>140636.83040321924</v>
      </c>
      <c r="T41" s="245">
        <v>231.27572742128251</v>
      </c>
      <c r="U41" s="75">
        <v>3.1806226302830032E-2</v>
      </c>
      <c r="W41" s="54">
        <v>-7.6E-3</v>
      </c>
      <c r="X41" s="245">
        <f t="shared" si="1"/>
        <v>212754.59415299795</v>
      </c>
      <c r="Z41" s="54">
        <f t="shared" si="2"/>
        <v>5.4892925204438052E-2</v>
      </c>
      <c r="AA41" s="54">
        <f t="shared" si="3"/>
        <v>1.08754371436968E-3</v>
      </c>
      <c r="AC41" s="69">
        <f t="shared" si="4"/>
        <v>215220.87686705813</v>
      </c>
      <c r="AD41" s="223">
        <f t="shared" si="5"/>
        <v>-6.3759141776245087E-2</v>
      </c>
      <c r="AE41" s="223">
        <f t="shared" si="6"/>
        <v>0</v>
      </c>
      <c r="AF41" s="69">
        <f t="shared" si="7"/>
        <v>215220.81310791636</v>
      </c>
      <c r="AG41" s="69"/>
      <c r="AH41" s="223">
        <f t="shared" si="8"/>
        <v>603.81310791634303</v>
      </c>
      <c r="AI41" s="223"/>
      <c r="AJ41" s="223">
        <f t="shared" si="9"/>
        <v>603.81310791634303</v>
      </c>
      <c r="AK41" s="223">
        <f t="shared" si="10"/>
        <v>1867.7095602350403</v>
      </c>
      <c r="AM41" s="48">
        <f t="shared" si="0"/>
        <v>0</v>
      </c>
    </row>
    <row r="42" spans="1:39" x14ac:dyDescent="0.25">
      <c r="A42" s="244">
        <v>39</v>
      </c>
      <c r="B42" s="13" t="s">
        <v>98</v>
      </c>
      <c r="C42" s="14" t="s">
        <v>99</v>
      </c>
      <c r="D42" s="4" t="s">
        <v>106</v>
      </c>
      <c r="E42" s="4" t="s">
        <v>107</v>
      </c>
      <c r="F42" s="245">
        <v>289635.69871315442</v>
      </c>
      <c r="G42" s="245">
        <v>142851.75928993348</v>
      </c>
      <c r="H42" s="245">
        <v>432487.4580030879</v>
      </c>
      <c r="I42" s="245">
        <v>414632.16863335361</v>
      </c>
      <c r="J42" s="75">
        <v>4.3062962115520742E-2</v>
      </c>
      <c r="K42" s="245"/>
      <c r="L42" s="75">
        <v>4.9728409781172545E-2</v>
      </c>
      <c r="M42" s="54">
        <v>-7.7999999999999996E-3</v>
      </c>
      <c r="N42" s="245">
        <v>449703.64891895751</v>
      </c>
      <c r="O42" s="245">
        <v>349.84747145571043</v>
      </c>
      <c r="P42" s="75">
        <v>3.3204923938927378E-2</v>
      </c>
      <c r="Q42" s="75">
        <v>3.9807376138400574E-2</v>
      </c>
      <c r="R42" s="245">
        <v>154854.5076289663</v>
      </c>
      <c r="S42" s="245">
        <v>294849.14128999121</v>
      </c>
      <c r="T42" s="245">
        <v>228.99664680042301</v>
      </c>
      <c r="U42" s="75">
        <v>1.8000000000000016E-2</v>
      </c>
      <c r="W42" s="54">
        <v>-8.6999999999999994E-3</v>
      </c>
      <c r="X42" s="245">
        <f t="shared" si="1"/>
        <v>450044.62050748611</v>
      </c>
      <c r="Z42" s="54">
        <f t="shared" si="2"/>
        <v>5.2687965494162707E-2</v>
      </c>
      <c r="AA42" s="54">
        <f t="shared" si="3"/>
        <v>-7.7999999999999996E-3</v>
      </c>
      <c r="AC42" s="69">
        <f t="shared" si="4"/>
        <v>451723.20239733002</v>
      </c>
      <c r="AD42" s="223">
        <f t="shared" si="5"/>
        <v>-749.56652291445062</v>
      </c>
      <c r="AE42" s="223">
        <f t="shared" si="6"/>
        <v>-1269.9869554580207</v>
      </c>
      <c r="AF42" s="69">
        <f t="shared" si="7"/>
        <v>449703.64891895757</v>
      </c>
      <c r="AG42" s="69"/>
      <c r="AH42" s="223">
        <f t="shared" si="8"/>
        <v>1269.9869554580207</v>
      </c>
      <c r="AI42" s="223"/>
      <c r="AJ42" s="223">
        <f t="shared" si="9"/>
        <v>0</v>
      </c>
      <c r="AK42" s="223">
        <f t="shared" si="10"/>
        <v>409.74690804031138</v>
      </c>
      <c r="AM42" s="48">
        <f t="shared" si="0"/>
        <v>589.69828257998245</v>
      </c>
    </row>
    <row r="43" spans="1:39" x14ac:dyDescent="0.25">
      <c r="A43" s="244">
        <v>40</v>
      </c>
      <c r="B43" s="13" t="s">
        <v>98</v>
      </c>
      <c r="C43" s="14" t="s">
        <v>99</v>
      </c>
      <c r="D43" s="4" t="s">
        <v>108</v>
      </c>
      <c r="E43" s="4" t="s">
        <v>109</v>
      </c>
      <c r="F43" s="245">
        <v>152458.84586998943</v>
      </c>
      <c r="G43" s="245">
        <v>87119.611503117019</v>
      </c>
      <c r="H43" s="245">
        <v>239578.45737310644</v>
      </c>
      <c r="I43" s="245">
        <v>268255.03526958398</v>
      </c>
      <c r="J43" s="75">
        <v>-0.10690042730291682</v>
      </c>
      <c r="K43" s="245"/>
      <c r="L43" s="75">
        <v>4.6856928029370026E-2</v>
      </c>
      <c r="M43" s="54">
        <v>1.5790314224950772E-3</v>
      </c>
      <c r="N43" s="245">
        <v>251200.00000000003</v>
      </c>
      <c r="O43" s="245">
        <v>304.82497023257361</v>
      </c>
      <c r="P43" s="75">
        <v>-0.10549160473896924</v>
      </c>
      <c r="Q43" s="75">
        <v>4.8508295588508776E-2</v>
      </c>
      <c r="R43" s="245">
        <v>95071.444650463265</v>
      </c>
      <c r="S43" s="245">
        <v>156128.55534953676</v>
      </c>
      <c r="T43" s="245">
        <v>189.45812992387445</v>
      </c>
      <c r="U43" s="75">
        <v>2.4070164368663161E-2</v>
      </c>
      <c r="W43" s="54">
        <v>-7.6E-3</v>
      </c>
      <c r="X43" s="245">
        <f t="shared" si="1"/>
        <v>248898.25471152764</v>
      </c>
      <c r="Z43" s="54">
        <f t="shared" si="2"/>
        <v>4.9816483742360189E-2</v>
      </c>
      <c r="AA43" s="54">
        <f t="shared" si="3"/>
        <v>1.5790314224950772E-3</v>
      </c>
      <c r="AC43" s="69">
        <f t="shared" si="4"/>
        <v>251910.56128326463</v>
      </c>
      <c r="AD43" s="223">
        <f t="shared" si="5"/>
        <v>-0.39588545070728287</v>
      </c>
      <c r="AE43" s="223">
        <f t="shared" si="6"/>
        <v>0</v>
      </c>
      <c r="AF43" s="69">
        <f t="shared" si="7"/>
        <v>251910.16539781392</v>
      </c>
      <c r="AG43" s="69"/>
      <c r="AH43" s="223">
        <f t="shared" si="8"/>
        <v>710.16539781386314</v>
      </c>
      <c r="AI43" s="223"/>
      <c r="AJ43" s="223">
        <f t="shared" si="9"/>
        <v>710.16539781386314</v>
      </c>
      <c r="AK43" s="223">
        <f t="shared" si="10"/>
        <v>2308.6495275299599</v>
      </c>
      <c r="AM43" s="48">
        <f t="shared" si="0"/>
        <v>0</v>
      </c>
    </row>
    <row r="44" spans="1:39" x14ac:dyDescent="0.25">
      <c r="A44" s="244">
        <v>41</v>
      </c>
      <c r="B44" s="13" t="s">
        <v>98</v>
      </c>
      <c r="C44" s="14" t="s">
        <v>99</v>
      </c>
      <c r="D44" s="4" t="s">
        <v>110</v>
      </c>
      <c r="E44" s="4" t="s">
        <v>111</v>
      </c>
      <c r="F44" s="245">
        <v>140329.77799926963</v>
      </c>
      <c r="G44" s="245">
        <v>68805.700524776519</v>
      </c>
      <c r="H44" s="245">
        <v>209135.47852404614</v>
      </c>
      <c r="I44" s="245">
        <v>203161.48164592529</v>
      </c>
      <c r="J44" s="75">
        <v>2.940516494427059E-2</v>
      </c>
      <c r="K44" s="245"/>
      <c r="L44" s="75">
        <v>5.031363608854722E-2</v>
      </c>
      <c r="M44" s="54">
        <v>-7.7999999999999996E-3</v>
      </c>
      <c r="N44" s="245">
        <v>217484.41956277133</v>
      </c>
      <c r="O44" s="245">
        <v>318.30187259386668</v>
      </c>
      <c r="P44" s="75">
        <v>1.9219618180946085E-2</v>
      </c>
      <c r="Q44" s="75">
        <v>3.9921208480010462E-2</v>
      </c>
      <c r="R44" s="245">
        <v>74628.705559514827</v>
      </c>
      <c r="S44" s="245">
        <v>142855.71400325649</v>
      </c>
      <c r="T44" s="245">
        <v>208.63631318897154</v>
      </c>
      <c r="U44" s="75">
        <v>1.8000000000000016E-2</v>
      </c>
      <c r="W44" s="54">
        <v>-8.6999999999999994E-3</v>
      </c>
      <c r="X44" s="245">
        <f t="shared" si="1"/>
        <v>217746.82163322091</v>
      </c>
      <c r="Z44" s="54">
        <f t="shared" si="2"/>
        <v>5.3273191801537383E-2</v>
      </c>
      <c r="AA44" s="54">
        <f t="shared" si="3"/>
        <v>-7.7999999999999996E-3</v>
      </c>
      <c r="AC44" s="69">
        <f t="shared" si="4"/>
        <v>218558.63399868904</v>
      </c>
      <c r="AD44" s="223">
        <f t="shared" si="5"/>
        <v>-460.09413084492553</v>
      </c>
      <c r="AE44" s="223">
        <f t="shared" si="6"/>
        <v>-614.12030507278496</v>
      </c>
      <c r="AF44" s="69">
        <f t="shared" si="7"/>
        <v>217484.41956277133</v>
      </c>
      <c r="AG44" s="69"/>
      <c r="AH44" s="223">
        <f t="shared" si="8"/>
        <v>614.12030507278496</v>
      </c>
      <c r="AI44" s="223"/>
      <c r="AJ44" s="223">
        <f t="shared" si="9"/>
        <v>0</v>
      </c>
      <c r="AK44" s="223">
        <f t="shared" si="10"/>
        <v>198.24911368556752</v>
      </c>
      <c r="AM44" s="48">
        <f t="shared" si="0"/>
        <v>285.71142800651302</v>
      </c>
    </row>
    <row r="45" spans="1:39" x14ac:dyDescent="0.25">
      <c r="A45" s="244">
        <v>42</v>
      </c>
      <c r="B45" s="13" t="s">
        <v>98</v>
      </c>
      <c r="C45" s="14" t="s">
        <v>99</v>
      </c>
      <c r="D45" s="4" t="s">
        <v>112</v>
      </c>
      <c r="E45" s="4" t="s">
        <v>113</v>
      </c>
      <c r="F45" s="245">
        <v>113697.50578722892</v>
      </c>
      <c r="G45" s="245">
        <v>60537.417227816812</v>
      </c>
      <c r="H45" s="245">
        <v>174234.92301504573</v>
      </c>
      <c r="I45" s="245">
        <v>199554.31557651729</v>
      </c>
      <c r="J45" s="75">
        <v>-0.12687970434677498</v>
      </c>
      <c r="K45" s="245"/>
      <c r="L45" s="75">
        <v>5.0618760934010743E-2</v>
      </c>
      <c r="M45" s="54">
        <v>1.874146297588997E-3</v>
      </c>
      <c r="N45" s="245">
        <v>183398</v>
      </c>
      <c r="O45" s="245">
        <v>304.44630856268793</v>
      </c>
      <c r="P45" s="75">
        <v>-0.12524120186165688</v>
      </c>
      <c r="Q45" s="75">
        <v>5.259035804299117E-2</v>
      </c>
      <c r="R45" s="245">
        <v>66320.160415346254</v>
      </c>
      <c r="S45" s="245">
        <v>117077.83958465375</v>
      </c>
      <c r="T45" s="245">
        <v>194.35280687925919</v>
      </c>
      <c r="U45" s="75">
        <v>2.9730940657139104E-2</v>
      </c>
      <c r="W45" s="54">
        <v>-7.6E-3</v>
      </c>
      <c r="X45" s="245">
        <f t="shared" si="1"/>
        <v>181663.26488963587</v>
      </c>
      <c r="Z45" s="54">
        <f t="shared" si="2"/>
        <v>5.3578316647000905E-2</v>
      </c>
      <c r="AA45" s="54">
        <f t="shared" si="3"/>
        <v>1.874146297588997E-3</v>
      </c>
      <c r="AC45" s="69">
        <f t="shared" si="4"/>
        <v>183914.17418371444</v>
      </c>
      <c r="AD45" s="223">
        <f t="shared" si="5"/>
        <v>0.45019655709620565</v>
      </c>
      <c r="AE45" s="223">
        <f t="shared" si="6"/>
        <v>0</v>
      </c>
      <c r="AF45" s="69">
        <f t="shared" si="7"/>
        <v>183914.62438027153</v>
      </c>
      <c r="AG45" s="69"/>
      <c r="AH45" s="223">
        <f t="shared" si="8"/>
        <v>516.62438027153121</v>
      </c>
      <c r="AI45" s="223"/>
      <c r="AJ45" s="223">
        <f t="shared" si="9"/>
        <v>516.62438027153121</v>
      </c>
      <c r="AK45" s="223">
        <f t="shared" si="10"/>
        <v>1739.1703327767259</v>
      </c>
      <c r="AM45" s="48">
        <f t="shared" si="0"/>
        <v>0</v>
      </c>
    </row>
    <row r="46" spans="1:39" x14ac:dyDescent="0.25">
      <c r="A46" s="4"/>
      <c r="B46" s="4"/>
      <c r="C46" s="4"/>
      <c r="D46" s="4"/>
      <c r="E46" s="4"/>
    </row>
    <row r="47" spans="1:39" hidden="1" x14ac:dyDescent="0.25">
      <c r="A47" s="4"/>
      <c r="B47" s="4"/>
      <c r="C47" s="4"/>
      <c r="D47" s="4"/>
      <c r="E47" s="4"/>
    </row>
    <row r="48" spans="1:39" ht="102" hidden="1" x14ac:dyDescent="0.25">
      <c r="A48" s="4"/>
      <c r="B48" s="4"/>
      <c r="C48" s="5" t="s">
        <v>114</v>
      </c>
      <c r="D48" s="5" t="s">
        <v>13</v>
      </c>
      <c r="E48" s="5" t="s">
        <v>14</v>
      </c>
      <c r="F48" s="8" t="s">
        <v>331</v>
      </c>
      <c r="G48" s="8" t="s">
        <v>331</v>
      </c>
      <c r="H48" s="8" t="s">
        <v>331</v>
      </c>
      <c r="I48" s="8" t="s">
        <v>315</v>
      </c>
      <c r="J48" s="8" t="s">
        <v>316</v>
      </c>
      <c r="K48" s="40" t="s">
        <v>147</v>
      </c>
      <c r="L48" s="8" t="s">
        <v>317</v>
      </c>
      <c r="M48" s="8" t="s">
        <v>318</v>
      </c>
      <c r="N48" s="8" t="s">
        <v>319</v>
      </c>
      <c r="O48" s="8" t="s">
        <v>320</v>
      </c>
      <c r="P48" s="8" t="s">
        <v>321</v>
      </c>
      <c r="Q48" s="8" t="s">
        <v>322</v>
      </c>
      <c r="R48" s="8" t="s">
        <v>323</v>
      </c>
      <c r="S48" s="8" t="s">
        <v>324</v>
      </c>
      <c r="T48" s="8" t="s">
        <v>325</v>
      </c>
      <c r="U48" s="8" t="s">
        <v>326</v>
      </c>
      <c r="W48" s="261"/>
      <c r="X48" s="8"/>
      <c r="Z48" s="261"/>
      <c r="AA48" s="261"/>
    </row>
    <row r="49" spans="1:32" x14ac:dyDescent="0.25">
      <c r="A49" s="4"/>
      <c r="B49" s="4"/>
      <c r="C49" s="21">
        <v>1</v>
      </c>
      <c r="D49" s="20" t="s">
        <v>17</v>
      </c>
      <c r="E49" s="20" t="s">
        <v>18</v>
      </c>
      <c r="F49" s="245">
        <v>2645278.6028940454</v>
      </c>
      <c r="G49" s="245">
        <v>2645278.6028940454</v>
      </c>
      <c r="H49" s="245">
        <v>2645278.6028940454</v>
      </c>
      <c r="I49" s="245">
        <v>2801376.2047243468</v>
      </c>
      <c r="J49" s="75">
        <v>-5.5721756173645054E-2</v>
      </c>
      <c r="K49" s="249"/>
      <c r="L49" s="75">
        <v>4.5403951567012157E-2</v>
      </c>
      <c r="M49" s="54">
        <v>-5.094063255748349E-4</v>
      </c>
      <c r="N49" s="245">
        <v>2763445.9727423606</v>
      </c>
      <c r="O49" s="245">
        <v>304.60124135875225</v>
      </c>
      <c r="P49" s="75">
        <v>-5.6373543727189945E-2</v>
      </c>
      <c r="Q49" s="75">
        <v>4.4671048909190603E-2</v>
      </c>
      <c r="R49" s="245">
        <v>924966.81103911088</v>
      </c>
      <c r="S49" s="245">
        <v>1838479.1617032499</v>
      </c>
      <c r="T49" s="245">
        <v>202.60777766051811</v>
      </c>
      <c r="U49" s="75">
        <v>2.4337146427888312E-2</v>
      </c>
      <c r="W49" s="54"/>
      <c r="X49" s="245"/>
      <c r="Z49" s="54"/>
      <c r="AA49" s="54"/>
      <c r="AF49" s="69">
        <f>SUM(AF4:AF45)</f>
        <v>20607618.184320513</v>
      </c>
    </row>
    <row r="50" spans="1:32" x14ac:dyDescent="0.25">
      <c r="A50" s="4"/>
      <c r="B50" s="4"/>
      <c r="C50" s="21">
        <v>2</v>
      </c>
      <c r="D50" s="20" t="s">
        <v>27</v>
      </c>
      <c r="E50" s="20" t="s">
        <v>28</v>
      </c>
      <c r="F50" s="245">
        <v>2660474.209257625</v>
      </c>
      <c r="G50" s="245">
        <v>2660474.209257625</v>
      </c>
      <c r="H50" s="245">
        <v>2660474.209257625</v>
      </c>
      <c r="I50" s="245">
        <v>2547584.4517270788</v>
      </c>
      <c r="J50" s="75">
        <v>4.4312469191753356E-2</v>
      </c>
      <c r="K50" s="249"/>
      <c r="L50" s="75">
        <v>4.5937892985894679E-2</v>
      </c>
      <c r="M50" s="54">
        <v>-5.871938355548445E-3</v>
      </c>
      <c r="N50" s="245">
        <v>2760786.9201539266</v>
      </c>
      <c r="O50" s="245">
        <v>356.9324977041955</v>
      </c>
      <c r="P50" s="75">
        <v>3.6100262292299234E-2</v>
      </c>
      <c r="Q50" s="75">
        <v>3.7704823654085562E-2</v>
      </c>
      <c r="R50" s="245">
        <v>808568.40733637777</v>
      </c>
      <c r="S50" s="245">
        <v>1952218.5128175488</v>
      </c>
      <c r="T50" s="245">
        <v>251.88785871508628</v>
      </c>
      <c r="U50" s="75">
        <v>2.0275436713968809E-2</v>
      </c>
      <c r="W50" s="54"/>
      <c r="X50" s="245"/>
      <c r="Z50" s="54"/>
      <c r="AA50" s="54"/>
    </row>
    <row r="51" spans="1:32" x14ac:dyDescent="0.25">
      <c r="A51" s="4"/>
      <c r="B51" s="4"/>
      <c r="C51" s="21">
        <v>3</v>
      </c>
      <c r="D51" s="20" t="s">
        <v>34</v>
      </c>
      <c r="E51" s="20" t="s">
        <v>35</v>
      </c>
      <c r="F51" s="245">
        <v>3629650.2502132724</v>
      </c>
      <c r="G51" s="245">
        <v>3629650.2502132724</v>
      </c>
      <c r="H51" s="245">
        <v>3629650.2502132724</v>
      </c>
      <c r="I51" s="245">
        <v>3549981.5567424218</v>
      </c>
      <c r="J51" s="75">
        <v>2.2442002077317058E-2</v>
      </c>
      <c r="K51" s="249"/>
      <c r="L51" s="75">
        <v>4.7711019901283347E-2</v>
      </c>
      <c r="M51" s="54">
        <v>-5.0750607090327415E-3</v>
      </c>
      <c r="N51" s="245">
        <v>3778976.3253506157</v>
      </c>
      <c r="O51" s="245">
        <v>322.98092893329425</v>
      </c>
      <c r="P51" s="75">
        <v>1.5938704781215396E-2</v>
      </c>
      <c r="Q51" s="75">
        <v>4.1140623708460389E-2</v>
      </c>
      <c r="R51" s="245">
        <v>1171836.7709295293</v>
      </c>
      <c r="S51" s="245">
        <v>2607139.5544210859</v>
      </c>
      <c r="T51" s="245">
        <v>222.55868671296139</v>
      </c>
      <c r="U51" s="75">
        <v>2.244800315186346E-2</v>
      </c>
      <c r="W51" s="54"/>
      <c r="X51" s="245"/>
      <c r="Z51" s="54"/>
      <c r="AA51" s="54"/>
    </row>
    <row r="52" spans="1:32" x14ac:dyDescent="0.25">
      <c r="A52" s="4"/>
      <c r="B52" s="4"/>
      <c r="C52" s="21">
        <v>4</v>
      </c>
      <c r="D52" s="20" t="s">
        <v>58</v>
      </c>
      <c r="E52" s="20" t="s">
        <v>59</v>
      </c>
      <c r="F52" s="245">
        <v>2191775.2460433934</v>
      </c>
      <c r="G52" s="245">
        <v>2191775.2460433934</v>
      </c>
      <c r="H52" s="245">
        <v>2191775.2460433934</v>
      </c>
      <c r="I52" s="245">
        <v>2277112.7677874831</v>
      </c>
      <c r="J52" s="75">
        <v>-3.7476194833779064E-2</v>
      </c>
      <c r="K52" s="249"/>
      <c r="L52" s="75">
        <v>4.7233872287690382E-2</v>
      </c>
      <c r="M52" s="54">
        <v>-4.1662421724453225E-4</v>
      </c>
      <c r="N52" s="245">
        <v>2293561.6296857996</v>
      </c>
      <c r="O52" s="245">
        <v>320.98239277202816</v>
      </c>
      <c r="P52" s="75">
        <v>-3.8208034544127689E-2</v>
      </c>
      <c r="Q52" s="75">
        <v>4.6440155680264938E-2</v>
      </c>
      <c r="R52" s="245">
        <v>769851.66244077682</v>
      </c>
      <c r="S52" s="245">
        <v>1523709.9672450225</v>
      </c>
      <c r="T52" s="245">
        <v>213.16936693343678</v>
      </c>
      <c r="U52" s="75">
        <v>2.5889086149264884E-2</v>
      </c>
      <c r="W52" s="54"/>
      <c r="X52" s="245"/>
      <c r="Z52" s="54"/>
      <c r="AA52" s="54"/>
    </row>
    <row r="53" spans="1:32" x14ac:dyDescent="0.25">
      <c r="A53" s="4"/>
      <c r="B53" s="4"/>
      <c r="C53" s="21">
        <v>5</v>
      </c>
      <c r="D53" s="20" t="s">
        <v>72</v>
      </c>
      <c r="E53" s="20" t="s">
        <v>73</v>
      </c>
      <c r="F53" s="245">
        <v>3741662.583626274</v>
      </c>
      <c r="G53" s="245">
        <v>3741662.583626274</v>
      </c>
      <c r="H53" s="245">
        <v>3741662.583626274</v>
      </c>
      <c r="I53" s="245">
        <v>3409387.8953621648</v>
      </c>
      <c r="J53" s="75">
        <v>9.7458751676835265E-2</v>
      </c>
      <c r="K53" s="249"/>
      <c r="L53" s="75">
        <v>4.922380922546199E-2</v>
      </c>
      <c r="M53" s="54">
        <v>-8.3050905360350091E-3</v>
      </c>
      <c r="N53" s="245">
        <v>3878102.9636839242</v>
      </c>
      <c r="O53" s="245">
        <v>362.65236345510436</v>
      </c>
      <c r="P53" s="75">
        <v>8.4164150305277019E-2</v>
      </c>
      <c r="Q53" s="75">
        <v>3.6465174774102049E-2</v>
      </c>
      <c r="R53" s="245">
        <v>1000937.5266341169</v>
      </c>
      <c r="S53" s="245">
        <v>2877165.4370498075</v>
      </c>
      <c r="T53" s="245">
        <v>268.00599239076661</v>
      </c>
      <c r="U53" s="75">
        <v>2.1160039094466621E-2</v>
      </c>
      <c r="W53" s="54"/>
      <c r="X53" s="245"/>
      <c r="Z53" s="54"/>
      <c r="AA53" s="54"/>
    </row>
    <row r="54" spans="1:32" x14ac:dyDescent="0.25">
      <c r="A54" s="4"/>
      <c r="B54" s="4"/>
      <c r="C54" s="21">
        <v>6</v>
      </c>
      <c r="D54" s="20" t="s">
        <v>84</v>
      </c>
      <c r="E54" s="20" t="s">
        <v>85</v>
      </c>
      <c r="F54" s="245">
        <v>2977566.3767320681</v>
      </c>
      <c r="G54" s="245">
        <v>2977566.3767320681</v>
      </c>
      <c r="H54" s="245">
        <v>2977566.3767320681</v>
      </c>
      <c r="I54" s="245">
        <v>2953061.6951083466</v>
      </c>
      <c r="J54" s="75">
        <v>8.2980594900243787E-3</v>
      </c>
      <c r="K54" s="249"/>
      <c r="L54" s="75">
        <v>4.7075308701102214E-2</v>
      </c>
      <c r="M54" s="54">
        <v>-4.4962857813144463E-3</v>
      </c>
      <c r="N54" s="245">
        <v>3102016.7979569924</v>
      </c>
      <c r="O54" s="245">
        <v>321.33822038451859</v>
      </c>
      <c r="P54" s="75">
        <v>3.2126685121078857E-3</v>
      </c>
      <c r="Q54" s="75">
        <v>4.1796019124017203E-2</v>
      </c>
      <c r="R54" s="245">
        <v>1012583.9897283821</v>
      </c>
      <c r="S54" s="245">
        <v>2089432.8082286103</v>
      </c>
      <c r="T54" s="245">
        <v>216.32590983111507</v>
      </c>
      <c r="U54" s="75">
        <v>2.2122576126701432E-2</v>
      </c>
      <c r="W54" s="54"/>
      <c r="X54" s="245"/>
      <c r="Z54" s="54"/>
      <c r="AA54" s="54"/>
    </row>
    <row r="55" spans="1:32" x14ac:dyDescent="0.25">
      <c r="A55" s="4"/>
      <c r="B55" s="4"/>
      <c r="C55" s="21">
        <v>7</v>
      </c>
      <c r="D55" s="20" t="s">
        <v>98</v>
      </c>
      <c r="E55" s="20" t="s">
        <v>99</v>
      </c>
      <c r="F55" s="245">
        <v>1920073.1334201174</v>
      </c>
      <c r="G55" s="245">
        <v>1920073.1334201174</v>
      </c>
      <c r="H55" s="245">
        <v>1920073.1334201174</v>
      </c>
      <c r="I55" s="245">
        <v>1920492.4493235007</v>
      </c>
      <c r="J55" s="75">
        <v>-2.1833769954737736E-4</v>
      </c>
      <c r="K55" s="249"/>
      <c r="L55" s="75">
        <v>4.9116152627285636E-2</v>
      </c>
      <c r="M55" s="54">
        <v>-4.1778311883789998E-3</v>
      </c>
      <c r="N55" s="245">
        <v>2003831.8780445526</v>
      </c>
      <c r="O55" s="245">
        <v>330.26787100585688</v>
      </c>
      <c r="P55" s="75">
        <v>-5.5168127444409354E-3</v>
      </c>
      <c r="Q55" s="75">
        <v>4.3622684556416047E-2</v>
      </c>
      <c r="R55" s="245">
        <v>671651.51548425923</v>
      </c>
      <c r="S55" s="245">
        <v>1332180.3625602934</v>
      </c>
      <c r="T55" s="245">
        <v>219.33413168860389</v>
      </c>
      <c r="U55" s="75">
        <v>2.2629007177866978E-2</v>
      </c>
      <c r="W55" s="54"/>
      <c r="X55" s="245"/>
      <c r="Z55" s="54"/>
      <c r="AA55" s="54"/>
    </row>
    <row r="56" spans="1:32" x14ac:dyDescent="0.25">
      <c r="C56" s="21"/>
      <c r="D56" s="20" t="s">
        <v>115</v>
      </c>
      <c r="E56" s="20" t="s">
        <v>116</v>
      </c>
      <c r="F56" s="250">
        <v>19766480.402186796</v>
      </c>
      <c r="G56" s="250">
        <v>19766480.402186796</v>
      </c>
      <c r="H56" s="250">
        <v>19766480.402186796</v>
      </c>
      <c r="I56" s="250">
        <v>19458997.020775344</v>
      </c>
      <c r="J56" s="251">
        <v>1.5801604835190997E-2</v>
      </c>
      <c r="K56" s="252"/>
      <c r="L56" s="251">
        <v>4.7437801572365768E-2</v>
      </c>
      <c r="M56" s="251">
        <v>-4.4939172989654219E-3</v>
      </c>
      <c r="N56" s="250">
        <v>20580722.487618174</v>
      </c>
      <c r="O56" s="250">
        <v>331.61030638906692</v>
      </c>
      <c r="P56" s="251">
        <v>9.7711001016707044E-3</v>
      </c>
      <c r="Q56" s="251">
        <v>4.1193073772571864E-2</v>
      </c>
      <c r="R56" s="250">
        <v>6360396.6835925523</v>
      </c>
      <c r="S56" s="250">
        <v>14220325.804025616</v>
      </c>
      <c r="T56" s="250">
        <v>228.78948412231969</v>
      </c>
      <c r="U56" s="251">
        <v>2.246857750486142E-2</v>
      </c>
      <c r="W56" s="54"/>
      <c r="X56" s="250"/>
      <c r="Z56" s="54"/>
      <c r="AA56" s="54"/>
    </row>
    <row r="58" spans="1:32" x14ac:dyDescent="0.25">
      <c r="I58" s="41">
        <v>-1.5555798258218734E-2</v>
      </c>
    </row>
    <row r="60" spans="1:32" x14ac:dyDescent="0.25">
      <c r="N60">
        <f>N56/H56-1</f>
        <v>4.1193073772571864E-2</v>
      </c>
    </row>
    <row r="61" spans="1:32" x14ac:dyDescent="0.25">
      <c r="L61" s="48"/>
    </row>
    <row r="62" spans="1:32" x14ac:dyDescent="0.25">
      <c r="L62" s="48">
        <f>H56*(1+L56)</f>
        <v>20704158.777289789</v>
      </c>
    </row>
    <row r="63" spans="1:32" x14ac:dyDescent="0.25">
      <c r="L63" s="48">
        <f>L62+20000+54000</f>
        <v>20778158.777289789</v>
      </c>
    </row>
    <row r="64" spans="1:32" x14ac:dyDescent="0.25">
      <c r="L64" s="41">
        <f>L63/H56-1</f>
        <v>5.118151307255836E-2</v>
      </c>
    </row>
    <row r="65" spans="12:12" x14ac:dyDescent="0.25">
      <c r="L65" s="97">
        <f>L64-L56</f>
        <v>3.7437115001925925E-3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B1A37-5954-4370-BC29-7A4A2837B6E1}">
  <sheetPr codeName="Sheet28">
    <tabColor rgb="FF0070C0"/>
  </sheetPr>
  <dimension ref="A1:CQ72"/>
  <sheetViews>
    <sheetView zoomScaleNormal="100" workbookViewId="0">
      <pane xSplit="4" ySplit="4" topLeftCell="H52" activePane="bottomRight" state="frozen"/>
      <selection pane="topRight" activeCell="F13" sqref="F13"/>
      <selection pane="bottomLeft" activeCell="F13" sqref="F13"/>
      <selection pane="bottomRight" activeCell="M2" sqref="M2"/>
    </sheetView>
  </sheetViews>
  <sheetFormatPr defaultRowHeight="15" outlineLevelCol="1" x14ac:dyDescent="0.25"/>
  <cols>
    <col min="1" max="1" width="8.7109375" customWidth="1" outlineLevel="1"/>
    <col min="2" max="2" width="21.7109375" customWidth="1" outlineLevel="1"/>
    <col min="4" max="4" width="54" bestFit="1" customWidth="1"/>
    <col min="5" max="5" width="13.28515625" customWidth="1"/>
    <col min="6" max="6" width="13.28515625" style="41" customWidth="1"/>
    <col min="8" max="10" width="13.28515625" style="41" customWidth="1"/>
    <col min="11" max="12" width="13.28515625" customWidth="1"/>
    <col min="13" max="13" width="13.28515625" style="41" customWidth="1"/>
    <col min="14" max="14" width="13.28515625" customWidth="1"/>
    <col min="15" max="15" width="13.28515625" style="41" customWidth="1"/>
    <col min="16" max="23" width="13.28515625" customWidth="1"/>
    <col min="24" max="27" width="13.28515625" style="41" customWidth="1"/>
    <col min="28" max="29" width="13.28515625" customWidth="1"/>
    <col min="30" max="30" width="13.28515625" style="41" customWidth="1"/>
    <col min="31" max="38" width="13.28515625" customWidth="1"/>
    <col min="40" max="41" width="13.28515625" customWidth="1"/>
    <col min="43" max="43" width="13.28515625" customWidth="1"/>
    <col min="45" max="45" width="13.28515625" style="41" customWidth="1"/>
    <col min="46" max="46" width="13.28515625" customWidth="1"/>
    <col min="48" max="50" width="13.28515625" customWidth="1"/>
    <col min="52" max="54" width="13.28515625" customWidth="1"/>
    <col min="56" max="56" width="13.28515625" customWidth="1"/>
    <col min="58" max="58" width="13.28515625" customWidth="1"/>
    <col min="60" max="64" width="13.28515625" customWidth="1" outlineLevel="1"/>
    <col min="66" max="70" width="13.28515625" customWidth="1" outlineLevel="1"/>
    <col min="72" max="76" width="13.28515625" customWidth="1" outlineLevel="1"/>
    <col min="78" max="82" width="13.28515625" customWidth="1" outlineLevel="1"/>
    <col min="84" max="88" width="13.28515625" customWidth="1" outlineLevel="1"/>
  </cols>
  <sheetData>
    <row r="1" spans="1:95" ht="25.5" x14ac:dyDescent="0.35">
      <c r="A1" s="1" t="s">
        <v>12</v>
      </c>
      <c r="J1" s="90"/>
      <c r="M1" s="48">
        <f>COUNTIF(M5:M46,"&lt;0")</f>
        <v>0</v>
      </c>
      <c r="O1" s="41">
        <v>0.9</v>
      </c>
      <c r="AN1" t="s">
        <v>353</v>
      </c>
      <c r="AS1" s="41">
        <f>O2</f>
        <v>0.87362999515919948</v>
      </c>
    </row>
    <row r="2" spans="1:95" x14ac:dyDescent="0.25">
      <c r="H2" s="41" t="e">
        <f>H57</f>
        <v>#REF!</v>
      </c>
      <c r="J2" s="41" t="e">
        <f>H57+0.3%</f>
        <v>#REF!</v>
      </c>
      <c r="M2" s="41" t="e">
        <f>MIN(M5:M46)</f>
        <v>#REF!</v>
      </c>
      <c r="O2" s="41">
        <v>0.87362999515919948</v>
      </c>
      <c r="AD2" s="41" t="s">
        <v>144</v>
      </c>
      <c r="AF2" t="s">
        <v>145</v>
      </c>
      <c r="AN2" s="96">
        <v>4.8459581480066001E-3</v>
      </c>
      <c r="AS2" s="41">
        <v>0.45327004191740927</v>
      </c>
      <c r="AT2" s="97">
        <f>AS2-AS1</f>
        <v>-0.42035995324179021</v>
      </c>
    </row>
    <row r="3" spans="1:95" ht="114.75" x14ac:dyDescent="0.25">
      <c r="A3" s="25" t="s">
        <v>13</v>
      </c>
      <c r="B3" s="26" t="s">
        <v>14</v>
      </c>
      <c r="C3" s="26" t="s">
        <v>15</v>
      </c>
      <c r="D3" s="26" t="s">
        <v>16</v>
      </c>
      <c r="E3" s="27" t="s">
        <v>142</v>
      </c>
      <c r="F3" s="42" t="s">
        <v>146</v>
      </c>
      <c r="G3" s="36" t="s">
        <v>147</v>
      </c>
      <c r="H3" s="42" t="s">
        <v>127</v>
      </c>
      <c r="I3" s="42" t="s">
        <v>354</v>
      </c>
      <c r="J3" s="47" t="s">
        <v>128</v>
      </c>
      <c r="K3" s="47" t="s">
        <v>355</v>
      </c>
      <c r="L3" s="47" t="s">
        <v>356</v>
      </c>
      <c r="M3" s="42" t="s">
        <v>131</v>
      </c>
      <c r="N3" s="47" t="s">
        <v>357</v>
      </c>
      <c r="O3" s="47" t="s">
        <v>358</v>
      </c>
      <c r="P3" s="47" t="s">
        <v>359</v>
      </c>
      <c r="Q3" s="47" t="s">
        <v>355</v>
      </c>
      <c r="R3" s="47" t="s">
        <v>148</v>
      </c>
      <c r="S3" s="59" t="s">
        <v>149</v>
      </c>
      <c r="T3" s="59" t="s">
        <v>150</v>
      </c>
      <c r="U3" s="47" t="s">
        <v>361</v>
      </c>
      <c r="V3" s="84" t="s">
        <v>362</v>
      </c>
      <c r="W3" s="84" t="s">
        <v>363</v>
      </c>
      <c r="X3" s="84" t="s">
        <v>364</v>
      </c>
      <c r="Y3" s="84" t="s">
        <v>365</v>
      </c>
      <c r="Z3" s="84" t="s">
        <v>343</v>
      </c>
      <c r="AA3" s="42" t="s">
        <v>151</v>
      </c>
      <c r="AB3" s="27" t="s">
        <v>152</v>
      </c>
      <c r="AC3" s="27" t="s">
        <v>153</v>
      </c>
      <c r="AD3" s="62" t="s">
        <v>154</v>
      </c>
      <c r="AE3" s="47" t="s">
        <v>155</v>
      </c>
      <c r="AF3" s="47" t="s">
        <v>4</v>
      </c>
      <c r="AG3" s="47" t="s">
        <v>156</v>
      </c>
      <c r="AH3" s="47" t="s">
        <v>5</v>
      </c>
      <c r="AI3" s="59" t="s">
        <v>6</v>
      </c>
      <c r="AJ3" s="59" t="s">
        <v>157</v>
      </c>
      <c r="AK3" s="59" t="s">
        <v>158</v>
      </c>
      <c r="AL3" s="27" t="s">
        <v>159</v>
      </c>
      <c r="AN3" s="59" t="s">
        <v>164</v>
      </c>
      <c r="AO3" s="59" t="s">
        <v>366</v>
      </c>
      <c r="AQ3" s="59" t="s">
        <v>177</v>
      </c>
      <c r="AS3" s="59" t="s">
        <v>367</v>
      </c>
      <c r="AT3" s="59" t="s">
        <v>368</v>
      </c>
      <c r="AV3" s="59" t="s">
        <v>369</v>
      </c>
      <c r="AW3" s="59" t="s">
        <v>370</v>
      </c>
      <c r="AX3" s="59" t="s">
        <v>371</v>
      </c>
      <c r="AZ3" s="59" t="s">
        <v>372</v>
      </c>
      <c r="BA3" s="59" t="s">
        <v>373</v>
      </c>
      <c r="BB3" s="59" t="s">
        <v>374</v>
      </c>
      <c r="BD3" s="59" t="s">
        <v>375</v>
      </c>
      <c r="BF3" s="216" t="s">
        <v>252</v>
      </c>
      <c r="BH3" s="59" t="s">
        <v>371</v>
      </c>
      <c r="BI3" s="59" t="s">
        <v>376</v>
      </c>
      <c r="BJ3" s="59" t="s">
        <v>377</v>
      </c>
      <c r="BK3" s="59" t="s">
        <v>377</v>
      </c>
      <c r="BL3" s="59" t="s">
        <v>378</v>
      </c>
      <c r="BN3" s="59" t="s">
        <v>372</v>
      </c>
      <c r="BO3" s="59" t="s">
        <v>376</v>
      </c>
      <c r="BP3" s="59" t="s">
        <v>377</v>
      </c>
      <c r="BQ3" s="59" t="s">
        <v>377</v>
      </c>
      <c r="BR3" s="59" t="s">
        <v>378</v>
      </c>
      <c r="BT3" s="59" t="s">
        <v>375</v>
      </c>
      <c r="BU3" s="59" t="s">
        <v>376</v>
      </c>
      <c r="BV3" s="59" t="s">
        <v>377</v>
      </c>
      <c r="BW3" s="59" t="s">
        <v>377</v>
      </c>
      <c r="BX3" s="59" t="s">
        <v>378</v>
      </c>
      <c r="BZ3" s="59" t="s">
        <v>2</v>
      </c>
      <c r="CA3" s="59" t="s">
        <v>376</v>
      </c>
      <c r="CB3" s="59" t="s">
        <v>377</v>
      </c>
      <c r="CC3" s="59" t="s">
        <v>377</v>
      </c>
      <c r="CD3" s="59" t="s">
        <v>378</v>
      </c>
      <c r="CF3" s="59" t="s">
        <v>177</v>
      </c>
      <c r="CG3" s="59" t="s">
        <v>376</v>
      </c>
      <c r="CH3" s="59" t="s">
        <v>377</v>
      </c>
      <c r="CI3" s="59" t="s">
        <v>377</v>
      </c>
      <c r="CJ3" s="59" t="s">
        <v>378</v>
      </c>
      <c r="CM3" s="59" t="s">
        <v>252</v>
      </c>
      <c r="CN3" s="59" t="s">
        <v>379</v>
      </c>
      <c r="CO3" s="59" t="s">
        <v>380</v>
      </c>
      <c r="CP3" s="59" t="s">
        <v>2</v>
      </c>
      <c r="CQ3" s="59" t="s">
        <v>177</v>
      </c>
    </row>
    <row r="4" spans="1:95" x14ac:dyDescent="0.25">
      <c r="AD4" s="63"/>
    </row>
    <row r="5" spans="1:95" x14ac:dyDescent="0.25">
      <c r="A5" s="10" t="s">
        <v>17</v>
      </c>
      <c r="B5" s="4" t="s">
        <v>18</v>
      </c>
      <c r="C5" s="4" t="s">
        <v>19</v>
      </c>
      <c r="D5" s="4" t="s">
        <v>20</v>
      </c>
      <c r="E5" s="11">
        <f>SUMIFS('ICB Core Baseline 2024-25'!Q:Q,'ICB Core Baseline 2024-25'!C:C,C5)</f>
        <v>3049118.4291022574</v>
      </c>
      <c r="F5" s="43" t="e">
        <f>SUMIFS(#REF!,#REF!,C5)</f>
        <v>#REF!</v>
      </c>
      <c r="H5" s="43" t="e">
        <f>SUMIFS(#REF!,#REF!,C5)</f>
        <v>#REF!</v>
      </c>
      <c r="I5" s="43" t="e">
        <f>H5-$H$57</f>
        <v>#REF!</v>
      </c>
      <c r="J5" s="43" t="e">
        <f>$J$2+I5</f>
        <v>#REF!</v>
      </c>
      <c r="K5" s="11" t="e">
        <f t="shared" ref="K5:K46" si="0">E5*(J5-H5)</f>
        <v>#REF!</v>
      </c>
      <c r="L5" s="11" t="e">
        <f t="shared" ref="L5:L46" si="1">E5*(1+J5)</f>
        <v>#REF!</v>
      </c>
      <c r="M5" s="43" t="e">
        <f>SUMIFS(#REF!,#REF!,C5)</f>
        <v>#REF!</v>
      </c>
      <c r="N5" s="11" t="e">
        <f t="shared" ref="N5:N46" si="2">L5*M5</f>
        <v>#REF!</v>
      </c>
      <c r="O5" s="43" t="e">
        <f>IF(M5&gt;0,M5,M5*$O$2)</f>
        <v>#REF!</v>
      </c>
      <c r="P5" s="11" t="e">
        <f t="shared" ref="P5:P46" si="3">L5*O5</f>
        <v>#REF!</v>
      </c>
      <c r="Q5" s="11" t="e">
        <f>P5-N5</f>
        <v>#REF!</v>
      </c>
      <c r="R5" s="11" t="e">
        <f t="shared" ref="R5:R46" si="4">E5*(1+J5)*(1+O5)</f>
        <v>#REF!</v>
      </c>
      <c r="S5" s="11" t="e">
        <f>(SUMIFS(#REF!,#REF!,C5)/SUMIFS(#REF!,#REF!,C5))*1000</f>
        <v>#REF!</v>
      </c>
      <c r="T5" s="11" t="e">
        <f>(R5/S5)*1000</f>
        <v>#REF!</v>
      </c>
      <c r="U5" s="11"/>
      <c r="V5" s="11" t="e">
        <f>(E5/(1+F5))*(1+J5)</f>
        <v>#REF!</v>
      </c>
      <c r="W5" s="11" t="e">
        <f>V5-R5</f>
        <v>#REF!</v>
      </c>
      <c r="X5" s="43" t="e">
        <f>R5/V5-1</f>
        <v>#REF!</v>
      </c>
      <c r="Y5" s="43" t="e">
        <f ca="1">OFFSET(#REF!,MATCH(C5,#REF!,0)+1,0)</f>
        <v>#REF!</v>
      </c>
      <c r="Z5" s="43" t="e">
        <f ca="1">X5-Y5</f>
        <v>#REF!</v>
      </c>
      <c r="AA5" s="43" t="e">
        <f t="shared" ref="AA5:AA46" si="5">R5/E5-1</f>
        <v>#REF!</v>
      </c>
      <c r="AB5" s="11" t="e">
        <f>SUMIFS(#REF!,#REF!,C5)/(1+1.8%)*(1+1.8%+2.3%)</f>
        <v>#REF!</v>
      </c>
      <c r="AC5" s="11" t="e">
        <f>SUM(R5,AB5)</f>
        <v>#REF!</v>
      </c>
      <c r="AD5" s="64"/>
      <c r="AE5" s="11" t="e">
        <f>(SUMIFS(#REF!,#REF!,C5)/(1+1.8%))*(1+1.8%+2.3%)</f>
        <v>#REF!</v>
      </c>
      <c r="AF5" s="11" t="e">
        <f>-SUMIFS(#REF!,#REF!,C5)/1000</f>
        <v>#REF!</v>
      </c>
      <c r="AG5" s="11" t="e">
        <f>SUMIFS(#REF!,#REF!,C5)</f>
        <v>#REF!</v>
      </c>
      <c r="AH5" s="11" t="e">
        <f>SUMIFS(#REF!,#REF!,C5)</f>
        <v>#REF!</v>
      </c>
      <c r="AI5" s="11" t="e">
        <f>SUMIFS(#REF!,#REF!,C5)</f>
        <v>#REF!</v>
      </c>
      <c r="AJ5" s="11" t="e">
        <f>SUMIFS(#REF!,#REF!,C5)</f>
        <v>#REF!</v>
      </c>
      <c r="AK5" s="11"/>
      <c r="AL5" s="11" t="e">
        <f>SUM(AC5,AE5:AK5)</f>
        <v>#REF!</v>
      </c>
      <c r="AN5" s="11" t="e">
        <f>E5*(1+J5+$AN$2)*(1+O5)</f>
        <v>#REF!</v>
      </c>
      <c r="AO5" s="11" t="e">
        <f>AN5-R5</f>
        <v>#REF!</v>
      </c>
      <c r="AQ5" s="11" t="e">
        <f>500000*AH5/$AH$57</f>
        <v>#REF!</v>
      </c>
      <c r="AS5" s="43" t="e">
        <f>IF(M5&gt;0,M5,M5*$AS$2)</f>
        <v>#REF!</v>
      </c>
      <c r="AT5" s="11" t="e">
        <f>E5*(1+J5)*(1+AS5)-R5</f>
        <v>#REF!</v>
      </c>
      <c r="AV5" s="11" t="e">
        <f>'Share of £1bn'!$F$20*1000*$AO5/$AO$57</f>
        <v>#REF!</v>
      </c>
      <c r="AW5" s="11" t="e">
        <f>'Share of £1bn'!$F$27*1000*$AO5/$AO$57</f>
        <v>#REF!</v>
      </c>
      <c r="AX5" s="11" t="e">
        <f>'Share of £1bn'!$F$21*1000*$AO5/$AO$57</f>
        <v>#REF!</v>
      </c>
      <c r="AZ5" s="11" t="e">
        <f>'Share of £1bn'!$F$43*1000*AO5/$AO$57</f>
        <v>#REF!</v>
      </c>
      <c r="BA5" s="11" t="e">
        <f>'Share of £1bn'!$F$50*1000*$AO5/$AO$57</f>
        <v>#REF!</v>
      </c>
      <c r="BB5" s="11" t="e">
        <f>'Share of £1bn'!$F$44*1000*AO5/$AO$57</f>
        <v>#REF!</v>
      </c>
      <c r="BD5" s="11" t="e">
        <f>'Share of £1bn'!$F$67*1000*AO5/$AO$57</f>
        <v>#REF!</v>
      </c>
      <c r="BF5" s="11">
        <f>SUMIFS('20-11 M6 deficits'!$BO:$BO,'20-11 M6 deficits'!$C:$C,$C5)*1000</f>
        <v>-30000</v>
      </c>
      <c r="BH5" s="11" t="e">
        <f>SUM(AV5:AX5)</f>
        <v>#REF!</v>
      </c>
      <c r="BI5" s="11" t="e">
        <f>$BF5+BH5</f>
        <v>#REF!</v>
      </c>
      <c r="BJ5" s="11" t="e">
        <f>IF(AND($BF5&lt;0,BI5&lt;0),BH5,0)</f>
        <v>#REF!</v>
      </c>
      <c r="BK5" s="11" t="e">
        <f>IF(AND($BF5&lt;0,BI5&gt;0),-$BF5,0)</f>
        <v>#REF!</v>
      </c>
      <c r="BL5" s="11" t="e">
        <f>IF(OR($BF5&gt;=0,BI5&gt;=0),BH5-BK5,0)</f>
        <v>#REF!</v>
      </c>
      <c r="BN5" s="11" t="e">
        <f>SUM(AZ5:BB5)</f>
        <v>#REF!</v>
      </c>
      <c r="BO5" s="11" t="e">
        <f>$BF5+BN5</f>
        <v>#REF!</v>
      </c>
      <c r="BP5" s="11" t="e">
        <f>IF(AND($BF5&lt;0,BO5&lt;0),BN5,0)</f>
        <v>#REF!</v>
      </c>
      <c r="BQ5" s="11" t="e">
        <f>IF(AND($BF5&lt;0,BO5&gt;0),-$BF5,0)</f>
        <v>#REF!</v>
      </c>
      <c r="BR5" s="11" t="e">
        <f>IF(OR($BF5&gt;=0,BO5&gt;=0),BN5-BQ5,0)</f>
        <v>#REF!</v>
      </c>
      <c r="BT5" s="11" t="e">
        <f>SUM(BD5)</f>
        <v>#REF!</v>
      </c>
      <c r="BU5" s="11" t="e">
        <f>$BF5+BT5</f>
        <v>#REF!</v>
      </c>
      <c r="BV5" s="11" t="e">
        <f>IF(AND($BF5&lt;0,BU5&lt;0),BT5,0)</f>
        <v>#REF!</v>
      </c>
      <c r="BW5" s="11" t="e">
        <f>IF(AND($BF5&lt;0,BU5&gt;0),-$BF5,0)</f>
        <v>#REF!</v>
      </c>
      <c r="BX5" s="11" t="e">
        <f>IF(OR($BF5&gt;=0,BU5&gt;=0),BT5-BW5,0)</f>
        <v>#REF!</v>
      </c>
      <c r="BZ5" s="11" t="e">
        <f>AT5</f>
        <v>#REF!</v>
      </c>
      <c r="CA5" s="11" t="e">
        <f>$BF5+BZ5</f>
        <v>#REF!</v>
      </c>
      <c r="CB5" s="11" t="e">
        <f>IF(AND($BF5&lt;0,CA5&lt;0),BZ5,0)</f>
        <v>#REF!</v>
      </c>
      <c r="CC5" s="11" t="e">
        <f>IF(AND($BF5&lt;0,CA5&gt;0),-$BF5,0)</f>
        <v>#REF!</v>
      </c>
      <c r="CD5" s="11" t="e">
        <f>IF(OR($BF5&gt;=0,CA5&gt;=0),BZ5-CC5,0)</f>
        <v>#REF!</v>
      </c>
      <c r="CF5" s="11" t="e">
        <f>AQ5</f>
        <v>#REF!</v>
      </c>
      <c r="CG5" s="11" t="e">
        <f>$BF5+CF5</f>
        <v>#REF!</v>
      </c>
      <c r="CH5" s="11" t="e">
        <f>IF(AND($BF5&lt;0,CG5&lt;0),CF5,0)</f>
        <v>#REF!</v>
      </c>
      <c r="CI5" s="11" t="e">
        <f>IF(AND($BF5&lt;0,CG5&gt;0),-$BF5,0)</f>
        <v>#REF!</v>
      </c>
      <c r="CJ5" s="11" t="e">
        <f>IF(OR($BF5&gt;=0,CG5&gt;=0),CF5-CI5,0)</f>
        <v>#REF!</v>
      </c>
      <c r="CM5" s="209">
        <f>IF(BF5&lt;0,BF5/$BF$59,0)</f>
        <v>1.8977166894786224E-2</v>
      </c>
      <c r="CN5" s="209" t="e">
        <f>R5/$R$57</f>
        <v>#REF!</v>
      </c>
      <c r="CO5" s="209" t="e">
        <f>AO5/$AO$57</f>
        <v>#REF!</v>
      </c>
      <c r="CP5" s="209" t="e">
        <f>BZ5/$BZ$57</f>
        <v>#REF!</v>
      </c>
      <c r="CQ5" s="209" t="e">
        <f>CF5/$CF$57</f>
        <v>#REF!</v>
      </c>
    </row>
    <row r="6" spans="1:95" x14ac:dyDescent="0.25">
      <c r="A6" s="13" t="s">
        <v>17</v>
      </c>
      <c r="B6" s="14" t="s">
        <v>18</v>
      </c>
      <c r="C6" s="4" t="s">
        <v>21</v>
      </c>
      <c r="D6" s="4" t="s">
        <v>22</v>
      </c>
      <c r="E6" s="11">
        <f>SUMIFS('ICB Core Baseline 2024-25'!Q:Q,'ICB Core Baseline 2024-25'!C:C,C6)</f>
        <v>6016186.5103033921</v>
      </c>
      <c r="F6" s="43" t="e">
        <f>SUMIFS(#REF!,#REF!,C6)</f>
        <v>#REF!</v>
      </c>
      <c r="H6" s="43" t="e">
        <f>SUMIFS(#REF!,#REF!,C6)</f>
        <v>#REF!</v>
      </c>
      <c r="I6" s="43" t="e">
        <f t="shared" ref="I6:I46" si="6">H6-$H$57</f>
        <v>#REF!</v>
      </c>
      <c r="J6" s="43" t="e">
        <f t="shared" ref="J6:J46" si="7">$J$2+I6</f>
        <v>#REF!</v>
      </c>
      <c r="K6" s="11" t="e">
        <f t="shared" si="0"/>
        <v>#REF!</v>
      </c>
      <c r="L6" s="11" t="e">
        <f t="shared" si="1"/>
        <v>#REF!</v>
      </c>
      <c r="M6" s="43" t="e">
        <f>SUMIFS(#REF!,#REF!,C6)</f>
        <v>#REF!</v>
      </c>
      <c r="N6" s="11" t="e">
        <f t="shared" si="2"/>
        <v>#REF!</v>
      </c>
      <c r="O6" s="43" t="e">
        <f t="shared" ref="O6:O46" si="8">IF(M6&gt;0,M6,M6*$O$2)</f>
        <v>#REF!</v>
      </c>
      <c r="P6" s="11" t="e">
        <f t="shared" si="3"/>
        <v>#REF!</v>
      </c>
      <c r="Q6" s="11" t="e">
        <f t="shared" ref="Q6:Q46" si="9">P6-N6</f>
        <v>#REF!</v>
      </c>
      <c r="R6" s="11" t="e">
        <f t="shared" si="4"/>
        <v>#REF!</v>
      </c>
      <c r="S6" s="11" t="e">
        <f>(SUMIFS(#REF!,#REF!,C6)/SUMIFS(#REF!,#REF!,C6))*1000</f>
        <v>#REF!</v>
      </c>
      <c r="T6" s="11" t="e">
        <f t="shared" ref="T6:T46" si="10">(R6/S6)*1000</f>
        <v>#REF!</v>
      </c>
      <c r="U6" s="11"/>
      <c r="V6" s="11" t="e">
        <f t="shared" ref="V6:V46" si="11">(E6/(1+F6))*(1+J6)</f>
        <v>#REF!</v>
      </c>
      <c r="W6" s="11" t="e">
        <f t="shared" ref="W6:W46" si="12">V6-R6</f>
        <v>#REF!</v>
      </c>
      <c r="X6" s="43" t="e">
        <f t="shared" ref="X6:X46" si="13">R6/V6-1</f>
        <v>#REF!</v>
      </c>
      <c r="Y6" s="43" t="e">
        <f ca="1">OFFSET(#REF!,MATCH(C6,#REF!,0)+1,0)</f>
        <v>#REF!</v>
      </c>
      <c r="Z6" s="43" t="e">
        <f t="shared" ref="Z6:Z46" ca="1" si="14">X6-Y6</f>
        <v>#REF!</v>
      </c>
      <c r="AA6" s="43" t="e">
        <f t="shared" si="5"/>
        <v>#REF!</v>
      </c>
      <c r="AB6" s="11" t="e">
        <f>SUMIFS(#REF!,#REF!,C6)/(1+1.8%)*(1+1.8%+2.3%)</f>
        <v>#REF!</v>
      </c>
      <c r="AC6" s="11" t="e">
        <f t="shared" ref="AC6:AC46" si="15">SUM(R6,AB6)</f>
        <v>#REF!</v>
      </c>
      <c r="AD6" s="64"/>
      <c r="AE6" s="11" t="e">
        <f>(SUMIFS(#REF!,#REF!,C6)/(1+1.8%))*(1+1.8%+2.3%)</f>
        <v>#REF!</v>
      </c>
      <c r="AF6" s="11" t="e">
        <f>-SUMIFS(#REF!,#REF!,C6)/1000</f>
        <v>#REF!</v>
      </c>
      <c r="AG6" s="11" t="e">
        <f>SUMIFS(#REF!,#REF!,C6)</f>
        <v>#REF!</v>
      </c>
      <c r="AH6" s="11" t="e">
        <f>SUMIFS(#REF!,#REF!,C6)</f>
        <v>#REF!</v>
      </c>
      <c r="AI6" s="11" t="e">
        <f>SUMIFS(#REF!,#REF!,C6)</f>
        <v>#REF!</v>
      </c>
      <c r="AJ6" s="11" t="e">
        <f>SUMIFS(#REF!,#REF!,C6)</f>
        <v>#REF!</v>
      </c>
      <c r="AK6" s="11"/>
      <c r="AL6" s="11" t="e">
        <f t="shared" ref="AL6:AL46" si="16">SUM(AC6,AE6:AK6)</f>
        <v>#REF!</v>
      </c>
      <c r="AN6" s="11" t="e">
        <f t="shared" ref="AN6:AN46" si="17">E6*(1+J6+$AN$2)*(1+O6)</f>
        <v>#REF!</v>
      </c>
      <c r="AO6" s="11" t="e">
        <f t="shared" ref="AO6:AO46" si="18">AN6-R6</f>
        <v>#REF!</v>
      </c>
      <c r="AQ6" s="11" t="e">
        <f t="shared" ref="AQ6:AQ46" si="19">500000*AH6/$AH$57</f>
        <v>#REF!</v>
      </c>
      <c r="AS6" s="43" t="e">
        <f t="shared" ref="AS6:AS46" si="20">IF(M6&gt;0,M6,M6*$AS$2)</f>
        <v>#REF!</v>
      </c>
      <c r="AT6" s="11" t="e">
        <f t="shared" ref="AT6:AT46" si="21">E6*(1+J6)*(1+AS6)-R6</f>
        <v>#REF!</v>
      </c>
      <c r="AV6" s="11" t="e">
        <f>'Share of £1bn'!$F$20*1000*$AO6/$AO$57</f>
        <v>#REF!</v>
      </c>
      <c r="AW6" s="11" t="e">
        <f>'Share of £1bn'!$F$27*1000*$AO6/$AO$57</f>
        <v>#REF!</v>
      </c>
      <c r="AX6" s="11" t="e">
        <f>'Share of £1bn'!$F$21*1000*$AO6/$AO$57</f>
        <v>#REF!</v>
      </c>
      <c r="AZ6" s="11" t="e">
        <f>'Share of £1bn'!$F$43*1000*AO6/$AO$57</f>
        <v>#REF!</v>
      </c>
      <c r="BA6" s="11" t="e">
        <f>'Share of £1bn'!$F$50*1000*$AO6/$AO$57</f>
        <v>#REF!</v>
      </c>
      <c r="BB6" s="11" t="e">
        <f>'Share of £1bn'!$F$44*1000*AO6/$AO$57</f>
        <v>#REF!</v>
      </c>
      <c r="BD6" s="11" t="e">
        <f>'Share of £1bn'!$F$67*1000*AO6/$AO$57</f>
        <v>#REF!</v>
      </c>
      <c r="BF6" s="11">
        <f>SUMIFS('20-11 M6 deficits'!$BO:$BO,'20-11 M6 deficits'!$C:$C,$C6)*1000</f>
        <v>-35000</v>
      </c>
      <c r="BH6" s="11" t="e">
        <f t="shared" ref="BH6:BH46" si="22">SUM(AV6:AX6)</f>
        <v>#REF!</v>
      </c>
      <c r="BI6" s="11" t="e">
        <f t="shared" ref="BI6:BI46" si="23">$BF6+BH6</f>
        <v>#REF!</v>
      </c>
      <c r="BJ6" s="11" t="e">
        <f t="shared" ref="BJ6:BJ46" si="24">IF(AND($BF6&lt;0,BI6&lt;0),BH6,0)</f>
        <v>#REF!</v>
      </c>
      <c r="BK6" s="11" t="e">
        <f t="shared" ref="BK6:BK46" si="25">IF(AND($BF6&lt;0,BI6&gt;0),-$BF6,0)</f>
        <v>#REF!</v>
      </c>
      <c r="BL6" s="11" t="e">
        <f t="shared" ref="BL6:BL46" si="26">IF(OR($BF6&gt;=0,BI6&gt;=0),BH6-BK6,0)</f>
        <v>#REF!</v>
      </c>
      <c r="BN6" s="11" t="e">
        <f t="shared" ref="BN6:BN46" si="27">SUM(AZ6:BB6)</f>
        <v>#REF!</v>
      </c>
      <c r="BO6" s="11" t="e">
        <f t="shared" ref="BO6:BO46" si="28">$BF6+BN6</f>
        <v>#REF!</v>
      </c>
      <c r="BP6" s="11" t="e">
        <f t="shared" ref="BP6:BP46" si="29">IF(AND($BF6&lt;0,BO6&lt;0),BN6,0)</f>
        <v>#REF!</v>
      </c>
      <c r="BQ6" s="11" t="e">
        <f t="shared" ref="BQ6:BQ46" si="30">IF(AND($BF6&lt;0,BO6&gt;0),-$BF6,0)</f>
        <v>#REF!</v>
      </c>
      <c r="BR6" s="11" t="e">
        <f t="shared" ref="BR6:BR46" si="31">IF(OR($BF6&gt;=0,BO6&gt;=0),BN6-BQ6,0)</f>
        <v>#REF!</v>
      </c>
      <c r="BT6" s="11" t="e">
        <f t="shared" ref="BT6:BT46" si="32">SUM(BD6)</f>
        <v>#REF!</v>
      </c>
      <c r="BU6" s="11" t="e">
        <f t="shared" ref="BU6:BU46" si="33">$BF6+BT6</f>
        <v>#REF!</v>
      </c>
      <c r="BV6" s="11" t="e">
        <f t="shared" ref="BV6:BV46" si="34">IF(AND($BF6&lt;0,BU6&lt;0),BT6,0)</f>
        <v>#REF!</v>
      </c>
      <c r="BW6" s="11" t="e">
        <f t="shared" ref="BW6:BW46" si="35">IF(AND($BF6&lt;0,BU6&gt;0),-$BF6,0)</f>
        <v>#REF!</v>
      </c>
      <c r="BX6" s="11" t="e">
        <f t="shared" ref="BX6:BX46" si="36">IF(OR($BF6&gt;=0,BU6&gt;=0),BT6-BW6,0)</f>
        <v>#REF!</v>
      </c>
      <c r="BZ6" s="11" t="e">
        <f t="shared" ref="BZ6:BZ46" si="37">AT6</f>
        <v>#REF!</v>
      </c>
      <c r="CA6" s="11" t="e">
        <f t="shared" ref="CA6:CA46" si="38">$BF6+BZ6</f>
        <v>#REF!</v>
      </c>
      <c r="CB6" s="11" t="e">
        <f t="shared" ref="CB6:CB46" si="39">IF(AND($BF6&lt;0,CA6&lt;0),BZ6,0)</f>
        <v>#REF!</v>
      </c>
      <c r="CC6" s="11" t="e">
        <f t="shared" ref="CC6:CC46" si="40">IF(AND($BF6&lt;0,CA6&gt;0),-$BF6,0)</f>
        <v>#REF!</v>
      </c>
      <c r="CD6" s="11" t="e">
        <f t="shared" ref="CD6:CD46" si="41">IF(OR($BF6&gt;=0,CA6&gt;=0),BZ6-CC6,0)</f>
        <v>#REF!</v>
      </c>
      <c r="CF6" s="11" t="e">
        <f t="shared" ref="CF6:CF46" si="42">AQ6</f>
        <v>#REF!</v>
      </c>
      <c r="CG6" s="11" t="e">
        <f t="shared" ref="CG6:CG46" si="43">$BF6+CF6</f>
        <v>#REF!</v>
      </c>
      <c r="CH6" s="11" t="e">
        <f t="shared" ref="CH6:CH46" si="44">IF(AND($BF6&lt;0,CG6&lt;0),CF6,0)</f>
        <v>#REF!</v>
      </c>
      <c r="CI6" s="11" t="e">
        <f t="shared" ref="CI6:CI46" si="45">IF(AND($BF6&lt;0,CG6&gt;0),-$BF6,0)</f>
        <v>#REF!</v>
      </c>
      <c r="CJ6" s="11" t="e">
        <f t="shared" ref="CJ6:CJ46" si="46">IF(OR($BF6&gt;=0,CG6&gt;=0),CF6-CI6,0)</f>
        <v>#REF!</v>
      </c>
      <c r="CM6" s="209">
        <f t="shared" ref="CM6:CM46" si="47">IF(BF6&lt;0,BF6/$BF$59,0)</f>
        <v>2.2140028043917261E-2</v>
      </c>
      <c r="CN6" s="209" t="e">
        <f t="shared" ref="CN6:CN46" si="48">R6/$R$57</f>
        <v>#REF!</v>
      </c>
      <c r="CO6" s="209" t="e">
        <f t="shared" ref="CO6:CO46" si="49">AO6/$AO$57</f>
        <v>#REF!</v>
      </c>
      <c r="CP6" s="209" t="e">
        <f t="shared" ref="CP6:CP46" si="50">BZ6/$BZ$57</f>
        <v>#REF!</v>
      </c>
      <c r="CQ6" s="209" t="e">
        <f t="shared" ref="CQ6:CQ46" si="51">CF6/$CF$57</f>
        <v>#REF!</v>
      </c>
    </row>
    <row r="7" spans="1:95" x14ac:dyDescent="0.25">
      <c r="A7" s="13" t="s">
        <v>17</v>
      </c>
      <c r="B7" s="14" t="s">
        <v>18</v>
      </c>
      <c r="C7" s="4" t="s">
        <v>23</v>
      </c>
      <c r="D7" s="4" t="s">
        <v>24</v>
      </c>
      <c r="E7" s="11">
        <f>SUMIFS('ICB Core Baseline 2024-25'!Q:Q,'ICB Core Baseline 2024-25'!C:C,C7)</f>
        <v>2625646.0761444462</v>
      </c>
      <c r="F7" s="43" t="e">
        <f>SUMIFS(#REF!,#REF!,C7)</f>
        <v>#REF!</v>
      </c>
      <c r="H7" s="43" t="e">
        <f>SUMIFS(#REF!,#REF!,C7)</f>
        <v>#REF!</v>
      </c>
      <c r="I7" s="43" t="e">
        <f t="shared" si="6"/>
        <v>#REF!</v>
      </c>
      <c r="J7" s="43" t="e">
        <f t="shared" si="7"/>
        <v>#REF!</v>
      </c>
      <c r="K7" s="11" t="e">
        <f t="shared" si="0"/>
        <v>#REF!</v>
      </c>
      <c r="L7" s="11" t="e">
        <f t="shared" si="1"/>
        <v>#REF!</v>
      </c>
      <c r="M7" s="43" t="e">
        <f>SUMIFS(#REF!,#REF!,C7)</f>
        <v>#REF!</v>
      </c>
      <c r="N7" s="11" t="e">
        <f t="shared" si="2"/>
        <v>#REF!</v>
      </c>
      <c r="O7" s="43" t="e">
        <f t="shared" si="8"/>
        <v>#REF!</v>
      </c>
      <c r="P7" s="11" t="e">
        <f t="shared" si="3"/>
        <v>#REF!</v>
      </c>
      <c r="Q7" s="11" t="e">
        <f t="shared" si="9"/>
        <v>#REF!</v>
      </c>
      <c r="R7" s="11" t="e">
        <f t="shared" si="4"/>
        <v>#REF!</v>
      </c>
      <c r="S7" s="11" t="e">
        <f>(SUMIFS(#REF!,#REF!,C7)/SUMIFS(#REF!,#REF!,C7))*1000</f>
        <v>#REF!</v>
      </c>
      <c r="T7" s="11" t="e">
        <f t="shared" si="10"/>
        <v>#REF!</v>
      </c>
      <c r="U7" s="11"/>
      <c r="V7" s="11" t="e">
        <f t="shared" si="11"/>
        <v>#REF!</v>
      </c>
      <c r="W7" s="11" t="e">
        <f t="shared" si="12"/>
        <v>#REF!</v>
      </c>
      <c r="X7" s="43" t="e">
        <f t="shared" si="13"/>
        <v>#REF!</v>
      </c>
      <c r="Y7" s="43" t="e">
        <f ca="1">OFFSET(#REF!,MATCH(C7,#REF!,0)+1,0)</f>
        <v>#REF!</v>
      </c>
      <c r="Z7" s="43" t="e">
        <f t="shared" ca="1" si="14"/>
        <v>#REF!</v>
      </c>
      <c r="AA7" s="43" t="e">
        <f t="shared" si="5"/>
        <v>#REF!</v>
      </c>
      <c r="AB7" s="11" t="e">
        <f>SUMIFS(#REF!,#REF!,C7)/(1+1.8%)*(1+1.8%+2.3%)</f>
        <v>#REF!</v>
      </c>
      <c r="AC7" s="11" t="e">
        <f t="shared" si="15"/>
        <v>#REF!</v>
      </c>
      <c r="AD7" s="64"/>
      <c r="AE7" s="11" t="e">
        <f>(SUMIFS(#REF!,#REF!,C7)/(1+1.8%))*(1+1.8%+2.3%)</f>
        <v>#REF!</v>
      </c>
      <c r="AF7" s="11" t="e">
        <f>-SUMIFS(#REF!,#REF!,C7)/1000</f>
        <v>#REF!</v>
      </c>
      <c r="AG7" s="11" t="e">
        <f>SUMIFS(#REF!,#REF!,C7)</f>
        <v>#REF!</v>
      </c>
      <c r="AH7" s="11" t="e">
        <f>SUMIFS(#REF!,#REF!,C7)</f>
        <v>#REF!</v>
      </c>
      <c r="AI7" s="11" t="e">
        <f>SUMIFS(#REF!,#REF!,C7)</f>
        <v>#REF!</v>
      </c>
      <c r="AJ7" s="11" t="e">
        <f>SUMIFS(#REF!,#REF!,C7)</f>
        <v>#REF!</v>
      </c>
      <c r="AK7" s="11"/>
      <c r="AL7" s="11" t="e">
        <f t="shared" si="16"/>
        <v>#REF!</v>
      </c>
      <c r="AN7" s="11" t="e">
        <f t="shared" si="17"/>
        <v>#REF!</v>
      </c>
      <c r="AO7" s="11" t="e">
        <f t="shared" si="18"/>
        <v>#REF!</v>
      </c>
      <c r="AQ7" s="11" t="e">
        <f t="shared" si="19"/>
        <v>#REF!</v>
      </c>
      <c r="AS7" s="43" t="e">
        <f t="shared" si="20"/>
        <v>#REF!</v>
      </c>
      <c r="AT7" s="11" t="e">
        <f t="shared" si="21"/>
        <v>#REF!</v>
      </c>
      <c r="AV7" s="11" t="e">
        <f>'Share of £1bn'!$F$20*1000*$AO7/$AO$57</f>
        <v>#REF!</v>
      </c>
      <c r="AW7" s="11" t="e">
        <f>'Share of £1bn'!$F$27*1000*$AO7/$AO$57</f>
        <v>#REF!</v>
      </c>
      <c r="AX7" s="11" t="e">
        <f>'Share of £1bn'!$F$21*1000*$AO7/$AO$57</f>
        <v>#REF!</v>
      </c>
      <c r="AZ7" s="11" t="e">
        <f>'Share of £1bn'!$F$43*1000*AO7/$AO$57</f>
        <v>#REF!</v>
      </c>
      <c r="BA7" s="11" t="e">
        <f>'Share of £1bn'!$F$50*1000*$AO7/$AO$57</f>
        <v>#REF!</v>
      </c>
      <c r="BB7" s="11" t="e">
        <f>'Share of £1bn'!$F$44*1000*AO7/$AO$57</f>
        <v>#REF!</v>
      </c>
      <c r="BD7" s="11" t="e">
        <f>'Share of £1bn'!$F$67*1000*AO7/$AO$57</f>
        <v>#REF!</v>
      </c>
      <c r="BF7" s="11">
        <f>SUMIFS('20-11 M6 deficits'!$BO:$BO,'20-11 M6 deficits'!$C:$C,$C7)*1000</f>
        <v>-40017.770822656123</v>
      </c>
      <c r="BH7" s="11" t="e">
        <f t="shared" si="22"/>
        <v>#REF!</v>
      </c>
      <c r="BI7" s="11" t="e">
        <f t="shared" si="23"/>
        <v>#REF!</v>
      </c>
      <c r="BJ7" s="11" t="e">
        <f t="shared" si="24"/>
        <v>#REF!</v>
      </c>
      <c r="BK7" s="11" t="e">
        <f t="shared" si="25"/>
        <v>#REF!</v>
      </c>
      <c r="BL7" s="11" t="e">
        <f t="shared" si="26"/>
        <v>#REF!</v>
      </c>
      <c r="BN7" s="11" t="e">
        <f t="shared" si="27"/>
        <v>#REF!</v>
      </c>
      <c r="BO7" s="11" t="e">
        <f t="shared" si="28"/>
        <v>#REF!</v>
      </c>
      <c r="BP7" s="11" t="e">
        <f t="shared" si="29"/>
        <v>#REF!</v>
      </c>
      <c r="BQ7" s="11" t="e">
        <f t="shared" si="30"/>
        <v>#REF!</v>
      </c>
      <c r="BR7" s="11" t="e">
        <f t="shared" si="31"/>
        <v>#REF!</v>
      </c>
      <c r="BT7" s="11" t="e">
        <f t="shared" si="32"/>
        <v>#REF!</v>
      </c>
      <c r="BU7" s="11" t="e">
        <f t="shared" si="33"/>
        <v>#REF!</v>
      </c>
      <c r="BV7" s="11" t="e">
        <f t="shared" si="34"/>
        <v>#REF!</v>
      </c>
      <c r="BW7" s="11" t="e">
        <f t="shared" si="35"/>
        <v>#REF!</v>
      </c>
      <c r="BX7" s="11" t="e">
        <f t="shared" si="36"/>
        <v>#REF!</v>
      </c>
      <c r="BZ7" s="11" t="e">
        <f t="shared" si="37"/>
        <v>#REF!</v>
      </c>
      <c r="CA7" s="11" t="e">
        <f t="shared" si="38"/>
        <v>#REF!</v>
      </c>
      <c r="CB7" s="11" t="e">
        <f t="shared" si="39"/>
        <v>#REF!</v>
      </c>
      <c r="CC7" s="11" t="e">
        <f t="shared" si="40"/>
        <v>#REF!</v>
      </c>
      <c r="CD7" s="11" t="e">
        <f t="shared" si="41"/>
        <v>#REF!</v>
      </c>
      <c r="CF7" s="11" t="e">
        <f t="shared" si="42"/>
        <v>#REF!</v>
      </c>
      <c r="CG7" s="11" t="e">
        <f t="shared" si="43"/>
        <v>#REF!</v>
      </c>
      <c r="CH7" s="11" t="e">
        <f t="shared" si="44"/>
        <v>#REF!</v>
      </c>
      <c r="CI7" s="11" t="e">
        <f t="shared" si="45"/>
        <v>#REF!</v>
      </c>
      <c r="CJ7" s="11" t="e">
        <f t="shared" si="46"/>
        <v>#REF!</v>
      </c>
      <c r="CM7" s="209">
        <f t="shared" si="47"/>
        <v>2.5314130521961731E-2</v>
      </c>
      <c r="CN7" s="209" t="e">
        <f t="shared" si="48"/>
        <v>#REF!</v>
      </c>
      <c r="CO7" s="209" t="e">
        <f t="shared" si="49"/>
        <v>#REF!</v>
      </c>
      <c r="CP7" s="209" t="e">
        <f t="shared" si="50"/>
        <v>#REF!</v>
      </c>
      <c r="CQ7" s="209" t="e">
        <f t="shared" si="51"/>
        <v>#REF!</v>
      </c>
    </row>
    <row r="8" spans="1:95" x14ac:dyDescent="0.25">
      <c r="A8" s="15" t="s">
        <v>17</v>
      </c>
      <c r="B8" s="16" t="s">
        <v>18</v>
      </c>
      <c r="C8" s="17" t="s">
        <v>25</v>
      </c>
      <c r="D8" s="17" t="s">
        <v>26</v>
      </c>
      <c r="E8" s="18">
        <f>SUMIFS('ICB Core Baseline 2024-25'!Q:Q,'ICB Core Baseline 2024-25'!C:C,C8)</f>
        <v>4412463.5914081903</v>
      </c>
      <c r="F8" s="44" t="e">
        <f>SUMIFS(#REF!,#REF!,C8)</f>
        <v>#REF!</v>
      </c>
      <c r="H8" s="44" t="e">
        <f>SUMIFS(#REF!,#REF!,C8)</f>
        <v>#REF!</v>
      </c>
      <c r="I8" s="44" t="e">
        <f t="shared" si="6"/>
        <v>#REF!</v>
      </c>
      <c r="J8" s="44" t="e">
        <f t="shared" si="7"/>
        <v>#REF!</v>
      </c>
      <c r="K8" s="18" t="e">
        <f t="shared" si="0"/>
        <v>#REF!</v>
      </c>
      <c r="L8" s="18" t="e">
        <f t="shared" si="1"/>
        <v>#REF!</v>
      </c>
      <c r="M8" s="44" t="e">
        <f>SUMIFS(#REF!,#REF!,C8)</f>
        <v>#REF!</v>
      </c>
      <c r="N8" s="18" t="e">
        <f t="shared" si="2"/>
        <v>#REF!</v>
      </c>
      <c r="O8" s="44" t="e">
        <f t="shared" si="8"/>
        <v>#REF!</v>
      </c>
      <c r="P8" s="18" t="e">
        <f t="shared" si="3"/>
        <v>#REF!</v>
      </c>
      <c r="Q8" s="18" t="e">
        <f t="shared" si="9"/>
        <v>#REF!</v>
      </c>
      <c r="R8" s="18" t="e">
        <f t="shared" si="4"/>
        <v>#REF!</v>
      </c>
      <c r="S8" s="18" t="e">
        <f>(SUMIFS(#REF!,#REF!,C8)/SUMIFS(#REF!,#REF!,C8))*1000</f>
        <v>#REF!</v>
      </c>
      <c r="T8" s="18" t="e">
        <f t="shared" si="10"/>
        <v>#REF!</v>
      </c>
      <c r="U8" s="18"/>
      <c r="V8" s="18" t="e">
        <f t="shared" si="11"/>
        <v>#REF!</v>
      </c>
      <c r="W8" s="18" t="e">
        <f t="shared" si="12"/>
        <v>#REF!</v>
      </c>
      <c r="X8" s="44" t="e">
        <f t="shared" si="13"/>
        <v>#REF!</v>
      </c>
      <c r="Y8" s="44" t="e">
        <f ca="1">OFFSET(#REF!,MATCH(C8,#REF!,0)+1,0)</f>
        <v>#REF!</v>
      </c>
      <c r="Z8" s="44" t="e">
        <f t="shared" ca="1" si="14"/>
        <v>#REF!</v>
      </c>
      <c r="AA8" s="44" t="e">
        <f t="shared" si="5"/>
        <v>#REF!</v>
      </c>
      <c r="AB8" s="18" t="e">
        <f>SUMIFS(#REF!,#REF!,C8)/(1+1.8%)*(1+1.8%+2.3%)</f>
        <v>#REF!</v>
      </c>
      <c r="AC8" s="18" t="e">
        <f t="shared" si="15"/>
        <v>#REF!</v>
      </c>
      <c r="AD8" s="65"/>
      <c r="AE8" s="18" t="e">
        <f>(SUMIFS(#REF!,#REF!,C8)/(1+1.8%))*(1+1.8%+2.3%)</f>
        <v>#REF!</v>
      </c>
      <c r="AF8" s="18" t="e">
        <f>-SUMIFS(#REF!,#REF!,C8)/1000</f>
        <v>#REF!</v>
      </c>
      <c r="AG8" s="18" t="e">
        <f>SUMIFS(#REF!,#REF!,C8)</f>
        <v>#REF!</v>
      </c>
      <c r="AH8" s="18" t="e">
        <f>SUMIFS(#REF!,#REF!,C8)</f>
        <v>#REF!</v>
      </c>
      <c r="AI8" s="18" t="e">
        <f>SUMIFS(#REF!,#REF!,C8)</f>
        <v>#REF!</v>
      </c>
      <c r="AJ8" s="18" t="e">
        <f>SUMIFS(#REF!,#REF!,C8)</f>
        <v>#REF!</v>
      </c>
      <c r="AK8" s="18"/>
      <c r="AL8" s="18" t="e">
        <f t="shared" si="16"/>
        <v>#REF!</v>
      </c>
      <c r="AN8" s="18" t="e">
        <f t="shared" si="17"/>
        <v>#REF!</v>
      </c>
      <c r="AO8" s="18" t="e">
        <f t="shared" si="18"/>
        <v>#REF!</v>
      </c>
      <c r="AQ8" s="18" t="e">
        <f t="shared" si="19"/>
        <v>#REF!</v>
      </c>
      <c r="AS8" s="44" t="e">
        <f t="shared" si="20"/>
        <v>#REF!</v>
      </c>
      <c r="AT8" s="18" t="e">
        <f t="shared" si="21"/>
        <v>#REF!</v>
      </c>
      <c r="AV8" s="18" t="e">
        <f>'Share of £1bn'!$F$20*1000*$AO8/$AO$57</f>
        <v>#REF!</v>
      </c>
      <c r="AW8" s="18" t="e">
        <f>'Share of £1bn'!$F$27*1000*$AO8/$AO$57</f>
        <v>#REF!</v>
      </c>
      <c r="AX8" s="18" t="e">
        <f>'Share of £1bn'!$F$21*1000*$AO8/$AO$57</f>
        <v>#REF!</v>
      </c>
      <c r="AZ8" s="18" t="e">
        <f>'Share of £1bn'!$F$43*1000*AO8/$AO$57</f>
        <v>#REF!</v>
      </c>
      <c r="BA8" s="18" t="e">
        <f>'Share of £1bn'!$F$50*1000*$AO8/$AO$57</f>
        <v>#REF!</v>
      </c>
      <c r="BB8" s="18" t="e">
        <f>'Share of £1bn'!$F$44*1000*AO8/$AO$57</f>
        <v>#REF!</v>
      </c>
      <c r="BD8" s="18" t="e">
        <f>'Share of £1bn'!$F$67*1000*AO8/$AO$57</f>
        <v>#REF!</v>
      </c>
      <c r="BF8" s="11">
        <f>SUMIFS('20-11 M6 deficits'!$BO:$BO,'20-11 M6 deficits'!$C:$C,$C8)*1000</f>
        <v>0</v>
      </c>
      <c r="BH8" s="18" t="e">
        <f t="shared" si="22"/>
        <v>#REF!</v>
      </c>
      <c r="BI8" s="18" t="e">
        <f t="shared" si="23"/>
        <v>#REF!</v>
      </c>
      <c r="BJ8" s="18" t="e">
        <f t="shared" si="24"/>
        <v>#REF!</v>
      </c>
      <c r="BK8" s="18" t="e">
        <f t="shared" si="25"/>
        <v>#REF!</v>
      </c>
      <c r="BL8" s="18" t="e">
        <f t="shared" si="26"/>
        <v>#REF!</v>
      </c>
      <c r="BN8" s="18" t="e">
        <f t="shared" si="27"/>
        <v>#REF!</v>
      </c>
      <c r="BO8" s="18" t="e">
        <f t="shared" si="28"/>
        <v>#REF!</v>
      </c>
      <c r="BP8" s="18" t="e">
        <f t="shared" si="29"/>
        <v>#REF!</v>
      </c>
      <c r="BQ8" s="18" t="e">
        <f t="shared" si="30"/>
        <v>#REF!</v>
      </c>
      <c r="BR8" s="18" t="e">
        <f t="shared" si="31"/>
        <v>#REF!</v>
      </c>
      <c r="BT8" s="18" t="e">
        <f t="shared" si="32"/>
        <v>#REF!</v>
      </c>
      <c r="BU8" s="18" t="e">
        <f t="shared" si="33"/>
        <v>#REF!</v>
      </c>
      <c r="BV8" s="18" t="e">
        <f t="shared" si="34"/>
        <v>#REF!</v>
      </c>
      <c r="BW8" s="18" t="e">
        <f t="shared" si="35"/>
        <v>#REF!</v>
      </c>
      <c r="BX8" s="18" t="e">
        <f t="shared" si="36"/>
        <v>#REF!</v>
      </c>
      <c r="BZ8" s="18" t="e">
        <f t="shared" si="37"/>
        <v>#REF!</v>
      </c>
      <c r="CA8" s="18" t="e">
        <f t="shared" si="38"/>
        <v>#REF!</v>
      </c>
      <c r="CB8" s="18" t="e">
        <f t="shared" si="39"/>
        <v>#REF!</v>
      </c>
      <c r="CC8" s="18" t="e">
        <f t="shared" si="40"/>
        <v>#REF!</v>
      </c>
      <c r="CD8" s="18" t="e">
        <f t="shared" si="41"/>
        <v>#REF!</v>
      </c>
      <c r="CF8" s="18" t="e">
        <f t="shared" si="42"/>
        <v>#REF!</v>
      </c>
      <c r="CG8" s="18" t="e">
        <f t="shared" si="43"/>
        <v>#REF!</v>
      </c>
      <c r="CH8" s="18" t="e">
        <f t="shared" si="44"/>
        <v>#REF!</v>
      </c>
      <c r="CI8" s="18" t="e">
        <f t="shared" si="45"/>
        <v>#REF!</v>
      </c>
      <c r="CJ8" s="18" t="e">
        <f t="shared" si="46"/>
        <v>#REF!</v>
      </c>
      <c r="CM8" s="209">
        <f t="shared" si="47"/>
        <v>0</v>
      </c>
      <c r="CN8" s="209" t="e">
        <f t="shared" si="48"/>
        <v>#REF!</v>
      </c>
      <c r="CO8" s="209" t="e">
        <f t="shared" si="49"/>
        <v>#REF!</v>
      </c>
      <c r="CP8" s="209" t="e">
        <f t="shared" si="50"/>
        <v>#REF!</v>
      </c>
      <c r="CQ8" s="209" t="e">
        <f t="shared" si="51"/>
        <v>#REF!</v>
      </c>
    </row>
    <row r="9" spans="1:95" x14ac:dyDescent="0.25">
      <c r="A9" s="10" t="s">
        <v>27</v>
      </c>
      <c r="B9" s="4" t="s">
        <v>28</v>
      </c>
      <c r="C9" s="4" t="s">
        <v>29</v>
      </c>
      <c r="D9" s="4" t="s">
        <v>30</v>
      </c>
      <c r="E9" s="11">
        <f>SUMIFS('ICB Core Baseline 2024-25'!Q:Q,'ICB Core Baseline 2024-25'!C:C,C9)</f>
        <v>5282103.6953610079</v>
      </c>
      <c r="F9" s="43" t="e">
        <f>SUMIFS(#REF!,#REF!,C9)</f>
        <v>#REF!</v>
      </c>
      <c r="H9" s="43" t="e">
        <f>SUMIFS(#REF!,#REF!,C9)</f>
        <v>#REF!</v>
      </c>
      <c r="I9" s="43" t="e">
        <f t="shared" si="6"/>
        <v>#REF!</v>
      </c>
      <c r="J9" s="43" t="e">
        <f t="shared" si="7"/>
        <v>#REF!</v>
      </c>
      <c r="K9" s="11" t="e">
        <f t="shared" si="0"/>
        <v>#REF!</v>
      </c>
      <c r="L9" s="11" t="e">
        <f t="shared" si="1"/>
        <v>#REF!</v>
      </c>
      <c r="M9" s="43" t="e">
        <f>SUMIFS(#REF!,#REF!,C9)</f>
        <v>#REF!</v>
      </c>
      <c r="N9" s="11" t="e">
        <f t="shared" si="2"/>
        <v>#REF!</v>
      </c>
      <c r="O9" s="43" t="e">
        <f t="shared" si="8"/>
        <v>#REF!</v>
      </c>
      <c r="P9" s="11" t="e">
        <f t="shared" si="3"/>
        <v>#REF!</v>
      </c>
      <c r="Q9" s="11" t="e">
        <f t="shared" si="9"/>
        <v>#REF!</v>
      </c>
      <c r="R9" s="11" t="e">
        <f t="shared" si="4"/>
        <v>#REF!</v>
      </c>
      <c r="S9" s="11" t="e">
        <f>(SUMIFS(#REF!,#REF!,C9)/SUMIFS(#REF!,#REF!,C9))*1000</f>
        <v>#REF!</v>
      </c>
      <c r="T9" s="11" t="e">
        <f t="shared" si="10"/>
        <v>#REF!</v>
      </c>
      <c r="U9" s="11"/>
      <c r="V9" s="11" t="e">
        <f t="shared" si="11"/>
        <v>#REF!</v>
      </c>
      <c r="W9" s="11" t="e">
        <f t="shared" si="12"/>
        <v>#REF!</v>
      </c>
      <c r="X9" s="43" t="e">
        <f t="shared" si="13"/>
        <v>#REF!</v>
      </c>
      <c r="Y9" s="43" t="e">
        <f ca="1">OFFSET(#REF!,MATCH(C9,#REF!,0)+1,0)</f>
        <v>#REF!</v>
      </c>
      <c r="Z9" s="43" t="e">
        <f t="shared" ca="1" si="14"/>
        <v>#REF!</v>
      </c>
      <c r="AA9" s="43" t="e">
        <f t="shared" si="5"/>
        <v>#REF!</v>
      </c>
      <c r="AB9" s="11" t="e">
        <f>SUMIFS(#REF!,#REF!,C9)/(1+1.8%)*(1+1.8%+2.3%)</f>
        <v>#REF!</v>
      </c>
      <c r="AC9" s="11" t="e">
        <f t="shared" si="15"/>
        <v>#REF!</v>
      </c>
      <c r="AD9" s="64"/>
      <c r="AE9" s="11" t="e">
        <f>(SUMIFS(#REF!,#REF!,C9)/(1+1.8%))*(1+1.8%+2.3%)</f>
        <v>#REF!</v>
      </c>
      <c r="AF9" s="11" t="e">
        <f>-SUMIFS(#REF!,#REF!,C9)/1000</f>
        <v>#REF!</v>
      </c>
      <c r="AG9" s="11" t="e">
        <f>SUMIFS(#REF!,#REF!,C9)</f>
        <v>#REF!</v>
      </c>
      <c r="AH9" s="11" t="e">
        <f>SUMIFS(#REF!,#REF!,C9)</f>
        <v>#REF!</v>
      </c>
      <c r="AI9" s="11" t="e">
        <f>SUMIFS(#REF!,#REF!,C9)</f>
        <v>#REF!</v>
      </c>
      <c r="AJ9" s="11" t="e">
        <f>SUMIFS(#REF!,#REF!,C9)</f>
        <v>#REF!</v>
      </c>
      <c r="AK9" s="11"/>
      <c r="AL9" s="11" t="e">
        <f t="shared" si="16"/>
        <v>#REF!</v>
      </c>
      <c r="AN9" s="11" t="e">
        <f t="shared" si="17"/>
        <v>#REF!</v>
      </c>
      <c r="AO9" s="11" t="e">
        <f t="shared" si="18"/>
        <v>#REF!</v>
      </c>
      <c r="AQ9" s="11" t="e">
        <f t="shared" si="19"/>
        <v>#REF!</v>
      </c>
      <c r="AS9" s="43" t="e">
        <f t="shared" si="20"/>
        <v>#REF!</v>
      </c>
      <c r="AT9" s="11" t="e">
        <f t="shared" si="21"/>
        <v>#REF!</v>
      </c>
      <c r="AV9" s="11" t="e">
        <f>'Share of £1bn'!$F$20*1000*$AO9/$AO$57</f>
        <v>#REF!</v>
      </c>
      <c r="AW9" s="11" t="e">
        <f>'Share of £1bn'!$F$27*1000*$AO9/$AO$57</f>
        <v>#REF!</v>
      </c>
      <c r="AX9" s="11" t="e">
        <f>'Share of £1bn'!$F$21*1000*$AO9/$AO$57</f>
        <v>#REF!</v>
      </c>
      <c r="AZ9" s="11" t="e">
        <f>'Share of £1bn'!$F$43*1000*AO9/$AO$57</f>
        <v>#REF!</v>
      </c>
      <c r="BA9" s="11" t="e">
        <f>'Share of £1bn'!$F$50*1000*$AO9/$AO$57</f>
        <v>#REF!</v>
      </c>
      <c r="BB9" s="11" t="e">
        <f>'Share of £1bn'!$F$44*1000*AO9/$AO$57</f>
        <v>#REF!</v>
      </c>
      <c r="BD9" s="11" t="e">
        <f>'Share of £1bn'!$F$67*1000*AO9/$AO$57</f>
        <v>#REF!</v>
      </c>
      <c r="BF9" s="11">
        <f>SUMIFS('20-11 M6 deficits'!$BO:$BO,'20-11 M6 deficits'!$C:$C,$C9)*1000</f>
        <v>-51200</v>
      </c>
      <c r="BH9" s="11" t="e">
        <f t="shared" si="22"/>
        <v>#REF!</v>
      </c>
      <c r="BI9" s="11" t="e">
        <f t="shared" si="23"/>
        <v>#REF!</v>
      </c>
      <c r="BJ9" s="11" t="e">
        <f t="shared" si="24"/>
        <v>#REF!</v>
      </c>
      <c r="BK9" s="11" t="e">
        <f t="shared" si="25"/>
        <v>#REF!</v>
      </c>
      <c r="BL9" s="11" t="e">
        <f t="shared" si="26"/>
        <v>#REF!</v>
      </c>
      <c r="BN9" s="11" t="e">
        <f t="shared" si="27"/>
        <v>#REF!</v>
      </c>
      <c r="BO9" s="11" t="e">
        <f t="shared" si="28"/>
        <v>#REF!</v>
      </c>
      <c r="BP9" s="11" t="e">
        <f t="shared" si="29"/>
        <v>#REF!</v>
      </c>
      <c r="BQ9" s="11" t="e">
        <f t="shared" si="30"/>
        <v>#REF!</v>
      </c>
      <c r="BR9" s="11" t="e">
        <f t="shared" si="31"/>
        <v>#REF!</v>
      </c>
      <c r="BT9" s="11" t="e">
        <f t="shared" si="32"/>
        <v>#REF!</v>
      </c>
      <c r="BU9" s="11" t="e">
        <f t="shared" si="33"/>
        <v>#REF!</v>
      </c>
      <c r="BV9" s="11" t="e">
        <f t="shared" si="34"/>
        <v>#REF!</v>
      </c>
      <c r="BW9" s="11" t="e">
        <f t="shared" si="35"/>
        <v>#REF!</v>
      </c>
      <c r="BX9" s="11" t="e">
        <f t="shared" si="36"/>
        <v>#REF!</v>
      </c>
      <c r="BZ9" s="11" t="e">
        <f t="shared" si="37"/>
        <v>#REF!</v>
      </c>
      <c r="CA9" s="11" t="e">
        <f t="shared" si="38"/>
        <v>#REF!</v>
      </c>
      <c r="CB9" s="11" t="e">
        <f t="shared" si="39"/>
        <v>#REF!</v>
      </c>
      <c r="CC9" s="11" t="e">
        <f t="shared" si="40"/>
        <v>#REF!</v>
      </c>
      <c r="CD9" s="11" t="e">
        <f t="shared" si="41"/>
        <v>#REF!</v>
      </c>
      <c r="CF9" s="11" t="e">
        <f t="shared" si="42"/>
        <v>#REF!</v>
      </c>
      <c r="CG9" s="11" t="e">
        <f t="shared" si="43"/>
        <v>#REF!</v>
      </c>
      <c r="CH9" s="11" t="e">
        <f t="shared" si="44"/>
        <v>#REF!</v>
      </c>
      <c r="CI9" s="11" t="e">
        <f t="shared" si="45"/>
        <v>#REF!</v>
      </c>
      <c r="CJ9" s="11" t="e">
        <f t="shared" si="46"/>
        <v>#REF!</v>
      </c>
      <c r="CM9" s="209">
        <f t="shared" si="47"/>
        <v>3.2387698167101825E-2</v>
      </c>
      <c r="CN9" s="209" t="e">
        <f t="shared" si="48"/>
        <v>#REF!</v>
      </c>
      <c r="CO9" s="209" t="e">
        <f t="shared" si="49"/>
        <v>#REF!</v>
      </c>
      <c r="CP9" s="209" t="e">
        <f t="shared" si="50"/>
        <v>#REF!</v>
      </c>
      <c r="CQ9" s="209" t="e">
        <f t="shared" si="51"/>
        <v>#REF!</v>
      </c>
    </row>
    <row r="10" spans="1:95" x14ac:dyDescent="0.25">
      <c r="A10" s="13" t="s">
        <v>27</v>
      </c>
      <c r="B10" s="14" t="s">
        <v>28</v>
      </c>
      <c r="C10" s="4" t="s">
        <v>31</v>
      </c>
      <c r="D10" s="4" t="s">
        <v>8</v>
      </c>
      <c r="E10" s="11">
        <f>SUMIFS('ICB Core Baseline 2024-25'!Q:Q,'ICB Core Baseline 2024-25'!C:C,C10)</f>
        <v>5659485.1514335498</v>
      </c>
      <c r="F10" s="43" t="e">
        <f>SUMIFS(#REF!,#REF!,C10)</f>
        <v>#REF!</v>
      </c>
      <c r="H10" s="43" t="e">
        <f>SUMIFS(#REF!,#REF!,C10)</f>
        <v>#REF!</v>
      </c>
      <c r="I10" s="43" t="e">
        <f t="shared" si="6"/>
        <v>#REF!</v>
      </c>
      <c r="J10" s="43" t="e">
        <f t="shared" si="7"/>
        <v>#REF!</v>
      </c>
      <c r="K10" s="11" t="e">
        <f t="shared" si="0"/>
        <v>#REF!</v>
      </c>
      <c r="L10" s="11" t="e">
        <f t="shared" si="1"/>
        <v>#REF!</v>
      </c>
      <c r="M10" s="43" t="e">
        <f>SUMIFS(#REF!,#REF!,C10)</f>
        <v>#REF!</v>
      </c>
      <c r="N10" s="11" t="e">
        <f t="shared" si="2"/>
        <v>#REF!</v>
      </c>
      <c r="O10" s="43" t="e">
        <f t="shared" si="8"/>
        <v>#REF!</v>
      </c>
      <c r="P10" s="11" t="e">
        <f t="shared" si="3"/>
        <v>#REF!</v>
      </c>
      <c r="Q10" s="11" t="e">
        <f t="shared" si="9"/>
        <v>#REF!</v>
      </c>
      <c r="R10" s="11" t="e">
        <f t="shared" si="4"/>
        <v>#REF!</v>
      </c>
      <c r="S10" s="11" t="e">
        <f>(SUMIFS(#REF!,#REF!,C10)/SUMIFS(#REF!,#REF!,C10))*1000</f>
        <v>#REF!</v>
      </c>
      <c r="T10" s="11" t="e">
        <f t="shared" si="10"/>
        <v>#REF!</v>
      </c>
      <c r="U10" s="11"/>
      <c r="V10" s="11" t="e">
        <f t="shared" si="11"/>
        <v>#REF!</v>
      </c>
      <c r="W10" s="11" t="e">
        <f t="shared" si="12"/>
        <v>#REF!</v>
      </c>
      <c r="X10" s="43" t="e">
        <f t="shared" si="13"/>
        <v>#REF!</v>
      </c>
      <c r="Y10" s="43" t="e">
        <f ca="1">OFFSET(#REF!,MATCH(C10,#REF!,0)+1,0)</f>
        <v>#REF!</v>
      </c>
      <c r="Z10" s="43" t="e">
        <f t="shared" ca="1" si="14"/>
        <v>#REF!</v>
      </c>
      <c r="AA10" s="43" t="e">
        <f t="shared" si="5"/>
        <v>#REF!</v>
      </c>
      <c r="AB10" s="11" t="e">
        <f>SUMIFS(#REF!,#REF!,C10)/(1+1.8%)*(1+1.8%+2.3%)</f>
        <v>#REF!</v>
      </c>
      <c r="AC10" s="11" t="e">
        <f t="shared" si="15"/>
        <v>#REF!</v>
      </c>
      <c r="AD10" s="64"/>
      <c r="AE10" s="11" t="e">
        <f>(SUMIFS(#REF!,#REF!,C10)/(1+1.8%))*(1+1.8%+2.3%)</f>
        <v>#REF!</v>
      </c>
      <c r="AF10" s="11" t="e">
        <f>-SUMIFS(#REF!,#REF!,C10)/1000</f>
        <v>#REF!</v>
      </c>
      <c r="AG10" s="11" t="e">
        <f>SUMIFS(#REF!,#REF!,C10)</f>
        <v>#REF!</v>
      </c>
      <c r="AH10" s="11" t="e">
        <f>SUMIFS(#REF!,#REF!,C10)</f>
        <v>#REF!</v>
      </c>
      <c r="AI10" s="11" t="e">
        <f>SUMIFS(#REF!,#REF!,C10)</f>
        <v>#REF!</v>
      </c>
      <c r="AJ10" s="11" t="e">
        <f>SUMIFS(#REF!,#REF!,C10)</f>
        <v>#REF!</v>
      </c>
      <c r="AK10" s="11"/>
      <c r="AL10" s="11" t="e">
        <f t="shared" si="16"/>
        <v>#REF!</v>
      </c>
      <c r="AN10" s="11" t="e">
        <f t="shared" si="17"/>
        <v>#REF!</v>
      </c>
      <c r="AO10" s="11" t="e">
        <f t="shared" si="18"/>
        <v>#REF!</v>
      </c>
      <c r="AQ10" s="11" t="e">
        <f t="shared" si="19"/>
        <v>#REF!</v>
      </c>
      <c r="AS10" s="43" t="e">
        <f t="shared" si="20"/>
        <v>#REF!</v>
      </c>
      <c r="AT10" s="11" t="e">
        <f t="shared" si="21"/>
        <v>#REF!</v>
      </c>
      <c r="AV10" s="11" t="e">
        <f>'Share of £1bn'!$F$20*1000*$AO10/$AO$57</f>
        <v>#REF!</v>
      </c>
      <c r="AW10" s="11" t="e">
        <f>'Share of £1bn'!$F$27*1000*$AO10/$AO$57</f>
        <v>#REF!</v>
      </c>
      <c r="AX10" s="11" t="e">
        <f>'Share of £1bn'!$F$21*1000*$AO10/$AO$57</f>
        <v>#REF!</v>
      </c>
      <c r="AZ10" s="11" t="e">
        <f>'Share of £1bn'!$F$43*1000*AO10/$AO$57</f>
        <v>#REF!</v>
      </c>
      <c r="BA10" s="11" t="e">
        <f>'Share of £1bn'!$F$50*1000*$AO10/$AO$57</f>
        <v>#REF!</v>
      </c>
      <c r="BB10" s="11" t="e">
        <f>'Share of £1bn'!$F$44*1000*AO10/$AO$57</f>
        <v>#REF!</v>
      </c>
      <c r="BD10" s="11" t="e">
        <f>'Share of £1bn'!$F$67*1000*AO10/$AO$57</f>
        <v>#REF!</v>
      </c>
      <c r="BF10" s="11">
        <f>SUMIFS('20-11 M6 deficits'!$BO:$BO,'20-11 M6 deficits'!$C:$C,$C10)*1000</f>
        <v>-169956.59103814809</v>
      </c>
      <c r="BH10" s="11" t="e">
        <f t="shared" si="22"/>
        <v>#REF!</v>
      </c>
      <c r="BI10" s="11" t="e">
        <f t="shared" si="23"/>
        <v>#REF!</v>
      </c>
      <c r="BJ10" s="11" t="e">
        <f t="shared" si="24"/>
        <v>#REF!</v>
      </c>
      <c r="BK10" s="11" t="e">
        <f t="shared" si="25"/>
        <v>#REF!</v>
      </c>
      <c r="BL10" s="11" t="e">
        <f t="shared" si="26"/>
        <v>#REF!</v>
      </c>
      <c r="BN10" s="11" t="e">
        <f t="shared" si="27"/>
        <v>#REF!</v>
      </c>
      <c r="BO10" s="11" t="e">
        <f t="shared" si="28"/>
        <v>#REF!</v>
      </c>
      <c r="BP10" s="11" t="e">
        <f t="shared" si="29"/>
        <v>#REF!</v>
      </c>
      <c r="BQ10" s="11" t="e">
        <f t="shared" si="30"/>
        <v>#REF!</v>
      </c>
      <c r="BR10" s="11" t="e">
        <f t="shared" si="31"/>
        <v>#REF!</v>
      </c>
      <c r="BT10" s="11" t="e">
        <f t="shared" si="32"/>
        <v>#REF!</v>
      </c>
      <c r="BU10" s="11" t="e">
        <f t="shared" si="33"/>
        <v>#REF!</v>
      </c>
      <c r="BV10" s="11" t="e">
        <f t="shared" si="34"/>
        <v>#REF!</v>
      </c>
      <c r="BW10" s="11" t="e">
        <f t="shared" si="35"/>
        <v>#REF!</v>
      </c>
      <c r="BX10" s="11" t="e">
        <f t="shared" si="36"/>
        <v>#REF!</v>
      </c>
      <c r="BZ10" s="11" t="e">
        <f t="shared" si="37"/>
        <v>#REF!</v>
      </c>
      <c r="CA10" s="11" t="e">
        <f t="shared" si="38"/>
        <v>#REF!</v>
      </c>
      <c r="CB10" s="11" t="e">
        <f t="shared" si="39"/>
        <v>#REF!</v>
      </c>
      <c r="CC10" s="11" t="e">
        <f t="shared" si="40"/>
        <v>#REF!</v>
      </c>
      <c r="CD10" s="11" t="e">
        <f t="shared" si="41"/>
        <v>#REF!</v>
      </c>
      <c r="CF10" s="11" t="e">
        <f t="shared" si="42"/>
        <v>#REF!</v>
      </c>
      <c r="CG10" s="11" t="e">
        <f t="shared" si="43"/>
        <v>#REF!</v>
      </c>
      <c r="CH10" s="11" t="e">
        <f t="shared" si="44"/>
        <v>#REF!</v>
      </c>
      <c r="CI10" s="11" t="e">
        <f t="shared" si="45"/>
        <v>#REF!</v>
      </c>
      <c r="CJ10" s="11" t="e">
        <f t="shared" si="46"/>
        <v>#REF!</v>
      </c>
      <c r="CM10" s="209">
        <f t="shared" si="47"/>
        <v>0.10750981976666217</v>
      </c>
      <c r="CN10" s="209" t="e">
        <f t="shared" si="48"/>
        <v>#REF!</v>
      </c>
      <c r="CO10" s="209" t="e">
        <f t="shared" si="49"/>
        <v>#REF!</v>
      </c>
      <c r="CP10" s="209" t="e">
        <f t="shared" si="50"/>
        <v>#REF!</v>
      </c>
      <c r="CQ10" s="209" t="e">
        <f t="shared" si="51"/>
        <v>#REF!</v>
      </c>
    </row>
    <row r="11" spans="1:95" x14ac:dyDescent="0.25">
      <c r="A11" s="15" t="s">
        <v>27</v>
      </c>
      <c r="B11" s="16" t="s">
        <v>28</v>
      </c>
      <c r="C11" s="17" t="s">
        <v>32</v>
      </c>
      <c r="D11" s="17" t="s">
        <v>33</v>
      </c>
      <c r="E11" s="18">
        <f>SUMIFS('ICB Core Baseline 2024-25'!Q:Q,'ICB Core Baseline 2024-25'!C:C,C11)</f>
        <v>3508460.5811494747</v>
      </c>
      <c r="F11" s="44" t="e">
        <f>SUMIFS(#REF!,#REF!,C11)</f>
        <v>#REF!</v>
      </c>
      <c r="H11" s="44" t="e">
        <f>SUMIFS(#REF!,#REF!,C11)</f>
        <v>#REF!</v>
      </c>
      <c r="I11" s="44" t="e">
        <f t="shared" si="6"/>
        <v>#REF!</v>
      </c>
      <c r="J11" s="44" t="e">
        <f t="shared" si="7"/>
        <v>#REF!</v>
      </c>
      <c r="K11" s="18" t="e">
        <f t="shared" si="0"/>
        <v>#REF!</v>
      </c>
      <c r="L11" s="18" t="e">
        <f t="shared" si="1"/>
        <v>#REF!</v>
      </c>
      <c r="M11" s="44" t="e">
        <f>SUMIFS(#REF!,#REF!,C11)</f>
        <v>#REF!</v>
      </c>
      <c r="N11" s="18" t="e">
        <f t="shared" si="2"/>
        <v>#REF!</v>
      </c>
      <c r="O11" s="44" t="e">
        <f t="shared" si="8"/>
        <v>#REF!</v>
      </c>
      <c r="P11" s="18" t="e">
        <f t="shared" si="3"/>
        <v>#REF!</v>
      </c>
      <c r="Q11" s="18" t="e">
        <f t="shared" si="9"/>
        <v>#REF!</v>
      </c>
      <c r="R11" s="18" t="e">
        <f t="shared" si="4"/>
        <v>#REF!</v>
      </c>
      <c r="S11" s="18" t="e">
        <f>(SUMIFS(#REF!,#REF!,C11)/SUMIFS(#REF!,#REF!,C11))*1000</f>
        <v>#REF!</v>
      </c>
      <c r="T11" s="18" t="e">
        <f t="shared" si="10"/>
        <v>#REF!</v>
      </c>
      <c r="U11" s="18"/>
      <c r="V11" s="18" t="e">
        <f t="shared" si="11"/>
        <v>#REF!</v>
      </c>
      <c r="W11" s="18" t="e">
        <f t="shared" si="12"/>
        <v>#REF!</v>
      </c>
      <c r="X11" s="44" t="e">
        <f t="shared" si="13"/>
        <v>#REF!</v>
      </c>
      <c r="Y11" s="44" t="e">
        <f ca="1">OFFSET(#REF!,MATCH(C11,#REF!,0)+1,0)</f>
        <v>#REF!</v>
      </c>
      <c r="Z11" s="44" t="e">
        <f t="shared" ca="1" si="14"/>
        <v>#REF!</v>
      </c>
      <c r="AA11" s="44" t="e">
        <f t="shared" si="5"/>
        <v>#REF!</v>
      </c>
      <c r="AB11" s="18" t="e">
        <f>SUMIFS(#REF!,#REF!,C11)/(1+1.8%)*(1+1.8%+2.3%)</f>
        <v>#REF!</v>
      </c>
      <c r="AC11" s="18" t="e">
        <f t="shared" si="15"/>
        <v>#REF!</v>
      </c>
      <c r="AD11" s="65"/>
      <c r="AE11" s="18" t="e">
        <f>(SUMIFS(#REF!,#REF!,C11)/(1+1.8%))*(1+1.8%+2.3%)</f>
        <v>#REF!</v>
      </c>
      <c r="AF11" s="18" t="e">
        <f>-SUMIFS(#REF!,#REF!,C11)/1000</f>
        <v>#REF!</v>
      </c>
      <c r="AG11" s="18" t="e">
        <f>SUMIFS(#REF!,#REF!,C11)</f>
        <v>#REF!</v>
      </c>
      <c r="AH11" s="18" t="e">
        <f>SUMIFS(#REF!,#REF!,C11)</f>
        <v>#REF!</v>
      </c>
      <c r="AI11" s="18" t="e">
        <f>SUMIFS(#REF!,#REF!,C11)</f>
        <v>#REF!</v>
      </c>
      <c r="AJ11" s="18" t="e">
        <f>SUMIFS(#REF!,#REF!,C11)</f>
        <v>#REF!</v>
      </c>
      <c r="AK11" s="18"/>
      <c r="AL11" s="18" t="e">
        <f t="shared" si="16"/>
        <v>#REF!</v>
      </c>
      <c r="AN11" s="18" t="e">
        <f t="shared" si="17"/>
        <v>#REF!</v>
      </c>
      <c r="AO11" s="18" t="e">
        <f t="shared" si="18"/>
        <v>#REF!</v>
      </c>
      <c r="AQ11" s="18" t="e">
        <f t="shared" si="19"/>
        <v>#REF!</v>
      </c>
      <c r="AS11" s="44" t="e">
        <f t="shared" si="20"/>
        <v>#REF!</v>
      </c>
      <c r="AT11" s="18" t="e">
        <f t="shared" si="21"/>
        <v>#REF!</v>
      </c>
      <c r="AV11" s="18" t="e">
        <f>'Share of £1bn'!$F$20*1000*$AO11/$AO$57</f>
        <v>#REF!</v>
      </c>
      <c r="AW11" s="18" t="e">
        <f>'Share of £1bn'!$F$27*1000*$AO11/$AO$57</f>
        <v>#REF!</v>
      </c>
      <c r="AX11" s="18" t="e">
        <f>'Share of £1bn'!$F$21*1000*$AO11/$AO$57</f>
        <v>#REF!</v>
      </c>
      <c r="AZ11" s="18" t="e">
        <f>'Share of £1bn'!$F$43*1000*AO11/$AO$57</f>
        <v>#REF!</v>
      </c>
      <c r="BA11" s="18" t="e">
        <f>'Share of £1bn'!$F$50*1000*$AO11/$AO$57</f>
        <v>#REF!</v>
      </c>
      <c r="BB11" s="18" t="e">
        <f>'Share of £1bn'!$F$44*1000*AO11/$AO$57</f>
        <v>#REF!</v>
      </c>
      <c r="BD11" s="18" t="e">
        <f>'Share of £1bn'!$F$67*1000*AO11/$AO$57</f>
        <v>#REF!</v>
      </c>
      <c r="BF11" s="11">
        <f>SUMIFS('20-11 M6 deficits'!$BO:$BO,'20-11 M6 deficits'!$C:$C,$C11)*1000</f>
        <v>-200008.46951755669</v>
      </c>
      <c r="BH11" s="18" t="e">
        <f t="shared" si="22"/>
        <v>#REF!</v>
      </c>
      <c r="BI11" s="18" t="e">
        <f t="shared" si="23"/>
        <v>#REF!</v>
      </c>
      <c r="BJ11" s="18" t="e">
        <f t="shared" si="24"/>
        <v>#REF!</v>
      </c>
      <c r="BK11" s="18" t="e">
        <f t="shared" si="25"/>
        <v>#REF!</v>
      </c>
      <c r="BL11" s="18" t="e">
        <f t="shared" si="26"/>
        <v>#REF!</v>
      </c>
      <c r="BN11" s="18" t="e">
        <f t="shared" si="27"/>
        <v>#REF!</v>
      </c>
      <c r="BO11" s="18" t="e">
        <f t="shared" si="28"/>
        <v>#REF!</v>
      </c>
      <c r="BP11" s="18" t="e">
        <f t="shared" si="29"/>
        <v>#REF!</v>
      </c>
      <c r="BQ11" s="18" t="e">
        <f t="shared" si="30"/>
        <v>#REF!</v>
      </c>
      <c r="BR11" s="18" t="e">
        <f t="shared" si="31"/>
        <v>#REF!</v>
      </c>
      <c r="BT11" s="18" t="e">
        <f t="shared" si="32"/>
        <v>#REF!</v>
      </c>
      <c r="BU11" s="18" t="e">
        <f t="shared" si="33"/>
        <v>#REF!</v>
      </c>
      <c r="BV11" s="18" t="e">
        <f t="shared" si="34"/>
        <v>#REF!</v>
      </c>
      <c r="BW11" s="18" t="e">
        <f t="shared" si="35"/>
        <v>#REF!</v>
      </c>
      <c r="BX11" s="18" t="e">
        <f t="shared" si="36"/>
        <v>#REF!</v>
      </c>
      <c r="BZ11" s="18" t="e">
        <f t="shared" si="37"/>
        <v>#REF!</v>
      </c>
      <c r="CA11" s="18" t="e">
        <f t="shared" si="38"/>
        <v>#REF!</v>
      </c>
      <c r="CB11" s="18" t="e">
        <f t="shared" si="39"/>
        <v>#REF!</v>
      </c>
      <c r="CC11" s="18" t="e">
        <f t="shared" si="40"/>
        <v>#REF!</v>
      </c>
      <c r="CD11" s="18" t="e">
        <f t="shared" si="41"/>
        <v>#REF!</v>
      </c>
      <c r="CF11" s="18" t="e">
        <f t="shared" si="42"/>
        <v>#REF!</v>
      </c>
      <c r="CG11" s="18" t="e">
        <f t="shared" si="43"/>
        <v>#REF!</v>
      </c>
      <c r="CH11" s="18" t="e">
        <f t="shared" si="44"/>
        <v>#REF!</v>
      </c>
      <c r="CI11" s="18" t="e">
        <f t="shared" si="45"/>
        <v>#REF!</v>
      </c>
      <c r="CJ11" s="18" t="e">
        <f t="shared" si="46"/>
        <v>#REF!</v>
      </c>
      <c r="CM11" s="209">
        <f t="shared" si="47"/>
        <v>0.12651980354684789</v>
      </c>
      <c r="CN11" s="209" t="e">
        <f t="shared" si="48"/>
        <v>#REF!</v>
      </c>
      <c r="CO11" s="209" t="e">
        <f t="shared" si="49"/>
        <v>#REF!</v>
      </c>
      <c r="CP11" s="209" t="e">
        <f t="shared" si="50"/>
        <v>#REF!</v>
      </c>
      <c r="CQ11" s="209" t="e">
        <f t="shared" si="51"/>
        <v>#REF!</v>
      </c>
    </row>
    <row r="12" spans="1:95" x14ac:dyDescent="0.25">
      <c r="A12" s="10" t="s">
        <v>34</v>
      </c>
      <c r="B12" s="4" t="s">
        <v>35</v>
      </c>
      <c r="C12" s="4" t="s">
        <v>36</v>
      </c>
      <c r="D12" s="4" t="s">
        <v>37</v>
      </c>
      <c r="E12" s="11">
        <f>SUMIFS('ICB Core Baseline 2024-25'!Q:Q,'ICB Core Baseline 2024-25'!C:C,C12)</f>
        <v>2582726.5490809772</v>
      </c>
      <c r="F12" s="43" t="e">
        <f>SUMIFS(#REF!,#REF!,C12)</f>
        <v>#REF!</v>
      </c>
      <c r="H12" s="43" t="e">
        <f>SUMIFS(#REF!,#REF!,C12)</f>
        <v>#REF!</v>
      </c>
      <c r="I12" s="43" t="e">
        <f t="shared" si="6"/>
        <v>#REF!</v>
      </c>
      <c r="J12" s="43" t="e">
        <f t="shared" si="7"/>
        <v>#REF!</v>
      </c>
      <c r="K12" s="11" t="e">
        <f t="shared" si="0"/>
        <v>#REF!</v>
      </c>
      <c r="L12" s="11" t="e">
        <f t="shared" si="1"/>
        <v>#REF!</v>
      </c>
      <c r="M12" s="43" t="e">
        <f>SUMIFS(#REF!,#REF!,C12)</f>
        <v>#REF!</v>
      </c>
      <c r="N12" s="11" t="e">
        <f t="shared" si="2"/>
        <v>#REF!</v>
      </c>
      <c r="O12" s="43" t="e">
        <f t="shared" si="8"/>
        <v>#REF!</v>
      </c>
      <c r="P12" s="11" t="e">
        <f t="shared" si="3"/>
        <v>#REF!</v>
      </c>
      <c r="Q12" s="11" t="e">
        <f t="shared" si="9"/>
        <v>#REF!</v>
      </c>
      <c r="R12" s="11" t="e">
        <f t="shared" si="4"/>
        <v>#REF!</v>
      </c>
      <c r="S12" s="11" t="e">
        <f>(SUMIFS(#REF!,#REF!,C12)/SUMIFS(#REF!,#REF!,C12))*1000</f>
        <v>#REF!</v>
      </c>
      <c r="T12" s="11" t="e">
        <f t="shared" si="10"/>
        <v>#REF!</v>
      </c>
      <c r="U12" s="11"/>
      <c r="V12" s="11" t="e">
        <f t="shared" si="11"/>
        <v>#REF!</v>
      </c>
      <c r="W12" s="11" t="e">
        <f t="shared" si="12"/>
        <v>#REF!</v>
      </c>
      <c r="X12" s="43" t="e">
        <f t="shared" si="13"/>
        <v>#REF!</v>
      </c>
      <c r="Y12" s="43" t="e">
        <f ca="1">OFFSET(#REF!,MATCH(C12,#REF!,0)+1,0)</f>
        <v>#REF!</v>
      </c>
      <c r="Z12" s="43" t="e">
        <f t="shared" ca="1" si="14"/>
        <v>#REF!</v>
      </c>
      <c r="AA12" s="43" t="e">
        <f t="shared" si="5"/>
        <v>#REF!</v>
      </c>
      <c r="AB12" s="11" t="e">
        <f>SUMIFS(#REF!,#REF!,C12)/(1+1.8%)*(1+1.8%+2.3%)</f>
        <v>#REF!</v>
      </c>
      <c r="AC12" s="11" t="e">
        <f t="shared" si="15"/>
        <v>#REF!</v>
      </c>
      <c r="AD12" s="64"/>
      <c r="AE12" s="11" t="e">
        <f>(SUMIFS(#REF!,#REF!,C12)/(1+1.8%))*(1+1.8%+2.3%)</f>
        <v>#REF!</v>
      </c>
      <c r="AF12" s="11" t="e">
        <f>-SUMIFS(#REF!,#REF!,C12)/1000</f>
        <v>#REF!</v>
      </c>
      <c r="AG12" s="11" t="e">
        <f>SUMIFS(#REF!,#REF!,C12)</f>
        <v>#REF!</v>
      </c>
      <c r="AH12" s="11" t="e">
        <f>SUMIFS(#REF!,#REF!,C12)</f>
        <v>#REF!</v>
      </c>
      <c r="AI12" s="11" t="e">
        <f>SUMIFS(#REF!,#REF!,C12)</f>
        <v>#REF!</v>
      </c>
      <c r="AJ12" s="11" t="e">
        <f>SUMIFS(#REF!,#REF!,C12)</f>
        <v>#REF!</v>
      </c>
      <c r="AK12" s="11"/>
      <c r="AL12" s="11" t="e">
        <f t="shared" si="16"/>
        <v>#REF!</v>
      </c>
      <c r="AN12" s="11" t="e">
        <f t="shared" si="17"/>
        <v>#REF!</v>
      </c>
      <c r="AO12" s="11" t="e">
        <f t="shared" si="18"/>
        <v>#REF!</v>
      </c>
      <c r="AQ12" s="11" t="e">
        <f t="shared" si="19"/>
        <v>#REF!</v>
      </c>
      <c r="AS12" s="43" t="e">
        <f t="shared" si="20"/>
        <v>#REF!</v>
      </c>
      <c r="AT12" s="11" t="e">
        <f t="shared" si="21"/>
        <v>#REF!</v>
      </c>
      <c r="AV12" s="11" t="e">
        <f>'Share of £1bn'!$F$20*1000*$AO12/$AO$57</f>
        <v>#REF!</v>
      </c>
      <c r="AW12" s="11" t="e">
        <f>'Share of £1bn'!$F$27*1000*$AO12/$AO$57</f>
        <v>#REF!</v>
      </c>
      <c r="AX12" s="11" t="e">
        <f>'Share of £1bn'!$F$21*1000*$AO12/$AO$57</f>
        <v>#REF!</v>
      </c>
      <c r="AZ12" s="11" t="e">
        <f>'Share of £1bn'!$F$43*1000*AO12/$AO$57</f>
        <v>#REF!</v>
      </c>
      <c r="BA12" s="11" t="e">
        <f>'Share of £1bn'!$F$50*1000*$AO12/$AO$57</f>
        <v>#REF!</v>
      </c>
      <c r="BB12" s="11" t="e">
        <f>'Share of £1bn'!$F$44*1000*AO12/$AO$57</f>
        <v>#REF!</v>
      </c>
      <c r="BD12" s="11" t="e">
        <f>'Share of £1bn'!$F$67*1000*AO12/$AO$57</f>
        <v>#REF!</v>
      </c>
      <c r="BF12" s="11">
        <f>SUMIFS('20-11 M6 deficits'!$BO:$BO,'20-11 M6 deficits'!$C:$C,$C12)*1000</f>
        <v>0</v>
      </c>
      <c r="BH12" s="11" t="e">
        <f t="shared" si="22"/>
        <v>#REF!</v>
      </c>
      <c r="BI12" s="11" t="e">
        <f t="shared" si="23"/>
        <v>#REF!</v>
      </c>
      <c r="BJ12" s="11" t="e">
        <f t="shared" si="24"/>
        <v>#REF!</v>
      </c>
      <c r="BK12" s="11" t="e">
        <f t="shared" si="25"/>
        <v>#REF!</v>
      </c>
      <c r="BL12" s="11" t="e">
        <f t="shared" si="26"/>
        <v>#REF!</v>
      </c>
      <c r="BN12" s="11" t="e">
        <f t="shared" si="27"/>
        <v>#REF!</v>
      </c>
      <c r="BO12" s="11" t="e">
        <f t="shared" si="28"/>
        <v>#REF!</v>
      </c>
      <c r="BP12" s="11" t="e">
        <f t="shared" si="29"/>
        <v>#REF!</v>
      </c>
      <c r="BQ12" s="11" t="e">
        <f t="shared" si="30"/>
        <v>#REF!</v>
      </c>
      <c r="BR12" s="11" t="e">
        <f t="shared" si="31"/>
        <v>#REF!</v>
      </c>
      <c r="BT12" s="11" t="e">
        <f t="shared" si="32"/>
        <v>#REF!</v>
      </c>
      <c r="BU12" s="11" t="e">
        <f t="shared" si="33"/>
        <v>#REF!</v>
      </c>
      <c r="BV12" s="11" t="e">
        <f t="shared" si="34"/>
        <v>#REF!</v>
      </c>
      <c r="BW12" s="11" t="e">
        <f t="shared" si="35"/>
        <v>#REF!</v>
      </c>
      <c r="BX12" s="11" t="e">
        <f t="shared" si="36"/>
        <v>#REF!</v>
      </c>
      <c r="BZ12" s="11" t="e">
        <f t="shared" si="37"/>
        <v>#REF!</v>
      </c>
      <c r="CA12" s="11" t="e">
        <f t="shared" si="38"/>
        <v>#REF!</v>
      </c>
      <c r="CB12" s="11" t="e">
        <f t="shared" si="39"/>
        <v>#REF!</v>
      </c>
      <c r="CC12" s="11" t="e">
        <f t="shared" si="40"/>
        <v>#REF!</v>
      </c>
      <c r="CD12" s="11" t="e">
        <f t="shared" si="41"/>
        <v>#REF!</v>
      </c>
      <c r="CF12" s="11" t="e">
        <f t="shared" si="42"/>
        <v>#REF!</v>
      </c>
      <c r="CG12" s="11" t="e">
        <f t="shared" si="43"/>
        <v>#REF!</v>
      </c>
      <c r="CH12" s="11" t="e">
        <f t="shared" si="44"/>
        <v>#REF!</v>
      </c>
      <c r="CI12" s="11" t="e">
        <f t="shared" si="45"/>
        <v>#REF!</v>
      </c>
      <c r="CJ12" s="11" t="e">
        <f t="shared" si="46"/>
        <v>#REF!</v>
      </c>
      <c r="CM12" s="209">
        <f t="shared" si="47"/>
        <v>0</v>
      </c>
      <c r="CN12" s="209" t="e">
        <f t="shared" si="48"/>
        <v>#REF!</v>
      </c>
      <c r="CO12" s="209" t="e">
        <f t="shared" si="49"/>
        <v>#REF!</v>
      </c>
      <c r="CP12" s="209" t="e">
        <f t="shared" si="50"/>
        <v>#REF!</v>
      </c>
      <c r="CQ12" s="209" t="e">
        <f t="shared" si="51"/>
        <v>#REF!</v>
      </c>
    </row>
    <row r="13" spans="1:95" x14ac:dyDescent="0.25">
      <c r="A13" s="13" t="s">
        <v>34</v>
      </c>
      <c r="B13" s="14" t="s">
        <v>35</v>
      </c>
      <c r="C13" s="4" t="s">
        <v>38</v>
      </c>
      <c r="D13" s="4" t="s">
        <v>39</v>
      </c>
      <c r="E13" s="11">
        <f>SUMIFS('ICB Core Baseline 2024-25'!Q:Q,'ICB Core Baseline 2024-25'!C:C,C13)</f>
        <v>2279346.3873321107</v>
      </c>
      <c r="F13" s="43" t="e">
        <f>SUMIFS(#REF!,#REF!,C13)</f>
        <v>#REF!</v>
      </c>
      <c r="H13" s="43" t="e">
        <f>SUMIFS(#REF!,#REF!,C13)</f>
        <v>#REF!</v>
      </c>
      <c r="I13" s="43" t="e">
        <f t="shared" si="6"/>
        <v>#REF!</v>
      </c>
      <c r="J13" s="43" t="e">
        <f t="shared" si="7"/>
        <v>#REF!</v>
      </c>
      <c r="K13" s="11" t="e">
        <f t="shared" si="0"/>
        <v>#REF!</v>
      </c>
      <c r="L13" s="11" t="e">
        <f t="shared" si="1"/>
        <v>#REF!</v>
      </c>
      <c r="M13" s="43" t="e">
        <f>SUMIFS(#REF!,#REF!,C13)</f>
        <v>#REF!</v>
      </c>
      <c r="N13" s="11" t="e">
        <f t="shared" si="2"/>
        <v>#REF!</v>
      </c>
      <c r="O13" s="43" t="e">
        <f t="shared" si="8"/>
        <v>#REF!</v>
      </c>
      <c r="P13" s="11" t="e">
        <f t="shared" si="3"/>
        <v>#REF!</v>
      </c>
      <c r="Q13" s="11" t="e">
        <f t="shared" si="9"/>
        <v>#REF!</v>
      </c>
      <c r="R13" s="11" t="e">
        <f t="shared" si="4"/>
        <v>#REF!</v>
      </c>
      <c r="S13" s="11" t="e">
        <f>(SUMIFS(#REF!,#REF!,C13)/SUMIFS(#REF!,#REF!,C13))*1000</f>
        <v>#REF!</v>
      </c>
      <c r="T13" s="11" t="e">
        <f t="shared" si="10"/>
        <v>#REF!</v>
      </c>
      <c r="U13" s="11"/>
      <c r="V13" s="11" t="e">
        <f t="shared" si="11"/>
        <v>#REF!</v>
      </c>
      <c r="W13" s="11" t="e">
        <f t="shared" si="12"/>
        <v>#REF!</v>
      </c>
      <c r="X13" s="43" t="e">
        <f t="shared" si="13"/>
        <v>#REF!</v>
      </c>
      <c r="Y13" s="43" t="e">
        <f ca="1">OFFSET(#REF!,MATCH(C13,#REF!,0)+1,0)</f>
        <v>#REF!</v>
      </c>
      <c r="Z13" s="43" t="e">
        <f t="shared" ca="1" si="14"/>
        <v>#REF!</v>
      </c>
      <c r="AA13" s="43" t="e">
        <f t="shared" si="5"/>
        <v>#REF!</v>
      </c>
      <c r="AB13" s="11" t="e">
        <f>SUMIFS(#REF!,#REF!,C13)/(1+1.8%)*(1+1.8%+2.3%)</f>
        <v>#REF!</v>
      </c>
      <c r="AC13" s="11" t="e">
        <f t="shared" si="15"/>
        <v>#REF!</v>
      </c>
      <c r="AD13" s="64"/>
      <c r="AE13" s="11" t="e">
        <f>(SUMIFS(#REF!,#REF!,C13)/(1+1.8%))*(1+1.8%+2.3%)</f>
        <v>#REF!</v>
      </c>
      <c r="AF13" s="11" t="e">
        <f>-SUMIFS(#REF!,#REF!,C13)/1000</f>
        <v>#REF!</v>
      </c>
      <c r="AG13" s="11" t="e">
        <f>SUMIFS(#REF!,#REF!,C13)</f>
        <v>#REF!</v>
      </c>
      <c r="AH13" s="11" t="e">
        <f>SUMIFS(#REF!,#REF!,C13)</f>
        <v>#REF!</v>
      </c>
      <c r="AI13" s="11" t="e">
        <f>SUMIFS(#REF!,#REF!,C13)</f>
        <v>#REF!</v>
      </c>
      <c r="AJ13" s="11" t="e">
        <f>SUMIFS(#REF!,#REF!,C13)</f>
        <v>#REF!</v>
      </c>
      <c r="AK13" s="11"/>
      <c r="AL13" s="11" t="e">
        <f t="shared" si="16"/>
        <v>#REF!</v>
      </c>
      <c r="AN13" s="11" t="e">
        <f t="shared" si="17"/>
        <v>#REF!</v>
      </c>
      <c r="AO13" s="11" t="e">
        <f t="shared" si="18"/>
        <v>#REF!</v>
      </c>
      <c r="AQ13" s="11" t="e">
        <f t="shared" si="19"/>
        <v>#REF!</v>
      </c>
      <c r="AS13" s="43" t="e">
        <f t="shared" si="20"/>
        <v>#REF!</v>
      </c>
      <c r="AT13" s="11" t="e">
        <f t="shared" si="21"/>
        <v>#REF!</v>
      </c>
      <c r="AV13" s="11" t="e">
        <f>'Share of £1bn'!$F$20*1000*$AO13/$AO$57</f>
        <v>#REF!</v>
      </c>
      <c r="AW13" s="11" t="e">
        <f>'Share of £1bn'!$F$27*1000*$AO13/$AO$57</f>
        <v>#REF!</v>
      </c>
      <c r="AX13" s="11" t="e">
        <f>'Share of £1bn'!$F$21*1000*$AO13/$AO$57</f>
        <v>#REF!</v>
      </c>
      <c r="AZ13" s="11" t="e">
        <f>'Share of £1bn'!$F$43*1000*AO13/$AO$57</f>
        <v>#REF!</v>
      </c>
      <c r="BA13" s="11" t="e">
        <f>'Share of £1bn'!$F$50*1000*$AO13/$AO$57</f>
        <v>#REF!</v>
      </c>
      <c r="BB13" s="11" t="e">
        <f>'Share of £1bn'!$F$44*1000*AO13/$AO$57</f>
        <v>#REF!</v>
      </c>
      <c r="BD13" s="11" t="e">
        <f>'Share of £1bn'!$F$67*1000*AO13/$AO$57</f>
        <v>#REF!</v>
      </c>
      <c r="BF13" s="11">
        <f>SUMIFS('20-11 M6 deficits'!$BO:$BO,'20-11 M6 deficits'!$C:$C,$C13)*1000</f>
        <v>-65000</v>
      </c>
      <c r="BH13" s="11" t="e">
        <f t="shared" si="22"/>
        <v>#REF!</v>
      </c>
      <c r="BI13" s="11" t="e">
        <f t="shared" si="23"/>
        <v>#REF!</v>
      </c>
      <c r="BJ13" s="11" t="e">
        <f t="shared" si="24"/>
        <v>#REF!</v>
      </c>
      <c r="BK13" s="11" t="e">
        <f t="shared" si="25"/>
        <v>#REF!</v>
      </c>
      <c r="BL13" s="11" t="e">
        <f t="shared" si="26"/>
        <v>#REF!</v>
      </c>
      <c r="BN13" s="11" t="e">
        <f t="shared" si="27"/>
        <v>#REF!</v>
      </c>
      <c r="BO13" s="11" t="e">
        <f t="shared" si="28"/>
        <v>#REF!</v>
      </c>
      <c r="BP13" s="11" t="e">
        <f t="shared" si="29"/>
        <v>#REF!</v>
      </c>
      <c r="BQ13" s="11" t="e">
        <f t="shared" si="30"/>
        <v>#REF!</v>
      </c>
      <c r="BR13" s="11" t="e">
        <f t="shared" si="31"/>
        <v>#REF!</v>
      </c>
      <c r="BT13" s="11" t="e">
        <f t="shared" si="32"/>
        <v>#REF!</v>
      </c>
      <c r="BU13" s="11" t="e">
        <f t="shared" si="33"/>
        <v>#REF!</v>
      </c>
      <c r="BV13" s="11" t="e">
        <f t="shared" si="34"/>
        <v>#REF!</v>
      </c>
      <c r="BW13" s="11" t="e">
        <f t="shared" si="35"/>
        <v>#REF!</v>
      </c>
      <c r="BX13" s="11" t="e">
        <f t="shared" si="36"/>
        <v>#REF!</v>
      </c>
      <c r="BZ13" s="11" t="e">
        <f t="shared" si="37"/>
        <v>#REF!</v>
      </c>
      <c r="CA13" s="11" t="e">
        <f t="shared" si="38"/>
        <v>#REF!</v>
      </c>
      <c r="CB13" s="11" t="e">
        <f t="shared" si="39"/>
        <v>#REF!</v>
      </c>
      <c r="CC13" s="11" t="e">
        <f t="shared" si="40"/>
        <v>#REF!</v>
      </c>
      <c r="CD13" s="11" t="e">
        <f t="shared" si="41"/>
        <v>#REF!</v>
      </c>
      <c r="CF13" s="11" t="e">
        <f t="shared" si="42"/>
        <v>#REF!</v>
      </c>
      <c r="CG13" s="11" t="e">
        <f t="shared" si="43"/>
        <v>#REF!</v>
      </c>
      <c r="CH13" s="11" t="e">
        <f t="shared" si="44"/>
        <v>#REF!</v>
      </c>
      <c r="CI13" s="11" t="e">
        <f t="shared" si="45"/>
        <v>#REF!</v>
      </c>
      <c r="CJ13" s="11" t="e">
        <f t="shared" si="46"/>
        <v>#REF!</v>
      </c>
      <c r="CM13" s="209">
        <f t="shared" si="47"/>
        <v>4.1117194938703486E-2</v>
      </c>
      <c r="CN13" s="209" t="e">
        <f t="shared" si="48"/>
        <v>#REF!</v>
      </c>
      <c r="CO13" s="209" t="e">
        <f t="shared" si="49"/>
        <v>#REF!</v>
      </c>
      <c r="CP13" s="209" t="e">
        <f t="shared" si="50"/>
        <v>#REF!</v>
      </c>
      <c r="CQ13" s="209" t="e">
        <f t="shared" si="51"/>
        <v>#REF!</v>
      </c>
    </row>
    <row r="14" spans="1:95" x14ac:dyDescent="0.25">
      <c r="A14" s="13" t="s">
        <v>34</v>
      </c>
      <c r="B14" s="14" t="s">
        <v>35</v>
      </c>
      <c r="C14" s="4" t="s">
        <v>40</v>
      </c>
      <c r="D14" s="4" t="s">
        <v>41</v>
      </c>
      <c r="E14" s="11">
        <f>SUMIFS('ICB Core Baseline 2024-25'!Q:Q,'ICB Core Baseline 2024-25'!C:C,C14)</f>
        <v>1685859.4368248242</v>
      </c>
      <c r="F14" s="43" t="e">
        <f>SUMIFS(#REF!,#REF!,C14)</f>
        <v>#REF!</v>
      </c>
      <c r="H14" s="43" t="e">
        <f>SUMIFS(#REF!,#REF!,C14)</f>
        <v>#REF!</v>
      </c>
      <c r="I14" s="43" t="e">
        <f t="shared" si="6"/>
        <v>#REF!</v>
      </c>
      <c r="J14" s="43" t="e">
        <f t="shared" si="7"/>
        <v>#REF!</v>
      </c>
      <c r="K14" s="11" t="e">
        <f t="shared" si="0"/>
        <v>#REF!</v>
      </c>
      <c r="L14" s="11" t="e">
        <f t="shared" si="1"/>
        <v>#REF!</v>
      </c>
      <c r="M14" s="43" t="e">
        <f>SUMIFS(#REF!,#REF!,C14)</f>
        <v>#REF!</v>
      </c>
      <c r="N14" s="11" t="e">
        <f t="shared" si="2"/>
        <v>#REF!</v>
      </c>
      <c r="O14" s="43" t="e">
        <f t="shared" si="8"/>
        <v>#REF!</v>
      </c>
      <c r="P14" s="11" t="e">
        <f t="shared" si="3"/>
        <v>#REF!</v>
      </c>
      <c r="Q14" s="11" t="e">
        <f t="shared" si="9"/>
        <v>#REF!</v>
      </c>
      <c r="R14" s="11" t="e">
        <f t="shared" si="4"/>
        <v>#REF!</v>
      </c>
      <c r="S14" s="11" t="e">
        <f>(SUMIFS(#REF!,#REF!,C14)/SUMIFS(#REF!,#REF!,C14))*1000</f>
        <v>#REF!</v>
      </c>
      <c r="T14" s="11" t="e">
        <f t="shared" si="10"/>
        <v>#REF!</v>
      </c>
      <c r="U14" s="11"/>
      <c r="V14" s="11" t="e">
        <f t="shared" si="11"/>
        <v>#REF!</v>
      </c>
      <c r="W14" s="11" t="e">
        <f t="shared" si="12"/>
        <v>#REF!</v>
      </c>
      <c r="X14" s="43" t="e">
        <f t="shared" si="13"/>
        <v>#REF!</v>
      </c>
      <c r="Y14" s="43" t="e">
        <f ca="1">OFFSET(#REF!,MATCH(C14,#REF!,0)+1,0)</f>
        <v>#REF!</v>
      </c>
      <c r="Z14" s="43" t="e">
        <f t="shared" ca="1" si="14"/>
        <v>#REF!</v>
      </c>
      <c r="AA14" s="43" t="e">
        <f t="shared" si="5"/>
        <v>#REF!</v>
      </c>
      <c r="AB14" s="11" t="e">
        <f>SUMIFS(#REF!,#REF!,C14)/(1+1.8%)*(1+1.8%+2.3%)</f>
        <v>#REF!</v>
      </c>
      <c r="AC14" s="11" t="e">
        <f t="shared" si="15"/>
        <v>#REF!</v>
      </c>
      <c r="AD14" s="64"/>
      <c r="AE14" s="11" t="e">
        <f>(SUMIFS(#REF!,#REF!,C14)/(1+1.8%))*(1+1.8%+2.3%)</f>
        <v>#REF!</v>
      </c>
      <c r="AF14" s="11" t="e">
        <f>-SUMIFS(#REF!,#REF!,C14)/1000</f>
        <v>#REF!</v>
      </c>
      <c r="AG14" s="11" t="e">
        <f>SUMIFS(#REF!,#REF!,C14)</f>
        <v>#REF!</v>
      </c>
      <c r="AH14" s="11" t="e">
        <f>SUMIFS(#REF!,#REF!,C14)</f>
        <v>#REF!</v>
      </c>
      <c r="AI14" s="11" t="e">
        <f>SUMIFS(#REF!,#REF!,C14)</f>
        <v>#REF!</v>
      </c>
      <c r="AJ14" s="11" t="e">
        <f>SUMIFS(#REF!,#REF!,C14)</f>
        <v>#REF!</v>
      </c>
      <c r="AK14" s="11"/>
      <c r="AL14" s="11" t="e">
        <f t="shared" si="16"/>
        <v>#REF!</v>
      </c>
      <c r="AN14" s="11" t="e">
        <f t="shared" si="17"/>
        <v>#REF!</v>
      </c>
      <c r="AO14" s="11" t="e">
        <f t="shared" si="18"/>
        <v>#REF!</v>
      </c>
      <c r="AQ14" s="11" t="e">
        <f t="shared" si="19"/>
        <v>#REF!</v>
      </c>
      <c r="AS14" s="43" t="e">
        <f t="shared" si="20"/>
        <v>#REF!</v>
      </c>
      <c r="AT14" s="11" t="e">
        <f t="shared" si="21"/>
        <v>#REF!</v>
      </c>
      <c r="AV14" s="11" t="e">
        <f>'Share of £1bn'!$F$20*1000*$AO14/$AO$57</f>
        <v>#REF!</v>
      </c>
      <c r="AW14" s="11" t="e">
        <f>'Share of £1bn'!$F$27*1000*$AO14/$AO$57</f>
        <v>#REF!</v>
      </c>
      <c r="AX14" s="11" t="e">
        <f>'Share of £1bn'!$F$21*1000*$AO14/$AO$57</f>
        <v>#REF!</v>
      </c>
      <c r="AZ14" s="11" t="e">
        <f>'Share of £1bn'!$F$43*1000*AO14/$AO$57</f>
        <v>#REF!</v>
      </c>
      <c r="BA14" s="11" t="e">
        <f>'Share of £1bn'!$F$50*1000*$AO14/$AO$57</f>
        <v>#REF!</v>
      </c>
      <c r="BB14" s="11" t="e">
        <f>'Share of £1bn'!$F$44*1000*AO14/$AO$57</f>
        <v>#REF!</v>
      </c>
      <c r="BD14" s="11" t="e">
        <f>'Share of £1bn'!$F$67*1000*AO14/$AO$57</f>
        <v>#REF!</v>
      </c>
      <c r="BF14" s="11">
        <f>SUMIFS('20-11 M6 deficits'!$BO:$BO,'20-11 M6 deficits'!$C:$C,$C14)*1000</f>
        <v>0</v>
      </c>
      <c r="BH14" s="11" t="e">
        <f t="shared" si="22"/>
        <v>#REF!</v>
      </c>
      <c r="BI14" s="11" t="e">
        <f t="shared" si="23"/>
        <v>#REF!</v>
      </c>
      <c r="BJ14" s="11" t="e">
        <f t="shared" si="24"/>
        <v>#REF!</v>
      </c>
      <c r="BK14" s="11" t="e">
        <f t="shared" si="25"/>
        <v>#REF!</v>
      </c>
      <c r="BL14" s="11" t="e">
        <f t="shared" si="26"/>
        <v>#REF!</v>
      </c>
      <c r="BN14" s="11" t="e">
        <f t="shared" si="27"/>
        <v>#REF!</v>
      </c>
      <c r="BO14" s="11" t="e">
        <f t="shared" si="28"/>
        <v>#REF!</v>
      </c>
      <c r="BP14" s="11" t="e">
        <f t="shared" si="29"/>
        <v>#REF!</v>
      </c>
      <c r="BQ14" s="11" t="e">
        <f t="shared" si="30"/>
        <v>#REF!</v>
      </c>
      <c r="BR14" s="11" t="e">
        <f t="shared" si="31"/>
        <v>#REF!</v>
      </c>
      <c r="BT14" s="11" t="e">
        <f t="shared" si="32"/>
        <v>#REF!</v>
      </c>
      <c r="BU14" s="11" t="e">
        <f t="shared" si="33"/>
        <v>#REF!</v>
      </c>
      <c r="BV14" s="11" t="e">
        <f t="shared" si="34"/>
        <v>#REF!</v>
      </c>
      <c r="BW14" s="11" t="e">
        <f t="shared" si="35"/>
        <v>#REF!</v>
      </c>
      <c r="BX14" s="11" t="e">
        <f t="shared" si="36"/>
        <v>#REF!</v>
      </c>
      <c r="BZ14" s="11" t="e">
        <f t="shared" si="37"/>
        <v>#REF!</v>
      </c>
      <c r="CA14" s="11" t="e">
        <f t="shared" si="38"/>
        <v>#REF!</v>
      </c>
      <c r="CB14" s="11" t="e">
        <f t="shared" si="39"/>
        <v>#REF!</v>
      </c>
      <c r="CC14" s="11" t="e">
        <f t="shared" si="40"/>
        <v>#REF!</v>
      </c>
      <c r="CD14" s="11" t="e">
        <f t="shared" si="41"/>
        <v>#REF!</v>
      </c>
      <c r="CF14" s="11" t="e">
        <f t="shared" si="42"/>
        <v>#REF!</v>
      </c>
      <c r="CG14" s="11" t="e">
        <f t="shared" si="43"/>
        <v>#REF!</v>
      </c>
      <c r="CH14" s="11" t="e">
        <f t="shared" si="44"/>
        <v>#REF!</v>
      </c>
      <c r="CI14" s="11" t="e">
        <f t="shared" si="45"/>
        <v>#REF!</v>
      </c>
      <c r="CJ14" s="11" t="e">
        <f t="shared" si="46"/>
        <v>#REF!</v>
      </c>
      <c r="CM14" s="209">
        <f t="shared" si="47"/>
        <v>0</v>
      </c>
      <c r="CN14" s="209" t="e">
        <f t="shared" si="48"/>
        <v>#REF!</v>
      </c>
      <c r="CO14" s="209" t="e">
        <f t="shared" si="49"/>
        <v>#REF!</v>
      </c>
      <c r="CP14" s="209" t="e">
        <f t="shared" si="50"/>
        <v>#REF!</v>
      </c>
      <c r="CQ14" s="209" t="e">
        <f t="shared" si="51"/>
        <v>#REF!</v>
      </c>
    </row>
    <row r="15" spans="1:95" x14ac:dyDescent="0.25">
      <c r="A15" s="13" t="s">
        <v>34</v>
      </c>
      <c r="B15" s="14" t="s">
        <v>35</v>
      </c>
      <c r="C15" s="4" t="s">
        <v>42</v>
      </c>
      <c r="D15" s="4" t="s">
        <v>43</v>
      </c>
      <c r="E15" s="11">
        <f>SUMIFS('ICB Core Baseline 2024-25'!Q:Q,'ICB Core Baseline 2024-25'!C:C,C15)</f>
        <v>1963325.072147588</v>
      </c>
      <c r="F15" s="43" t="e">
        <f>SUMIFS(#REF!,#REF!,C15)</f>
        <v>#REF!</v>
      </c>
      <c r="H15" s="43" t="e">
        <f>SUMIFS(#REF!,#REF!,C15)</f>
        <v>#REF!</v>
      </c>
      <c r="I15" s="43" t="e">
        <f t="shared" si="6"/>
        <v>#REF!</v>
      </c>
      <c r="J15" s="43" t="e">
        <f t="shared" si="7"/>
        <v>#REF!</v>
      </c>
      <c r="K15" s="11" t="e">
        <f t="shared" si="0"/>
        <v>#REF!</v>
      </c>
      <c r="L15" s="11" t="e">
        <f t="shared" si="1"/>
        <v>#REF!</v>
      </c>
      <c r="M15" s="43" t="e">
        <f>SUMIFS(#REF!,#REF!,C15)</f>
        <v>#REF!</v>
      </c>
      <c r="N15" s="11" t="e">
        <f t="shared" si="2"/>
        <v>#REF!</v>
      </c>
      <c r="O15" s="43" t="e">
        <f t="shared" si="8"/>
        <v>#REF!</v>
      </c>
      <c r="P15" s="11" t="e">
        <f t="shared" si="3"/>
        <v>#REF!</v>
      </c>
      <c r="Q15" s="11" t="e">
        <f t="shared" si="9"/>
        <v>#REF!</v>
      </c>
      <c r="R15" s="11" t="e">
        <f t="shared" si="4"/>
        <v>#REF!</v>
      </c>
      <c r="S15" s="11" t="e">
        <f>(SUMIFS(#REF!,#REF!,C15)/SUMIFS(#REF!,#REF!,C15))*1000</f>
        <v>#REF!</v>
      </c>
      <c r="T15" s="11" t="e">
        <f t="shared" si="10"/>
        <v>#REF!</v>
      </c>
      <c r="U15" s="11"/>
      <c r="V15" s="11" t="e">
        <f t="shared" si="11"/>
        <v>#REF!</v>
      </c>
      <c r="W15" s="11" t="e">
        <f t="shared" si="12"/>
        <v>#REF!</v>
      </c>
      <c r="X15" s="43" t="e">
        <f t="shared" si="13"/>
        <v>#REF!</v>
      </c>
      <c r="Y15" s="43" t="e">
        <f ca="1">OFFSET(#REF!,MATCH(C15,#REF!,0)+1,0)</f>
        <v>#REF!</v>
      </c>
      <c r="Z15" s="43" t="e">
        <f t="shared" ca="1" si="14"/>
        <v>#REF!</v>
      </c>
      <c r="AA15" s="43" t="e">
        <f t="shared" si="5"/>
        <v>#REF!</v>
      </c>
      <c r="AB15" s="11" t="e">
        <f>SUMIFS(#REF!,#REF!,C15)/(1+1.8%)*(1+1.8%+2.3%)</f>
        <v>#REF!</v>
      </c>
      <c r="AC15" s="11" t="e">
        <f t="shared" si="15"/>
        <v>#REF!</v>
      </c>
      <c r="AD15" s="64"/>
      <c r="AE15" s="11" t="e">
        <f>(SUMIFS(#REF!,#REF!,C15)/(1+1.8%))*(1+1.8%+2.3%)</f>
        <v>#REF!</v>
      </c>
      <c r="AF15" s="11" t="e">
        <f>-SUMIFS(#REF!,#REF!,C15)/1000</f>
        <v>#REF!</v>
      </c>
      <c r="AG15" s="11" t="e">
        <f>SUMIFS(#REF!,#REF!,C15)</f>
        <v>#REF!</v>
      </c>
      <c r="AH15" s="11" t="e">
        <f>SUMIFS(#REF!,#REF!,C15)</f>
        <v>#REF!</v>
      </c>
      <c r="AI15" s="11" t="e">
        <f>SUMIFS(#REF!,#REF!,C15)</f>
        <v>#REF!</v>
      </c>
      <c r="AJ15" s="11" t="e">
        <f>SUMIFS(#REF!,#REF!,C15)</f>
        <v>#REF!</v>
      </c>
      <c r="AK15" s="11"/>
      <c r="AL15" s="11" t="e">
        <f t="shared" si="16"/>
        <v>#REF!</v>
      </c>
      <c r="AN15" s="11" t="e">
        <f t="shared" si="17"/>
        <v>#REF!</v>
      </c>
      <c r="AO15" s="11" t="e">
        <f t="shared" si="18"/>
        <v>#REF!</v>
      </c>
      <c r="AQ15" s="11" t="e">
        <f t="shared" si="19"/>
        <v>#REF!</v>
      </c>
      <c r="AS15" s="43" t="e">
        <f t="shared" si="20"/>
        <v>#REF!</v>
      </c>
      <c r="AT15" s="11" t="e">
        <f t="shared" si="21"/>
        <v>#REF!</v>
      </c>
      <c r="AV15" s="11" t="e">
        <f>'Share of £1bn'!$F$20*1000*$AO15/$AO$57</f>
        <v>#REF!</v>
      </c>
      <c r="AW15" s="11" t="e">
        <f>'Share of £1bn'!$F$27*1000*$AO15/$AO$57</f>
        <v>#REF!</v>
      </c>
      <c r="AX15" s="11" t="e">
        <f>'Share of £1bn'!$F$21*1000*$AO15/$AO$57</f>
        <v>#REF!</v>
      </c>
      <c r="AZ15" s="11" t="e">
        <f>'Share of £1bn'!$F$43*1000*AO15/$AO$57</f>
        <v>#REF!</v>
      </c>
      <c r="BA15" s="11" t="e">
        <f>'Share of £1bn'!$F$50*1000*$AO15/$AO$57</f>
        <v>#REF!</v>
      </c>
      <c r="BB15" s="11" t="e">
        <f>'Share of £1bn'!$F$44*1000*AO15/$AO$57</f>
        <v>#REF!</v>
      </c>
      <c r="BD15" s="11" t="e">
        <f>'Share of £1bn'!$F$67*1000*AO15/$AO$57</f>
        <v>#REF!</v>
      </c>
      <c r="BF15" s="11">
        <f>SUMIFS('20-11 M6 deficits'!$BO:$BO,'20-11 M6 deficits'!$C:$C,$C15)*1000</f>
        <v>-27991.698574590439</v>
      </c>
      <c r="BH15" s="11" t="e">
        <f t="shared" si="22"/>
        <v>#REF!</v>
      </c>
      <c r="BI15" s="11" t="e">
        <f t="shared" si="23"/>
        <v>#REF!</v>
      </c>
      <c r="BJ15" s="11" t="e">
        <f t="shared" si="24"/>
        <v>#REF!</v>
      </c>
      <c r="BK15" s="11" t="e">
        <f t="shared" si="25"/>
        <v>#REF!</v>
      </c>
      <c r="BL15" s="11" t="e">
        <f t="shared" si="26"/>
        <v>#REF!</v>
      </c>
      <c r="BN15" s="11" t="e">
        <f t="shared" si="27"/>
        <v>#REF!</v>
      </c>
      <c r="BO15" s="11" t="e">
        <f t="shared" si="28"/>
        <v>#REF!</v>
      </c>
      <c r="BP15" s="11" t="e">
        <f t="shared" si="29"/>
        <v>#REF!</v>
      </c>
      <c r="BQ15" s="11" t="e">
        <f t="shared" si="30"/>
        <v>#REF!</v>
      </c>
      <c r="BR15" s="11" t="e">
        <f t="shared" si="31"/>
        <v>#REF!</v>
      </c>
      <c r="BT15" s="11" t="e">
        <f t="shared" si="32"/>
        <v>#REF!</v>
      </c>
      <c r="BU15" s="11" t="e">
        <f t="shared" si="33"/>
        <v>#REF!</v>
      </c>
      <c r="BV15" s="11" t="e">
        <f t="shared" si="34"/>
        <v>#REF!</v>
      </c>
      <c r="BW15" s="11" t="e">
        <f t="shared" si="35"/>
        <v>#REF!</v>
      </c>
      <c r="BX15" s="11" t="e">
        <f t="shared" si="36"/>
        <v>#REF!</v>
      </c>
      <c r="BZ15" s="11" t="e">
        <f t="shared" si="37"/>
        <v>#REF!</v>
      </c>
      <c r="CA15" s="11" t="e">
        <f t="shared" si="38"/>
        <v>#REF!</v>
      </c>
      <c r="CB15" s="11" t="e">
        <f t="shared" si="39"/>
        <v>#REF!</v>
      </c>
      <c r="CC15" s="11" t="e">
        <f t="shared" si="40"/>
        <v>#REF!</v>
      </c>
      <c r="CD15" s="11" t="e">
        <f t="shared" si="41"/>
        <v>#REF!</v>
      </c>
      <c r="CF15" s="11" t="e">
        <f t="shared" si="42"/>
        <v>#REF!</v>
      </c>
      <c r="CG15" s="11" t="e">
        <f t="shared" si="43"/>
        <v>#REF!</v>
      </c>
      <c r="CH15" s="11" t="e">
        <f t="shared" si="44"/>
        <v>#REF!</v>
      </c>
      <c r="CI15" s="11" t="e">
        <f t="shared" si="45"/>
        <v>#REF!</v>
      </c>
      <c r="CJ15" s="11" t="e">
        <f t="shared" si="46"/>
        <v>#REF!</v>
      </c>
      <c r="CM15" s="209">
        <f t="shared" si="47"/>
        <v>1.7706771183951749E-2</v>
      </c>
      <c r="CN15" s="209" t="e">
        <f t="shared" si="48"/>
        <v>#REF!</v>
      </c>
      <c r="CO15" s="209" t="e">
        <f t="shared" si="49"/>
        <v>#REF!</v>
      </c>
      <c r="CP15" s="209" t="e">
        <f t="shared" si="50"/>
        <v>#REF!</v>
      </c>
      <c r="CQ15" s="209" t="e">
        <f t="shared" si="51"/>
        <v>#REF!</v>
      </c>
    </row>
    <row r="16" spans="1:95" x14ac:dyDescent="0.25">
      <c r="A16" s="13" t="s">
        <v>34</v>
      </c>
      <c r="B16" s="14" t="s">
        <v>35</v>
      </c>
      <c r="C16" s="4" t="s">
        <v>44</v>
      </c>
      <c r="D16" s="4" t="s">
        <v>45</v>
      </c>
      <c r="E16" s="11">
        <f>SUMIFS('ICB Core Baseline 2024-25'!Q:Q,'ICB Core Baseline 2024-25'!C:C,C16)</f>
        <v>1399084.5320666675</v>
      </c>
      <c r="F16" s="43" t="e">
        <f>SUMIFS(#REF!,#REF!,C16)</f>
        <v>#REF!</v>
      </c>
      <c r="H16" s="43" t="e">
        <f>SUMIFS(#REF!,#REF!,C16)</f>
        <v>#REF!</v>
      </c>
      <c r="I16" s="43" t="e">
        <f t="shared" si="6"/>
        <v>#REF!</v>
      </c>
      <c r="J16" s="43" t="e">
        <f t="shared" si="7"/>
        <v>#REF!</v>
      </c>
      <c r="K16" s="11" t="e">
        <f t="shared" si="0"/>
        <v>#REF!</v>
      </c>
      <c r="L16" s="11" t="e">
        <f t="shared" si="1"/>
        <v>#REF!</v>
      </c>
      <c r="M16" s="43" t="e">
        <f>SUMIFS(#REF!,#REF!,C16)</f>
        <v>#REF!</v>
      </c>
      <c r="N16" s="11" t="e">
        <f t="shared" si="2"/>
        <v>#REF!</v>
      </c>
      <c r="O16" s="43" t="e">
        <f t="shared" si="8"/>
        <v>#REF!</v>
      </c>
      <c r="P16" s="11" t="e">
        <f t="shared" si="3"/>
        <v>#REF!</v>
      </c>
      <c r="Q16" s="11" t="e">
        <f t="shared" si="9"/>
        <v>#REF!</v>
      </c>
      <c r="R16" s="11" t="e">
        <f t="shared" si="4"/>
        <v>#REF!</v>
      </c>
      <c r="S16" s="11" t="e">
        <f>(SUMIFS(#REF!,#REF!,C16)/SUMIFS(#REF!,#REF!,C16))*1000</f>
        <v>#REF!</v>
      </c>
      <c r="T16" s="11" t="e">
        <f t="shared" si="10"/>
        <v>#REF!</v>
      </c>
      <c r="U16" s="11"/>
      <c r="V16" s="11" t="e">
        <f t="shared" si="11"/>
        <v>#REF!</v>
      </c>
      <c r="W16" s="11" t="e">
        <f t="shared" si="12"/>
        <v>#REF!</v>
      </c>
      <c r="X16" s="43" t="e">
        <f t="shared" si="13"/>
        <v>#REF!</v>
      </c>
      <c r="Y16" s="43" t="e">
        <f ca="1">OFFSET(#REF!,MATCH(C16,#REF!,0)+1,0)</f>
        <v>#REF!</v>
      </c>
      <c r="Z16" s="43" t="e">
        <f t="shared" ca="1" si="14"/>
        <v>#REF!</v>
      </c>
      <c r="AA16" s="43" t="e">
        <f t="shared" si="5"/>
        <v>#REF!</v>
      </c>
      <c r="AB16" s="11" t="e">
        <f>SUMIFS(#REF!,#REF!,C16)/(1+1.8%)*(1+1.8%+2.3%)</f>
        <v>#REF!</v>
      </c>
      <c r="AC16" s="11" t="e">
        <f t="shared" si="15"/>
        <v>#REF!</v>
      </c>
      <c r="AD16" s="64"/>
      <c r="AE16" s="11" t="e">
        <f>(SUMIFS(#REF!,#REF!,C16)/(1+1.8%))*(1+1.8%+2.3%)</f>
        <v>#REF!</v>
      </c>
      <c r="AF16" s="11" t="e">
        <f>-SUMIFS(#REF!,#REF!,C16)/1000</f>
        <v>#REF!</v>
      </c>
      <c r="AG16" s="11" t="e">
        <f>SUMIFS(#REF!,#REF!,C16)</f>
        <v>#REF!</v>
      </c>
      <c r="AH16" s="11" t="e">
        <f>SUMIFS(#REF!,#REF!,C16)</f>
        <v>#REF!</v>
      </c>
      <c r="AI16" s="11" t="e">
        <f>SUMIFS(#REF!,#REF!,C16)</f>
        <v>#REF!</v>
      </c>
      <c r="AJ16" s="11" t="e">
        <f>SUMIFS(#REF!,#REF!,C16)</f>
        <v>#REF!</v>
      </c>
      <c r="AK16" s="11"/>
      <c r="AL16" s="11" t="e">
        <f t="shared" si="16"/>
        <v>#REF!</v>
      </c>
      <c r="AN16" s="11" t="e">
        <f t="shared" si="17"/>
        <v>#REF!</v>
      </c>
      <c r="AO16" s="11" t="e">
        <f t="shared" si="18"/>
        <v>#REF!</v>
      </c>
      <c r="AQ16" s="11" t="e">
        <f t="shared" si="19"/>
        <v>#REF!</v>
      </c>
      <c r="AS16" s="43" t="e">
        <f t="shared" si="20"/>
        <v>#REF!</v>
      </c>
      <c r="AT16" s="11" t="e">
        <f t="shared" si="21"/>
        <v>#REF!</v>
      </c>
      <c r="AV16" s="11" t="e">
        <f>'Share of £1bn'!$F$20*1000*$AO16/$AO$57</f>
        <v>#REF!</v>
      </c>
      <c r="AW16" s="11" t="e">
        <f>'Share of £1bn'!$F$27*1000*$AO16/$AO$57</f>
        <v>#REF!</v>
      </c>
      <c r="AX16" s="11" t="e">
        <f>'Share of £1bn'!$F$21*1000*$AO16/$AO$57</f>
        <v>#REF!</v>
      </c>
      <c r="AZ16" s="11" t="e">
        <f>'Share of £1bn'!$F$43*1000*AO16/$AO$57</f>
        <v>#REF!</v>
      </c>
      <c r="BA16" s="11" t="e">
        <f>'Share of £1bn'!$F$50*1000*$AO16/$AO$57</f>
        <v>#REF!</v>
      </c>
      <c r="BB16" s="11" t="e">
        <f>'Share of £1bn'!$F$44*1000*AO16/$AO$57</f>
        <v>#REF!</v>
      </c>
      <c r="BD16" s="11" t="e">
        <f>'Share of £1bn'!$F$67*1000*AO16/$AO$57</f>
        <v>#REF!</v>
      </c>
      <c r="BF16" s="11">
        <f>SUMIFS('20-11 M6 deficits'!$BO:$BO,'20-11 M6 deficits'!$C:$C,$C16)*1000</f>
        <v>-19000</v>
      </c>
      <c r="BH16" s="11" t="e">
        <f t="shared" si="22"/>
        <v>#REF!</v>
      </c>
      <c r="BI16" s="11" t="e">
        <f t="shared" si="23"/>
        <v>#REF!</v>
      </c>
      <c r="BJ16" s="11" t="e">
        <f t="shared" si="24"/>
        <v>#REF!</v>
      </c>
      <c r="BK16" s="11" t="e">
        <f t="shared" si="25"/>
        <v>#REF!</v>
      </c>
      <c r="BL16" s="11" t="e">
        <f t="shared" si="26"/>
        <v>#REF!</v>
      </c>
      <c r="BN16" s="11" t="e">
        <f t="shared" si="27"/>
        <v>#REF!</v>
      </c>
      <c r="BO16" s="11" t="e">
        <f t="shared" si="28"/>
        <v>#REF!</v>
      </c>
      <c r="BP16" s="11" t="e">
        <f t="shared" si="29"/>
        <v>#REF!</v>
      </c>
      <c r="BQ16" s="11" t="e">
        <f t="shared" si="30"/>
        <v>#REF!</v>
      </c>
      <c r="BR16" s="11" t="e">
        <f t="shared" si="31"/>
        <v>#REF!</v>
      </c>
      <c r="BT16" s="11" t="e">
        <f t="shared" si="32"/>
        <v>#REF!</v>
      </c>
      <c r="BU16" s="11" t="e">
        <f t="shared" si="33"/>
        <v>#REF!</v>
      </c>
      <c r="BV16" s="11" t="e">
        <f t="shared" si="34"/>
        <v>#REF!</v>
      </c>
      <c r="BW16" s="11" t="e">
        <f t="shared" si="35"/>
        <v>#REF!</v>
      </c>
      <c r="BX16" s="11" t="e">
        <f t="shared" si="36"/>
        <v>#REF!</v>
      </c>
      <c r="BZ16" s="11" t="e">
        <f t="shared" si="37"/>
        <v>#REF!</v>
      </c>
      <c r="CA16" s="11" t="e">
        <f t="shared" si="38"/>
        <v>#REF!</v>
      </c>
      <c r="CB16" s="11" t="e">
        <f t="shared" si="39"/>
        <v>#REF!</v>
      </c>
      <c r="CC16" s="11" t="e">
        <f t="shared" si="40"/>
        <v>#REF!</v>
      </c>
      <c r="CD16" s="11" t="e">
        <f t="shared" si="41"/>
        <v>#REF!</v>
      </c>
      <c r="CF16" s="11" t="e">
        <f t="shared" si="42"/>
        <v>#REF!</v>
      </c>
      <c r="CG16" s="11" t="e">
        <f t="shared" si="43"/>
        <v>#REF!</v>
      </c>
      <c r="CH16" s="11" t="e">
        <f t="shared" si="44"/>
        <v>#REF!</v>
      </c>
      <c r="CI16" s="11" t="e">
        <f t="shared" si="45"/>
        <v>#REF!</v>
      </c>
      <c r="CJ16" s="11" t="e">
        <f t="shared" si="46"/>
        <v>#REF!</v>
      </c>
      <c r="CM16" s="209">
        <f t="shared" si="47"/>
        <v>1.2018872366697943E-2</v>
      </c>
      <c r="CN16" s="209" t="e">
        <f t="shared" si="48"/>
        <v>#REF!</v>
      </c>
      <c r="CO16" s="209" t="e">
        <f t="shared" si="49"/>
        <v>#REF!</v>
      </c>
      <c r="CP16" s="209" t="e">
        <f t="shared" si="50"/>
        <v>#REF!</v>
      </c>
      <c r="CQ16" s="209" t="e">
        <f t="shared" si="51"/>
        <v>#REF!</v>
      </c>
    </row>
    <row r="17" spans="1:95" x14ac:dyDescent="0.25">
      <c r="A17" s="13" t="s">
        <v>34</v>
      </c>
      <c r="B17" s="14" t="s">
        <v>35</v>
      </c>
      <c r="C17" s="4" t="s">
        <v>46</v>
      </c>
      <c r="D17" s="4" t="s">
        <v>47</v>
      </c>
      <c r="E17" s="11">
        <f>SUMIFS('ICB Core Baseline 2024-25'!Q:Q,'ICB Core Baseline 2024-25'!C:C,C17)</f>
        <v>1777885.3086175141</v>
      </c>
      <c r="F17" s="43" t="e">
        <f>SUMIFS(#REF!,#REF!,C17)</f>
        <v>#REF!</v>
      </c>
      <c r="H17" s="43" t="e">
        <f>SUMIFS(#REF!,#REF!,C17)</f>
        <v>#REF!</v>
      </c>
      <c r="I17" s="43" t="e">
        <f t="shared" si="6"/>
        <v>#REF!</v>
      </c>
      <c r="J17" s="43" t="e">
        <f t="shared" si="7"/>
        <v>#REF!</v>
      </c>
      <c r="K17" s="11" t="e">
        <f t="shared" si="0"/>
        <v>#REF!</v>
      </c>
      <c r="L17" s="11" t="e">
        <f t="shared" si="1"/>
        <v>#REF!</v>
      </c>
      <c r="M17" s="43" t="e">
        <f>SUMIFS(#REF!,#REF!,C17)</f>
        <v>#REF!</v>
      </c>
      <c r="N17" s="11" t="e">
        <f t="shared" si="2"/>
        <v>#REF!</v>
      </c>
      <c r="O17" s="43" t="e">
        <f t="shared" si="8"/>
        <v>#REF!</v>
      </c>
      <c r="P17" s="11" t="e">
        <f t="shared" si="3"/>
        <v>#REF!</v>
      </c>
      <c r="Q17" s="11" t="e">
        <f t="shared" si="9"/>
        <v>#REF!</v>
      </c>
      <c r="R17" s="11" t="e">
        <f t="shared" si="4"/>
        <v>#REF!</v>
      </c>
      <c r="S17" s="11" t="e">
        <f>(SUMIFS(#REF!,#REF!,C17)/SUMIFS(#REF!,#REF!,C17))*1000</f>
        <v>#REF!</v>
      </c>
      <c r="T17" s="11" t="e">
        <f t="shared" si="10"/>
        <v>#REF!</v>
      </c>
      <c r="U17" s="11"/>
      <c r="V17" s="11" t="e">
        <f t="shared" si="11"/>
        <v>#REF!</v>
      </c>
      <c r="W17" s="11" t="e">
        <f t="shared" si="12"/>
        <v>#REF!</v>
      </c>
      <c r="X17" s="43" t="e">
        <f t="shared" si="13"/>
        <v>#REF!</v>
      </c>
      <c r="Y17" s="43" t="e">
        <f ca="1">OFFSET(#REF!,MATCH(C17,#REF!,0)+1,0)</f>
        <v>#REF!</v>
      </c>
      <c r="Z17" s="43" t="e">
        <f t="shared" ca="1" si="14"/>
        <v>#REF!</v>
      </c>
      <c r="AA17" s="43" t="e">
        <f t="shared" si="5"/>
        <v>#REF!</v>
      </c>
      <c r="AB17" s="11" t="e">
        <f>SUMIFS(#REF!,#REF!,C17)/(1+1.8%)*(1+1.8%+2.3%)</f>
        <v>#REF!</v>
      </c>
      <c r="AC17" s="11" t="e">
        <f t="shared" si="15"/>
        <v>#REF!</v>
      </c>
      <c r="AD17" s="64"/>
      <c r="AE17" s="11" t="e">
        <f>(SUMIFS(#REF!,#REF!,C17)/(1+1.8%))*(1+1.8%+2.3%)</f>
        <v>#REF!</v>
      </c>
      <c r="AF17" s="11" t="e">
        <f>-SUMIFS(#REF!,#REF!,C17)/1000</f>
        <v>#REF!</v>
      </c>
      <c r="AG17" s="11" t="e">
        <f>SUMIFS(#REF!,#REF!,C17)</f>
        <v>#REF!</v>
      </c>
      <c r="AH17" s="11" t="e">
        <f>SUMIFS(#REF!,#REF!,C17)</f>
        <v>#REF!</v>
      </c>
      <c r="AI17" s="11" t="e">
        <f>SUMIFS(#REF!,#REF!,C17)</f>
        <v>#REF!</v>
      </c>
      <c r="AJ17" s="11" t="e">
        <f>SUMIFS(#REF!,#REF!,C17)</f>
        <v>#REF!</v>
      </c>
      <c r="AK17" s="11"/>
      <c r="AL17" s="11" t="e">
        <f t="shared" si="16"/>
        <v>#REF!</v>
      </c>
      <c r="AN17" s="11" t="e">
        <f t="shared" si="17"/>
        <v>#REF!</v>
      </c>
      <c r="AO17" s="11" t="e">
        <f t="shared" si="18"/>
        <v>#REF!</v>
      </c>
      <c r="AQ17" s="11" t="e">
        <f t="shared" si="19"/>
        <v>#REF!</v>
      </c>
      <c r="AS17" s="43" t="e">
        <f t="shared" si="20"/>
        <v>#REF!</v>
      </c>
      <c r="AT17" s="11" t="e">
        <f t="shared" si="21"/>
        <v>#REF!</v>
      </c>
      <c r="AV17" s="11" t="e">
        <f>'Share of £1bn'!$F$20*1000*$AO17/$AO$57</f>
        <v>#REF!</v>
      </c>
      <c r="AW17" s="11" t="e">
        <f>'Share of £1bn'!$F$27*1000*$AO17/$AO$57</f>
        <v>#REF!</v>
      </c>
      <c r="AX17" s="11" t="e">
        <f>'Share of £1bn'!$F$21*1000*$AO17/$AO$57</f>
        <v>#REF!</v>
      </c>
      <c r="AZ17" s="11" t="e">
        <f>'Share of £1bn'!$F$43*1000*AO17/$AO$57</f>
        <v>#REF!</v>
      </c>
      <c r="BA17" s="11" t="e">
        <f>'Share of £1bn'!$F$50*1000*$AO17/$AO$57</f>
        <v>#REF!</v>
      </c>
      <c r="BB17" s="11" t="e">
        <f>'Share of £1bn'!$F$44*1000*AO17/$AO$57</f>
        <v>#REF!</v>
      </c>
      <c r="BD17" s="11" t="e">
        <f>'Share of £1bn'!$F$67*1000*AO17/$AO$57</f>
        <v>#REF!</v>
      </c>
      <c r="BF17" s="11">
        <f>SUMIFS('20-11 M6 deficits'!$BO:$BO,'20-11 M6 deficits'!$C:$C,$C17)*1000</f>
        <v>-40000</v>
      </c>
      <c r="BH17" s="11" t="e">
        <f t="shared" si="22"/>
        <v>#REF!</v>
      </c>
      <c r="BI17" s="11" t="e">
        <f t="shared" si="23"/>
        <v>#REF!</v>
      </c>
      <c r="BJ17" s="11" t="e">
        <f t="shared" si="24"/>
        <v>#REF!</v>
      </c>
      <c r="BK17" s="11" t="e">
        <f t="shared" si="25"/>
        <v>#REF!</v>
      </c>
      <c r="BL17" s="11" t="e">
        <f t="shared" si="26"/>
        <v>#REF!</v>
      </c>
      <c r="BN17" s="11" t="e">
        <f t="shared" si="27"/>
        <v>#REF!</v>
      </c>
      <c r="BO17" s="11" t="e">
        <f t="shared" si="28"/>
        <v>#REF!</v>
      </c>
      <c r="BP17" s="11" t="e">
        <f t="shared" si="29"/>
        <v>#REF!</v>
      </c>
      <c r="BQ17" s="11" t="e">
        <f t="shared" si="30"/>
        <v>#REF!</v>
      </c>
      <c r="BR17" s="11" t="e">
        <f t="shared" si="31"/>
        <v>#REF!</v>
      </c>
      <c r="BT17" s="11" t="e">
        <f t="shared" si="32"/>
        <v>#REF!</v>
      </c>
      <c r="BU17" s="11" t="e">
        <f t="shared" si="33"/>
        <v>#REF!</v>
      </c>
      <c r="BV17" s="11" t="e">
        <f t="shared" si="34"/>
        <v>#REF!</v>
      </c>
      <c r="BW17" s="11" t="e">
        <f t="shared" si="35"/>
        <v>#REF!</v>
      </c>
      <c r="BX17" s="11" t="e">
        <f t="shared" si="36"/>
        <v>#REF!</v>
      </c>
      <c r="BZ17" s="11" t="e">
        <f t="shared" si="37"/>
        <v>#REF!</v>
      </c>
      <c r="CA17" s="11" t="e">
        <f t="shared" si="38"/>
        <v>#REF!</v>
      </c>
      <c r="CB17" s="11" t="e">
        <f t="shared" si="39"/>
        <v>#REF!</v>
      </c>
      <c r="CC17" s="11" t="e">
        <f t="shared" si="40"/>
        <v>#REF!</v>
      </c>
      <c r="CD17" s="11" t="e">
        <f t="shared" si="41"/>
        <v>#REF!</v>
      </c>
      <c r="CF17" s="11" t="e">
        <f t="shared" si="42"/>
        <v>#REF!</v>
      </c>
      <c r="CG17" s="11" t="e">
        <f t="shared" si="43"/>
        <v>#REF!</v>
      </c>
      <c r="CH17" s="11" t="e">
        <f t="shared" si="44"/>
        <v>#REF!</v>
      </c>
      <c r="CI17" s="11" t="e">
        <f t="shared" si="45"/>
        <v>#REF!</v>
      </c>
      <c r="CJ17" s="11" t="e">
        <f t="shared" si="46"/>
        <v>#REF!</v>
      </c>
      <c r="CM17" s="209">
        <f t="shared" si="47"/>
        <v>2.5302889193048302E-2</v>
      </c>
      <c r="CN17" s="209" t="e">
        <f t="shared" si="48"/>
        <v>#REF!</v>
      </c>
      <c r="CO17" s="209" t="e">
        <f t="shared" si="49"/>
        <v>#REF!</v>
      </c>
      <c r="CP17" s="209" t="e">
        <f t="shared" si="50"/>
        <v>#REF!</v>
      </c>
      <c r="CQ17" s="209" t="e">
        <f t="shared" si="51"/>
        <v>#REF!</v>
      </c>
    </row>
    <row r="18" spans="1:95" x14ac:dyDescent="0.25">
      <c r="A18" s="13" t="s">
        <v>34</v>
      </c>
      <c r="B18" s="14" t="s">
        <v>35</v>
      </c>
      <c r="C18" s="4" t="s">
        <v>48</v>
      </c>
      <c r="D18" s="4" t="s">
        <v>49</v>
      </c>
      <c r="E18" s="11">
        <f>SUMIFS('ICB Core Baseline 2024-25'!Q:Q,'ICB Core Baseline 2024-25'!C:C,C18)</f>
        <v>1430894.8889875349</v>
      </c>
      <c r="F18" s="43" t="e">
        <f>SUMIFS(#REF!,#REF!,C18)</f>
        <v>#REF!</v>
      </c>
      <c r="H18" s="43" t="e">
        <f>SUMIFS(#REF!,#REF!,C18)</f>
        <v>#REF!</v>
      </c>
      <c r="I18" s="43" t="e">
        <f t="shared" si="6"/>
        <v>#REF!</v>
      </c>
      <c r="J18" s="43" t="e">
        <f t="shared" si="7"/>
        <v>#REF!</v>
      </c>
      <c r="K18" s="11" t="e">
        <f t="shared" si="0"/>
        <v>#REF!</v>
      </c>
      <c r="L18" s="11" t="e">
        <f t="shared" si="1"/>
        <v>#REF!</v>
      </c>
      <c r="M18" s="43" t="e">
        <f>SUMIFS(#REF!,#REF!,C18)</f>
        <v>#REF!</v>
      </c>
      <c r="N18" s="11" t="e">
        <f t="shared" si="2"/>
        <v>#REF!</v>
      </c>
      <c r="O18" s="43" t="e">
        <f t="shared" si="8"/>
        <v>#REF!</v>
      </c>
      <c r="P18" s="11" t="e">
        <f t="shared" si="3"/>
        <v>#REF!</v>
      </c>
      <c r="Q18" s="11" t="e">
        <f t="shared" si="9"/>
        <v>#REF!</v>
      </c>
      <c r="R18" s="11" t="e">
        <f t="shared" si="4"/>
        <v>#REF!</v>
      </c>
      <c r="S18" s="11" t="e">
        <f>(SUMIFS(#REF!,#REF!,C18)/SUMIFS(#REF!,#REF!,C18))*1000</f>
        <v>#REF!</v>
      </c>
      <c r="T18" s="11" t="e">
        <f t="shared" si="10"/>
        <v>#REF!</v>
      </c>
      <c r="U18" s="11"/>
      <c r="V18" s="11" t="e">
        <f t="shared" si="11"/>
        <v>#REF!</v>
      </c>
      <c r="W18" s="11" t="e">
        <f t="shared" si="12"/>
        <v>#REF!</v>
      </c>
      <c r="X18" s="43" t="e">
        <f t="shared" si="13"/>
        <v>#REF!</v>
      </c>
      <c r="Y18" s="43" t="e">
        <f ca="1">OFFSET(#REF!,MATCH(C18,#REF!,0)+1,0)</f>
        <v>#REF!</v>
      </c>
      <c r="Z18" s="43" t="e">
        <f t="shared" ca="1" si="14"/>
        <v>#REF!</v>
      </c>
      <c r="AA18" s="43" t="e">
        <f t="shared" si="5"/>
        <v>#REF!</v>
      </c>
      <c r="AB18" s="11" t="e">
        <f>SUMIFS(#REF!,#REF!,C18)/(1+1.8%)*(1+1.8%+2.3%)</f>
        <v>#REF!</v>
      </c>
      <c r="AC18" s="11" t="e">
        <f t="shared" si="15"/>
        <v>#REF!</v>
      </c>
      <c r="AD18" s="64"/>
      <c r="AE18" s="11" t="e">
        <f>(SUMIFS(#REF!,#REF!,C18)/(1+1.8%))*(1+1.8%+2.3%)</f>
        <v>#REF!</v>
      </c>
      <c r="AF18" s="11" t="e">
        <f>-SUMIFS(#REF!,#REF!,C18)/1000</f>
        <v>#REF!</v>
      </c>
      <c r="AG18" s="11" t="e">
        <f>SUMIFS(#REF!,#REF!,C18)</f>
        <v>#REF!</v>
      </c>
      <c r="AH18" s="11" t="e">
        <f>SUMIFS(#REF!,#REF!,C18)</f>
        <v>#REF!</v>
      </c>
      <c r="AI18" s="11" t="e">
        <f>SUMIFS(#REF!,#REF!,C18)</f>
        <v>#REF!</v>
      </c>
      <c r="AJ18" s="11" t="e">
        <f>SUMIFS(#REF!,#REF!,C18)</f>
        <v>#REF!</v>
      </c>
      <c r="AK18" s="11"/>
      <c r="AL18" s="11" t="e">
        <f t="shared" si="16"/>
        <v>#REF!</v>
      </c>
      <c r="AN18" s="11" t="e">
        <f t="shared" si="17"/>
        <v>#REF!</v>
      </c>
      <c r="AO18" s="11" t="e">
        <f t="shared" si="18"/>
        <v>#REF!</v>
      </c>
      <c r="AQ18" s="11" t="e">
        <f t="shared" si="19"/>
        <v>#REF!</v>
      </c>
      <c r="AS18" s="43" t="e">
        <f t="shared" si="20"/>
        <v>#REF!</v>
      </c>
      <c r="AT18" s="11" t="e">
        <f t="shared" si="21"/>
        <v>#REF!</v>
      </c>
      <c r="AV18" s="11" t="e">
        <f>'Share of £1bn'!$F$20*1000*$AO18/$AO$57</f>
        <v>#REF!</v>
      </c>
      <c r="AW18" s="11" t="e">
        <f>'Share of £1bn'!$F$27*1000*$AO18/$AO$57</f>
        <v>#REF!</v>
      </c>
      <c r="AX18" s="11" t="e">
        <f>'Share of £1bn'!$F$21*1000*$AO18/$AO$57</f>
        <v>#REF!</v>
      </c>
      <c r="AZ18" s="11" t="e">
        <f>'Share of £1bn'!$F$43*1000*AO18/$AO$57</f>
        <v>#REF!</v>
      </c>
      <c r="BA18" s="11" t="e">
        <f>'Share of £1bn'!$F$50*1000*$AO18/$AO$57</f>
        <v>#REF!</v>
      </c>
      <c r="BB18" s="11" t="e">
        <f>'Share of £1bn'!$F$44*1000*AO18/$AO$57</f>
        <v>#REF!</v>
      </c>
      <c r="BD18" s="11" t="e">
        <f>'Share of £1bn'!$F$67*1000*AO18/$AO$57</f>
        <v>#REF!</v>
      </c>
      <c r="BF18" s="11">
        <f>SUMIFS('20-11 M6 deficits'!$BO:$BO,'20-11 M6 deficits'!$C:$C,$C18)*1000</f>
        <v>-15400</v>
      </c>
      <c r="BH18" s="11" t="e">
        <f t="shared" si="22"/>
        <v>#REF!</v>
      </c>
      <c r="BI18" s="11" t="e">
        <f t="shared" si="23"/>
        <v>#REF!</v>
      </c>
      <c r="BJ18" s="11" t="e">
        <f t="shared" si="24"/>
        <v>#REF!</v>
      </c>
      <c r="BK18" s="11" t="e">
        <f t="shared" si="25"/>
        <v>#REF!</v>
      </c>
      <c r="BL18" s="11" t="e">
        <f t="shared" si="26"/>
        <v>#REF!</v>
      </c>
      <c r="BN18" s="11" t="e">
        <f t="shared" si="27"/>
        <v>#REF!</v>
      </c>
      <c r="BO18" s="11" t="e">
        <f t="shared" si="28"/>
        <v>#REF!</v>
      </c>
      <c r="BP18" s="11" t="e">
        <f t="shared" si="29"/>
        <v>#REF!</v>
      </c>
      <c r="BQ18" s="11" t="e">
        <f t="shared" si="30"/>
        <v>#REF!</v>
      </c>
      <c r="BR18" s="11" t="e">
        <f t="shared" si="31"/>
        <v>#REF!</v>
      </c>
      <c r="BT18" s="11" t="e">
        <f t="shared" si="32"/>
        <v>#REF!</v>
      </c>
      <c r="BU18" s="11" t="e">
        <f t="shared" si="33"/>
        <v>#REF!</v>
      </c>
      <c r="BV18" s="11" t="e">
        <f t="shared" si="34"/>
        <v>#REF!</v>
      </c>
      <c r="BW18" s="11" t="e">
        <f t="shared" si="35"/>
        <v>#REF!</v>
      </c>
      <c r="BX18" s="11" t="e">
        <f t="shared" si="36"/>
        <v>#REF!</v>
      </c>
      <c r="BZ18" s="11" t="e">
        <f t="shared" si="37"/>
        <v>#REF!</v>
      </c>
      <c r="CA18" s="11" t="e">
        <f t="shared" si="38"/>
        <v>#REF!</v>
      </c>
      <c r="CB18" s="11" t="e">
        <f t="shared" si="39"/>
        <v>#REF!</v>
      </c>
      <c r="CC18" s="11" t="e">
        <f t="shared" si="40"/>
        <v>#REF!</v>
      </c>
      <c r="CD18" s="11" t="e">
        <f t="shared" si="41"/>
        <v>#REF!</v>
      </c>
      <c r="CF18" s="11" t="e">
        <f t="shared" si="42"/>
        <v>#REF!</v>
      </c>
      <c r="CG18" s="11" t="e">
        <f t="shared" si="43"/>
        <v>#REF!</v>
      </c>
      <c r="CH18" s="11" t="e">
        <f t="shared" si="44"/>
        <v>#REF!</v>
      </c>
      <c r="CI18" s="11" t="e">
        <f t="shared" si="45"/>
        <v>#REF!</v>
      </c>
      <c r="CJ18" s="11" t="e">
        <f t="shared" si="46"/>
        <v>#REF!</v>
      </c>
      <c r="CM18" s="209">
        <f t="shared" si="47"/>
        <v>9.7416123393235955E-3</v>
      </c>
      <c r="CN18" s="209" t="e">
        <f t="shared" si="48"/>
        <v>#REF!</v>
      </c>
      <c r="CO18" s="209" t="e">
        <f t="shared" si="49"/>
        <v>#REF!</v>
      </c>
      <c r="CP18" s="209" t="e">
        <f t="shared" si="50"/>
        <v>#REF!</v>
      </c>
      <c r="CQ18" s="209" t="e">
        <f t="shared" si="51"/>
        <v>#REF!</v>
      </c>
    </row>
    <row r="19" spans="1:95" x14ac:dyDescent="0.25">
      <c r="A19" s="13" t="s">
        <v>34</v>
      </c>
      <c r="B19" s="14" t="s">
        <v>35</v>
      </c>
      <c r="C19" s="4" t="s">
        <v>50</v>
      </c>
      <c r="D19" s="4" t="s">
        <v>51</v>
      </c>
      <c r="E19" s="11">
        <f>SUMIFS('ICB Core Baseline 2024-25'!Q:Q,'ICB Core Baseline 2024-25'!C:C,C19)</f>
        <v>1309001.4633780424</v>
      </c>
      <c r="F19" s="43" t="e">
        <f>SUMIFS(#REF!,#REF!,C19)</f>
        <v>#REF!</v>
      </c>
      <c r="H19" s="43" t="e">
        <f>SUMIFS(#REF!,#REF!,C19)</f>
        <v>#REF!</v>
      </c>
      <c r="I19" s="43" t="e">
        <f t="shared" si="6"/>
        <v>#REF!</v>
      </c>
      <c r="J19" s="43" t="e">
        <f t="shared" si="7"/>
        <v>#REF!</v>
      </c>
      <c r="K19" s="11" t="e">
        <f t="shared" si="0"/>
        <v>#REF!</v>
      </c>
      <c r="L19" s="11" t="e">
        <f t="shared" si="1"/>
        <v>#REF!</v>
      </c>
      <c r="M19" s="43" t="e">
        <f>SUMIFS(#REF!,#REF!,C19)</f>
        <v>#REF!</v>
      </c>
      <c r="N19" s="11" t="e">
        <f t="shared" si="2"/>
        <v>#REF!</v>
      </c>
      <c r="O19" s="43" t="e">
        <f t="shared" si="8"/>
        <v>#REF!</v>
      </c>
      <c r="P19" s="11" t="e">
        <f t="shared" si="3"/>
        <v>#REF!</v>
      </c>
      <c r="Q19" s="11" t="e">
        <f t="shared" si="9"/>
        <v>#REF!</v>
      </c>
      <c r="R19" s="11" t="e">
        <f t="shared" si="4"/>
        <v>#REF!</v>
      </c>
      <c r="S19" s="11" t="e">
        <f>(SUMIFS(#REF!,#REF!,C19)/SUMIFS(#REF!,#REF!,C19))*1000</f>
        <v>#REF!</v>
      </c>
      <c r="T19" s="11" t="e">
        <f t="shared" si="10"/>
        <v>#REF!</v>
      </c>
      <c r="U19" s="11"/>
      <c r="V19" s="11" t="e">
        <f t="shared" si="11"/>
        <v>#REF!</v>
      </c>
      <c r="W19" s="11" t="e">
        <f t="shared" si="12"/>
        <v>#REF!</v>
      </c>
      <c r="X19" s="43" t="e">
        <f t="shared" si="13"/>
        <v>#REF!</v>
      </c>
      <c r="Y19" s="43" t="e">
        <f ca="1">OFFSET(#REF!,MATCH(C19,#REF!,0)+1,0)</f>
        <v>#REF!</v>
      </c>
      <c r="Z19" s="43" t="e">
        <f t="shared" ca="1" si="14"/>
        <v>#REF!</v>
      </c>
      <c r="AA19" s="43" t="e">
        <f t="shared" si="5"/>
        <v>#REF!</v>
      </c>
      <c r="AB19" s="11" t="e">
        <f>SUMIFS(#REF!,#REF!,C19)/(1+1.8%)*(1+1.8%+2.3%)</f>
        <v>#REF!</v>
      </c>
      <c r="AC19" s="11" t="e">
        <f t="shared" si="15"/>
        <v>#REF!</v>
      </c>
      <c r="AD19" s="64"/>
      <c r="AE19" s="11" t="e">
        <f>(SUMIFS(#REF!,#REF!,C19)/(1+1.8%))*(1+1.8%+2.3%)</f>
        <v>#REF!</v>
      </c>
      <c r="AF19" s="11" t="e">
        <f>-SUMIFS(#REF!,#REF!,C19)/1000</f>
        <v>#REF!</v>
      </c>
      <c r="AG19" s="11" t="e">
        <f>SUMIFS(#REF!,#REF!,C19)</f>
        <v>#REF!</v>
      </c>
      <c r="AH19" s="11" t="e">
        <f>SUMIFS(#REF!,#REF!,C19)</f>
        <v>#REF!</v>
      </c>
      <c r="AI19" s="11" t="e">
        <f>SUMIFS(#REF!,#REF!,C19)</f>
        <v>#REF!</v>
      </c>
      <c r="AJ19" s="11" t="e">
        <f>SUMIFS(#REF!,#REF!,C19)</f>
        <v>#REF!</v>
      </c>
      <c r="AK19" s="11"/>
      <c r="AL19" s="11" t="e">
        <f t="shared" si="16"/>
        <v>#REF!</v>
      </c>
      <c r="AN19" s="11" t="e">
        <f t="shared" si="17"/>
        <v>#REF!</v>
      </c>
      <c r="AO19" s="11" t="e">
        <f t="shared" si="18"/>
        <v>#REF!</v>
      </c>
      <c r="AQ19" s="11" t="e">
        <f t="shared" si="19"/>
        <v>#REF!</v>
      </c>
      <c r="AS19" s="43" t="e">
        <f t="shared" si="20"/>
        <v>#REF!</v>
      </c>
      <c r="AT19" s="11" t="e">
        <f t="shared" si="21"/>
        <v>#REF!</v>
      </c>
      <c r="AV19" s="11" t="e">
        <f>'Share of £1bn'!$F$20*1000*$AO19/$AO$57</f>
        <v>#REF!</v>
      </c>
      <c r="AW19" s="11" t="e">
        <f>'Share of £1bn'!$F$27*1000*$AO19/$AO$57</f>
        <v>#REF!</v>
      </c>
      <c r="AX19" s="11" t="e">
        <f>'Share of £1bn'!$F$21*1000*$AO19/$AO$57</f>
        <v>#REF!</v>
      </c>
      <c r="AZ19" s="11" t="e">
        <f>'Share of £1bn'!$F$43*1000*AO19/$AO$57</f>
        <v>#REF!</v>
      </c>
      <c r="BA19" s="11" t="e">
        <f>'Share of £1bn'!$F$50*1000*$AO19/$AO$57</f>
        <v>#REF!</v>
      </c>
      <c r="BB19" s="11" t="e">
        <f>'Share of £1bn'!$F$44*1000*AO19/$AO$57</f>
        <v>#REF!</v>
      </c>
      <c r="BD19" s="11" t="e">
        <f>'Share of £1bn'!$F$67*1000*AO19/$AO$57</f>
        <v>#REF!</v>
      </c>
      <c r="BF19" s="11">
        <f>SUMIFS('20-11 M6 deficits'!$BO:$BO,'20-11 M6 deficits'!$C:$C,$C19)*1000</f>
        <v>-34962.309026254647</v>
      </c>
      <c r="BH19" s="11" t="e">
        <f t="shared" si="22"/>
        <v>#REF!</v>
      </c>
      <c r="BI19" s="11" t="e">
        <f t="shared" si="23"/>
        <v>#REF!</v>
      </c>
      <c r="BJ19" s="11" t="e">
        <f t="shared" si="24"/>
        <v>#REF!</v>
      </c>
      <c r="BK19" s="11" t="e">
        <f t="shared" si="25"/>
        <v>#REF!</v>
      </c>
      <c r="BL19" s="11" t="e">
        <f t="shared" si="26"/>
        <v>#REF!</v>
      </c>
      <c r="BN19" s="11" t="e">
        <f t="shared" si="27"/>
        <v>#REF!</v>
      </c>
      <c r="BO19" s="11" t="e">
        <f t="shared" si="28"/>
        <v>#REF!</v>
      </c>
      <c r="BP19" s="11" t="e">
        <f t="shared" si="29"/>
        <v>#REF!</v>
      </c>
      <c r="BQ19" s="11" t="e">
        <f t="shared" si="30"/>
        <v>#REF!</v>
      </c>
      <c r="BR19" s="11" t="e">
        <f t="shared" si="31"/>
        <v>#REF!</v>
      </c>
      <c r="BT19" s="11" t="e">
        <f t="shared" si="32"/>
        <v>#REF!</v>
      </c>
      <c r="BU19" s="11" t="e">
        <f t="shared" si="33"/>
        <v>#REF!</v>
      </c>
      <c r="BV19" s="11" t="e">
        <f t="shared" si="34"/>
        <v>#REF!</v>
      </c>
      <c r="BW19" s="11" t="e">
        <f t="shared" si="35"/>
        <v>#REF!</v>
      </c>
      <c r="BX19" s="11" t="e">
        <f t="shared" si="36"/>
        <v>#REF!</v>
      </c>
      <c r="BZ19" s="11" t="e">
        <f t="shared" si="37"/>
        <v>#REF!</v>
      </c>
      <c r="CA19" s="11" t="e">
        <f t="shared" si="38"/>
        <v>#REF!</v>
      </c>
      <c r="CB19" s="11" t="e">
        <f t="shared" si="39"/>
        <v>#REF!</v>
      </c>
      <c r="CC19" s="11" t="e">
        <f t="shared" si="40"/>
        <v>#REF!</v>
      </c>
      <c r="CD19" s="11" t="e">
        <f t="shared" si="41"/>
        <v>#REF!</v>
      </c>
      <c r="CF19" s="11" t="e">
        <f t="shared" si="42"/>
        <v>#REF!</v>
      </c>
      <c r="CG19" s="11" t="e">
        <f t="shared" si="43"/>
        <v>#REF!</v>
      </c>
      <c r="CH19" s="11" t="e">
        <f t="shared" si="44"/>
        <v>#REF!</v>
      </c>
      <c r="CI19" s="11" t="e">
        <f t="shared" si="45"/>
        <v>#REF!</v>
      </c>
      <c r="CJ19" s="11" t="e">
        <f t="shared" si="46"/>
        <v>#REF!</v>
      </c>
      <c r="CM19" s="209">
        <f t="shared" si="47"/>
        <v>2.2116185780610843E-2</v>
      </c>
      <c r="CN19" s="209" t="e">
        <f t="shared" si="48"/>
        <v>#REF!</v>
      </c>
      <c r="CO19" s="209" t="e">
        <f t="shared" si="49"/>
        <v>#REF!</v>
      </c>
      <c r="CP19" s="209" t="e">
        <f t="shared" si="50"/>
        <v>#REF!</v>
      </c>
      <c r="CQ19" s="209" t="e">
        <f t="shared" si="51"/>
        <v>#REF!</v>
      </c>
    </row>
    <row r="20" spans="1:95" x14ac:dyDescent="0.25">
      <c r="A20" s="13" t="s">
        <v>34</v>
      </c>
      <c r="B20" s="14" t="s">
        <v>35</v>
      </c>
      <c r="C20" s="4" t="s">
        <v>52</v>
      </c>
      <c r="D20" s="4" t="s">
        <v>53</v>
      </c>
      <c r="E20" s="11">
        <f>SUMIFS('ICB Core Baseline 2024-25'!Q:Q,'ICB Core Baseline 2024-25'!C:C,C20)</f>
        <v>2105484.7321976945</v>
      </c>
      <c r="F20" s="43" t="e">
        <f>SUMIFS(#REF!,#REF!,C20)</f>
        <v>#REF!</v>
      </c>
      <c r="H20" s="43" t="e">
        <f>SUMIFS(#REF!,#REF!,C20)</f>
        <v>#REF!</v>
      </c>
      <c r="I20" s="43" t="e">
        <f t="shared" si="6"/>
        <v>#REF!</v>
      </c>
      <c r="J20" s="43" t="e">
        <f t="shared" si="7"/>
        <v>#REF!</v>
      </c>
      <c r="K20" s="11" t="e">
        <f t="shared" si="0"/>
        <v>#REF!</v>
      </c>
      <c r="L20" s="11" t="e">
        <f t="shared" si="1"/>
        <v>#REF!</v>
      </c>
      <c r="M20" s="43" t="e">
        <f>SUMIFS(#REF!,#REF!,C20)</f>
        <v>#REF!</v>
      </c>
      <c r="N20" s="11" t="e">
        <f t="shared" si="2"/>
        <v>#REF!</v>
      </c>
      <c r="O20" s="43" t="e">
        <f t="shared" si="8"/>
        <v>#REF!</v>
      </c>
      <c r="P20" s="11" t="e">
        <f t="shared" si="3"/>
        <v>#REF!</v>
      </c>
      <c r="Q20" s="11" t="e">
        <f t="shared" si="9"/>
        <v>#REF!</v>
      </c>
      <c r="R20" s="11" t="e">
        <f t="shared" si="4"/>
        <v>#REF!</v>
      </c>
      <c r="S20" s="11" t="e">
        <f>(SUMIFS(#REF!,#REF!,C20)/SUMIFS(#REF!,#REF!,C20))*1000</f>
        <v>#REF!</v>
      </c>
      <c r="T20" s="11" t="e">
        <f t="shared" si="10"/>
        <v>#REF!</v>
      </c>
      <c r="U20" s="11"/>
      <c r="V20" s="11" t="e">
        <f t="shared" si="11"/>
        <v>#REF!</v>
      </c>
      <c r="W20" s="11" t="e">
        <f t="shared" si="12"/>
        <v>#REF!</v>
      </c>
      <c r="X20" s="43" t="e">
        <f t="shared" si="13"/>
        <v>#REF!</v>
      </c>
      <c r="Y20" s="43" t="e">
        <f ca="1">OFFSET(#REF!,MATCH(C20,#REF!,0)+1,0)</f>
        <v>#REF!</v>
      </c>
      <c r="Z20" s="43" t="e">
        <f t="shared" ca="1" si="14"/>
        <v>#REF!</v>
      </c>
      <c r="AA20" s="43" t="e">
        <f t="shared" si="5"/>
        <v>#REF!</v>
      </c>
      <c r="AB20" s="11" t="e">
        <f>SUMIFS(#REF!,#REF!,C20)/(1+1.8%)*(1+1.8%+2.3%)</f>
        <v>#REF!</v>
      </c>
      <c r="AC20" s="11" t="e">
        <f t="shared" si="15"/>
        <v>#REF!</v>
      </c>
      <c r="AD20" s="64"/>
      <c r="AE20" s="11" t="e">
        <f>(SUMIFS(#REF!,#REF!,C20)/(1+1.8%))*(1+1.8%+2.3%)</f>
        <v>#REF!</v>
      </c>
      <c r="AF20" s="11" t="e">
        <f>-SUMIFS(#REF!,#REF!,C20)/1000</f>
        <v>#REF!</v>
      </c>
      <c r="AG20" s="11" t="e">
        <f>SUMIFS(#REF!,#REF!,C20)</f>
        <v>#REF!</v>
      </c>
      <c r="AH20" s="11" t="e">
        <f>SUMIFS(#REF!,#REF!,C20)</f>
        <v>#REF!</v>
      </c>
      <c r="AI20" s="11" t="e">
        <f>SUMIFS(#REF!,#REF!,C20)</f>
        <v>#REF!</v>
      </c>
      <c r="AJ20" s="11" t="e">
        <f>SUMIFS(#REF!,#REF!,C20)</f>
        <v>#REF!</v>
      </c>
      <c r="AK20" s="11"/>
      <c r="AL20" s="11" t="e">
        <f t="shared" si="16"/>
        <v>#REF!</v>
      </c>
      <c r="AN20" s="11" t="e">
        <f t="shared" si="17"/>
        <v>#REF!</v>
      </c>
      <c r="AO20" s="11" t="e">
        <f t="shared" si="18"/>
        <v>#REF!</v>
      </c>
      <c r="AQ20" s="11" t="e">
        <f t="shared" si="19"/>
        <v>#REF!</v>
      </c>
      <c r="AS20" s="43" t="e">
        <f t="shared" si="20"/>
        <v>#REF!</v>
      </c>
      <c r="AT20" s="11" t="e">
        <f t="shared" si="21"/>
        <v>#REF!</v>
      </c>
      <c r="AV20" s="11" t="e">
        <f>'Share of £1bn'!$F$20*1000*$AO20/$AO$57</f>
        <v>#REF!</v>
      </c>
      <c r="AW20" s="11" t="e">
        <f>'Share of £1bn'!$F$27*1000*$AO20/$AO$57</f>
        <v>#REF!</v>
      </c>
      <c r="AX20" s="11" t="e">
        <f>'Share of £1bn'!$F$21*1000*$AO20/$AO$57</f>
        <v>#REF!</v>
      </c>
      <c r="AZ20" s="11" t="e">
        <f>'Share of £1bn'!$F$43*1000*AO20/$AO$57</f>
        <v>#REF!</v>
      </c>
      <c r="BA20" s="11" t="e">
        <f>'Share of £1bn'!$F$50*1000*$AO20/$AO$57</f>
        <v>#REF!</v>
      </c>
      <c r="BB20" s="11" t="e">
        <f>'Share of £1bn'!$F$44*1000*AO20/$AO$57</f>
        <v>#REF!</v>
      </c>
      <c r="BD20" s="11" t="e">
        <f>'Share of £1bn'!$F$67*1000*AO20/$AO$57</f>
        <v>#REF!</v>
      </c>
      <c r="BF20" s="11">
        <f>SUMIFS('20-11 M6 deficits'!$BO:$BO,'20-11 M6 deficits'!$C:$C,$C20)*1000</f>
        <v>-85000</v>
      </c>
      <c r="BH20" s="11" t="e">
        <f t="shared" si="22"/>
        <v>#REF!</v>
      </c>
      <c r="BI20" s="11" t="e">
        <f t="shared" si="23"/>
        <v>#REF!</v>
      </c>
      <c r="BJ20" s="11" t="e">
        <f t="shared" si="24"/>
        <v>#REF!</v>
      </c>
      <c r="BK20" s="11" t="e">
        <f t="shared" si="25"/>
        <v>#REF!</v>
      </c>
      <c r="BL20" s="11" t="e">
        <f t="shared" si="26"/>
        <v>#REF!</v>
      </c>
      <c r="BN20" s="11" t="e">
        <f t="shared" si="27"/>
        <v>#REF!</v>
      </c>
      <c r="BO20" s="11" t="e">
        <f t="shared" si="28"/>
        <v>#REF!</v>
      </c>
      <c r="BP20" s="11" t="e">
        <f t="shared" si="29"/>
        <v>#REF!</v>
      </c>
      <c r="BQ20" s="11" t="e">
        <f t="shared" si="30"/>
        <v>#REF!</v>
      </c>
      <c r="BR20" s="11" t="e">
        <f t="shared" si="31"/>
        <v>#REF!</v>
      </c>
      <c r="BT20" s="11" t="e">
        <f t="shared" si="32"/>
        <v>#REF!</v>
      </c>
      <c r="BU20" s="11" t="e">
        <f t="shared" si="33"/>
        <v>#REF!</v>
      </c>
      <c r="BV20" s="11" t="e">
        <f t="shared" si="34"/>
        <v>#REF!</v>
      </c>
      <c r="BW20" s="11" t="e">
        <f t="shared" si="35"/>
        <v>#REF!</v>
      </c>
      <c r="BX20" s="11" t="e">
        <f t="shared" si="36"/>
        <v>#REF!</v>
      </c>
      <c r="BZ20" s="11" t="e">
        <f t="shared" si="37"/>
        <v>#REF!</v>
      </c>
      <c r="CA20" s="11" t="e">
        <f t="shared" si="38"/>
        <v>#REF!</v>
      </c>
      <c r="CB20" s="11" t="e">
        <f t="shared" si="39"/>
        <v>#REF!</v>
      </c>
      <c r="CC20" s="11" t="e">
        <f t="shared" si="40"/>
        <v>#REF!</v>
      </c>
      <c r="CD20" s="11" t="e">
        <f t="shared" si="41"/>
        <v>#REF!</v>
      </c>
      <c r="CF20" s="11" t="e">
        <f t="shared" si="42"/>
        <v>#REF!</v>
      </c>
      <c r="CG20" s="11" t="e">
        <f t="shared" si="43"/>
        <v>#REF!</v>
      </c>
      <c r="CH20" s="11" t="e">
        <f t="shared" si="44"/>
        <v>#REF!</v>
      </c>
      <c r="CI20" s="11" t="e">
        <f t="shared" si="45"/>
        <v>#REF!</v>
      </c>
      <c r="CJ20" s="11" t="e">
        <f t="shared" si="46"/>
        <v>#REF!</v>
      </c>
      <c r="CM20" s="209">
        <f t="shared" si="47"/>
        <v>5.376863953522764E-2</v>
      </c>
      <c r="CN20" s="209" t="e">
        <f t="shared" si="48"/>
        <v>#REF!</v>
      </c>
      <c r="CO20" s="209" t="e">
        <f t="shared" si="49"/>
        <v>#REF!</v>
      </c>
      <c r="CP20" s="209" t="e">
        <f t="shared" si="50"/>
        <v>#REF!</v>
      </c>
      <c r="CQ20" s="209" t="e">
        <f t="shared" si="51"/>
        <v>#REF!</v>
      </c>
    </row>
    <row r="21" spans="1:95" x14ac:dyDescent="0.25">
      <c r="A21" s="13" t="s">
        <v>34</v>
      </c>
      <c r="B21" s="14" t="s">
        <v>35</v>
      </c>
      <c r="C21" s="4" t="s">
        <v>54</v>
      </c>
      <c r="D21" s="4" t="s">
        <v>55</v>
      </c>
      <c r="E21" s="11">
        <f>SUMIFS('ICB Core Baseline 2024-25'!Q:Q,'ICB Core Baseline 2024-25'!C:C,C21)</f>
        <v>916651.06573692488</v>
      </c>
      <c r="F21" s="43" t="e">
        <f>SUMIFS(#REF!,#REF!,C21)</f>
        <v>#REF!</v>
      </c>
      <c r="H21" s="43" t="e">
        <f>SUMIFS(#REF!,#REF!,C21)</f>
        <v>#REF!</v>
      </c>
      <c r="I21" s="43" t="e">
        <f t="shared" si="6"/>
        <v>#REF!</v>
      </c>
      <c r="J21" s="43" t="e">
        <f t="shared" si="7"/>
        <v>#REF!</v>
      </c>
      <c r="K21" s="11" t="e">
        <f t="shared" si="0"/>
        <v>#REF!</v>
      </c>
      <c r="L21" s="11" t="e">
        <f t="shared" si="1"/>
        <v>#REF!</v>
      </c>
      <c r="M21" s="43" t="e">
        <f>SUMIFS(#REF!,#REF!,C21)</f>
        <v>#REF!</v>
      </c>
      <c r="N21" s="11" t="e">
        <f t="shared" si="2"/>
        <v>#REF!</v>
      </c>
      <c r="O21" s="43" t="e">
        <f t="shared" si="8"/>
        <v>#REF!</v>
      </c>
      <c r="P21" s="11" t="e">
        <f t="shared" si="3"/>
        <v>#REF!</v>
      </c>
      <c r="Q21" s="11" t="e">
        <f t="shared" si="9"/>
        <v>#REF!</v>
      </c>
      <c r="R21" s="11" t="e">
        <f t="shared" si="4"/>
        <v>#REF!</v>
      </c>
      <c r="S21" s="11" t="e">
        <f>(SUMIFS(#REF!,#REF!,C21)/SUMIFS(#REF!,#REF!,C21))*1000</f>
        <v>#REF!</v>
      </c>
      <c r="T21" s="11" t="e">
        <f t="shared" si="10"/>
        <v>#REF!</v>
      </c>
      <c r="U21" s="11"/>
      <c r="V21" s="11" t="e">
        <f t="shared" si="11"/>
        <v>#REF!</v>
      </c>
      <c r="W21" s="11" t="e">
        <f t="shared" si="12"/>
        <v>#REF!</v>
      </c>
      <c r="X21" s="43" t="e">
        <f t="shared" si="13"/>
        <v>#REF!</v>
      </c>
      <c r="Y21" s="43" t="e">
        <f ca="1">OFFSET(#REF!,MATCH(C21,#REF!,0)+1,0)</f>
        <v>#REF!</v>
      </c>
      <c r="Z21" s="43" t="e">
        <f t="shared" ca="1" si="14"/>
        <v>#REF!</v>
      </c>
      <c r="AA21" s="43" t="e">
        <f t="shared" si="5"/>
        <v>#REF!</v>
      </c>
      <c r="AB21" s="11" t="e">
        <f>SUMIFS(#REF!,#REF!,C21)/(1+1.8%)*(1+1.8%+2.3%)</f>
        <v>#REF!</v>
      </c>
      <c r="AC21" s="11" t="e">
        <f t="shared" si="15"/>
        <v>#REF!</v>
      </c>
      <c r="AD21" s="64"/>
      <c r="AE21" s="11" t="e">
        <f>(SUMIFS(#REF!,#REF!,C21)/(1+1.8%))*(1+1.8%+2.3%)</f>
        <v>#REF!</v>
      </c>
      <c r="AF21" s="11" t="e">
        <f>-SUMIFS(#REF!,#REF!,C21)/1000</f>
        <v>#REF!</v>
      </c>
      <c r="AG21" s="11" t="e">
        <f>SUMIFS(#REF!,#REF!,C21)</f>
        <v>#REF!</v>
      </c>
      <c r="AH21" s="11" t="e">
        <f>SUMIFS(#REF!,#REF!,C21)</f>
        <v>#REF!</v>
      </c>
      <c r="AI21" s="11" t="e">
        <f>SUMIFS(#REF!,#REF!,C21)</f>
        <v>#REF!</v>
      </c>
      <c r="AJ21" s="11" t="e">
        <f>SUMIFS(#REF!,#REF!,C21)</f>
        <v>#REF!</v>
      </c>
      <c r="AK21" s="11"/>
      <c r="AL21" s="11" t="e">
        <f t="shared" si="16"/>
        <v>#REF!</v>
      </c>
      <c r="AN21" s="11" t="e">
        <f t="shared" si="17"/>
        <v>#REF!</v>
      </c>
      <c r="AO21" s="11" t="e">
        <f t="shared" si="18"/>
        <v>#REF!</v>
      </c>
      <c r="AQ21" s="11" t="e">
        <f t="shared" si="19"/>
        <v>#REF!</v>
      </c>
      <c r="AS21" s="43" t="e">
        <f t="shared" si="20"/>
        <v>#REF!</v>
      </c>
      <c r="AT21" s="11" t="e">
        <f t="shared" si="21"/>
        <v>#REF!</v>
      </c>
      <c r="AV21" s="11" t="e">
        <f>'Share of £1bn'!$F$20*1000*$AO21/$AO$57</f>
        <v>#REF!</v>
      </c>
      <c r="AW21" s="11" t="e">
        <f>'Share of £1bn'!$F$27*1000*$AO21/$AO$57</f>
        <v>#REF!</v>
      </c>
      <c r="AX21" s="11" t="e">
        <f>'Share of £1bn'!$F$21*1000*$AO21/$AO$57</f>
        <v>#REF!</v>
      </c>
      <c r="AZ21" s="11" t="e">
        <f>'Share of £1bn'!$F$43*1000*AO21/$AO$57</f>
        <v>#REF!</v>
      </c>
      <c r="BA21" s="11" t="e">
        <f>'Share of £1bn'!$F$50*1000*$AO21/$AO$57</f>
        <v>#REF!</v>
      </c>
      <c r="BB21" s="11" t="e">
        <f>'Share of £1bn'!$F$44*1000*AO21/$AO$57</f>
        <v>#REF!</v>
      </c>
      <c r="BD21" s="11" t="e">
        <f>'Share of £1bn'!$F$67*1000*AO21/$AO$57</f>
        <v>#REF!</v>
      </c>
      <c r="BF21" s="11">
        <f>SUMIFS('20-11 M6 deficits'!$BO:$BO,'20-11 M6 deficits'!$C:$C,$C21)*1000</f>
        <v>-120000</v>
      </c>
      <c r="BH21" s="11" t="e">
        <f t="shared" si="22"/>
        <v>#REF!</v>
      </c>
      <c r="BI21" s="11" t="e">
        <f t="shared" si="23"/>
        <v>#REF!</v>
      </c>
      <c r="BJ21" s="11" t="e">
        <f t="shared" si="24"/>
        <v>#REF!</v>
      </c>
      <c r="BK21" s="11" t="e">
        <f t="shared" si="25"/>
        <v>#REF!</v>
      </c>
      <c r="BL21" s="11" t="e">
        <f t="shared" si="26"/>
        <v>#REF!</v>
      </c>
      <c r="BN21" s="11" t="e">
        <f t="shared" si="27"/>
        <v>#REF!</v>
      </c>
      <c r="BO21" s="11" t="e">
        <f t="shared" si="28"/>
        <v>#REF!</v>
      </c>
      <c r="BP21" s="11" t="e">
        <f t="shared" si="29"/>
        <v>#REF!</v>
      </c>
      <c r="BQ21" s="11" t="e">
        <f t="shared" si="30"/>
        <v>#REF!</v>
      </c>
      <c r="BR21" s="11" t="e">
        <f t="shared" si="31"/>
        <v>#REF!</v>
      </c>
      <c r="BT21" s="11" t="e">
        <f t="shared" si="32"/>
        <v>#REF!</v>
      </c>
      <c r="BU21" s="11" t="e">
        <f t="shared" si="33"/>
        <v>#REF!</v>
      </c>
      <c r="BV21" s="11" t="e">
        <f t="shared" si="34"/>
        <v>#REF!</v>
      </c>
      <c r="BW21" s="11" t="e">
        <f t="shared" si="35"/>
        <v>#REF!</v>
      </c>
      <c r="BX21" s="11" t="e">
        <f t="shared" si="36"/>
        <v>#REF!</v>
      </c>
      <c r="BZ21" s="11" t="e">
        <f t="shared" si="37"/>
        <v>#REF!</v>
      </c>
      <c r="CA21" s="11" t="e">
        <f t="shared" si="38"/>
        <v>#REF!</v>
      </c>
      <c r="CB21" s="11" t="e">
        <f t="shared" si="39"/>
        <v>#REF!</v>
      </c>
      <c r="CC21" s="11" t="e">
        <f t="shared" si="40"/>
        <v>#REF!</v>
      </c>
      <c r="CD21" s="11" t="e">
        <f t="shared" si="41"/>
        <v>#REF!</v>
      </c>
      <c r="CF21" s="11" t="e">
        <f t="shared" si="42"/>
        <v>#REF!</v>
      </c>
      <c r="CG21" s="11" t="e">
        <f t="shared" si="43"/>
        <v>#REF!</v>
      </c>
      <c r="CH21" s="11" t="e">
        <f t="shared" si="44"/>
        <v>#REF!</v>
      </c>
      <c r="CI21" s="11" t="e">
        <f t="shared" si="45"/>
        <v>#REF!</v>
      </c>
      <c r="CJ21" s="11" t="e">
        <f t="shared" si="46"/>
        <v>#REF!</v>
      </c>
      <c r="CM21" s="209">
        <f t="shared" si="47"/>
        <v>7.5908667579144898E-2</v>
      </c>
      <c r="CN21" s="209" t="e">
        <f t="shared" si="48"/>
        <v>#REF!</v>
      </c>
      <c r="CO21" s="209" t="e">
        <f t="shared" si="49"/>
        <v>#REF!</v>
      </c>
      <c r="CP21" s="209" t="e">
        <f t="shared" si="50"/>
        <v>#REF!</v>
      </c>
      <c r="CQ21" s="209" t="e">
        <f t="shared" si="51"/>
        <v>#REF!</v>
      </c>
    </row>
    <row r="22" spans="1:95" x14ac:dyDescent="0.25">
      <c r="A22" s="15" t="s">
        <v>34</v>
      </c>
      <c r="B22" s="16" t="s">
        <v>35</v>
      </c>
      <c r="C22" s="17" t="s">
        <v>56</v>
      </c>
      <c r="D22" s="17" t="s">
        <v>57</v>
      </c>
      <c r="E22" s="18">
        <f>SUMIFS('ICB Core Baseline 2024-25'!Q:Q,'ICB Core Baseline 2024-25'!C:C,C22)</f>
        <v>2085926.6315805949</v>
      </c>
      <c r="F22" s="44" t="e">
        <f>SUMIFS(#REF!,#REF!,C22)</f>
        <v>#REF!</v>
      </c>
      <c r="H22" s="44" t="e">
        <f>SUMIFS(#REF!,#REF!,C22)</f>
        <v>#REF!</v>
      </c>
      <c r="I22" s="44" t="e">
        <f t="shared" si="6"/>
        <v>#REF!</v>
      </c>
      <c r="J22" s="44" t="e">
        <f t="shared" si="7"/>
        <v>#REF!</v>
      </c>
      <c r="K22" s="18" t="e">
        <f t="shared" si="0"/>
        <v>#REF!</v>
      </c>
      <c r="L22" s="18" t="e">
        <f t="shared" si="1"/>
        <v>#REF!</v>
      </c>
      <c r="M22" s="44" t="e">
        <f>SUMIFS(#REF!,#REF!,C22)</f>
        <v>#REF!</v>
      </c>
      <c r="N22" s="18" t="e">
        <f t="shared" si="2"/>
        <v>#REF!</v>
      </c>
      <c r="O22" s="44" t="e">
        <f t="shared" si="8"/>
        <v>#REF!</v>
      </c>
      <c r="P22" s="18" t="e">
        <f t="shared" si="3"/>
        <v>#REF!</v>
      </c>
      <c r="Q22" s="18" t="e">
        <f t="shared" si="9"/>
        <v>#REF!</v>
      </c>
      <c r="R22" s="18" t="e">
        <f t="shared" si="4"/>
        <v>#REF!</v>
      </c>
      <c r="S22" s="18" t="e">
        <f>(SUMIFS(#REF!,#REF!,C22)/SUMIFS(#REF!,#REF!,C22))*1000</f>
        <v>#REF!</v>
      </c>
      <c r="T22" s="18" t="e">
        <f t="shared" si="10"/>
        <v>#REF!</v>
      </c>
      <c r="U22" s="18"/>
      <c r="V22" s="18" t="e">
        <f t="shared" si="11"/>
        <v>#REF!</v>
      </c>
      <c r="W22" s="18" t="e">
        <f t="shared" si="12"/>
        <v>#REF!</v>
      </c>
      <c r="X22" s="44" t="e">
        <f t="shared" si="13"/>
        <v>#REF!</v>
      </c>
      <c r="Y22" s="44" t="e">
        <f ca="1">OFFSET(#REF!,MATCH(C22,#REF!,0)+1,0)</f>
        <v>#REF!</v>
      </c>
      <c r="Z22" s="44" t="e">
        <f t="shared" ca="1" si="14"/>
        <v>#REF!</v>
      </c>
      <c r="AA22" s="44" t="e">
        <f t="shared" si="5"/>
        <v>#REF!</v>
      </c>
      <c r="AB22" s="18" t="e">
        <f>SUMIFS(#REF!,#REF!,C22)/(1+1.8%)*(1+1.8%+2.3%)</f>
        <v>#REF!</v>
      </c>
      <c r="AC22" s="18" t="e">
        <f t="shared" si="15"/>
        <v>#REF!</v>
      </c>
      <c r="AD22" s="65"/>
      <c r="AE22" s="18" t="e">
        <f>(SUMIFS(#REF!,#REF!,C22)/(1+1.8%))*(1+1.8%+2.3%)</f>
        <v>#REF!</v>
      </c>
      <c r="AF22" s="18" t="e">
        <f>-SUMIFS(#REF!,#REF!,C22)/1000</f>
        <v>#REF!</v>
      </c>
      <c r="AG22" s="18" t="e">
        <f>SUMIFS(#REF!,#REF!,C22)</f>
        <v>#REF!</v>
      </c>
      <c r="AH22" s="18" t="e">
        <f>SUMIFS(#REF!,#REF!,C22)</f>
        <v>#REF!</v>
      </c>
      <c r="AI22" s="18" t="e">
        <f>SUMIFS(#REF!,#REF!,C22)</f>
        <v>#REF!</v>
      </c>
      <c r="AJ22" s="18" t="e">
        <f>SUMIFS(#REF!,#REF!,C22)</f>
        <v>#REF!</v>
      </c>
      <c r="AK22" s="18"/>
      <c r="AL22" s="18" t="e">
        <f t="shared" si="16"/>
        <v>#REF!</v>
      </c>
      <c r="AN22" s="18" t="e">
        <f t="shared" si="17"/>
        <v>#REF!</v>
      </c>
      <c r="AO22" s="18" t="e">
        <f t="shared" si="18"/>
        <v>#REF!</v>
      </c>
      <c r="AQ22" s="18" t="e">
        <f t="shared" si="19"/>
        <v>#REF!</v>
      </c>
      <c r="AS22" s="44" t="e">
        <f t="shared" si="20"/>
        <v>#REF!</v>
      </c>
      <c r="AT22" s="18" t="e">
        <f t="shared" si="21"/>
        <v>#REF!</v>
      </c>
      <c r="AV22" s="18" t="e">
        <f>'Share of £1bn'!$F$20*1000*$AO22/$AO$57</f>
        <v>#REF!</v>
      </c>
      <c r="AW22" s="18" t="e">
        <f>'Share of £1bn'!$F$27*1000*$AO22/$AO$57</f>
        <v>#REF!</v>
      </c>
      <c r="AX22" s="18" t="e">
        <f>'Share of £1bn'!$F$21*1000*$AO22/$AO$57</f>
        <v>#REF!</v>
      </c>
      <c r="AZ22" s="18" t="e">
        <f>'Share of £1bn'!$F$43*1000*AO22/$AO$57</f>
        <v>#REF!</v>
      </c>
      <c r="BA22" s="18" t="e">
        <f>'Share of £1bn'!$F$50*1000*$AO22/$AO$57</f>
        <v>#REF!</v>
      </c>
      <c r="BB22" s="18" t="e">
        <f>'Share of £1bn'!$F$44*1000*AO22/$AO$57</f>
        <v>#REF!</v>
      </c>
      <c r="BD22" s="18" t="e">
        <f>'Share of £1bn'!$F$67*1000*AO22/$AO$57</f>
        <v>#REF!</v>
      </c>
      <c r="BF22" s="11">
        <f>SUMIFS('20-11 M6 deficits'!$BO:$BO,'20-11 M6 deficits'!$C:$C,$C22)*1000</f>
        <v>-90000</v>
      </c>
      <c r="BH22" s="18" t="e">
        <f t="shared" si="22"/>
        <v>#REF!</v>
      </c>
      <c r="BI22" s="18" t="e">
        <f t="shared" si="23"/>
        <v>#REF!</v>
      </c>
      <c r="BJ22" s="18" t="e">
        <f t="shared" si="24"/>
        <v>#REF!</v>
      </c>
      <c r="BK22" s="18" t="e">
        <f t="shared" si="25"/>
        <v>#REF!</v>
      </c>
      <c r="BL22" s="18" t="e">
        <f t="shared" si="26"/>
        <v>#REF!</v>
      </c>
      <c r="BN22" s="18" t="e">
        <f t="shared" si="27"/>
        <v>#REF!</v>
      </c>
      <c r="BO22" s="18" t="e">
        <f t="shared" si="28"/>
        <v>#REF!</v>
      </c>
      <c r="BP22" s="18" t="e">
        <f t="shared" si="29"/>
        <v>#REF!</v>
      </c>
      <c r="BQ22" s="18" t="e">
        <f t="shared" si="30"/>
        <v>#REF!</v>
      </c>
      <c r="BR22" s="18" t="e">
        <f t="shared" si="31"/>
        <v>#REF!</v>
      </c>
      <c r="BT22" s="18" t="e">
        <f t="shared" si="32"/>
        <v>#REF!</v>
      </c>
      <c r="BU22" s="18" t="e">
        <f t="shared" si="33"/>
        <v>#REF!</v>
      </c>
      <c r="BV22" s="18" t="e">
        <f t="shared" si="34"/>
        <v>#REF!</v>
      </c>
      <c r="BW22" s="18" t="e">
        <f t="shared" si="35"/>
        <v>#REF!</v>
      </c>
      <c r="BX22" s="18" t="e">
        <f t="shared" si="36"/>
        <v>#REF!</v>
      </c>
      <c r="BZ22" s="18" t="e">
        <f t="shared" si="37"/>
        <v>#REF!</v>
      </c>
      <c r="CA22" s="18" t="e">
        <f t="shared" si="38"/>
        <v>#REF!</v>
      </c>
      <c r="CB22" s="18" t="e">
        <f t="shared" si="39"/>
        <v>#REF!</v>
      </c>
      <c r="CC22" s="18" t="e">
        <f t="shared" si="40"/>
        <v>#REF!</v>
      </c>
      <c r="CD22" s="18" t="e">
        <f t="shared" si="41"/>
        <v>#REF!</v>
      </c>
      <c r="CF22" s="18" t="e">
        <f t="shared" si="42"/>
        <v>#REF!</v>
      </c>
      <c r="CG22" s="18" t="e">
        <f t="shared" si="43"/>
        <v>#REF!</v>
      </c>
      <c r="CH22" s="18" t="e">
        <f t="shared" si="44"/>
        <v>#REF!</v>
      </c>
      <c r="CI22" s="18" t="e">
        <f t="shared" si="45"/>
        <v>#REF!</v>
      </c>
      <c r="CJ22" s="18" t="e">
        <f t="shared" si="46"/>
        <v>#REF!</v>
      </c>
      <c r="CM22" s="209">
        <f t="shared" si="47"/>
        <v>5.6931500684358677E-2</v>
      </c>
      <c r="CN22" s="209" t="e">
        <f t="shared" si="48"/>
        <v>#REF!</v>
      </c>
      <c r="CO22" s="209" t="e">
        <f t="shared" si="49"/>
        <v>#REF!</v>
      </c>
      <c r="CP22" s="209" t="e">
        <f t="shared" si="50"/>
        <v>#REF!</v>
      </c>
      <c r="CQ22" s="209" t="e">
        <f t="shared" si="51"/>
        <v>#REF!</v>
      </c>
    </row>
    <row r="23" spans="1:95" x14ac:dyDescent="0.25">
      <c r="A23" s="10" t="s">
        <v>58</v>
      </c>
      <c r="B23" s="4" t="s">
        <v>59</v>
      </c>
      <c r="C23" s="4" t="s">
        <v>60</v>
      </c>
      <c r="D23" s="4" t="s">
        <v>61</v>
      </c>
      <c r="E23" s="11">
        <f>SUMIFS('ICB Core Baseline 2024-25'!Q:Q,'ICB Core Baseline 2024-25'!C:C,C23)</f>
        <v>1642311.0679959552</v>
      </c>
      <c r="F23" s="43" t="e">
        <f>SUMIFS(#REF!,#REF!,C23)</f>
        <v>#REF!</v>
      </c>
      <c r="H23" s="43" t="e">
        <f>SUMIFS(#REF!,#REF!,C23)</f>
        <v>#REF!</v>
      </c>
      <c r="I23" s="43" t="e">
        <f t="shared" si="6"/>
        <v>#REF!</v>
      </c>
      <c r="J23" s="43" t="e">
        <f t="shared" si="7"/>
        <v>#REF!</v>
      </c>
      <c r="K23" s="11" t="e">
        <f t="shared" si="0"/>
        <v>#REF!</v>
      </c>
      <c r="L23" s="11" t="e">
        <f t="shared" si="1"/>
        <v>#REF!</v>
      </c>
      <c r="M23" s="43" t="e">
        <f>SUMIFS(#REF!,#REF!,C23)</f>
        <v>#REF!</v>
      </c>
      <c r="N23" s="11" t="e">
        <f t="shared" si="2"/>
        <v>#REF!</v>
      </c>
      <c r="O23" s="43" t="e">
        <f t="shared" si="8"/>
        <v>#REF!</v>
      </c>
      <c r="P23" s="11" t="e">
        <f t="shared" si="3"/>
        <v>#REF!</v>
      </c>
      <c r="Q23" s="11" t="e">
        <f t="shared" si="9"/>
        <v>#REF!</v>
      </c>
      <c r="R23" s="11" t="e">
        <f t="shared" si="4"/>
        <v>#REF!</v>
      </c>
      <c r="S23" s="11" t="e">
        <f>(SUMIFS(#REF!,#REF!,C23)/SUMIFS(#REF!,#REF!,C23))*1000</f>
        <v>#REF!</v>
      </c>
      <c r="T23" s="11" t="e">
        <f t="shared" si="10"/>
        <v>#REF!</v>
      </c>
      <c r="U23" s="11"/>
      <c r="V23" s="11" t="e">
        <f t="shared" si="11"/>
        <v>#REF!</v>
      </c>
      <c r="W23" s="11" t="e">
        <f t="shared" si="12"/>
        <v>#REF!</v>
      </c>
      <c r="X23" s="43" t="e">
        <f t="shared" si="13"/>
        <v>#REF!</v>
      </c>
      <c r="Y23" s="43" t="e">
        <f ca="1">OFFSET(#REF!,MATCH(C23,#REF!,0)+1,0)</f>
        <v>#REF!</v>
      </c>
      <c r="Z23" s="43" t="e">
        <f t="shared" ca="1" si="14"/>
        <v>#REF!</v>
      </c>
      <c r="AA23" s="43" t="e">
        <f t="shared" si="5"/>
        <v>#REF!</v>
      </c>
      <c r="AB23" s="11" t="e">
        <f>SUMIFS(#REF!,#REF!,C23)/(1+1.8%)*(1+1.8%+2.3%)</f>
        <v>#REF!</v>
      </c>
      <c r="AC23" s="11" t="e">
        <f t="shared" si="15"/>
        <v>#REF!</v>
      </c>
      <c r="AD23" s="64"/>
      <c r="AE23" s="11" t="e">
        <f>(SUMIFS(#REF!,#REF!,C23)/(1+1.8%))*(1+1.8%+2.3%)</f>
        <v>#REF!</v>
      </c>
      <c r="AF23" s="11" t="e">
        <f>-SUMIFS(#REF!,#REF!,C23)/1000</f>
        <v>#REF!</v>
      </c>
      <c r="AG23" s="11" t="e">
        <f>SUMIFS(#REF!,#REF!,C23)</f>
        <v>#REF!</v>
      </c>
      <c r="AH23" s="11" t="e">
        <f>SUMIFS(#REF!,#REF!,C23)</f>
        <v>#REF!</v>
      </c>
      <c r="AI23" s="11" t="e">
        <f>SUMIFS(#REF!,#REF!,C23)</f>
        <v>#REF!</v>
      </c>
      <c r="AJ23" s="11" t="e">
        <f>SUMIFS(#REF!,#REF!,C23)</f>
        <v>#REF!</v>
      </c>
      <c r="AK23" s="11"/>
      <c r="AL23" s="11" t="e">
        <f t="shared" si="16"/>
        <v>#REF!</v>
      </c>
      <c r="AN23" s="11" t="e">
        <f t="shared" si="17"/>
        <v>#REF!</v>
      </c>
      <c r="AO23" s="11" t="e">
        <f t="shared" si="18"/>
        <v>#REF!</v>
      </c>
      <c r="AQ23" s="11" t="e">
        <f t="shared" si="19"/>
        <v>#REF!</v>
      </c>
      <c r="AS23" s="43" t="e">
        <f t="shared" si="20"/>
        <v>#REF!</v>
      </c>
      <c r="AT23" s="11" t="e">
        <f t="shared" si="21"/>
        <v>#REF!</v>
      </c>
      <c r="AV23" s="11" t="e">
        <f>'Share of £1bn'!$F$20*1000*$AO23/$AO$57</f>
        <v>#REF!</v>
      </c>
      <c r="AW23" s="11" t="e">
        <f>'Share of £1bn'!$F$27*1000*$AO23/$AO$57</f>
        <v>#REF!</v>
      </c>
      <c r="AX23" s="11" t="e">
        <f>'Share of £1bn'!$F$21*1000*$AO23/$AO$57</f>
        <v>#REF!</v>
      </c>
      <c r="AZ23" s="11" t="e">
        <f>'Share of £1bn'!$F$43*1000*AO23/$AO$57</f>
        <v>#REF!</v>
      </c>
      <c r="BA23" s="11" t="e">
        <f>'Share of £1bn'!$F$50*1000*$AO23/$AO$57</f>
        <v>#REF!</v>
      </c>
      <c r="BB23" s="11" t="e">
        <f>'Share of £1bn'!$F$44*1000*AO23/$AO$57</f>
        <v>#REF!</v>
      </c>
      <c r="BD23" s="11" t="e">
        <f>'Share of £1bn'!$F$67*1000*AO23/$AO$57</f>
        <v>#REF!</v>
      </c>
      <c r="BF23" s="11">
        <f>SUMIFS('20-11 M6 deficits'!$BO:$BO,'20-11 M6 deficits'!$C:$C,$C23)*1000</f>
        <v>0</v>
      </c>
      <c r="BH23" s="11" t="e">
        <f t="shared" si="22"/>
        <v>#REF!</v>
      </c>
      <c r="BI23" s="11" t="e">
        <f t="shared" si="23"/>
        <v>#REF!</v>
      </c>
      <c r="BJ23" s="11" t="e">
        <f t="shared" si="24"/>
        <v>#REF!</v>
      </c>
      <c r="BK23" s="11" t="e">
        <f t="shared" si="25"/>
        <v>#REF!</v>
      </c>
      <c r="BL23" s="11" t="e">
        <f t="shared" si="26"/>
        <v>#REF!</v>
      </c>
      <c r="BN23" s="11" t="e">
        <f t="shared" si="27"/>
        <v>#REF!</v>
      </c>
      <c r="BO23" s="11" t="e">
        <f t="shared" si="28"/>
        <v>#REF!</v>
      </c>
      <c r="BP23" s="11" t="e">
        <f t="shared" si="29"/>
        <v>#REF!</v>
      </c>
      <c r="BQ23" s="11" t="e">
        <f t="shared" si="30"/>
        <v>#REF!</v>
      </c>
      <c r="BR23" s="11" t="e">
        <f t="shared" si="31"/>
        <v>#REF!</v>
      </c>
      <c r="BT23" s="11" t="e">
        <f t="shared" si="32"/>
        <v>#REF!</v>
      </c>
      <c r="BU23" s="11" t="e">
        <f t="shared" si="33"/>
        <v>#REF!</v>
      </c>
      <c r="BV23" s="11" t="e">
        <f t="shared" si="34"/>
        <v>#REF!</v>
      </c>
      <c r="BW23" s="11" t="e">
        <f t="shared" si="35"/>
        <v>#REF!</v>
      </c>
      <c r="BX23" s="11" t="e">
        <f t="shared" si="36"/>
        <v>#REF!</v>
      </c>
      <c r="BZ23" s="11" t="e">
        <f t="shared" si="37"/>
        <v>#REF!</v>
      </c>
      <c r="CA23" s="11" t="e">
        <f t="shared" si="38"/>
        <v>#REF!</v>
      </c>
      <c r="CB23" s="11" t="e">
        <f t="shared" si="39"/>
        <v>#REF!</v>
      </c>
      <c r="CC23" s="11" t="e">
        <f t="shared" si="40"/>
        <v>#REF!</v>
      </c>
      <c r="CD23" s="11" t="e">
        <f t="shared" si="41"/>
        <v>#REF!</v>
      </c>
      <c r="CF23" s="11" t="e">
        <f t="shared" si="42"/>
        <v>#REF!</v>
      </c>
      <c r="CG23" s="11" t="e">
        <f t="shared" si="43"/>
        <v>#REF!</v>
      </c>
      <c r="CH23" s="11" t="e">
        <f t="shared" si="44"/>
        <v>#REF!</v>
      </c>
      <c r="CI23" s="11" t="e">
        <f t="shared" si="45"/>
        <v>#REF!</v>
      </c>
      <c r="CJ23" s="11" t="e">
        <f t="shared" si="46"/>
        <v>#REF!</v>
      </c>
      <c r="CM23" s="209">
        <f t="shared" si="47"/>
        <v>0</v>
      </c>
      <c r="CN23" s="209" t="e">
        <f t="shared" si="48"/>
        <v>#REF!</v>
      </c>
      <c r="CO23" s="209" t="e">
        <f t="shared" si="49"/>
        <v>#REF!</v>
      </c>
      <c r="CP23" s="209" t="e">
        <f t="shared" si="50"/>
        <v>#REF!</v>
      </c>
      <c r="CQ23" s="209" t="e">
        <f t="shared" si="51"/>
        <v>#REF!</v>
      </c>
    </row>
    <row r="24" spans="1:95" x14ac:dyDescent="0.25">
      <c r="A24" s="13" t="s">
        <v>58</v>
      </c>
      <c r="B24" s="14" t="s">
        <v>59</v>
      </c>
      <c r="C24" s="4" t="s">
        <v>62</v>
      </c>
      <c r="D24" s="4" t="s">
        <v>63</v>
      </c>
      <c r="E24" s="11">
        <f>SUMIFS('ICB Core Baseline 2024-25'!Q:Q,'ICB Core Baseline 2024-25'!C:C,C24)</f>
        <v>1520393.7039299591</v>
      </c>
      <c r="F24" s="43" t="e">
        <f>SUMIFS(#REF!,#REF!,C24)</f>
        <v>#REF!</v>
      </c>
      <c r="H24" s="43" t="e">
        <f>SUMIFS(#REF!,#REF!,C24)</f>
        <v>#REF!</v>
      </c>
      <c r="I24" s="43" t="e">
        <f t="shared" si="6"/>
        <v>#REF!</v>
      </c>
      <c r="J24" s="43" t="e">
        <f t="shared" si="7"/>
        <v>#REF!</v>
      </c>
      <c r="K24" s="11" t="e">
        <f t="shared" si="0"/>
        <v>#REF!</v>
      </c>
      <c r="L24" s="11" t="e">
        <f t="shared" si="1"/>
        <v>#REF!</v>
      </c>
      <c r="M24" s="43" t="e">
        <f>SUMIFS(#REF!,#REF!,C24)</f>
        <v>#REF!</v>
      </c>
      <c r="N24" s="11" t="e">
        <f t="shared" si="2"/>
        <v>#REF!</v>
      </c>
      <c r="O24" s="43" t="e">
        <f t="shared" si="8"/>
        <v>#REF!</v>
      </c>
      <c r="P24" s="11" t="e">
        <f t="shared" si="3"/>
        <v>#REF!</v>
      </c>
      <c r="Q24" s="11" t="e">
        <f t="shared" si="9"/>
        <v>#REF!</v>
      </c>
      <c r="R24" s="11" t="e">
        <f t="shared" si="4"/>
        <v>#REF!</v>
      </c>
      <c r="S24" s="11" t="e">
        <f>(SUMIFS(#REF!,#REF!,C24)/SUMIFS(#REF!,#REF!,C24))*1000</f>
        <v>#REF!</v>
      </c>
      <c r="T24" s="11" t="e">
        <f t="shared" si="10"/>
        <v>#REF!</v>
      </c>
      <c r="U24" s="11"/>
      <c r="V24" s="11" t="e">
        <f t="shared" si="11"/>
        <v>#REF!</v>
      </c>
      <c r="W24" s="11" t="e">
        <f t="shared" si="12"/>
        <v>#REF!</v>
      </c>
      <c r="X24" s="43" t="e">
        <f t="shared" si="13"/>
        <v>#REF!</v>
      </c>
      <c r="Y24" s="43" t="e">
        <f ca="1">OFFSET(#REF!,MATCH(C24,#REF!,0)+1,0)</f>
        <v>#REF!</v>
      </c>
      <c r="Z24" s="43" t="e">
        <f t="shared" ca="1" si="14"/>
        <v>#REF!</v>
      </c>
      <c r="AA24" s="43" t="e">
        <f t="shared" si="5"/>
        <v>#REF!</v>
      </c>
      <c r="AB24" s="11" t="e">
        <f>SUMIFS(#REF!,#REF!,C24)/(1+1.8%)*(1+1.8%+2.3%)</f>
        <v>#REF!</v>
      </c>
      <c r="AC24" s="11" t="e">
        <f t="shared" si="15"/>
        <v>#REF!</v>
      </c>
      <c r="AD24" s="64"/>
      <c r="AE24" s="11" t="e">
        <f>(SUMIFS(#REF!,#REF!,C24)/(1+1.8%))*(1+1.8%+2.3%)</f>
        <v>#REF!</v>
      </c>
      <c r="AF24" s="11" t="e">
        <f>-SUMIFS(#REF!,#REF!,C24)/1000</f>
        <v>#REF!</v>
      </c>
      <c r="AG24" s="11" t="e">
        <f>SUMIFS(#REF!,#REF!,C24)</f>
        <v>#REF!</v>
      </c>
      <c r="AH24" s="11" t="e">
        <f>SUMIFS(#REF!,#REF!,C24)</f>
        <v>#REF!</v>
      </c>
      <c r="AI24" s="11" t="e">
        <f>SUMIFS(#REF!,#REF!,C24)</f>
        <v>#REF!</v>
      </c>
      <c r="AJ24" s="11" t="e">
        <f>SUMIFS(#REF!,#REF!,C24)</f>
        <v>#REF!</v>
      </c>
      <c r="AK24" s="11"/>
      <c r="AL24" s="11" t="e">
        <f t="shared" si="16"/>
        <v>#REF!</v>
      </c>
      <c r="AN24" s="11" t="e">
        <f t="shared" si="17"/>
        <v>#REF!</v>
      </c>
      <c r="AO24" s="11" t="e">
        <f t="shared" si="18"/>
        <v>#REF!</v>
      </c>
      <c r="AQ24" s="11" t="e">
        <f t="shared" si="19"/>
        <v>#REF!</v>
      </c>
      <c r="AS24" s="43" t="e">
        <f t="shared" si="20"/>
        <v>#REF!</v>
      </c>
      <c r="AT24" s="11" t="e">
        <f t="shared" si="21"/>
        <v>#REF!</v>
      </c>
      <c r="AV24" s="11" t="e">
        <f>'Share of £1bn'!$F$20*1000*$AO24/$AO$57</f>
        <v>#REF!</v>
      </c>
      <c r="AW24" s="11" t="e">
        <f>'Share of £1bn'!$F$27*1000*$AO24/$AO$57</f>
        <v>#REF!</v>
      </c>
      <c r="AX24" s="11" t="e">
        <f>'Share of £1bn'!$F$21*1000*$AO24/$AO$57</f>
        <v>#REF!</v>
      </c>
      <c r="AZ24" s="11" t="e">
        <f>'Share of £1bn'!$F$43*1000*AO24/$AO$57</f>
        <v>#REF!</v>
      </c>
      <c r="BA24" s="11" t="e">
        <f>'Share of £1bn'!$F$50*1000*$AO24/$AO$57</f>
        <v>#REF!</v>
      </c>
      <c r="BB24" s="11" t="e">
        <f>'Share of £1bn'!$F$44*1000*AO24/$AO$57</f>
        <v>#REF!</v>
      </c>
      <c r="BD24" s="11" t="e">
        <f>'Share of £1bn'!$F$67*1000*AO24/$AO$57</f>
        <v>#REF!</v>
      </c>
      <c r="BF24" s="11">
        <f>SUMIFS('20-11 M6 deficits'!$BO:$BO,'20-11 M6 deficits'!$C:$C,$C24)*1000</f>
        <v>0</v>
      </c>
      <c r="BH24" s="11" t="e">
        <f t="shared" si="22"/>
        <v>#REF!</v>
      </c>
      <c r="BI24" s="11" t="e">
        <f t="shared" si="23"/>
        <v>#REF!</v>
      </c>
      <c r="BJ24" s="11" t="e">
        <f t="shared" si="24"/>
        <v>#REF!</v>
      </c>
      <c r="BK24" s="11" t="e">
        <f t="shared" si="25"/>
        <v>#REF!</v>
      </c>
      <c r="BL24" s="11" t="e">
        <f t="shared" si="26"/>
        <v>#REF!</v>
      </c>
      <c r="BN24" s="11" t="e">
        <f t="shared" si="27"/>
        <v>#REF!</v>
      </c>
      <c r="BO24" s="11" t="e">
        <f t="shared" si="28"/>
        <v>#REF!</v>
      </c>
      <c r="BP24" s="11" t="e">
        <f t="shared" si="29"/>
        <v>#REF!</v>
      </c>
      <c r="BQ24" s="11" t="e">
        <f t="shared" si="30"/>
        <v>#REF!</v>
      </c>
      <c r="BR24" s="11" t="e">
        <f t="shared" si="31"/>
        <v>#REF!</v>
      </c>
      <c r="BT24" s="11" t="e">
        <f t="shared" si="32"/>
        <v>#REF!</v>
      </c>
      <c r="BU24" s="11" t="e">
        <f t="shared" si="33"/>
        <v>#REF!</v>
      </c>
      <c r="BV24" s="11" t="e">
        <f t="shared" si="34"/>
        <v>#REF!</v>
      </c>
      <c r="BW24" s="11" t="e">
        <f t="shared" si="35"/>
        <v>#REF!</v>
      </c>
      <c r="BX24" s="11" t="e">
        <f t="shared" si="36"/>
        <v>#REF!</v>
      </c>
      <c r="BZ24" s="11" t="e">
        <f t="shared" si="37"/>
        <v>#REF!</v>
      </c>
      <c r="CA24" s="11" t="e">
        <f t="shared" si="38"/>
        <v>#REF!</v>
      </c>
      <c r="CB24" s="11" t="e">
        <f t="shared" si="39"/>
        <v>#REF!</v>
      </c>
      <c r="CC24" s="11" t="e">
        <f t="shared" si="40"/>
        <v>#REF!</v>
      </c>
      <c r="CD24" s="11" t="e">
        <f t="shared" si="41"/>
        <v>#REF!</v>
      </c>
      <c r="CF24" s="11" t="e">
        <f t="shared" si="42"/>
        <v>#REF!</v>
      </c>
      <c r="CG24" s="11" t="e">
        <f t="shared" si="43"/>
        <v>#REF!</v>
      </c>
      <c r="CH24" s="11" t="e">
        <f t="shared" si="44"/>
        <v>#REF!</v>
      </c>
      <c r="CI24" s="11" t="e">
        <f t="shared" si="45"/>
        <v>#REF!</v>
      </c>
      <c r="CJ24" s="11" t="e">
        <f t="shared" si="46"/>
        <v>#REF!</v>
      </c>
      <c r="CM24" s="209">
        <f t="shared" si="47"/>
        <v>0</v>
      </c>
      <c r="CN24" s="209" t="e">
        <f t="shared" si="48"/>
        <v>#REF!</v>
      </c>
      <c r="CO24" s="209" t="e">
        <f t="shared" si="49"/>
        <v>#REF!</v>
      </c>
      <c r="CP24" s="209" t="e">
        <f t="shared" si="50"/>
        <v>#REF!</v>
      </c>
      <c r="CQ24" s="209" t="e">
        <f t="shared" si="51"/>
        <v>#REF!</v>
      </c>
    </row>
    <row r="25" spans="1:95" x14ac:dyDescent="0.25">
      <c r="A25" s="13" t="s">
        <v>58</v>
      </c>
      <c r="B25" s="14" t="s">
        <v>59</v>
      </c>
      <c r="C25" s="4" t="s">
        <v>64</v>
      </c>
      <c r="D25" s="4" t="s">
        <v>65</v>
      </c>
      <c r="E25" s="11">
        <f>SUMIFS('ICB Core Baseline 2024-25'!Q:Q,'ICB Core Baseline 2024-25'!C:C,C25)</f>
        <v>2595751.7014513845</v>
      </c>
      <c r="F25" s="43" t="e">
        <f>SUMIFS(#REF!,#REF!,C25)</f>
        <v>#REF!</v>
      </c>
      <c r="H25" s="43" t="e">
        <f>SUMIFS(#REF!,#REF!,C25)</f>
        <v>#REF!</v>
      </c>
      <c r="I25" s="43" t="e">
        <f t="shared" si="6"/>
        <v>#REF!</v>
      </c>
      <c r="J25" s="43" t="e">
        <f t="shared" si="7"/>
        <v>#REF!</v>
      </c>
      <c r="K25" s="11" t="e">
        <f t="shared" si="0"/>
        <v>#REF!</v>
      </c>
      <c r="L25" s="11" t="e">
        <f t="shared" si="1"/>
        <v>#REF!</v>
      </c>
      <c r="M25" s="43" t="e">
        <f>SUMIFS(#REF!,#REF!,C25)</f>
        <v>#REF!</v>
      </c>
      <c r="N25" s="11" t="e">
        <f t="shared" si="2"/>
        <v>#REF!</v>
      </c>
      <c r="O25" s="43" t="e">
        <f t="shared" si="8"/>
        <v>#REF!</v>
      </c>
      <c r="P25" s="11" t="e">
        <f t="shared" si="3"/>
        <v>#REF!</v>
      </c>
      <c r="Q25" s="11" t="e">
        <f t="shared" si="9"/>
        <v>#REF!</v>
      </c>
      <c r="R25" s="11" t="e">
        <f t="shared" si="4"/>
        <v>#REF!</v>
      </c>
      <c r="S25" s="11" t="e">
        <f>(SUMIFS(#REF!,#REF!,C25)/SUMIFS(#REF!,#REF!,C25))*1000</f>
        <v>#REF!</v>
      </c>
      <c r="T25" s="11" t="e">
        <f t="shared" si="10"/>
        <v>#REF!</v>
      </c>
      <c r="U25" s="11"/>
      <c r="V25" s="11" t="e">
        <f t="shared" si="11"/>
        <v>#REF!</v>
      </c>
      <c r="W25" s="11" t="e">
        <f t="shared" si="12"/>
        <v>#REF!</v>
      </c>
      <c r="X25" s="43" t="e">
        <f t="shared" si="13"/>
        <v>#REF!</v>
      </c>
      <c r="Y25" s="43" t="e">
        <f ca="1">OFFSET(#REF!,MATCH(C25,#REF!,0)+1,0)</f>
        <v>#REF!</v>
      </c>
      <c r="Z25" s="43" t="e">
        <f t="shared" ca="1" si="14"/>
        <v>#REF!</v>
      </c>
      <c r="AA25" s="43" t="e">
        <f t="shared" si="5"/>
        <v>#REF!</v>
      </c>
      <c r="AB25" s="11" t="e">
        <f>SUMIFS(#REF!,#REF!,C25)/(1+1.8%)*(1+1.8%+2.3%)</f>
        <v>#REF!</v>
      </c>
      <c r="AC25" s="11" t="e">
        <f t="shared" si="15"/>
        <v>#REF!</v>
      </c>
      <c r="AD25" s="64"/>
      <c r="AE25" s="11" t="e">
        <f>(SUMIFS(#REF!,#REF!,C25)/(1+1.8%))*(1+1.8%+2.3%)</f>
        <v>#REF!</v>
      </c>
      <c r="AF25" s="11" t="e">
        <f>-SUMIFS(#REF!,#REF!,C25)/1000</f>
        <v>#REF!</v>
      </c>
      <c r="AG25" s="11" t="e">
        <f>SUMIFS(#REF!,#REF!,C25)</f>
        <v>#REF!</v>
      </c>
      <c r="AH25" s="11" t="e">
        <f>SUMIFS(#REF!,#REF!,C25)</f>
        <v>#REF!</v>
      </c>
      <c r="AI25" s="11" t="e">
        <f>SUMIFS(#REF!,#REF!,C25)</f>
        <v>#REF!</v>
      </c>
      <c r="AJ25" s="11" t="e">
        <f>SUMIFS(#REF!,#REF!,C25)</f>
        <v>#REF!</v>
      </c>
      <c r="AK25" s="11"/>
      <c r="AL25" s="11" t="e">
        <f t="shared" si="16"/>
        <v>#REF!</v>
      </c>
      <c r="AN25" s="11" t="e">
        <f t="shared" si="17"/>
        <v>#REF!</v>
      </c>
      <c r="AO25" s="11" t="e">
        <f t="shared" si="18"/>
        <v>#REF!</v>
      </c>
      <c r="AQ25" s="11" t="e">
        <f t="shared" si="19"/>
        <v>#REF!</v>
      </c>
      <c r="AS25" s="43" t="e">
        <f t="shared" si="20"/>
        <v>#REF!</v>
      </c>
      <c r="AT25" s="11" t="e">
        <f t="shared" si="21"/>
        <v>#REF!</v>
      </c>
      <c r="AV25" s="11" t="e">
        <f>'Share of £1bn'!$F$20*1000*$AO25/$AO$57</f>
        <v>#REF!</v>
      </c>
      <c r="AW25" s="11" t="e">
        <f>'Share of £1bn'!$F$27*1000*$AO25/$AO$57</f>
        <v>#REF!</v>
      </c>
      <c r="AX25" s="11" t="e">
        <f>'Share of £1bn'!$F$21*1000*$AO25/$AO$57</f>
        <v>#REF!</v>
      </c>
      <c r="AZ25" s="11" t="e">
        <f>'Share of £1bn'!$F$43*1000*AO25/$AO$57</f>
        <v>#REF!</v>
      </c>
      <c r="BA25" s="11" t="e">
        <f>'Share of £1bn'!$F$50*1000*$AO25/$AO$57</f>
        <v>#REF!</v>
      </c>
      <c r="BB25" s="11" t="e">
        <f>'Share of £1bn'!$F$44*1000*AO25/$AO$57</f>
        <v>#REF!</v>
      </c>
      <c r="BD25" s="11" t="e">
        <f>'Share of £1bn'!$F$67*1000*AO25/$AO$57</f>
        <v>#REF!</v>
      </c>
      <c r="BF25" s="11">
        <f>SUMIFS('20-11 M6 deficits'!$BO:$BO,'20-11 M6 deficits'!$C:$C,$C25)*1000</f>
        <v>0</v>
      </c>
      <c r="BH25" s="11" t="e">
        <f t="shared" si="22"/>
        <v>#REF!</v>
      </c>
      <c r="BI25" s="11" t="e">
        <f t="shared" si="23"/>
        <v>#REF!</v>
      </c>
      <c r="BJ25" s="11" t="e">
        <f t="shared" si="24"/>
        <v>#REF!</v>
      </c>
      <c r="BK25" s="11" t="e">
        <f t="shared" si="25"/>
        <v>#REF!</v>
      </c>
      <c r="BL25" s="11" t="e">
        <f t="shared" si="26"/>
        <v>#REF!</v>
      </c>
      <c r="BN25" s="11" t="e">
        <f t="shared" si="27"/>
        <v>#REF!</v>
      </c>
      <c r="BO25" s="11" t="e">
        <f t="shared" si="28"/>
        <v>#REF!</v>
      </c>
      <c r="BP25" s="11" t="e">
        <f t="shared" si="29"/>
        <v>#REF!</v>
      </c>
      <c r="BQ25" s="11" t="e">
        <f t="shared" si="30"/>
        <v>#REF!</v>
      </c>
      <c r="BR25" s="11" t="e">
        <f t="shared" si="31"/>
        <v>#REF!</v>
      </c>
      <c r="BT25" s="11" t="e">
        <f t="shared" si="32"/>
        <v>#REF!</v>
      </c>
      <c r="BU25" s="11" t="e">
        <f t="shared" si="33"/>
        <v>#REF!</v>
      </c>
      <c r="BV25" s="11" t="e">
        <f t="shared" si="34"/>
        <v>#REF!</v>
      </c>
      <c r="BW25" s="11" t="e">
        <f t="shared" si="35"/>
        <v>#REF!</v>
      </c>
      <c r="BX25" s="11" t="e">
        <f t="shared" si="36"/>
        <v>#REF!</v>
      </c>
      <c r="BZ25" s="11" t="e">
        <f t="shared" si="37"/>
        <v>#REF!</v>
      </c>
      <c r="CA25" s="11" t="e">
        <f t="shared" si="38"/>
        <v>#REF!</v>
      </c>
      <c r="CB25" s="11" t="e">
        <f t="shared" si="39"/>
        <v>#REF!</v>
      </c>
      <c r="CC25" s="11" t="e">
        <f t="shared" si="40"/>
        <v>#REF!</v>
      </c>
      <c r="CD25" s="11" t="e">
        <f t="shared" si="41"/>
        <v>#REF!</v>
      </c>
      <c r="CF25" s="11" t="e">
        <f t="shared" si="42"/>
        <v>#REF!</v>
      </c>
      <c r="CG25" s="11" t="e">
        <f t="shared" si="43"/>
        <v>#REF!</v>
      </c>
      <c r="CH25" s="11" t="e">
        <f t="shared" si="44"/>
        <v>#REF!</v>
      </c>
      <c r="CI25" s="11" t="e">
        <f t="shared" si="45"/>
        <v>#REF!</v>
      </c>
      <c r="CJ25" s="11" t="e">
        <f t="shared" si="46"/>
        <v>#REF!</v>
      </c>
      <c r="CM25" s="209">
        <f t="shared" si="47"/>
        <v>0</v>
      </c>
      <c r="CN25" s="209" t="e">
        <f t="shared" si="48"/>
        <v>#REF!</v>
      </c>
      <c r="CO25" s="209" t="e">
        <f t="shared" si="49"/>
        <v>#REF!</v>
      </c>
      <c r="CP25" s="209" t="e">
        <f t="shared" si="50"/>
        <v>#REF!</v>
      </c>
      <c r="CQ25" s="209" t="e">
        <f t="shared" si="51"/>
        <v>#REF!</v>
      </c>
    </row>
    <row r="26" spans="1:95" x14ac:dyDescent="0.25">
      <c r="A26" s="13" t="s">
        <v>58</v>
      </c>
      <c r="B26" s="14" t="s">
        <v>59</v>
      </c>
      <c r="C26" s="4" t="s">
        <v>66</v>
      </c>
      <c r="D26" s="4" t="s">
        <v>67</v>
      </c>
      <c r="E26" s="11">
        <f>SUMIFS('ICB Core Baseline 2024-25'!Q:Q,'ICB Core Baseline 2024-25'!C:C,C26)</f>
        <v>2107372.3351789187</v>
      </c>
      <c r="F26" s="43" t="e">
        <f>SUMIFS(#REF!,#REF!,C26)</f>
        <v>#REF!</v>
      </c>
      <c r="H26" s="43" t="e">
        <f>SUMIFS(#REF!,#REF!,C26)</f>
        <v>#REF!</v>
      </c>
      <c r="I26" s="43" t="e">
        <f t="shared" si="6"/>
        <v>#REF!</v>
      </c>
      <c r="J26" s="43" t="e">
        <f t="shared" si="7"/>
        <v>#REF!</v>
      </c>
      <c r="K26" s="11" t="e">
        <f t="shared" si="0"/>
        <v>#REF!</v>
      </c>
      <c r="L26" s="11" t="e">
        <f t="shared" si="1"/>
        <v>#REF!</v>
      </c>
      <c r="M26" s="43" t="e">
        <f>SUMIFS(#REF!,#REF!,C26)</f>
        <v>#REF!</v>
      </c>
      <c r="N26" s="11" t="e">
        <f t="shared" si="2"/>
        <v>#REF!</v>
      </c>
      <c r="O26" s="43" t="e">
        <f t="shared" si="8"/>
        <v>#REF!</v>
      </c>
      <c r="P26" s="11" t="e">
        <f t="shared" si="3"/>
        <v>#REF!</v>
      </c>
      <c r="Q26" s="11" t="e">
        <f t="shared" si="9"/>
        <v>#REF!</v>
      </c>
      <c r="R26" s="11" t="e">
        <f t="shared" si="4"/>
        <v>#REF!</v>
      </c>
      <c r="S26" s="11" t="e">
        <f>(SUMIFS(#REF!,#REF!,C26)/SUMIFS(#REF!,#REF!,C26))*1000</f>
        <v>#REF!</v>
      </c>
      <c r="T26" s="11" t="e">
        <f t="shared" si="10"/>
        <v>#REF!</v>
      </c>
      <c r="U26" s="11"/>
      <c r="V26" s="11" t="e">
        <f t="shared" si="11"/>
        <v>#REF!</v>
      </c>
      <c r="W26" s="11" t="e">
        <f t="shared" si="12"/>
        <v>#REF!</v>
      </c>
      <c r="X26" s="43" t="e">
        <f t="shared" si="13"/>
        <v>#REF!</v>
      </c>
      <c r="Y26" s="43" t="e">
        <f ca="1">OFFSET(#REF!,MATCH(C26,#REF!,0)+1,0)</f>
        <v>#REF!</v>
      </c>
      <c r="Z26" s="43" t="e">
        <f t="shared" ca="1" si="14"/>
        <v>#REF!</v>
      </c>
      <c r="AA26" s="43" t="e">
        <f t="shared" si="5"/>
        <v>#REF!</v>
      </c>
      <c r="AB26" s="11" t="e">
        <f>SUMIFS(#REF!,#REF!,C26)/(1+1.8%)*(1+1.8%+2.3%)</f>
        <v>#REF!</v>
      </c>
      <c r="AC26" s="11" t="e">
        <f t="shared" si="15"/>
        <v>#REF!</v>
      </c>
      <c r="AD26" s="64"/>
      <c r="AE26" s="11" t="e">
        <f>(SUMIFS(#REF!,#REF!,C26)/(1+1.8%))*(1+1.8%+2.3%)</f>
        <v>#REF!</v>
      </c>
      <c r="AF26" s="11" t="e">
        <f>-SUMIFS(#REF!,#REF!,C26)/1000</f>
        <v>#REF!</v>
      </c>
      <c r="AG26" s="11" t="e">
        <f>SUMIFS(#REF!,#REF!,C26)</f>
        <v>#REF!</v>
      </c>
      <c r="AH26" s="11" t="e">
        <f>SUMIFS(#REF!,#REF!,C26)</f>
        <v>#REF!</v>
      </c>
      <c r="AI26" s="11" t="e">
        <f>SUMIFS(#REF!,#REF!,C26)</f>
        <v>#REF!</v>
      </c>
      <c r="AJ26" s="11" t="e">
        <f>SUMIFS(#REF!,#REF!,C26)</f>
        <v>#REF!</v>
      </c>
      <c r="AK26" s="11"/>
      <c r="AL26" s="11" t="e">
        <f t="shared" si="16"/>
        <v>#REF!</v>
      </c>
      <c r="AN26" s="11" t="e">
        <f t="shared" si="17"/>
        <v>#REF!</v>
      </c>
      <c r="AO26" s="11" t="e">
        <f t="shared" si="18"/>
        <v>#REF!</v>
      </c>
      <c r="AQ26" s="11" t="e">
        <f t="shared" si="19"/>
        <v>#REF!</v>
      </c>
      <c r="AS26" s="43" t="e">
        <f t="shared" si="20"/>
        <v>#REF!</v>
      </c>
      <c r="AT26" s="11" t="e">
        <f t="shared" si="21"/>
        <v>#REF!</v>
      </c>
      <c r="AV26" s="11" t="e">
        <f>'Share of £1bn'!$F$20*1000*$AO26/$AO$57</f>
        <v>#REF!</v>
      </c>
      <c r="AW26" s="11" t="e">
        <f>'Share of £1bn'!$F$27*1000*$AO26/$AO$57</f>
        <v>#REF!</v>
      </c>
      <c r="AX26" s="11" t="e">
        <f>'Share of £1bn'!$F$21*1000*$AO26/$AO$57</f>
        <v>#REF!</v>
      </c>
      <c r="AZ26" s="11" t="e">
        <f>'Share of £1bn'!$F$43*1000*AO26/$AO$57</f>
        <v>#REF!</v>
      </c>
      <c r="BA26" s="11" t="e">
        <f>'Share of £1bn'!$F$50*1000*$AO26/$AO$57</f>
        <v>#REF!</v>
      </c>
      <c r="BB26" s="11" t="e">
        <f>'Share of £1bn'!$F$44*1000*AO26/$AO$57</f>
        <v>#REF!</v>
      </c>
      <c r="BD26" s="11" t="e">
        <f>'Share of £1bn'!$F$67*1000*AO26/$AO$57</f>
        <v>#REF!</v>
      </c>
      <c r="BF26" s="11">
        <f>SUMIFS('20-11 M6 deficits'!$BO:$BO,'20-11 M6 deficits'!$C:$C,$C26)*1000</f>
        <v>-40310.300445076602</v>
      </c>
      <c r="BH26" s="11" t="e">
        <f t="shared" si="22"/>
        <v>#REF!</v>
      </c>
      <c r="BI26" s="11" t="e">
        <f t="shared" si="23"/>
        <v>#REF!</v>
      </c>
      <c r="BJ26" s="11" t="e">
        <f t="shared" si="24"/>
        <v>#REF!</v>
      </c>
      <c r="BK26" s="11" t="e">
        <f t="shared" si="25"/>
        <v>#REF!</v>
      </c>
      <c r="BL26" s="11" t="e">
        <f t="shared" si="26"/>
        <v>#REF!</v>
      </c>
      <c r="BN26" s="11" t="e">
        <f t="shared" si="27"/>
        <v>#REF!</v>
      </c>
      <c r="BO26" s="11" t="e">
        <f t="shared" si="28"/>
        <v>#REF!</v>
      </c>
      <c r="BP26" s="11" t="e">
        <f t="shared" si="29"/>
        <v>#REF!</v>
      </c>
      <c r="BQ26" s="11" t="e">
        <f t="shared" si="30"/>
        <v>#REF!</v>
      </c>
      <c r="BR26" s="11" t="e">
        <f t="shared" si="31"/>
        <v>#REF!</v>
      </c>
      <c r="BT26" s="11" t="e">
        <f t="shared" si="32"/>
        <v>#REF!</v>
      </c>
      <c r="BU26" s="11" t="e">
        <f t="shared" si="33"/>
        <v>#REF!</v>
      </c>
      <c r="BV26" s="11" t="e">
        <f t="shared" si="34"/>
        <v>#REF!</v>
      </c>
      <c r="BW26" s="11" t="e">
        <f t="shared" si="35"/>
        <v>#REF!</v>
      </c>
      <c r="BX26" s="11" t="e">
        <f t="shared" si="36"/>
        <v>#REF!</v>
      </c>
      <c r="BZ26" s="11" t="e">
        <f t="shared" si="37"/>
        <v>#REF!</v>
      </c>
      <c r="CA26" s="11" t="e">
        <f t="shared" si="38"/>
        <v>#REF!</v>
      </c>
      <c r="CB26" s="11" t="e">
        <f t="shared" si="39"/>
        <v>#REF!</v>
      </c>
      <c r="CC26" s="11" t="e">
        <f t="shared" si="40"/>
        <v>#REF!</v>
      </c>
      <c r="CD26" s="11" t="e">
        <f t="shared" si="41"/>
        <v>#REF!</v>
      </c>
      <c r="CF26" s="11" t="e">
        <f t="shared" si="42"/>
        <v>#REF!</v>
      </c>
      <c r="CG26" s="11" t="e">
        <f t="shared" si="43"/>
        <v>#REF!</v>
      </c>
      <c r="CH26" s="11" t="e">
        <f t="shared" si="44"/>
        <v>#REF!</v>
      </c>
      <c r="CI26" s="11" t="e">
        <f t="shared" si="45"/>
        <v>#REF!</v>
      </c>
      <c r="CJ26" s="11" t="e">
        <f t="shared" si="46"/>
        <v>#REF!</v>
      </c>
      <c r="CM26" s="209">
        <f t="shared" si="47"/>
        <v>2.549917663750647E-2</v>
      </c>
      <c r="CN26" s="209" t="e">
        <f t="shared" si="48"/>
        <v>#REF!</v>
      </c>
      <c r="CO26" s="209" t="e">
        <f t="shared" si="49"/>
        <v>#REF!</v>
      </c>
      <c r="CP26" s="209" t="e">
        <f t="shared" si="50"/>
        <v>#REF!</v>
      </c>
      <c r="CQ26" s="209" t="e">
        <f t="shared" si="51"/>
        <v>#REF!</v>
      </c>
    </row>
    <row r="27" spans="1:95" x14ac:dyDescent="0.25">
      <c r="A27" s="13" t="s">
        <v>58</v>
      </c>
      <c r="B27" s="14" t="s">
        <v>59</v>
      </c>
      <c r="C27" s="4" t="s">
        <v>68</v>
      </c>
      <c r="D27" s="4" t="s">
        <v>69</v>
      </c>
      <c r="E27" s="11">
        <f>SUMIFS('ICB Core Baseline 2024-25'!Q:Q,'ICB Core Baseline 2024-25'!C:C,C27)</f>
        <v>1928859.6706777667</v>
      </c>
      <c r="F27" s="43" t="e">
        <f>SUMIFS(#REF!,#REF!,C27)</f>
        <v>#REF!</v>
      </c>
      <c r="H27" s="43" t="e">
        <f>SUMIFS(#REF!,#REF!,C27)</f>
        <v>#REF!</v>
      </c>
      <c r="I27" s="43" t="e">
        <f t="shared" si="6"/>
        <v>#REF!</v>
      </c>
      <c r="J27" s="43" t="e">
        <f t="shared" si="7"/>
        <v>#REF!</v>
      </c>
      <c r="K27" s="11" t="e">
        <f t="shared" si="0"/>
        <v>#REF!</v>
      </c>
      <c r="L27" s="11" t="e">
        <f t="shared" si="1"/>
        <v>#REF!</v>
      </c>
      <c r="M27" s="43" t="e">
        <f>SUMIFS(#REF!,#REF!,C27)</f>
        <v>#REF!</v>
      </c>
      <c r="N27" s="11" t="e">
        <f t="shared" si="2"/>
        <v>#REF!</v>
      </c>
      <c r="O27" s="43" t="e">
        <f t="shared" si="8"/>
        <v>#REF!</v>
      </c>
      <c r="P27" s="11" t="e">
        <f t="shared" si="3"/>
        <v>#REF!</v>
      </c>
      <c r="Q27" s="11" t="e">
        <f t="shared" si="9"/>
        <v>#REF!</v>
      </c>
      <c r="R27" s="11" t="e">
        <f t="shared" si="4"/>
        <v>#REF!</v>
      </c>
      <c r="S27" s="11" t="e">
        <f>(SUMIFS(#REF!,#REF!,C27)/SUMIFS(#REF!,#REF!,C27))*1000</f>
        <v>#REF!</v>
      </c>
      <c r="T27" s="11" t="e">
        <f t="shared" si="10"/>
        <v>#REF!</v>
      </c>
      <c r="U27" s="11"/>
      <c r="V27" s="11" t="e">
        <f t="shared" si="11"/>
        <v>#REF!</v>
      </c>
      <c r="W27" s="11" t="e">
        <f t="shared" si="12"/>
        <v>#REF!</v>
      </c>
      <c r="X27" s="43" t="e">
        <f t="shared" si="13"/>
        <v>#REF!</v>
      </c>
      <c r="Y27" s="43" t="e">
        <f ca="1">OFFSET(#REF!,MATCH(C27,#REF!,0)+1,0)</f>
        <v>#REF!</v>
      </c>
      <c r="Z27" s="43" t="e">
        <f t="shared" ca="1" si="14"/>
        <v>#REF!</v>
      </c>
      <c r="AA27" s="43" t="e">
        <f t="shared" si="5"/>
        <v>#REF!</v>
      </c>
      <c r="AB27" s="11" t="e">
        <f>SUMIFS(#REF!,#REF!,C27)/(1+1.8%)*(1+1.8%+2.3%)</f>
        <v>#REF!</v>
      </c>
      <c r="AC27" s="11" t="e">
        <f t="shared" si="15"/>
        <v>#REF!</v>
      </c>
      <c r="AD27" s="64"/>
      <c r="AE27" s="11" t="e">
        <f>(SUMIFS(#REF!,#REF!,C27)/(1+1.8%))*(1+1.8%+2.3%)</f>
        <v>#REF!</v>
      </c>
      <c r="AF27" s="11" t="e">
        <f>-SUMIFS(#REF!,#REF!,C27)/1000</f>
        <v>#REF!</v>
      </c>
      <c r="AG27" s="11" t="e">
        <f>SUMIFS(#REF!,#REF!,C27)</f>
        <v>#REF!</v>
      </c>
      <c r="AH27" s="11" t="e">
        <f>SUMIFS(#REF!,#REF!,C27)</f>
        <v>#REF!</v>
      </c>
      <c r="AI27" s="11" t="e">
        <f>SUMIFS(#REF!,#REF!,C27)</f>
        <v>#REF!</v>
      </c>
      <c r="AJ27" s="11" t="e">
        <f>SUMIFS(#REF!,#REF!,C27)</f>
        <v>#REF!</v>
      </c>
      <c r="AK27" s="11"/>
      <c r="AL27" s="11" t="e">
        <f t="shared" si="16"/>
        <v>#REF!</v>
      </c>
      <c r="AN27" s="11" t="e">
        <f t="shared" si="17"/>
        <v>#REF!</v>
      </c>
      <c r="AO27" s="11" t="e">
        <f t="shared" si="18"/>
        <v>#REF!</v>
      </c>
      <c r="AQ27" s="11" t="e">
        <f t="shared" si="19"/>
        <v>#REF!</v>
      </c>
      <c r="AS27" s="43" t="e">
        <f t="shared" si="20"/>
        <v>#REF!</v>
      </c>
      <c r="AT27" s="11" t="e">
        <f t="shared" si="21"/>
        <v>#REF!</v>
      </c>
      <c r="AV27" s="11" t="e">
        <f>'Share of £1bn'!$F$20*1000*$AO27/$AO$57</f>
        <v>#REF!</v>
      </c>
      <c r="AW27" s="11" t="e">
        <f>'Share of £1bn'!$F$27*1000*$AO27/$AO$57</f>
        <v>#REF!</v>
      </c>
      <c r="AX27" s="11" t="e">
        <f>'Share of £1bn'!$F$21*1000*$AO27/$AO$57</f>
        <v>#REF!</v>
      </c>
      <c r="AZ27" s="11" t="e">
        <f>'Share of £1bn'!$F$43*1000*AO27/$AO$57</f>
        <v>#REF!</v>
      </c>
      <c r="BA27" s="11" t="e">
        <f>'Share of £1bn'!$F$50*1000*$AO27/$AO$57</f>
        <v>#REF!</v>
      </c>
      <c r="BB27" s="11" t="e">
        <f>'Share of £1bn'!$F$44*1000*AO27/$AO$57</f>
        <v>#REF!</v>
      </c>
      <c r="BD27" s="11" t="e">
        <f>'Share of £1bn'!$F$67*1000*AO27/$AO$57</f>
        <v>#REF!</v>
      </c>
      <c r="BF27" s="11">
        <f>SUMIFS('20-11 M6 deficits'!$BO:$BO,'20-11 M6 deficits'!$C:$C,$C27)*1000</f>
        <v>-10000</v>
      </c>
      <c r="BH27" s="11" t="e">
        <f t="shared" si="22"/>
        <v>#REF!</v>
      </c>
      <c r="BI27" s="11" t="e">
        <f t="shared" si="23"/>
        <v>#REF!</v>
      </c>
      <c r="BJ27" s="11" t="e">
        <f t="shared" si="24"/>
        <v>#REF!</v>
      </c>
      <c r="BK27" s="11" t="e">
        <f t="shared" si="25"/>
        <v>#REF!</v>
      </c>
      <c r="BL27" s="11" t="e">
        <f t="shared" si="26"/>
        <v>#REF!</v>
      </c>
      <c r="BN27" s="11" t="e">
        <f t="shared" si="27"/>
        <v>#REF!</v>
      </c>
      <c r="BO27" s="11" t="e">
        <f t="shared" si="28"/>
        <v>#REF!</v>
      </c>
      <c r="BP27" s="11" t="e">
        <f t="shared" si="29"/>
        <v>#REF!</v>
      </c>
      <c r="BQ27" s="11" t="e">
        <f t="shared" si="30"/>
        <v>#REF!</v>
      </c>
      <c r="BR27" s="11" t="e">
        <f t="shared" si="31"/>
        <v>#REF!</v>
      </c>
      <c r="BT27" s="11" t="e">
        <f t="shared" si="32"/>
        <v>#REF!</v>
      </c>
      <c r="BU27" s="11" t="e">
        <f t="shared" si="33"/>
        <v>#REF!</v>
      </c>
      <c r="BV27" s="11" t="e">
        <f t="shared" si="34"/>
        <v>#REF!</v>
      </c>
      <c r="BW27" s="11" t="e">
        <f t="shared" si="35"/>
        <v>#REF!</v>
      </c>
      <c r="BX27" s="11" t="e">
        <f t="shared" si="36"/>
        <v>#REF!</v>
      </c>
      <c r="BZ27" s="11" t="e">
        <f t="shared" si="37"/>
        <v>#REF!</v>
      </c>
      <c r="CA27" s="11" t="e">
        <f t="shared" si="38"/>
        <v>#REF!</v>
      </c>
      <c r="CB27" s="11" t="e">
        <f t="shared" si="39"/>
        <v>#REF!</v>
      </c>
      <c r="CC27" s="11" t="e">
        <f t="shared" si="40"/>
        <v>#REF!</v>
      </c>
      <c r="CD27" s="11" t="e">
        <f t="shared" si="41"/>
        <v>#REF!</v>
      </c>
      <c r="CF27" s="11" t="e">
        <f t="shared" si="42"/>
        <v>#REF!</v>
      </c>
      <c r="CG27" s="11" t="e">
        <f t="shared" si="43"/>
        <v>#REF!</v>
      </c>
      <c r="CH27" s="11" t="e">
        <f t="shared" si="44"/>
        <v>#REF!</v>
      </c>
      <c r="CI27" s="11" t="e">
        <f t="shared" si="45"/>
        <v>#REF!</v>
      </c>
      <c r="CJ27" s="11" t="e">
        <f t="shared" si="46"/>
        <v>#REF!</v>
      </c>
      <c r="CM27" s="209">
        <f t="shared" si="47"/>
        <v>6.3257222982620754E-3</v>
      </c>
      <c r="CN27" s="209" t="e">
        <f t="shared" si="48"/>
        <v>#REF!</v>
      </c>
      <c r="CO27" s="209" t="e">
        <f t="shared" si="49"/>
        <v>#REF!</v>
      </c>
      <c r="CP27" s="209" t="e">
        <f t="shared" si="50"/>
        <v>#REF!</v>
      </c>
      <c r="CQ27" s="209" t="e">
        <f t="shared" si="51"/>
        <v>#REF!</v>
      </c>
    </row>
    <row r="28" spans="1:95" x14ac:dyDescent="0.25">
      <c r="A28" s="15" t="s">
        <v>58</v>
      </c>
      <c r="B28" s="16" t="s">
        <v>59</v>
      </c>
      <c r="C28" s="17" t="s">
        <v>70</v>
      </c>
      <c r="D28" s="17" t="s">
        <v>71</v>
      </c>
      <c r="E28" s="18">
        <f>SUMIFS('ICB Core Baseline 2024-25'!Q:Q,'ICB Core Baseline 2024-25'!C:C,C28)</f>
        <v>1765011.2948444334</v>
      </c>
      <c r="F28" s="44" t="e">
        <f>SUMIFS(#REF!,#REF!,C28)</f>
        <v>#REF!</v>
      </c>
      <c r="H28" s="44" t="e">
        <f>SUMIFS(#REF!,#REF!,C28)</f>
        <v>#REF!</v>
      </c>
      <c r="I28" s="44" t="e">
        <f t="shared" si="6"/>
        <v>#REF!</v>
      </c>
      <c r="J28" s="44" t="e">
        <f t="shared" si="7"/>
        <v>#REF!</v>
      </c>
      <c r="K28" s="18" t="e">
        <f t="shared" si="0"/>
        <v>#REF!</v>
      </c>
      <c r="L28" s="18" t="e">
        <f t="shared" si="1"/>
        <v>#REF!</v>
      </c>
      <c r="M28" s="44" t="e">
        <f>SUMIFS(#REF!,#REF!,C28)</f>
        <v>#REF!</v>
      </c>
      <c r="N28" s="18" t="e">
        <f t="shared" si="2"/>
        <v>#REF!</v>
      </c>
      <c r="O28" s="44" t="e">
        <f t="shared" si="8"/>
        <v>#REF!</v>
      </c>
      <c r="P28" s="18" t="e">
        <f t="shared" si="3"/>
        <v>#REF!</v>
      </c>
      <c r="Q28" s="18" t="e">
        <f t="shared" si="9"/>
        <v>#REF!</v>
      </c>
      <c r="R28" s="18" t="e">
        <f t="shared" si="4"/>
        <v>#REF!</v>
      </c>
      <c r="S28" s="18" t="e">
        <f>(SUMIFS(#REF!,#REF!,C28)/SUMIFS(#REF!,#REF!,C28))*1000</f>
        <v>#REF!</v>
      </c>
      <c r="T28" s="18" t="e">
        <f t="shared" si="10"/>
        <v>#REF!</v>
      </c>
      <c r="U28" s="18"/>
      <c r="V28" s="18" t="e">
        <f t="shared" si="11"/>
        <v>#REF!</v>
      </c>
      <c r="W28" s="18" t="e">
        <f t="shared" si="12"/>
        <v>#REF!</v>
      </c>
      <c r="X28" s="44" t="e">
        <f t="shared" si="13"/>
        <v>#REF!</v>
      </c>
      <c r="Y28" s="44" t="e">
        <f ca="1">OFFSET(#REF!,MATCH(C28,#REF!,0)+1,0)</f>
        <v>#REF!</v>
      </c>
      <c r="Z28" s="44" t="e">
        <f t="shared" ca="1" si="14"/>
        <v>#REF!</v>
      </c>
      <c r="AA28" s="44" t="e">
        <f t="shared" si="5"/>
        <v>#REF!</v>
      </c>
      <c r="AB28" s="18" t="e">
        <f>SUMIFS(#REF!,#REF!,C28)/(1+1.8%)*(1+1.8%+2.3%)</f>
        <v>#REF!</v>
      </c>
      <c r="AC28" s="18" t="e">
        <f t="shared" si="15"/>
        <v>#REF!</v>
      </c>
      <c r="AD28" s="65"/>
      <c r="AE28" s="18" t="e">
        <f>(SUMIFS(#REF!,#REF!,C28)/(1+1.8%))*(1+1.8%+2.3%)</f>
        <v>#REF!</v>
      </c>
      <c r="AF28" s="18" t="e">
        <f>-SUMIFS(#REF!,#REF!,C28)/1000</f>
        <v>#REF!</v>
      </c>
      <c r="AG28" s="18" t="e">
        <f>SUMIFS(#REF!,#REF!,C28)</f>
        <v>#REF!</v>
      </c>
      <c r="AH28" s="18" t="e">
        <f>SUMIFS(#REF!,#REF!,C28)</f>
        <v>#REF!</v>
      </c>
      <c r="AI28" s="18" t="e">
        <f>SUMIFS(#REF!,#REF!,C28)</f>
        <v>#REF!</v>
      </c>
      <c r="AJ28" s="18" t="e">
        <f>SUMIFS(#REF!,#REF!,C28)</f>
        <v>#REF!</v>
      </c>
      <c r="AK28" s="18"/>
      <c r="AL28" s="18" t="e">
        <f t="shared" si="16"/>
        <v>#REF!</v>
      </c>
      <c r="AN28" s="18" t="e">
        <f t="shared" si="17"/>
        <v>#REF!</v>
      </c>
      <c r="AO28" s="18" t="e">
        <f t="shared" si="18"/>
        <v>#REF!</v>
      </c>
      <c r="AQ28" s="18" t="e">
        <f t="shared" si="19"/>
        <v>#REF!</v>
      </c>
      <c r="AS28" s="44" t="e">
        <f t="shared" si="20"/>
        <v>#REF!</v>
      </c>
      <c r="AT28" s="18" t="e">
        <f t="shared" si="21"/>
        <v>#REF!</v>
      </c>
      <c r="AV28" s="18" t="e">
        <f>'Share of £1bn'!$F$20*1000*$AO28/$AO$57</f>
        <v>#REF!</v>
      </c>
      <c r="AW28" s="18" t="e">
        <f>'Share of £1bn'!$F$27*1000*$AO28/$AO$57</f>
        <v>#REF!</v>
      </c>
      <c r="AX28" s="18" t="e">
        <f>'Share of £1bn'!$F$21*1000*$AO28/$AO$57</f>
        <v>#REF!</v>
      </c>
      <c r="AZ28" s="18" t="e">
        <f>'Share of £1bn'!$F$43*1000*AO28/$AO$57</f>
        <v>#REF!</v>
      </c>
      <c r="BA28" s="18" t="e">
        <f>'Share of £1bn'!$F$50*1000*$AO28/$AO$57</f>
        <v>#REF!</v>
      </c>
      <c r="BB28" s="18" t="e">
        <f>'Share of £1bn'!$F$44*1000*AO28/$AO$57</f>
        <v>#REF!</v>
      </c>
      <c r="BD28" s="18" t="e">
        <f>'Share of £1bn'!$F$67*1000*AO28/$AO$57</f>
        <v>#REF!</v>
      </c>
      <c r="BF28" s="11">
        <f>SUMIFS('20-11 M6 deficits'!$BO:$BO,'20-11 M6 deficits'!$C:$C,$C28)*1000</f>
        <v>0</v>
      </c>
      <c r="BH28" s="18" t="e">
        <f t="shared" si="22"/>
        <v>#REF!</v>
      </c>
      <c r="BI28" s="18" t="e">
        <f t="shared" si="23"/>
        <v>#REF!</v>
      </c>
      <c r="BJ28" s="18" t="e">
        <f t="shared" si="24"/>
        <v>#REF!</v>
      </c>
      <c r="BK28" s="18" t="e">
        <f t="shared" si="25"/>
        <v>#REF!</v>
      </c>
      <c r="BL28" s="18" t="e">
        <f t="shared" si="26"/>
        <v>#REF!</v>
      </c>
      <c r="BN28" s="18" t="e">
        <f t="shared" si="27"/>
        <v>#REF!</v>
      </c>
      <c r="BO28" s="18" t="e">
        <f t="shared" si="28"/>
        <v>#REF!</v>
      </c>
      <c r="BP28" s="18" t="e">
        <f t="shared" si="29"/>
        <v>#REF!</v>
      </c>
      <c r="BQ28" s="18" t="e">
        <f t="shared" si="30"/>
        <v>#REF!</v>
      </c>
      <c r="BR28" s="18" t="e">
        <f t="shared" si="31"/>
        <v>#REF!</v>
      </c>
      <c r="BT28" s="18" t="e">
        <f t="shared" si="32"/>
        <v>#REF!</v>
      </c>
      <c r="BU28" s="18" t="e">
        <f t="shared" si="33"/>
        <v>#REF!</v>
      </c>
      <c r="BV28" s="18" t="e">
        <f t="shared" si="34"/>
        <v>#REF!</v>
      </c>
      <c r="BW28" s="18" t="e">
        <f t="shared" si="35"/>
        <v>#REF!</v>
      </c>
      <c r="BX28" s="18" t="e">
        <f t="shared" si="36"/>
        <v>#REF!</v>
      </c>
      <c r="BZ28" s="18" t="e">
        <f t="shared" si="37"/>
        <v>#REF!</v>
      </c>
      <c r="CA28" s="18" t="e">
        <f t="shared" si="38"/>
        <v>#REF!</v>
      </c>
      <c r="CB28" s="18" t="e">
        <f t="shared" si="39"/>
        <v>#REF!</v>
      </c>
      <c r="CC28" s="18" t="e">
        <f t="shared" si="40"/>
        <v>#REF!</v>
      </c>
      <c r="CD28" s="18" t="e">
        <f t="shared" si="41"/>
        <v>#REF!</v>
      </c>
      <c r="CF28" s="18" t="e">
        <f t="shared" si="42"/>
        <v>#REF!</v>
      </c>
      <c r="CG28" s="18" t="e">
        <f t="shared" si="43"/>
        <v>#REF!</v>
      </c>
      <c r="CH28" s="18" t="e">
        <f t="shared" si="44"/>
        <v>#REF!</v>
      </c>
      <c r="CI28" s="18" t="e">
        <f t="shared" si="45"/>
        <v>#REF!</v>
      </c>
      <c r="CJ28" s="18" t="e">
        <f t="shared" si="46"/>
        <v>#REF!</v>
      </c>
      <c r="CM28" s="209">
        <f t="shared" si="47"/>
        <v>0</v>
      </c>
      <c r="CN28" s="209" t="e">
        <f t="shared" si="48"/>
        <v>#REF!</v>
      </c>
      <c r="CO28" s="209" t="e">
        <f t="shared" si="49"/>
        <v>#REF!</v>
      </c>
      <c r="CP28" s="209" t="e">
        <f t="shared" si="50"/>
        <v>#REF!</v>
      </c>
      <c r="CQ28" s="209" t="e">
        <f t="shared" si="51"/>
        <v>#REF!</v>
      </c>
    </row>
    <row r="29" spans="1:95" x14ac:dyDescent="0.25">
      <c r="A29" s="10" t="s">
        <v>72</v>
      </c>
      <c r="B29" s="4" t="s">
        <v>73</v>
      </c>
      <c r="C29" s="4" t="s">
        <v>74</v>
      </c>
      <c r="D29" s="4" t="s">
        <v>75</v>
      </c>
      <c r="E29" s="11">
        <f>SUMIFS('ICB Core Baseline 2024-25'!Q:Q,'ICB Core Baseline 2024-25'!C:C,C29)</f>
        <v>2837571.0307440353</v>
      </c>
      <c r="F29" s="43" t="e">
        <f>SUMIFS(#REF!,#REF!,C29)</f>
        <v>#REF!</v>
      </c>
      <c r="H29" s="43" t="e">
        <f>SUMIFS(#REF!,#REF!,C29)</f>
        <v>#REF!</v>
      </c>
      <c r="I29" s="43" t="e">
        <f t="shared" si="6"/>
        <v>#REF!</v>
      </c>
      <c r="J29" s="43" t="e">
        <f t="shared" si="7"/>
        <v>#REF!</v>
      </c>
      <c r="K29" s="11" t="e">
        <f t="shared" si="0"/>
        <v>#REF!</v>
      </c>
      <c r="L29" s="11" t="e">
        <f t="shared" si="1"/>
        <v>#REF!</v>
      </c>
      <c r="M29" s="43" t="e">
        <f>SUMIFS(#REF!,#REF!,C29)</f>
        <v>#REF!</v>
      </c>
      <c r="N29" s="11" t="e">
        <f t="shared" si="2"/>
        <v>#REF!</v>
      </c>
      <c r="O29" s="43" t="e">
        <f t="shared" si="8"/>
        <v>#REF!</v>
      </c>
      <c r="P29" s="11" t="e">
        <f t="shared" si="3"/>
        <v>#REF!</v>
      </c>
      <c r="Q29" s="11" t="e">
        <f t="shared" si="9"/>
        <v>#REF!</v>
      </c>
      <c r="R29" s="11" t="e">
        <f t="shared" si="4"/>
        <v>#REF!</v>
      </c>
      <c r="S29" s="11" t="e">
        <f>(SUMIFS(#REF!,#REF!,C29)/SUMIFS(#REF!,#REF!,C29))*1000</f>
        <v>#REF!</v>
      </c>
      <c r="T29" s="11" t="e">
        <f t="shared" si="10"/>
        <v>#REF!</v>
      </c>
      <c r="U29" s="11"/>
      <c r="V29" s="11" t="e">
        <f t="shared" si="11"/>
        <v>#REF!</v>
      </c>
      <c r="W29" s="11" t="e">
        <f t="shared" si="12"/>
        <v>#REF!</v>
      </c>
      <c r="X29" s="43" t="e">
        <f t="shared" si="13"/>
        <v>#REF!</v>
      </c>
      <c r="Y29" s="43" t="e">
        <f ca="1">OFFSET(#REF!,MATCH(C29,#REF!,0)+1,0)</f>
        <v>#REF!</v>
      </c>
      <c r="Z29" s="43" t="e">
        <f t="shared" ca="1" si="14"/>
        <v>#REF!</v>
      </c>
      <c r="AA29" s="43" t="e">
        <f t="shared" si="5"/>
        <v>#REF!</v>
      </c>
      <c r="AB29" s="11" t="e">
        <f>SUMIFS(#REF!,#REF!,C29)/(1+1.8%)*(1+1.8%+2.3%)</f>
        <v>#REF!</v>
      </c>
      <c r="AC29" s="11" t="e">
        <f t="shared" si="15"/>
        <v>#REF!</v>
      </c>
      <c r="AD29" s="64"/>
      <c r="AE29" s="11" t="e">
        <f>(SUMIFS(#REF!,#REF!,C29)/(1+1.8%))*(1+1.8%+2.3%)</f>
        <v>#REF!</v>
      </c>
      <c r="AF29" s="11" t="e">
        <f>-SUMIFS(#REF!,#REF!,C29)/1000</f>
        <v>#REF!</v>
      </c>
      <c r="AG29" s="11" t="e">
        <f>SUMIFS(#REF!,#REF!,C29)</f>
        <v>#REF!</v>
      </c>
      <c r="AH29" s="11" t="e">
        <f>SUMIFS(#REF!,#REF!,C29)</f>
        <v>#REF!</v>
      </c>
      <c r="AI29" s="11" t="e">
        <f>SUMIFS(#REF!,#REF!,C29)</f>
        <v>#REF!</v>
      </c>
      <c r="AJ29" s="11" t="e">
        <f>SUMIFS(#REF!,#REF!,C29)</f>
        <v>#REF!</v>
      </c>
      <c r="AK29" s="11"/>
      <c r="AL29" s="11" t="e">
        <f t="shared" si="16"/>
        <v>#REF!</v>
      </c>
      <c r="AN29" s="11" t="e">
        <f t="shared" si="17"/>
        <v>#REF!</v>
      </c>
      <c r="AO29" s="11" t="e">
        <f t="shared" si="18"/>
        <v>#REF!</v>
      </c>
      <c r="AQ29" s="11" t="e">
        <f t="shared" si="19"/>
        <v>#REF!</v>
      </c>
      <c r="AS29" s="43" t="e">
        <f t="shared" si="20"/>
        <v>#REF!</v>
      </c>
      <c r="AT29" s="11" t="e">
        <f t="shared" si="21"/>
        <v>#REF!</v>
      </c>
      <c r="AV29" s="11" t="e">
        <f>'Share of £1bn'!$F$20*1000*$AO29/$AO$57</f>
        <v>#REF!</v>
      </c>
      <c r="AW29" s="11" t="e">
        <f>'Share of £1bn'!$F$27*1000*$AO29/$AO$57</f>
        <v>#REF!</v>
      </c>
      <c r="AX29" s="11" t="e">
        <f>'Share of £1bn'!$F$21*1000*$AO29/$AO$57</f>
        <v>#REF!</v>
      </c>
      <c r="AZ29" s="11" t="e">
        <f>'Share of £1bn'!$F$43*1000*AO29/$AO$57</f>
        <v>#REF!</v>
      </c>
      <c r="BA29" s="11" t="e">
        <f>'Share of £1bn'!$F$50*1000*$AO29/$AO$57</f>
        <v>#REF!</v>
      </c>
      <c r="BB29" s="11" t="e">
        <f>'Share of £1bn'!$F$44*1000*AO29/$AO$57</f>
        <v>#REF!</v>
      </c>
      <c r="BD29" s="11" t="e">
        <f>'Share of £1bn'!$F$67*1000*AO29/$AO$57</f>
        <v>#REF!</v>
      </c>
      <c r="BF29" s="11">
        <f>SUMIFS('20-11 M6 deficits'!$BO:$BO,'20-11 M6 deficits'!$C:$C,$C29)*1000</f>
        <v>0</v>
      </c>
      <c r="BH29" s="11" t="e">
        <f t="shared" si="22"/>
        <v>#REF!</v>
      </c>
      <c r="BI29" s="11" t="e">
        <f t="shared" si="23"/>
        <v>#REF!</v>
      </c>
      <c r="BJ29" s="11" t="e">
        <f t="shared" si="24"/>
        <v>#REF!</v>
      </c>
      <c r="BK29" s="11" t="e">
        <f t="shared" si="25"/>
        <v>#REF!</v>
      </c>
      <c r="BL29" s="11" t="e">
        <f t="shared" si="26"/>
        <v>#REF!</v>
      </c>
      <c r="BN29" s="11" t="e">
        <f t="shared" si="27"/>
        <v>#REF!</v>
      </c>
      <c r="BO29" s="11" t="e">
        <f t="shared" si="28"/>
        <v>#REF!</v>
      </c>
      <c r="BP29" s="11" t="e">
        <f t="shared" si="29"/>
        <v>#REF!</v>
      </c>
      <c r="BQ29" s="11" t="e">
        <f t="shared" si="30"/>
        <v>#REF!</v>
      </c>
      <c r="BR29" s="11" t="e">
        <f t="shared" si="31"/>
        <v>#REF!</v>
      </c>
      <c r="BT29" s="11" t="e">
        <f t="shared" si="32"/>
        <v>#REF!</v>
      </c>
      <c r="BU29" s="11" t="e">
        <f t="shared" si="33"/>
        <v>#REF!</v>
      </c>
      <c r="BV29" s="11" t="e">
        <f t="shared" si="34"/>
        <v>#REF!</v>
      </c>
      <c r="BW29" s="11" t="e">
        <f t="shared" si="35"/>
        <v>#REF!</v>
      </c>
      <c r="BX29" s="11" t="e">
        <f t="shared" si="36"/>
        <v>#REF!</v>
      </c>
      <c r="BZ29" s="11" t="e">
        <f t="shared" si="37"/>
        <v>#REF!</v>
      </c>
      <c r="CA29" s="11" t="e">
        <f t="shared" si="38"/>
        <v>#REF!</v>
      </c>
      <c r="CB29" s="11" t="e">
        <f t="shared" si="39"/>
        <v>#REF!</v>
      </c>
      <c r="CC29" s="11" t="e">
        <f t="shared" si="40"/>
        <v>#REF!</v>
      </c>
      <c r="CD29" s="11" t="e">
        <f t="shared" si="41"/>
        <v>#REF!</v>
      </c>
      <c r="CF29" s="11" t="e">
        <f t="shared" si="42"/>
        <v>#REF!</v>
      </c>
      <c r="CG29" s="11" t="e">
        <f t="shared" si="43"/>
        <v>#REF!</v>
      </c>
      <c r="CH29" s="11" t="e">
        <f t="shared" si="44"/>
        <v>#REF!</v>
      </c>
      <c r="CI29" s="11" t="e">
        <f t="shared" si="45"/>
        <v>#REF!</v>
      </c>
      <c r="CJ29" s="11" t="e">
        <f t="shared" si="46"/>
        <v>#REF!</v>
      </c>
      <c r="CM29" s="209">
        <f t="shared" si="47"/>
        <v>0</v>
      </c>
      <c r="CN29" s="209" t="e">
        <f t="shared" si="48"/>
        <v>#REF!</v>
      </c>
      <c r="CO29" s="209" t="e">
        <f t="shared" si="49"/>
        <v>#REF!</v>
      </c>
      <c r="CP29" s="209" t="e">
        <f t="shared" si="50"/>
        <v>#REF!</v>
      </c>
      <c r="CQ29" s="209" t="e">
        <f t="shared" si="51"/>
        <v>#REF!</v>
      </c>
    </row>
    <row r="30" spans="1:95" x14ac:dyDescent="0.25">
      <c r="A30" s="13" t="s">
        <v>72</v>
      </c>
      <c r="B30" s="14" t="s">
        <v>73</v>
      </c>
      <c r="C30" s="4" t="s">
        <v>76</v>
      </c>
      <c r="D30" s="4" t="s">
        <v>77</v>
      </c>
      <c r="E30" s="11">
        <f>SUMIFS('ICB Core Baseline 2024-25'!Q:Q,'ICB Core Baseline 2024-25'!C:C,C30)</f>
        <v>3671431.3138210168</v>
      </c>
      <c r="F30" s="43" t="e">
        <f>SUMIFS(#REF!,#REF!,C30)</f>
        <v>#REF!</v>
      </c>
      <c r="H30" s="43" t="e">
        <f>SUMIFS(#REF!,#REF!,C30)</f>
        <v>#REF!</v>
      </c>
      <c r="I30" s="43" t="e">
        <f t="shared" si="6"/>
        <v>#REF!</v>
      </c>
      <c r="J30" s="43" t="e">
        <f t="shared" si="7"/>
        <v>#REF!</v>
      </c>
      <c r="K30" s="11" t="e">
        <f t="shared" si="0"/>
        <v>#REF!</v>
      </c>
      <c r="L30" s="11" t="e">
        <f t="shared" si="1"/>
        <v>#REF!</v>
      </c>
      <c r="M30" s="43" t="e">
        <f>SUMIFS(#REF!,#REF!,C30)</f>
        <v>#REF!</v>
      </c>
      <c r="N30" s="11" t="e">
        <f t="shared" si="2"/>
        <v>#REF!</v>
      </c>
      <c r="O30" s="43" t="e">
        <f t="shared" si="8"/>
        <v>#REF!</v>
      </c>
      <c r="P30" s="11" t="e">
        <f t="shared" si="3"/>
        <v>#REF!</v>
      </c>
      <c r="Q30" s="11" t="e">
        <f t="shared" si="9"/>
        <v>#REF!</v>
      </c>
      <c r="R30" s="11" t="e">
        <f t="shared" si="4"/>
        <v>#REF!</v>
      </c>
      <c r="S30" s="11" t="e">
        <f>(SUMIFS(#REF!,#REF!,C30)/SUMIFS(#REF!,#REF!,C30))*1000</f>
        <v>#REF!</v>
      </c>
      <c r="T30" s="11" t="e">
        <f t="shared" si="10"/>
        <v>#REF!</v>
      </c>
      <c r="U30" s="11"/>
      <c r="V30" s="11" t="e">
        <f t="shared" si="11"/>
        <v>#REF!</v>
      </c>
      <c r="W30" s="11" t="e">
        <f t="shared" si="12"/>
        <v>#REF!</v>
      </c>
      <c r="X30" s="43" t="e">
        <f t="shared" si="13"/>
        <v>#REF!</v>
      </c>
      <c r="Y30" s="43" t="e">
        <f ca="1">OFFSET(#REF!,MATCH(C30,#REF!,0)+1,0)</f>
        <v>#REF!</v>
      </c>
      <c r="Z30" s="43" t="e">
        <f t="shared" ca="1" si="14"/>
        <v>#REF!</v>
      </c>
      <c r="AA30" s="43" t="e">
        <f t="shared" si="5"/>
        <v>#REF!</v>
      </c>
      <c r="AB30" s="11" t="e">
        <f>SUMIFS(#REF!,#REF!,C30)/(1+1.8%)*(1+1.8%+2.3%)</f>
        <v>#REF!</v>
      </c>
      <c r="AC30" s="11" t="e">
        <f t="shared" si="15"/>
        <v>#REF!</v>
      </c>
      <c r="AD30" s="64"/>
      <c r="AE30" s="11" t="e">
        <f>(SUMIFS(#REF!,#REF!,C30)/(1+1.8%))*(1+1.8%+2.3%)</f>
        <v>#REF!</v>
      </c>
      <c r="AF30" s="11" t="e">
        <f>-SUMIFS(#REF!,#REF!,C30)/1000</f>
        <v>#REF!</v>
      </c>
      <c r="AG30" s="11" t="e">
        <f>SUMIFS(#REF!,#REF!,C30)</f>
        <v>#REF!</v>
      </c>
      <c r="AH30" s="11" t="e">
        <f>SUMIFS(#REF!,#REF!,C30)</f>
        <v>#REF!</v>
      </c>
      <c r="AI30" s="11" t="e">
        <f>SUMIFS(#REF!,#REF!,C30)</f>
        <v>#REF!</v>
      </c>
      <c r="AJ30" s="11" t="e">
        <f>SUMIFS(#REF!,#REF!,C30)</f>
        <v>#REF!</v>
      </c>
      <c r="AK30" s="11"/>
      <c r="AL30" s="11" t="e">
        <f t="shared" si="16"/>
        <v>#REF!</v>
      </c>
      <c r="AN30" s="11" t="e">
        <f t="shared" si="17"/>
        <v>#REF!</v>
      </c>
      <c r="AO30" s="11" t="e">
        <f t="shared" si="18"/>
        <v>#REF!</v>
      </c>
      <c r="AQ30" s="11" t="e">
        <f t="shared" si="19"/>
        <v>#REF!</v>
      </c>
      <c r="AS30" s="43" t="e">
        <f t="shared" si="20"/>
        <v>#REF!</v>
      </c>
      <c r="AT30" s="11" t="e">
        <f t="shared" si="21"/>
        <v>#REF!</v>
      </c>
      <c r="AV30" s="11" t="e">
        <f>'Share of £1bn'!$F$20*1000*$AO30/$AO$57</f>
        <v>#REF!</v>
      </c>
      <c r="AW30" s="11" t="e">
        <f>'Share of £1bn'!$F$27*1000*$AO30/$AO$57</f>
        <v>#REF!</v>
      </c>
      <c r="AX30" s="11" t="e">
        <f>'Share of £1bn'!$F$21*1000*$AO30/$AO$57</f>
        <v>#REF!</v>
      </c>
      <c r="AZ30" s="11" t="e">
        <f>'Share of £1bn'!$F$43*1000*AO30/$AO$57</f>
        <v>#REF!</v>
      </c>
      <c r="BA30" s="11" t="e">
        <f>'Share of £1bn'!$F$50*1000*$AO30/$AO$57</f>
        <v>#REF!</v>
      </c>
      <c r="BB30" s="11" t="e">
        <f>'Share of £1bn'!$F$44*1000*AO30/$AO$57</f>
        <v>#REF!</v>
      </c>
      <c r="BD30" s="11" t="e">
        <f>'Share of £1bn'!$F$67*1000*AO30/$AO$57</f>
        <v>#REF!</v>
      </c>
      <c r="BF30" s="11">
        <f>SUMIFS('20-11 M6 deficits'!$BO:$BO,'20-11 M6 deficits'!$C:$C,$C30)*1000</f>
        <v>-25000</v>
      </c>
      <c r="BH30" s="11" t="e">
        <f t="shared" si="22"/>
        <v>#REF!</v>
      </c>
      <c r="BI30" s="11" t="e">
        <f t="shared" si="23"/>
        <v>#REF!</v>
      </c>
      <c r="BJ30" s="11" t="e">
        <f t="shared" si="24"/>
        <v>#REF!</v>
      </c>
      <c r="BK30" s="11" t="e">
        <f t="shared" si="25"/>
        <v>#REF!</v>
      </c>
      <c r="BL30" s="11" t="e">
        <f t="shared" si="26"/>
        <v>#REF!</v>
      </c>
      <c r="BN30" s="11" t="e">
        <f t="shared" si="27"/>
        <v>#REF!</v>
      </c>
      <c r="BO30" s="11" t="e">
        <f t="shared" si="28"/>
        <v>#REF!</v>
      </c>
      <c r="BP30" s="11" t="e">
        <f t="shared" si="29"/>
        <v>#REF!</v>
      </c>
      <c r="BQ30" s="11" t="e">
        <f t="shared" si="30"/>
        <v>#REF!</v>
      </c>
      <c r="BR30" s="11" t="e">
        <f t="shared" si="31"/>
        <v>#REF!</v>
      </c>
      <c r="BT30" s="11" t="e">
        <f t="shared" si="32"/>
        <v>#REF!</v>
      </c>
      <c r="BU30" s="11" t="e">
        <f t="shared" si="33"/>
        <v>#REF!</v>
      </c>
      <c r="BV30" s="11" t="e">
        <f t="shared" si="34"/>
        <v>#REF!</v>
      </c>
      <c r="BW30" s="11" t="e">
        <f t="shared" si="35"/>
        <v>#REF!</v>
      </c>
      <c r="BX30" s="11" t="e">
        <f t="shared" si="36"/>
        <v>#REF!</v>
      </c>
      <c r="BZ30" s="11" t="e">
        <f t="shared" si="37"/>
        <v>#REF!</v>
      </c>
      <c r="CA30" s="11" t="e">
        <f t="shared" si="38"/>
        <v>#REF!</v>
      </c>
      <c r="CB30" s="11" t="e">
        <f t="shared" si="39"/>
        <v>#REF!</v>
      </c>
      <c r="CC30" s="11" t="e">
        <f t="shared" si="40"/>
        <v>#REF!</v>
      </c>
      <c r="CD30" s="11" t="e">
        <f t="shared" si="41"/>
        <v>#REF!</v>
      </c>
      <c r="CF30" s="11" t="e">
        <f t="shared" si="42"/>
        <v>#REF!</v>
      </c>
      <c r="CG30" s="11" t="e">
        <f t="shared" si="43"/>
        <v>#REF!</v>
      </c>
      <c r="CH30" s="11" t="e">
        <f t="shared" si="44"/>
        <v>#REF!</v>
      </c>
      <c r="CI30" s="11" t="e">
        <f t="shared" si="45"/>
        <v>#REF!</v>
      </c>
      <c r="CJ30" s="11" t="e">
        <f t="shared" si="46"/>
        <v>#REF!</v>
      </c>
      <c r="CM30" s="209">
        <f t="shared" si="47"/>
        <v>1.5814305745655188E-2</v>
      </c>
      <c r="CN30" s="209" t="e">
        <f t="shared" si="48"/>
        <v>#REF!</v>
      </c>
      <c r="CO30" s="209" t="e">
        <f t="shared" si="49"/>
        <v>#REF!</v>
      </c>
      <c r="CP30" s="209" t="e">
        <f t="shared" si="50"/>
        <v>#REF!</v>
      </c>
      <c r="CQ30" s="209" t="e">
        <f t="shared" si="51"/>
        <v>#REF!</v>
      </c>
    </row>
    <row r="31" spans="1:95" x14ac:dyDescent="0.25">
      <c r="A31" s="13" t="s">
        <v>72</v>
      </c>
      <c r="B31" s="14" t="s">
        <v>73</v>
      </c>
      <c r="C31" s="4" t="s">
        <v>78</v>
      </c>
      <c r="D31" s="4" t="s">
        <v>79</v>
      </c>
      <c r="E31" s="11">
        <f>SUMIFS('ICB Core Baseline 2024-25'!Q:Q,'ICB Core Baseline 2024-25'!C:C,C31)</f>
        <v>4091956.0059199715</v>
      </c>
      <c r="F31" s="43" t="e">
        <f>SUMIFS(#REF!,#REF!,C31)</f>
        <v>#REF!</v>
      </c>
      <c r="H31" s="43" t="e">
        <f>SUMIFS(#REF!,#REF!,C31)</f>
        <v>#REF!</v>
      </c>
      <c r="I31" s="43" t="e">
        <f t="shared" si="6"/>
        <v>#REF!</v>
      </c>
      <c r="J31" s="43" t="e">
        <f t="shared" si="7"/>
        <v>#REF!</v>
      </c>
      <c r="K31" s="11" t="e">
        <f t="shared" si="0"/>
        <v>#REF!</v>
      </c>
      <c r="L31" s="11" t="e">
        <f t="shared" si="1"/>
        <v>#REF!</v>
      </c>
      <c r="M31" s="43" t="e">
        <f>SUMIFS(#REF!,#REF!,C31)</f>
        <v>#REF!</v>
      </c>
      <c r="N31" s="11" t="e">
        <f t="shared" si="2"/>
        <v>#REF!</v>
      </c>
      <c r="O31" s="43" t="e">
        <f t="shared" si="8"/>
        <v>#REF!</v>
      </c>
      <c r="P31" s="11" t="e">
        <f t="shared" si="3"/>
        <v>#REF!</v>
      </c>
      <c r="Q31" s="11" t="e">
        <f t="shared" si="9"/>
        <v>#REF!</v>
      </c>
      <c r="R31" s="11" t="e">
        <f t="shared" si="4"/>
        <v>#REF!</v>
      </c>
      <c r="S31" s="11" t="e">
        <f>(SUMIFS(#REF!,#REF!,C31)/SUMIFS(#REF!,#REF!,C31))*1000</f>
        <v>#REF!</v>
      </c>
      <c r="T31" s="11" t="e">
        <f t="shared" si="10"/>
        <v>#REF!</v>
      </c>
      <c r="U31" s="11"/>
      <c r="V31" s="11" t="e">
        <f t="shared" si="11"/>
        <v>#REF!</v>
      </c>
      <c r="W31" s="11" t="e">
        <f t="shared" si="12"/>
        <v>#REF!</v>
      </c>
      <c r="X31" s="43" t="e">
        <f t="shared" si="13"/>
        <v>#REF!</v>
      </c>
      <c r="Y31" s="43" t="e">
        <f ca="1">OFFSET(#REF!,MATCH(C31,#REF!,0)+1,0)</f>
        <v>#REF!</v>
      </c>
      <c r="Z31" s="43" t="e">
        <f t="shared" ca="1" si="14"/>
        <v>#REF!</v>
      </c>
      <c r="AA31" s="43" t="e">
        <f t="shared" si="5"/>
        <v>#REF!</v>
      </c>
      <c r="AB31" s="11" t="e">
        <f>SUMIFS(#REF!,#REF!,C31)/(1+1.8%)*(1+1.8%+2.3%)</f>
        <v>#REF!</v>
      </c>
      <c r="AC31" s="11" t="e">
        <f t="shared" si="15"/>
        <v>#REF!</v>
      </c>
      <c r="AD31" s="64"/>
      <c r="AE31" s="11" t="e">
        <f>(SUMIFS(#REF!,#REF!,C31)/(1+1.8%))*(1+1.8%+2.3%)</f>
        <v>#REF!</v>
      </c>
      <c r="AF31" s="11" t="e">
        <f>-SUMIFS(#REF!,#REF!,C31)/1000</f>
        <v>#REF!</v>
      </c>
      <c r="AG31" s="11" t="e">
        <f>SUMIFS(#REF!,#REF!,C31)</f>
        <v>#REF!</v>
      </c>
      <c r="AH31" s="11" t="e">
        <f>SUMIFS(#REF!,#REF!,C31)</f>
        <v>#REF!</v>
      </c>
      <c r="AI31" s="11" t="e">
        <f>SUMIFS(#REF!,#REF!,C31)</f>
        <v>#REF!</v>
      </c>
      <c r="AJ31" s="11" t="e">
        <f>SUMIFS(#REF!,#REF!,C31)</f>
        <v>#REF!</v>
      </c>
      <c r="AK31" s="11"/>
      <c r="AL31" s="11" t="e">
        <f t="shared" si="16"/>
        <v>#REF!</v>
      </c>
      <c r="AN31" s="11" t="e">
        <f t="shared" si="17"/>
        <v>#REF!</v>
      </c>
      <c r="AO31" s="11" t="e">
        <f t="shared" si="18"/>
        <v>#REF!</v>
      </c>
      <c r="AQ31" s="11" t="e">
        <f t="shared" si="19"/>
        <v>#REF!</v>
      </c>
      <c r="AS31" s="43" t="e">
        <f t="shared" si="20"/>
        <v>#REF!</v>
      </c>
      <c r="AT31" s="11" t="e">
        <f t="shared" si="21"/>
        <v>#REF!</v>
      </c>
      <c r="AV31" s="11" t="e">
        <f>'Share of £1bn'!$F$20*1000*$AO31/$AO$57</f>
        <v>#REF!</v>
      </c>
      <c r="AW31" s="11" t="e">
        <f>'Share of £1bn'!$F$27*1000*$AO31/$AO$57</f>
        <v>#REF!</v>
      </c>
      <c r="AX31" s="11" t="e">
        <f>'Share of £1bn'!$F$21*1000*$AO31/$AO$57</f>
        <v>#REF!</v>
      </c>
      <c r="AZ31" s="11" t="e">
        <f>'Share of £1bn'!$F$43*1000*AO31/$AO$57</f>
        <v>#REF!</v>
      </c>
      <c r="BA31" s="11" t="e">
        <f>'Share of £1bn'!$F$50*1000*$AO31/$AO$57</f>
        <v>#REF!</v>
      </c>
      <c r="BB31" s="11" t="e">
        <f>'Share of £1bn'!$F$44*1000*AO31/$AO$57</f>
        <v>#REF!</v>
      </c>
      <c r="BD31" s="11" t="e">
        <f>'Share of £1bn'!$F$67*1000*AO31/$AO$57</f>
        <v>#REF!</v>
      </c>
      <c r="BF31" s="11">
        <f>SUMIFS('20-11 M6 deficits'!$BO:$BO,'20-11 M6 deficits'!$C:$C,$C31)*1000</f>
        <v>0</v>
      </c>
      <c r="BH31" s="11" t="e">
        <f t="shared" si="22"/>
        <v>#REF!</v>
      </c>
      <c r="BI31" s="11" t="e">
        <f t="shared" si="23"/>
        <v>#REF!</v>
      </c>
      <c r="BJ31" s="11" t="e">
        <f t="shared" si="24"/>
        <v>#REF!</v>
      </c>
      <c r="BK31" s="11" t="e">
        <f t="shared" si="25"/>
        <v>#REF!</v>
      </c>
      <c r="BL31" s="11" t="e">
        <f t="shared" si="26"/>
        <v>#REF!</v>
      </c>
      <c r="BN31" s="11" t="e">
        <f t="shared" si="27"/>
        <v>#REF!</v>
      </c>
      <c r="BO31" s="11" t="e">
        <f t="shared" si="28"/>
        <v>#REF!</v>
      </c>
      <c r="BP31" s="11" t="e">
        <f t="shared" si="29"/>
        <v>#REF!</v>
      </c>
      <c r="BQ31" s="11" t="e">
        <f t="shared" si="30"/>
        <v>#REF!</v>
      </c>
      <c r="BR31" s="11" t="e">
        <f t="shared" si="31"/>
        <v>#REF!</v>
      </c>
      <c r="BT31" s="11" t="e">
        <f t="shared" si="32"/>
        <v>#REF!</v>
      </c>
      <c r="BU31" s="11" t="e">
        <f t="shared" si="33"/>
        <v>#REF!</v>
      </c>
      <c r="BV31" s="11" t="e">
        <f t="shared" si="34"/>
        <v>#REF!</v>
      </c>
      <c r="BW31" s="11" t="e">
        <f t="shared" si="35"/>
        <v>#REF!</v>
      </c>
      <c r="BX31" s="11" t="e">
        <f t="shared" si="36"/>
        <v>#REF!</v>
      </c>
      <c r="BZ31" s="11" t="e">
        <f t="shared" si="37"/>
        <v>#REF!</v>
      </c>
      <c r="CA31" s="11" t="e">
        <f t="shared" si="38"/>
        <v>#REF!</v>
      </c>
      <c r="CB31" s="11" t="e">
        <f t="shared" si="39"/>
        <v>#REF!</v>
      </c>
      <c r="CC31" s="11" t="e">
        <f t="shared" si="40"/>
        <v>#REF!</v>
      </c>
      <c r="CD31" s="11" t="e">
        <f t="shared" si="41"/>
        <v>#REF!</v>
      </c>
      <c r="CF31" s="11" t="e">
        <f t="shared" si="42"/>
        <v>#REF!</v>
      </c>
      <c r="CG31" s="11" t="e">
        <f t="shared" si="43"/>
        <v>#REF!</v>
      </c>
      <c r="CH31" s="11" t="e">
        <f t="shared" si="44"/>
        <v>#REF!</v>
      </c>
      <c r="CI31" s="11" t="e">
        <f t="shared" si="45"/>
        <v>#REF!</v>
      </c>
      <c r="CJ31" s="11" t="e">
        <f t="shared" si="46"/>
        <v>#REF!</v>
      </c>
      <c r="CM31" s="209">
        <f t="shared" si="47"/>
        <v>0</v>
      </c>
      <c r="CN31" s="209" t="e">
        <f t="shared" si="48"/>
        <v>#REF!</v>
      </c>
      <c r="CO31" s="209" t="e">
        <f t="shared" si="49"/>
        <v>#REF!</v>
      </c>
      <c r="CP31" s="209" t="e">
        <f t="shared" si="50"/>
        <v>#REF!</v>
      </c>
      <c r="CQ31" s="209" t="e">
        <f t="shared" si="51"/>
        <v>#REF!</v>
      </c>
    </row>
    <row r="32" spans="1:95" x14ac:dyDescent="0.25">
      <c r="A32" s="13" t="s">
        <v>72</v>
      </c>
      <c r="B32" s="14" t="s">
        <v>73</v>
      </c>
      <c r="C32" s="4" t="s">
        <v>80</v>
      </c>
      <c r="D32" s="4" t="s">
        <v>81</v>
      </c>
      <c r="E32" s="11">
        <f>SUMIFS('ICB Core Baseline 2024-25'!Q:Q,'ICB Core Baseline 2024-25'!C:C,C32)</f>
        <v>3546989.4042566177</v>
      </c>
      <c r="F32" s="43" t="e">
        <f>SUMIFS(#REF!,#REF!,C32)</f>
        <v>#REF!</v>
      </c>
      <c r="H32" s="43" t="e">
        <f>SUMIFS(#REF!,#REF!,C32)</f>
        <v>#REF!</v>
      </c>
      <c r="I32" s="43" t="e">
        <f t="shared" si="6"/>
        <v>#REF!</v>
      </c>
      <c r="J32" s="43" t="e">
        <f t="shared" si="7"/>
        <v>#REF!</v>
      </c>
      <c r="K32" s="11" t="e">
        <f t="shared" si="0"/>
        <v>#REF!</v>
      </c>
      <c r="L32" s="11" t="e">
        <f t="shared" si="1"/>
        <v>#REF!</v>
      </c>
      <c r="M32" s="43" t="e">
        <f>SUMIFS(#REF!,#REF!,C32)</f>
        <v>#REF!</v>
      </c>
      <c r="N32" s="11" t="e">
        <f t="shared" si="2"/>
        <v>#REF!</v>
      </c>
      <c r="O32" s="43" t="e">
        <f t="shared" si="8"/>
        <v>#REF!</v>
      </c>
      <c r="P32" s="11" t="e">
        <f t="shared" si="3"/>
        <v>#REF!</v>
      </c>
      <c r="Q32" s="11" t="e">
        <f t="shared" si="9"/>
        <v>#REF!</v>
      </c>
      <c r="R32" s="11" t="e">
        <f t="shared" si="4"/>
        <v>#REF!</v>
      </c>
      <c r="S32" s="11" t="e">
        <f>(SUMIFS(#REF!,#REF!,C32)/SUMIFS(#REF!,#REF!,C32))*1000</f>
        <v>#REF!</v>
      </c>
      <c r="T32" s="11" t="e">
        <f t="shared" si="10"/>
        <v>#REF!</v>
      </c>
      <c r="U32" s="11"/>
      <c r="V32" s="11" t="e">
        <f t="shared" si="11"/>
        <v>#REF!</v>
      </c>
      <c r="W32" s="11" t="e">
        <f t="shared" si="12"/>
        <v>#REF!</v>
      </c>
      <c r="X32" s="43" t="e">
        <f t="shared" si="13"/>
        <v>#REF!</v>
      </c>
      <c r="Y32" s="43" t="e">
        <f ca="1">OFFSET(#REF!,MATCH(C32,#REF!,0)+1,0)</f>
        <v>#REF!</v>
      </c>
      <c r="Z32" s="43" t="e">
        <f t="shared" ca="1" si="14"/>
        <v>#REF!</v>
      </c>
      <c r="AA32" s="43" t="e">
        <f t="shared" si="5"/>
        <v>#REF!</v>
      </c>
      <c r="AB32" s="11" t="e">
        <f>SUMIFS(#REF!,#REF!,C32)/(1+1.8%)*(1+1.8%+2.3%)</f>
        <v>#REF!</v>
      </c>
      <c r="AC32" s="11" t="e">
        <f t="shared" si="15"/>
        <v>#REF!</v>
      </c>
      <c r="AD32" s="64"/>
      <c r="AE32" s="11" t="e">
        <f>(SUMIFS(#REF!,#REF!,C32)/(1+1.8%))*(1+1.8%+2.3%)</f>
        <v>#REF!</v>
      </c>
      <c r="AF32" s="11" t="e">
        <f>-SUMIFS(#REF!,#REF!,C32)/1000</f>
        <v>#REF!</v>
      </c>
      <c r="AG32" s="11" t="e">
        <f>SUMIFS(#REF!,#REF!,C32)</f>
        <v>#REF!</v>
      </c>
      <c r="AH32" s="11" t="e">
        <f>SUMIFS(#REF!,#REF!,C32)</f>
        <v>#REF!</v>
      </c>
      <c r="AI32" s="11" t="e">
        <f>SUMIFS(#REF!,#REF!,C32)</f>
        <v>#REF!</v>
      </c>
      <c r="AJ32" s="11" t="e">
        <f>SUMIFS(#REF!,#REF!,C32)</f>
        <v>#REF!</v>
      </c>
      <c r="AK32" s="11"/>
      <c r="AL32" s="11" t="e">
        <f t="shared" si="16"/>
        <v>#REF!</v>
      </c>
      <c r="AN32" s="11" t="e">
        <f t="shared" si="17"/>
        <v>#REF!</v>
      </c>
      <c r="AO32" s="11" t="e">
        <f t="shared" si="18"/>
        <v>#REF!</v>
      </c>
      <c r="AQ32" s="11" t="e">
        <f t="shared" si="19"/>
        <v>#REF!</v>
      </c>
      <c r="AS32" s="43" t="e">
        <f t="shared" si="20"/>
        <v>#REF!</v>
      </c>
      <c r="AT32" s="11" t="e">
        <f t="shared" si="21"/>
        <v>#REF!</v>
      </c>
      <c r="AV32" s="11" t="e">
        <f>'Share of £1bn'!$F$20*1000*$AO32/$AO$57</f>
        <v>#REF!</v>
      </c>
      <c r="AW32" s="11" t="e">
        <f>'Share of £1bn'!$F$27*1000*$AO32/$AO$57</f>
        <v>#REF!</v>
      </c>
      <c r="AX32" s="11" t="e">
        <f>'Share of £1bn'!$F$21*1000*$AO32/$AO$57</f>
        <v>#REF!</v>
      </c>
      <c r="AZ32" s="11" t="e">
        <f>'Share of £1bn'!$F$43*1000*AO32/$AO$57</f>
        <v>#REF!</v>
      </c>
      <c r="BA32" s="11" t="e">
        <f>'Share of £1bn'!$F$50*1000*$AO32/$AO$57</f>
        <v>#REF!</v>
      </c>
      <c r="BB32" s="11" t="e">
        <f>'Share of £1bn'!$F$44*1000*AO32/$AO$57</f>
        <v>#REF!</v>
      </c>
      <c r="BD32" s="11" t="e">
        <f>'Share of £1bn'!$F$67*1000*AO32/$AO$57</f>
        <v>#REF!</v>
      </c>
      <c r="BF32" s="11">
        <f>SUMIFS('20-11 M6 deficits'!$BO:$BO,'20-11 M6 deficits'!$C:$C,$C32)*1000</f>
        <v>0</v>
      </c>
      <c r="BH32" s="11" t="e">
        <f t="shared" si="22"/>
        <v>#REF!</v>
      </c>
      <c r="BI32" s="11" t="e">
        <f t="shared" si="23"/>
        <v>#REF!</v>
      </c>
      <c r="BJ32" s="11" t="e">
        <f t="shared" si="24"/>
        <v>#REF!</v>
      </c>
      <c r="BK32" s="11" t="e">
        <f t="shared" si="25"/>
        <v>#REF!</v>
      </c>
      <c r="BL32" s="11" t="e">
        <f t="shared" si="26"/>
        <v>#REF!</v>
      </c>
      <c r="BN32" s="11" t="e">
        <f t="shared" si="27"/>
        <v>#REF!</v>
      </c>
      <c r="BO32" s="11" t="e">
        <f t="shared" si="28"/>
        <v>#REF!</v>
      </c>
      <c r="BP32" s="11" t="e">
        <f t="shared" si="29"/>
        <v>#REF!</v>
      </c>
      <c r="BQ32" s="11" t="e">
        <f t="shared" si="30"/>
        <v>#REF!</v>
      </c>
      <c r="BR32" s="11" t="e">
        <f t="shared" si="31"/>
        <v>#REF!</v>
      </c>
      <c r="BT32" s="11" t="e">
        <f t="shared" si="32"/>
        <v>#REF!</v>
      </c>
      <c r="BU32" s="11" t="e">
        <f t="shared" si="33"/>
        <v>#REF!</v>
      </c>
      <c r="BV32" s="11" t="e">
        <f t="shared" si="34"/>
        <v>#REF!</v>
      </c>
      <c r="BW32" s="11" t="e">
        <f t="shared" si="35"/>
        <v>#REF!</v>
      </c>
      <c r="BX32" s="11" t="e">
        <f t="shared" si="36"/>
        <v>#REF!</v>
      </c>
      <c r="BZ32" s="11" t="e">
        <f t="shared" si="37"/>
        <v>#REF!</v>
      </c>
      <c r="CA32" s="11" t="e">
        <f t="shared" si="38"/>
        <v>#REF!</v>
      </c>
      <c r="CB32" s="11" t="e">
        <f t="shared" si="39"/>
        <v>#REF!</v>
      </c>
      <c r="CC32" s="11" t="e">
        <f t="shared" si="40"/>
        <v>#REF!</v>
      </c>
      <c r="CD32" s="11" t="e">
        <f t="shared" si="41"/>
        <v>#REF!</v>
      </c>
      <c r="CF32" s="11" t="e">
        <f t="shared" si="42"/>
        <v>#REF!</v>
      </c>
      <c r="CG32" s="11" t="e">
        <f t="shared" si="43"/>
        <v>#REF!</v>
      </c>
      <c r="CH32" s="11" t="e">
        <f t="shared" si="44"/>
        <v>#REF!</v>
      </c>
      <c r="CI32" s="11" t="e">
        <f t="shared" si="45"/>
        <v>#REF!</v>
      </c>
      <c r="CJ32" s="11" t="e">
        <f t="shared" si="46"/>
        <v>#REF!</v>
      </c>
      <c r="CM32" s="209">
        <f t="shared" si="47"/>
        <v>0</v>
      </c>
      <c r="CN32" s="209" t="e">
        <f t="shared" si="48"/>
        <v>#REF!</v>
      </c>
      <c r="CO32" s="209" t="e">
        <f t="shared" si="49"/>
        <v>#REF!</v>
      </c>
      <c r="CP32" s="209" t="e">
        <f t="shared" si="50"/>
        <v>#REF!</v>
      </c>
      <c r="CQ32" s="209" t="e">
        <f t="shared" si="51"/>
        <v>#REF!</v>
      </c>
    </row>
    <row r="33" spans="1:95" x14ac:dyDescent="0.25">
      <c r="A33" s="15" t="s">
        <v>72</v>
      </c>
      <c r="B33" s="16" t="s">
        <v>73</v>
      </c>
      <c r="C33" s="17" t="s">
        <v>82</v>
      </c>
      <c r="D33" s="17" t="s">
        <v>83</v>
      </c>
      <c r="E33" s="18">
        <f>SUMIFS('ICB Core Baseline 2024-25'!Q:Q,'ICB Core Baseline 2024-25'!C:C,C33)</f>
        <v>2648722.1990535683</v>
      </c>
      <c r="F33" s="44" t="e">
        <f>SUMIFS(#REF!,#REF!,C33)</f>
        <v>#REF!</v>
      </c>
      <c r="H33" s="44" t="e">
        <f>SUMIFS(#REF!,#REF!,C33)</f>
        <v>#REF!</v>
      </c>
      <c r="I33" s="44" t="e">
        <f t="shared" si="6"/>
        <v>#REF!</v>
      </c>
      <c r="J33" s="44" t="e">
        <f t="shared" si="7"/>
        <v>#REF!</v>
      </c>
      <c r="K33" s="18" t="e">
        <f t="shared" si="0"/>
        <v>#REF!</v>
      </c>
      <c r="L33" s="18" t="e">
        <f t="shared" si="1"/>
        <v>#REF!</v>
      </c>
      <c r="M33" s="44" t="e">
        <f>SUMIFS(#REF!,#REF!,C33)</f>
        <v>#REF!</v>
      </c>
      <c r="N33" s="18" t="e">
        <f t="shared" si="2"/>
        <v>#REF!</v>
      </c>
      <c r="O33" s="44" t="e">
        <f t="shared" si="8"/>
        <v>#REF!</v>
      </c>
      <c r="P33" s="18" t="e">
        <f t="shared" si="3"/>
        <v>#REF!</v>
      </c>
      <c r="Q33" s="18" t="e">
        <f t="shared" si="9"/>
        <v>#REF!</v>
      </c>
      <c r="R33" s="18" t="e">
        <f t="shared" si="4"/>
        <v>#REF!</v>
      </c>
      <c r="S33" s="18" t="e">
        <f>(SUMIFS(#REF!,#REF!,C33)/SUMIFS(#REF!,#REF!,C33))*1000</f>
        <v>#REF!</v>
      </c>
      <c r="T33" s="18" t="e">
        <f t="shared" si="10"/>
        <v>#REF!</v>
      </c>
      <c r="U33" s="18"/>
      <c r="V33" s="18" t="e">
        <f t="shared" si="11"/>
        <v>#REF!</v>
      </c>
      <c r="W33" s="18" t="e">
        <f t="shared" si="12"/>
        <v>#REF!</v>
      </c>
      <c r="X33" s="44" t="e">
        <f t="shared" si="13"/>
        <v>#REF!</v>
      </c>
      <c r="Y33" s="44" t="e">
        <f ca="1">OFFSET(#REF!,MATCH(C33,#REF!,0)+1,0)</f>
        <v>#REF!</v>
      </c>
      <c r="Z33" s="44" t="e">
        <f t="shared" ca="1" si="14"/>
        <v>#REF!</v>
      </c>
      <c r="AA33" s="44" t="e">
        <f t="shared" si="5"/>
        <v>#REF!</v>
      </c>
      <c r="AB33" s="18" t="e">
        <f>SUMIFS(#REF!,#REF!,C33)/(1+1.8%)*(1+1.8%+2.3%)</f>
        <v>#REF!</v>
      </c>
      <c r="AC33" s="18" t="e">
        <f t="shared" si="15"/>
        <v>#REF!</v>
      </c>
      <c r="AD33" s="65"/>
      <c r="AE33" s="18" t="e">
        <f>(SUMIFS(#REF!,#REF!,C33)/(1+1.8%))*(1+1.8%+2.3%)</f>
        <v>#REF!</v>
      </c>
      <c r="AF33" s="18" t="e">
        <f>-SUMIFS(#REF!,#REF!,C33)/1000</f>
        <v>#REF!</v>
      </c>
      <c r="AG33" s="18" t="e">
        <f>SUMIFS(#REF!,#REF!,C33)</f>
        <v>#REF!</v>
      </c>
      <c r="AH33" s="18" t="e">
        <f>SUMIFS(#REF!,#REF!,C33)</f>
        <v>#REF!</v>
      </c>
      <c r="AI33" s="18" t="e">
        <f>SUMIFS(#REF!,#REF!,C33)</f>
        <v>#REF!</v>
      </c>
      <c r="AJ33" s="18" t="e">
        <f>SUMIFS(#REF!,#REF!,C33)</f>
        <v>#REF!</v>
      </c>
      <c r="AK33" s="18"/>
      <c r="AL33" s="18" t="e">
        <f t="shared" si="16"/>
        <v>#REF!</v>
      </c>
      <c r="AN33" s="18" t="e">
        <f t="shared" si="17"/>
        <v>#REF!</v>
      </c>
      <c r="AO33" s="18" t="e">
        <f t="shared" si="18"/>
        <v>#REF!</v>
      </c>
      <c r="AQ33" s="18" t="e">
        <f t="shared" si="19"/>
        <v>#REF!</v>
      </c>
      <c r="AS33" s="44" t="e">
        <f t="shared" si="20"/>
        <v>#REF!</v>
      </c>
      <c r="AT33" s="18" t="e">
        <f t="shared" si="21"/>
        <v>#REF!</v>
      </c>
      <c r="AV33" s="18" t="e">
        <f>'Share of £1bn'!$F$20*1000*$AO33/$AO$57</f>
        <v>#REF!</v>
      </c>
      <c r="AW33" s="18" t="e">
        <f>'Share of £1bn'!$F$27*1000*$AO33/$AO$57</f>
        <v>#REF!</v>
      </c>
      <c r="AX33" s="18" t="e">
        <f>'Share of £1bn'!$F$21*1000*$AO33/$AO$57</f>
        <v>#REF!</v>
      </c>
      <c r="AZ33" s="18" t="e">
        <f>'Share of £1bn'!$F$43*1000*AO33/$AO$57</f>
        <v>#REF!</v>
      </c>
      <c r="BA33" s="18" t="e">
        <f>'Share of £1bn'!$F$50*1000*$AO33/$AO$57</f>
        <v>#REF!</v>
      </c>
      <c r="BB33" s="18" t="e">
        <f>'Share of £1bn'!$F$44*1000*AO33/$AO$57</f>
        <v>#REF!</v>
      </c>
      <c r="BD33" s="18" t="e">
        <f>'Share of £1bn'!$F$67*1000*AO33/$AO$57</f>
        <v>#REF!</v>
      </c>
      <c r="BF33" s="11">
        <f>SUMIFS('20-11 M6 deficits'!$BO:$BO,'20-11 M6 deficits'!$C:$C,$C33)*1000</f>
        <v>-81600</v>
      </c>
      <c r="BH33" s="18" t="e">
        <f t="shared" si="22"/>
        <v>#REF!</v>
      </c>
      <c r="BI33" s="18" t="e">
        <f t="shared" si="23"/>
        <v>#REF!</v>
      </c>
      <c r="BJ33" s="18" t="e">
        <f t="shared" si="24"/>
        <v>#REF!</v>
      </c>
      <c r="BK33" s="18" t="e">
        <f t="shared" si="25"/>
        <v>#REF!</v>
      </c>
      <c r="BL33" s="18" t="e">
        <f t="shared" si="26"/>
        <v>#REF!</v>
      </c>
      <c r="BN33" s="18" t="e">
        <f t="shared" si="27"/>
        <v>#REF!</v>
      </c>
      <c r="BO33" s="18" t="e">
        <f t="shared" si="28"/>
        <v>#REF!</v>
      </c>
      <c r="BP33" s="18" t="e">
        <f t="shared" si="29"/>
        <v>#REF!</v>
      </c>
      <c r="BQ33" s="18" t="e">
        <f t="shared" si="30"/>
        <v>#REF!</v>
      </c>
      <c r="BR33" s="18" t="e">
        <f t="shared" si="31"/>
        <v>#REF!</v>
      </c>
      <c r="BT33" s="18" t="e">
        <f t="shared" si="32"/>
        <v>#REF!</v>
      </c>
      <c r="BU33" s="18" t="e">
        <f t="shared" si="33"/>
        <v>#REF!</v>
      </c>
      <c r="BV33" s="18" t="e">
        <f t="shared" si="34"/>
        <v>#REF!</v>
      </c>
      <c r="BW33" s="18" t="e">
        <f t="shared" si="35"/>
        <v>#REF!</v>
      </c>
      <c r="BX33" s="18" t="e">
        <f t="shared" si="36"/>
        <v>#REF!</v>
      </c>
      <c r="BZ33" s="18" t="e">
        <f t="shared" si="37"/>
        <v>#REF!</v>
      </c>
      <c r="CA33" s="18" t="e">
        <f t="shared" si="38"/>
        <v>#REF!</v>
      </c>
      <c r="CB33" s="18" t="e">
        <f t="shared" si="39"/>
        <v>#REF!</v>
      </c>
      <c r="CC33" s="18" t="e">
        <f t="shared" si="40"/>
        <v>#REF!</v>
      </c>
      <c r="CD33" s="18" t="e">
        <f t="shared" si="41"/>
        <v>#REF!</v>
      </c>
      <c r="CF33" s="18" t="e">
        <f t="shared" si="42"/>
        <v>#REF!</v>
      </c>
      <c r="CG33" s="18" t="e">
        <f t="shared" si="43"/>
        <v>#REF!</v>
      </c>
      <c r="CH33" s="18" t="e">
        <f t="shared" si="44"/>
        <v>#REF!</v>
      </c>
      <c r="CI33" s="18" t="e">
        <f t="shared" si="45"/>
        <v>#REF!</v>
      </c>
      <c r="CJ33" s="18" t="e">
        <f t="shared" si="46"/>
        <v>#REF!</v>
      </c>
      <c r="CM33" s="209">
        <f t="shared" si="47"/>
        <v>5.1617893953818536E-2</v>
      </c>
      <c r="CN33" s="209" t="e">
        <f t="shared" si="48"/>
        <v>#REF!</v>
      </c>
      <c r="CO33" s="209" t="e">
        <f t="shared" si="49"/>
        <v>#REF!</v>
      </c>
      <c r="CP33" s="209" t="e">
        <f t="shared" si="50"/>
        <v>#REF!</v>
      </c>
      <c r="CQ33" s="209" t="e">
        <f t="shared" si="51"/>
        <v>#REF!</v>
      </c>
    </row>
    <row r="34" spans="1:95" x14ac:dyDescent="0.25">
      <c r="A34" s="10" t="s">
        <v>84</v>
      </c>
      <c r="B34" s="4" t="s">
        <v>85</v>
      </c>
      <c r="C34" s="4" t="s">
        <v>86</v>
      </c>
      <c r="D34" s="4" t="s">
        <v>87</v>
      </c>
      <c r="E34" s="11">
        <f>SUMIFS('ICB Core Baseline 2024-25'!Q:Q,'ICB Core Baseline 2024-25'!C:C,C34)</f>
        <v>2769520.4685177435</v>
      </c>
      <c r="F34" s="43" t="e">
        <f>SUMIFS(#REF!,#REF!,C34)</f>
        <v>#REF!</v>
      </c>
      <c r="H34" s="43" t="e">
        <f>SUMIFS(#REF!,#REF!,C34)</f>
        <v>#REF!</v>
      </c>
      <c r="I34" s="43" t="e">
        <f t="shared" si="6"/>
        <v>#REF!</v>
      </c>
      <c r="J34" s="43" t="e">
        <f t="shared" si="7"/>
        <v>#REF!</v>
      </c>
      <c r="K34" s="11" t="e">
        <f t="shared" si="0"/>
        <v>#REF!</v>
      </c>
      <c r="L34" s="11" t="e">
        <f t="shared" si="1"/>
        <v>#REF!</v>
      </c>
      <c r="M34" s="43" t="e">
        <f>SUMIFS(#REF!,#REF!,C34)</f>
        <v>#REF!</v>
      </c>
      <c r="N34" s="11" t="e">
        <f t="shared" si="2"/>
        <v>#REF!</v>
      </c>
      <c r="O34" s="43" t="e">
        <f t="shared" si="8"/>
        <v>#REF!</v>
      </c>
      <c r="P34" s="11" t="e">
        <f t="shared" si="3"/>
        <v>#REF!</v>
      </c>
      <c r="Q34" s="11" t="e">
        <f t="shared" si="9"/>
        <v>#REF!</v>
      </c>
      <c r="R34" s="11" t="e">
        <f t="shared" si="4"/>
        <v>#REF!</v>
      </c>
      <c r="S34" s="11" t="e">
        <f>(SUMIFS(#REF!,#REF!,C34)/SUMIFS(#REF!,#REF!,C34))*1000</f>
        <v>#REF!</v>
      </c>
      <c r="T34" s="11" t="e">
        <f t="shared" si="10"/>
        <v>#REF!</v>
      </c>
      <c r="U34" s="11"/>
      <c r="V34" s="11" t="e">
        <f t="shared" si="11"/>
        <v>#REF!</v>
      </c>
      <c r="W34" s="11" t="e">
        <f t="shared" si="12"/>
        <v>#REF!</v>
      </c>
      <c r="X34" s="43" t="e">
        <f t="shared" si="13"/>
        <v>#REF!</v>
      </c>
      <c r="Y34" s="43" t="e">
        <f ca="1">OFFSET(#REF!,MATCH(C34,#REF!,0)+1,0)</f>
        <v>#REF!</v>
      </c>
      <c r="Z34" s="43" t="e">
        <f t="shared" ca="1" si="14"/>
        <v>#REF!</v>
      </c>
      <c r="AA34" s="43" t="e">
        <f t="shared" si="5"/>
        <v>#REF!</v>
      </c>
      <c r="AB34" s="11" t="e">
        <f>SUMIFS(#REF!,#REF!,C34)/(1+1.8%)*(1+1.8%+2.3%)</f>
        <v>#REF!</v>
      </c>
      <c r="AC34" s="11" t="e">
        <f t="shared" si="15"/>
        <v>#REF!</v>
      </c>
      <c r="AD34" s="64"/>
      <c r="AE34" s="11" t="e">
        <f>(SUMIFS(#REF!,#REF!,C34)/(1+1.8%))*(1+1.8%+2.3%)</f>
        <v>#REF!</v>
      </c>
      <c r="AF34" s="11" t="e">
        <f>-SUMIFS(#REF!,#REF!,C34)/1000</f>
        <v>#REF!</v>
      </c>
      <c r="AG34" s="11" t="e">
        <f>SUMIFS(#REF!,#REF!,C34)</f>
        <v>#REF!</v>
      </c>
      <c r="AH34" s="11" t="e">
        <f>SUMIFS(#REF!,#REF!,C34)</f>
        <v>#REF!</v>
      </c>
      <c r="AI34" s="11" t="e">
        <f>SUMIFS(#REF!,#REF!,C34)</f>
        <v>#REF!</v>
      </c>
      <c r="AJ34" s="11" t="e">
        <f>SUMIFS(#REF!,#REF!,C34)</f>
        <v>#REF!</v>
      </c>
      <c r="AK34" s="11"/>
      <c r="AL34" s="11" t="e">
        <f t="shared" si="16"/>
        <v>#REF!</v>
      </c>
      <c r="AN34" s="11" t="e">
        <f t="shared" si="17"/>
        <v>#REF!</v>
      </c>
      <c r="AO34" s="11" t="e">
        <f t="shared" si="18"/>
        <v>#REF!</v>
      </c>
      <c r="AQ34" s="11" t="e">
        <f t="shared" si="19"/>
        <v>#REF!</v>
      </c>
      <c r="AS34" s="43" t="e">
        <f t="shared" si="20"/>
        <v>#REF!</v>
      </c>
      <c r="AT34" s="11" t="e">
        <f t="shared" si="21"/>
        <v>#REF!</v>
      </c>
      <c r="AV34" s="11" t="e">
        <f>'Share of £1bn'!$F$20*1000*$AO34/$AO$57</f>
        <v>#REF!</v>
      </c>
      <c r="AW34" s="11" t="e">
        <f>'Share of £1bn'!$F$27*1000*$AO34/$AO$57</f>
        <v>#REF!</v>
      </c>
      <c r="AX34" s="11" t="e">
        <f>'Share of £1bn'!$F$21*1000*$AO34/$AO$57</f>
        <v>#REF!</v>
      </c>
      <c r="AZ34" s="11" t="e">
        <f>'Share of £1bn'!$F$43*1000*AO34/$AO$57</f>
        <v>#REF!</v>
      </c>
      <c r="BA34" s="11" t="e">
        <f>'Share of £1bn'!$F$50*1000*$AO34/$AO$57</f>
        <v>#REF!</v>
      </c>
      <c r="BB34" s="11" t="e">
        <f>'Share of £1bn'!$F$44*1000*AO34/$AO$57</f>
        <v>#REF!</v>
      </c>
      <c r="BD34" s="11" t="e">
        <f>'Share of £1bn'!$F$67*1000*AO34/$AO$57</f>
        <v>#REF!</v>
      </c>
      <c r="BF34" s="11">
        <f>SUMIFS('20-11 M6 deficits'!$BO:$BO,'20-11 M6 deficits'!$C:$C,$C34)*1000</f>
        <v>-20400</v>
      </c>
      <c r="BH34" s="11" t="e">
        <f t="shared" si="22"/>
        <v>#REF!</v>
      </c>
      <c r="BI34" s="11" t="e">
        <f t="shared" si="23"/>
        <v>#REF!</v>
      </c>
      <c r="BJ34" s="11" t="e">
        <f t="shared" si="24"/>
        <v>#REF!</v>
      </c>
      <c r="BK34" s="11" t="e">
        <f t="shared" si="25"/>
        <v>#REF!</v>
      </c>
      <c r="BL34" s="11" t="e">
        <f t="shared" si="26"/>
        <v>#REF!</v>
      </c>
      <c r="BN34" s="11" t="e">
        <f t="shared" si="27"/>
        <v>#REF!</v>
      </c>
      <c r="BO34" s="11" t="e">
        <f t="shared" si="28"/>
        <v>#REF!</v>
      </c>
      <c r="BP34" s="11" t="e">
        <f t="shared" si="29"/>
        <v>#REF!</v>
      </c>
      <c r="BQ34" s="11" t="e">
        <f t="shared" si="30"/>
        <v>#REF!</v>
      </c>
      <c r="BR34" s="11" t="e">
        <f t="shared" si="31"/>
        <v>#REF!</v>
      </c>
      <c r="BT34" s="11" t="e">
        <f t="shared" si="32"/>
        <v>#REF!</v>
      </c>
      <c r="BU34" s="11" t="e">
        <f t="shared" si="33"/>
        <v>#REF!</v>
      </c>
      <c r="BV34" s="11" t="e">
        <f t="shared" si="34"/>
        <v>#REF!</v>
      </c>
      <c r="BW34" s="11" t="e">
        <f t="shared" si="35"/>
        <v>#REF!</v>
      </c>
      <c r="BX34" s="11" t="e">
        <f t="shared" si="36"/>
        <v>#REF!</v>
      </c>
      <c r="BZ34" s="11" t="e">
        <f t="shared" si="37"/>
        <v>#REF!</v>
      </c>
      <c r="CA34" s="11" t="e">
        <f t="shared" si="38"/>
        <v>#REF!</v>
      </c>
      <c r="CB34" s="11" t="e">
        <f t="shared" si="39"/>
        <v>#REF!</v>
      </c>
      <c r="CC34" s="11" t="e">
        <f t="shared" si="40"/>
        <v>#REF!</v>
      </c>
      <c r="CD34" s="11" t="e">
        <f t="shared" si="41"/>
        <v>#REF!</v>
      </c>
      <c r="CF34" s="11" t="e">
        <f t="shared" si="42"/>
        <v>#REF!</v>
      </c>
      <c r="CG34" s="11" t="e">
        <f t="shared" si="43"/>
        <v>#REF!</v>
      </c>
      <c r="CH34" s="11" t="e">
        <f t="shared" si="44"/>
        <v>#REF!</v>
      </c>
      <c r="CI34" s="11" t="e">
        <f t="shared" si="45"/>
        <v>#REF!</v>
      </c>
      <c r="CJ34" s="11" t="e">
        <f t="shared" si="46"/>
        <v>#REF!</v>
      </c>
      <c r="CM34" s="209">
        <f t="shared" si="47"/>
        <v>1.2904473488454634E-2</v>
      </c>
      <c r="CN34" s="209" t="e">
        <f t="shared" si="48"/>
        <v>#REF!</v>
      </c>
      <c r="CO34" s="209" t="e">
        <f t="shared" si="49"/>
        <v>#REF!</v>
      </c>
      <c r="CP34" s="209" t="e">
        <f t="shared" si="50"/>
        <v>#REF!</v>
      </c>
      <c r="CQ34" s="209" t="e">
        <f t="shared" si="51"/>
        <v>#REF!</v>
      </c>
    </row>
    <row r="35" spans="1:95" x14ac:dyDescent="0.25">
      <c r="A35" s="13" t="s">
        <v>84</v>
      </c>
      <c r="B35" s="14" t="s">
        <v>85</v>
      </c>
      <c r="C35" s="4" t="s">
        <v>88</v>
      </c>
      <c r="D35" s="4" t="s">
        <v>89</v>
      </c>
      <c r="E35" s="11">
        <f>SUMIFS('ICB Core Baseline 2024-25'!Q:Q,'ICB Core Baseline 2024-25'!C:C,C35)</f>
        <v>1227431.9215465274</v>
      </c>
      <c r="F35" s="43" t="e">
        <f>SUMIFS(#REF!,#REF!,C35)</f>
        <v>#REF!</v>
      </c>
      <c r="H35" s="43" t="e">
        <f>SUMIFS(#REF!,#REF!,C35)</f>
        <v>#REF!</v>
      </c>
      <c r="I35" s="43" t="e">
        <f t="shared" si="6"/>
        <v>#REF!</v>
      </c>
      <c r="J35" s="43" t="e">
        <f t="shared" si="7"/>
        <v>#REF!</v>
      </c>
      <c r="K35" s="11" t="e">
        <f t="shared" si="0"/>
        <v>#REF!</v>
      </c>
      <c r="L35" s="11" t="e">
        <f t="shared" si="1"/>
        <v>#REF!</v>
      </c>
      <c r="M35" s="43" t="e">
        <f>SUMIFS(#REF!,#REF!,C35)</f>
        <v>#REF!</v>
      </c>
      <c r="N35" s="11" t="e">
        <f t="shared" si="2"/>
        <v>#REF!</v>
      </c>
      <c r="O35" s="43" t="e">
        <f t="shared" si="8"/>
        <v>#REF!</v>
      </c>
      <c r="P35" s="11" t="e">
        <f t="shared" si="3"/>
        <v>#REF!</v>
      </c>
      <c r="Q35" s="11" t="e">
        <f t="shared" si="9"/>
        <v>#REF!</v>
      </c>
      <c r="R35" s="11" t="e">
        <f t="shared" si="4"/>
        <v>#REF!</v>
      </c>
      <c r="S35" s="11" t="e">
        <f>(SUMIFS(#REF!,#REF!,C35)/SUMIFS(#REF!,#REF!,C35))*1000</f>
        <v>#REF!</v>
      </c>
      <c r="T35" s="11" t="e">
        <f t="shared" si="10"/>
        <v>#REF!</v>
      </c>
      <c r="U35" s="11"/>
      <c r="V35" s="11" t="e">
        <f t="shared" si="11"/>
        <v>#REF!</v>
      </c>
      <c r="W35" s="11" t="e">
        <f t="shared" si="12"/>
        <v>#REF!</v>
      </c>
      <c r="X35" s="43" t="e">
        <f t="shared" si="13"/>
        <v>#REF!</v>
      </c>
      <c r="Y35" s="43" t="e">
        <f ca="1">OFFSET(#REF!,MATCH(C35,#REF!,0)+1,0)</f>
        <v>#REF!</v>
      </c>
      <c r="Z35" s="43" t="e">
        <f t="shared" ca="1" si="14"/>
        <v>#REF!</v>
      </c>
      <c r="AA35" s="43" t="e">
        <f t="shared" si="5"/>
        <v>#REF!</v>
      </c>
      <c r="AB35" s="11" t="e">
        <f>SUMIFS(#REF!,#REF!,C35)/(1+1.8%)*(1+1.8%+2.3%)</f>
        <v>#REF!</v>
      </c>
      <c r="AC35" s="11" t="e">
        <f t="shared" si="15"/>
        <v>#REF!</v>
      </c>
      <c r="AD35" s="64"/>
      <c r="AE35" s="11" t="e">
        <f>(SUMIFS(#REF!,#REF!,C35)/(1+1.8%))*(1+1.8%+2.3%)</f>
        <v>#REF!</v>
      </c>
      <c r="AF35" s="11" t="e">
        <f>-SUMIFS(#REF!,#REF!,C35)/1000</f>
        <v>#REF!</v>
      </c>
      <c r="AG35" s="11" t="e">
        <f>SUMIFS(#REF!,#REF!,C35)</f>
        <v>#REF!</v>
      </c>
      <c r="AH35" s="11" t="e">
        <f>SUMIFS(#REF!,#REF!,C35)</f>
        <v>#REF!</v>
      </c>
      <c r="AI35" s="11" t="e">
        <f>SUMIFS(#REF!,#REF!,C35)</f>
        <v>#REF!</v>
      </c>
      <c r="AJ35" s="11" t="e">
        <f>SUMIFS(#REF!,#REF!,C35)</f>
        <v>#REF!</v>
      </c>
      <c r="AK35" s="11"/>
      <c r="AL35" s="11" t="e">
        <f t="shared" si="16"/>
        <v>#REF!</v>
      </c>
      <c r="AN35" s="11" t="e">
        <f t="shared" si="17"/>
        <v>#REF!</v>
      </c>
      <c r="AO35" s="11" t="e">
        <f t="shared" si="18"/>
        <v>#REF!</v>
      </c>
      <c r="AQ35" s="11" t="e">
        <f t="shared" si="19"/>
        <v>#REF!</v>
      </c>
      <c r="AS35" s="43" t="e">
        <f t="shared" si="20"/>
        <v>#REF!</v>
      </c>
      <c r="AT35" s="11" t="e">
        <f t="shared" si="21"/>
        <v>#REF!</v>
      </c>
      <c r="AV35" s="11" t="e">
        <f>'Share of £1bn'!$F$20*1000*$AO35/$AO$57</f>
        <v>#REF!</v>
      </c>
      <c r="AW35" s="11" t="e">
        <f>'Share of £1bn'!$F$27*1000*$AO35/$AO$57</f>
        <v>#REF!</v>
      </c>
      <c r="AX35" s="11" t="e">
        <f>'Share of £1bn'!$F$21*1000*$AO35/$AO$57</f>
        <v>#REF!</v>
      </c>
      <c r="AZ35" s="11" t="e">
        <f>'Share of £1bn'!$F$43*1000*AO35/$AO$57</f>
        <v>#REF!</v>
      </c>
      <c r="BA35" s="11" t="e">
        <f>'Share of £1bn'!$F$50*1000*$AO35/$AO$57</f>
        <v>#REF!</v>
      </c>
      <c r="BB35" s="11" t="e">
        <f>'Share of £1bn'!$F$44*1000*AO35/$AO$57</f>
        <v>#REF!</v>
      </c>
      <c r="BD35" s="11" t="e">
        <f>'Share of £1bn'!$F$67*1000*AO35/$AO$57</f>
        <v>#REF!</v>
      </c>
      <c r="BF35" s="11">
        <f>SUMIFS('20-11 M6 deficits'!$BO:$BO,'20-11 M6 deficits'!$C:$C,$C35)*1000</f>
        <v>-10000</v>
      </c>
      <c r="BH35" s="11" t="e">
        <f t="shared" si="22"/>
        <v>#REF!</v>
      </c>
      <c r="BI35" s="11" t="e">
        <f t="shared" si="23"/>
        <v>#REF!</v>
      </c>
      <c r="BJ35" s="11" t="e">
        <f t="shared" si="24"/>
        <v>#REF!</v>
      </c>
      <c r="BK35" s="11" t="e">
        <f t="shared" si="25"/>
        <v>#REF!</v>
      </c>
      <c r="BL35" s="11" t="e">
        <f t="shared" si="26"/>
        <v>#REF!</v>
      </c>
      <c r="BN35" s="11" t="e">
        <f t="shared" si="27"/>
        <v>#REF!</v>
      </c>
      <c r="BO35" s="11" t="e">
        <f t="shared" si="28"/>
        <v>#REF!</v>
      </c>
      <c r="BP35" s="11" t="e">
        <f t="shared" si="29"/>
        <v>#REF!</v>
      </c>
      <c r="BQ35" s="11" t="e">
        <f t="shared" si="30"/>
        <v>#REF!</v>
      </c>
      <c r="BR35" s="11" t="e">
        <f t="shared" si="31"/>
        <v>#REF!</v>
      </c>
      <c r="BT35" s="11" t="e">
        <f t="shared" si="32"/>
        <v>#REF!</v>
      </c>
      <c r="BU35" s="11" t="e">
        <f t="shared" si="33"/>
        <v>#REF!</v>
      </c>
      <c r="BV35" s="11" t="e">
        <f t="shared" si="34"/>
        <v>#REF!</v>
      </c>
      <c r="BW35" s="11" t="e">
        <f t="shared" si="35"/>
        <v>#REF!</v>
      </c>
      <c r="BX35" s="11" t="e">
        <f t="shared" si="36"/>
        <v>#REF!</v>
      </c>
      <c r="BZ35" s="11" t="e">
        <f t="shared" si="37"/>
        <v>#REF!</v>
      </c>
      <c r="CA35" s="11" t="e">
        <f t="shared" si="38"/>
        <v>#REF!</v>
      </c>
      <c r="CB35" s="11" t="e">
        <f t="shared" si="39"/>
        <v>#REF!</v>
      </c>
      <c r="CC35" s="11" t="e">
        <f t="shared" si="40"/>
        <v>#REF!</v>
      </c>
      <c r="CD35" s="11" t="e">
        <f t="shared" si="41"/>
        <v>#REF!</v>
      </c>
      <c r="CF35" s="11" t="e">
        <f t="shared" si="42"/>
        <v>#REF!</v>
      </c>
      <c r="CG35" s="11" t="e">
        <f t="shared" si="43"/>
        <v>#REF!</v>
      </c>
      <c r="CH35" s="11" t="e">
        <f t="shared" si="44"/>
        <v>#REF!</v>
      </c>
      <c r="CI35" s="11" t="e">
        <f t="shared" si="45"/>
        <v>#REF!</v>
      </c>
      <c r="CJ35" s="11" t="e">
        <f t="shared" si="46"/>
        <v>#REF!</v>
      </c>
      <c r="CM35" s="209">
        <f t="shared" si="47"/>
        <v>6.3257222982620754E-3</v>
      </c>
      <c r="CN35" s="209" t="e">
        <f t="shared" si="48"/>
        <v>#REF!</v>
      </c>
      <c r="CO35" s="209" t="e">
        <f t="shared" si="49"/>
        <v>#REF!</v>
      </c>
      <c r="CP35" s="209" t="e">
        <f t="shared" si="50"/>
        <v>#REF!</v>
      </c>
      <c r="CQ35" s="209" t="e">
        <f t="shared" si="51"/>
        <v>#REF!</v>
      </c>
    </row>
    <row r="36" spans="1:95" x14ac:dyDescent="0.25">
      <c r="A36" s="13" t="s">
        <v>84</v>
      </c>
      <c r="B36" s="14" t="s">
        <v>85</v>
      </c>
      <c r="C36" s="4" t="s">
        <v>90</v>
      </c>
      <c r="D36" s="4" t="s">
        <v>91</v>
      </c>
      <c r="E36" s="11">
        <f>SUMIFS('ICB Core Baseline 2024-25'!Q:Q,'ICB Core Baseline 2024-25'!C:C,C36)</f>
        <v>3206852.1433185297</v>
      </c>
      <c r="F36" s="43" t="e">
        <f>SUMIFS(#REF!,#REF!,C36)</f>
        <v>#REF!</v>
      </c>
      <c r="H36" s="43" t="e">
        <f>SUMIFS(#REF!,#REF!,C36)</f>
        <v>#REF!</v>
      </c>
      <c r="I36" s="43" t="e">
        <f t="shared" si="6"/>
        <v>#REF!</v>
      </c>
      <c r="J36" s="43" t="e">
        <f t="shared" si="7"/>
        <v>#REF!</v>
      </c>
      <c r="K36" s="11" t="e">
        <f t="shared" si="0"/>
        <v>#REF!</v>
      </c>
      <c r="L36" s="11" t="e">
        <f t="shared" si="1"/>
        <v>#REF!</v>
      </c>
      <c r="M36" s="43" t="e">
        <f>SUMIFS(#REF!,#REF!,C36)</f>
        <v>#REF!</v>
      </c>
      <c r="N36" s="11" t="e">
        <f t="shared" si="2"/>
        <v>#REF!</v>
      </c>
      <c r="O36" s="43" t="e">
        <f t="shared" si="8"/>
        <v>#REF!</v>
      </c>
      <c r="P36" s="11" t="e">
        <f t="shared" si="3"/>
        <v>#REF!</v>
      </c>
      <c r="Q36" s="11" t="e">
        <f t="shared" si="9"/>
        <v>#REF!</v>
      </c>
      <c r="R36" s="11" t="e">
        <f t="shared" si="4"/>
        <v>#REF!</v>
      </c>
      <c r="S36" s="11" t="e">
        <f>(SUMIFS(#REF!,#REF!,C36)/SUMIFS(#REF!,#REF!,C36))*1000</f>
        <v>#REF!</v>
      </c>
      <c r="T36" s="11" t="e">
        <f t="shared" si="10"/>
        <v>#REF!</v>
      </c>
      <c r="U36" s="11"/>
      <c r="V36" s="11" t="e">
        <f t="shared" si="11"/>
        <v>#REF!</v>
      </c>
      <c r="W36" s="11" t="e">
        <f t="shared" si="12"/>
        <v>#REF!</v>
      </c>
      <c r="X36" s="43" t="e">
        <f t="shared" si="13"/>
        <v>#REF!</v>
      </c>
      <c r="Y36" s="43" t="e">
        <f ca="1">OFFSET(#REF!,MATCH(C36,#REF!,0)+1,0)</f>
        <v>#REF!</v>
      </c>
      <c r="Z36" s="43" t="e">
        <f t="shared" ca="1" si="14"/>
        <v>#REF!</v>
      </c>
      <c r="AA36" s="43" t="e">
        <f t="shared" si="5"/>
        <v>#REF!</v>
      </c>
      <c r="AB36" s="11" t="e">
        <f>SUMIFS(#REF!,#REF!,C36)/(1+1.8%)*(1+1.8%+2.3%)</f>
        <v>#REF!</v>
      </c>
      <c r="AC36" s="11" t="e">
        <f t="shared" si="15"/>
        <v>#REF!</v>
      </c>
      <c r="AD36" s="64"/>
      <c r="AE36" s="11" t="e">
        <f>(SUMIFS(#REF!,#REF!,C36)/(1+1.8%))*(1+1.8%+2.3%)</f>
        <v>#REF!</v>
      </c>
      <c r="AF36" s="11" t="e">
        <f>-SUMIFS(#REF!,#REF!,C36)/1000</f>
        <v>#REF!</v>
      </c>
      <c r="AG36" s="11" t="e">
        <f>SUMIFS(#REF!,#REF!,C36)</f>
        <v>#REF!</v>
      </c>
      <c r="AH36" s="11" t="e">
        <f>SUMIFS(#REF!,#REF!,C36)</f>
        <v>#REF!</v>
      </c>
      <c r="AI36" s="11" t="e">
        <f>SUMIFS(#REF!,#REF!,C36)</f>
        <v>#REF!</v>
      </c>
      <c r="AJ36" s="11" t="e">
        <f>SUMIFS(#REF!,#REF!,C36)</f>
        <v>#REF!</v>
      </c>
      <c r="AK36" s="11"/>
      <c r="AL36" s="11" t="e">
        <f t="shared" si="16"/>
        <v>#REF!</v>
      </c>
      <c r="AN36" s="11" t="e">
        <f t="shared" si="17"/>
        <v>#REF!</v>
      </c>
      <c r="AO36" s="11" t="e">
        <f t="shared" si="18"/>
        <v>#REF!</v>
      </c>
      <c r="AQ36" s="11" t="e">
        <f t="shared" si="19"/>
        <v>#REF!</v>
      </c>
      <c r="AS36" s="43" t="e">
        <f t="shared" si="20"/>
        <v>#REF!</v>
      </c>
      <c r="AT36" s="11" t="e">
        <f t="shared" si="21"/>
        <v>#REF!</v>
      </c>
      <c r="AV36" s="11" t="e">
        <f>'Share of £1bn'!$F$20*1000*$AO36/$AO$57</f>
        <v>#REF!</v>
      </c>
      <c r="AW36" s="11" t="e">
        <f>'Share of £1bn'!$F$27*1000*$AO36/$AO$57</f>
        <v>#REF!</v>
      </c>
      <c r="AX36" s="11" t="e">
        <f>'Share of £1bn'!$F$21*1000*$AO36/$AO$57</f>
        <v>#REF!</v>
      </c>
      <c r="AZ36" s="11" t="e">
        <f>'Share of £1bn'!$F$43*1000*AO36/$AO$57</f>
        <v>#REF!</v>
      </c>
      <c r="BA36" s="11" t="e">
        <f>'Share of £1bn'!$F$50*1000*$AO36/$AO$57</f>
        <v>#REF!</v>
      </c>
      <c r="BB36" s="11" t="e">
        <f>'Share of £1bn'!$F$44*1000*AO36/$AO$57</f>
        <v>#REF!</v>
      </c>
      <c r="BD36" s="11" t="e">
        <f>'Share of £1bn'!$F$67*1000*AO36/$AO$57</f>
        <v>#REF!</v>
      </c>
      <c r="BF36" s="11">
        <f>SUMIFS('20-11 M6 deficits'!$BO:$BO,'20-11 M6 deficits'!$C:$C,$C36)*1000</f>
        <v>-130000</v>
      </c>
      <c r="BH36" s="11" t="e">
        <f t="shared" si="22"/>
        <v>#REF!</v>
      </c>
      <c r="BI36" s="11" t="e">
        <f t="shared" si="23"/>
        <v>#REF!</v>
      </c>
      <c r="BJ36" s="11" t="e">
        <f t="shared" si="24"/>
        <v>#REF!</v>
      </c>
      <c r="BK36" s="11" t="e">
        <f t="shared" si="25"/>
        <v>#REF!</v>
      </c>
      <c r="BL36" s="11" t="e">
        <f t="shared" si="26"/>
        <v>#REF!</v>
      </c>
      <c r="BN36" s="11" t="e">
        <f t="shared" si="27"/>
        <v>#REF!</v>
      </c>
      <c r="BO36" s="11" t="e">
        <f t="shared" si="28"/>
        <v>#REF!</v>
      </c>
      <c r="BP36" s="11" t="e">
        <f t="shared" si="29"/>
        <v>#REF!</v>
      </c>
      <c r="BQ36" s="11" t="e">
        <f t="shared" si="30"/>
        <v>#REF!</v>
      </c>
      <c r="BR36" s="11" t="e">
        <f t="shared" si="31"/>
        <v>#REF!</v>
      </c>
      <c r="BT36" s="11" t="e">
        <f t="shared" si="32"/>
        <v>#REF!</v>
      </c>
      <c r="BU36" s="11" t="e">
        <f t="shared" si="33"/>
        <v>#REF!</v>
      </c>
      <c r="BV36" s="11" t="e">
        <f t="shared" si="34"/>
        <v>#REF!</v>
      </c>
      <c r="BW36" s="11" t="e">
        <f t="shared" si="35"/>
        <v>#REF!</v>
      </c>
      <c r="BX36" s="11" t="e">
        <f t="shared" si="36"/>
        <v>#REF!</v>
      </c>
      <c r="BZ36" s="11" t="e">
        <f t="shared" si="37"/>
        <v>#REF!</v>
      </c>
      <c r="CA36" s="11" t="e">
        <f t="shared" si="38"/>
        <v>#REF!</v>
      </c>
      <c r="CB36" s="11" t="e">
        <f t="shared" si="39"/>
        <v>#REF!</v>
      </c>
      <c r="CC36" s="11" t="e">
        <f t="shared" si="40"/>
        <v>#REF!</v>
      </c>
      <c r="CD36" s="11" t="e">
        <f t="shared" si="41"/>
        <v>#REF!</v>
      </c>
      <c r="CF36" s="11" t="e">
        <f t="shared" si="42"/>
        <v>#REF!</v>
      </c>
      <c r="CG36" s="11" t="e">
        <f t="shared" si="43"/>
        <v>#REF!</v>
      </c>
      <c r="CH36" s="11" t="e">
        <f t="shared" si="44"/>
        <v>#REF!</v>
      </c>
      <c r="CI36" s="11" t="e">
        <f t="shared" si="45"/>
        <v>#REF!</v>
      </c>
      <c r="CJ36" s="11" t="e">
        <f t="shared" si="46"/>
        <v>#REF!</v>
      </c>
      <c r="CM36" s="209">
        <f t="shared" si="47"/>
        <v>8.2234389877406971E-2</v>
      </c>
      <c r="CN36" s="209" t="e">
        <f t="shared" si="48"/>
        <v>#REF!</v>
      </c>
      <c r="CO36" s="209" t="e">
        <f t="shared" si="49"/>
        <v>#REF!</v>
      </c>
      <c r="CP36" s="209" t="e">
        <f t="shared" si="50"/>
        <v>#REF!</v>
      </c>
      <c r="CQ36" s="209" t="e">
        <f t="shared" si="51"/>
        <v>#REF!</v>
      </c>
    </row>
    <row r="37" spans="1:95" x14ac:dyDescent="0.25">
      <c r="A37" s="13" t="s">
        <v>84</v>
      </c>
      <c r="B37" s="14" t="s">
        <v>85</v>
      </c>
      <c r="C37" s="4" t="s">
        <v>92</v>
      </c>
      <c r="D37" s="4" t="s">
        <v>93</v>
      </c>
      <c r="E37" s="11">
        <f>SUMIFS('ICB Core Baseline 2024-25'!Q:Q,'ICB Core Baseline 2024-25'!C:C,C37)</f>
        <v>3320649.430494213</v>
      </c>
      <c r="F37" s="43" t="e">
        <f>SUMIFS(#REF!,#REF!,C37)</f>
        <v>#REF!</v>
      </c>
      <c r="H37" s="43" t="e">
        <f>SUMIFS(#REF!,#REF!,C37)</f>
        <v>#REF!</v>
      </c>
      <c r="I37" s="43" t="e">
        <f t="shared" si="6"/>
        <v>#REF!</v>
      </c>
      <c r="J37" s="43" t="e">
        <f t="shared" si="7"/>
        <v>#REF!</v>
      </c>
      <c r="K37" s="11" t="e">
        <f t="shared" si="0"/>
        <v>#REF!</v>
      </c>
      <c r="L37" s="11" t="e">
        <f t="shared" si="1"/>
        <v>#REF!</v>
      </c>
      <c r="M37" s="43" t="e">
        <f>SUMIFS(#REF!,#REF!,C37)</f>
        <v>#REF!</v>
      </c>
      <c r="N37" s="11" t="e">
        <f t="shared" si="2"/>
        <v>#REF!</v>
      </c>
      <c r="O37" s="43" t="e">
        <f t="shared" si="8"/>
        <v>#REF!</v>
      </c>
      <c r="P37" s="11" t="e">
        <f t="shared" si="3"/>
        <v>#REF!</v>
      </c>
      <c r="Q37" s="11" t="e">
        <f t="shared" si="9"/>
        <v>#REF!</v>
      </c>
      <c r="R37" s="11" t="e">
        <f t="shared" si="4"/>
        <v>#REF!</v>
      </c>
      <c r="S37" s="11" t="e">
        <f>(SUMIFS(#REF!,#REF!,C37)/SUMIFS(#REF!,#REF!,C37))*1000</f>
        <v>#REF!</v>
      </c>
      <c r="T37" s="11" t="e">
        <f t="shared" si="10"/>
        <v>#REF!</v>
      </c>
      <c r="U37" s="11"/>
      <c r="V37" s="11" t="e">
        <f t="shared" si="11"/>
        <v>#REF!</v>
      </c>
      <c r="W37" s="11" t="e">
        <f t="shared" si="12"/>
        <v>#REF!</v>
      </c>
      <c r="X37" s="43" t="e">
        <f t="shared" si="13"/>
        <v>#REF!</v>
      </c>
      <c r="Y37" s="43" t="e">
        <f ca="1">OFFSET(#REF!,MATCH(C37,#REF!,0)+1,0)</f>
        <v>#REF!</v>
      </c>
      <c r="Z37" s="43" t="e">
        <f t="shared" ca="1" si="14"/>
        <v>#REF!</v>
      </c>
      <c r="AA37" s="43" t="e">
        <f t="shared" si="5"/>
        <v>#REF!</v>
      </c>
      <c r="AB37" s="11" t="e">
        <f>SUMIFS(#REF!,#REF!,C37)/(1+1.8%)*(1+1.8%+2.3%)</f>
        <v>#REF!</v>
      </c>
      <c r="AC37" s="11" t="e">
        <f t="shared" si="15"/>
        <v>#REF!</v>
      </c>
      <c r="AD37" s="64"/>
      <c r="AE37" s="11" t="e">
        <f>(SUMIFS(#REF!,#REF!,C37)/(1+1.8%))*(1+1.8%+2.3%)</f>
        <v>#REF!</v>
      </c>
      <c r="AF37" s="11" t="e">
        <f>-SUMIFS(#REF!,#REF!,C37)/1000</f>
        <v>#REF!</v>
      </c>
      <c r="AG37" s="11" t="e">
        <f>SUMIFS(#REF!,#REF!,C37)</f>
        <v>#REF!</v>
      </c>
      <c r="AH37" s="11" t="e">
        <f>SUMIFS(#REF!,#REF!,C37)</f>
        <v>#REF!</v>
      </c>
      <c r="AI37" s="11" t="e">
        <f>SUMIFS(#REF!,#REF!,C37)</f>
        <v>#REF!</v>
      </c>
      <c r="AJ37" s="11" t="e">
        <f>SUMIFS(#REF!,#REF!,C37)</f>
        <v>#REF!</v>
      </c>
      <c r="AK37" s="11"/>
      <c r="AL37" s="11" t="e">
        <f t="shared" si="16"/>
        <v>#REF!</v>
      </c>
      <c r="AN37" s="11" t="e">
        <f t="shared" si="17"/>
        <v>#REF!</v>
      </c>
      <c r="AO37" s="11" t="e">
        <f t="shared" si="18"/>
        <v>#REF!</v>
      </c>
      <c r="AQ37" s="11" t="e">
        <f t="shared" si="19"/>
        <v>#REF!</v>
      </c>
      <c r="AS37" s="43" t="e">
        <f t="shared" si="20"/>
        <v>#REF!</v>
      </c>
      <c r="AT37" s="11" t="e">
        <f t="shared" si="21"/>
        <v>#REF!</v>
      </c>
      <c r="AV37" s="11" t="e">
        <f>'Share of £1bn'!$F$20*1000*$AO37/$AO$57</f>
        <v>#REF!</v>
      </c>
      <c r="AW37" s="11" t="e">
        <f>'Share of £1bn'!$F$27*1000*$AO37/$AO$57</f>
        <v>#REF!</v>
      </c>
      <c r="AX37" s="11" t="e">
        <f>'Share of £1bn'!$F$21*1000*$AO37/$AO$57</f>
        <v>#REF!</v>
      </c>
      <c r="AZ37" s="11" t="e">
        <f>'Share of £1bn'!$F$43*1000*AO37/$AO$57</f>
        <v>#REF!</v>
      </c>
      <c r="BA37" s="11" t="e">
        <f>'Share of £1bn'!$F$50*1000*$AO37/$AO$57</f>
        <v>#REF!</v>
      </c>
      <c r="BB37" s="11" t="e">
        <f>'Share of £1bn'!$F$44*1000*AO37/$AO$57</f>
        <v>#REF!</v>
      </c>
      <c r="BD37" s="11" t="e">
        <f>'Share of £1bn'!$F$67*1000*AO37/$AO$57</f>
        <v>#REF!</v>
      </c>
      <c r="BF37" s="11">
        <f>SUMIFS('20-11 M6 deficits'!$BO:$BO,'20-11 M6 deficits'!$C:$C,$C37)*1000</f>
        <v>-100000</v>
      </c>
      <c r="BH37" s="11" t="e">
        <f t="shared" si="22"/>
        <v>#REF!</v>
      </c>
      <c r="BI37" s="11" t="e">
        <f t="shared" si="23"/>
        <v>#REF!</v>
      </c>
      <c r="BJ37" s="11" t="e">
        <f t="shared" si="24"/>
        <v>#REF!</v>
      </c>
      <c r="BK37" s="11" t="e">
        <f t="shared" si="25"/>
        <v>#REF!</v>
      </c>
      <c r="BL37" s="11" t="e">
        <f t="shared" si="26"/>
        <v>#REF!</v>
      </c>
      <c r="BN37" s="11" t="e">
        <f t="shared" si="27"/>
        <v>#REF!</v>
      </c>
      <c r="BO37" s="11" t="e">
        <f t="shared" si="28"/>
        <v>#REF!</v>
      </c>
      <c r="BP37" s="11" t="e">
        <f t="shared" si="29"/>
        <v>#REF!</v>
      </c>
      <c r="BQ37" s="11" t="e">
        <f t="shared" si="30"/>
        <v>#REF!</v>
      </c>
      <c r="BR37" s="11" t="e">
        <f t="shared" si="31"/>
        <v>#REF!</v>
      </c>
      <c r="BT37" s="11" t="e">
        <f t="shared" si="32"/>
        <v>#REF!</v>
      </c>
      <c r="BU37" s="11" t="e">
        <f t="shared" si="33"/>
        <v>#REF!</v>
      </c>
      <c r="BV37" s="11" t="e">
        <f t="shared" si="34"/>
        <v>#REF!</v>
      </c>
      <c r="BW37" s="11" t="e">
        <f t="shared" si="35"/>
        <v>#REF!</v>
      </c>
      <c r="BX37" s="11" t="e">
        <f t="shared" si="36"/>
        <v>#REF!</v>
      </c>
      <c r="BZ37" s="11" t="e">
        <f t="shared" si="37"/>
        <v>#REF!</v>
      </c>
      <c r="CA37" s="11" t="e">
        <f t="shared" si="38"/>
        <v>#REF!</v>
      </c>
      <c r="CB37" s="11" t="e">
        <f t="shared" si="39"/>
        <v>#REF!</v>
      </c>
      <c r="CC37" s="11" t="e">
        <f t="shared" si="40"/>
        <v>#REF!</v>
      </c>
      <c r="CD37" s="11" t="e">
        <f t="shared" si="41"/>
        <v>#REF!</v>
      </c>
      <c r="CF37" s="11" t="e">
        <f t="shared" si="42"/>
        <v>#REF!</v>
      </c>
      <c r="CG37" s="11" t="e">
        <f t="shared" si="43"/>
        <v>#REF!</v>
      </c>
      <c r="CH37" s="11" t="e">
        <f t="shared" si="44"/>
        <v>#REF!</v>
      </c>
      <c r="CI37" s="11" t="e">
        <f t="shared" si="45"/>
        <v>#REF!</v>
      </c>
      <c r="CJ37" s="11" t="e">
        <f t="shared" si="46"/>
        <v>#REF!</v>
      </c>
      <c r="CM37" s="209">
        <f t="shared" si="47"/>
        <v>6.325722298262075E-2</v>
      </c>
      <c r="CN37" s="209" t="e">
        <f t="shared" si="48"/>
        <v>#REF!</v>
      </c>
      <c r="CO37" s="209" t="e">
        <f t="shared" si="49"/>
        <v>#REF!</v>
      </c>
      <c r="CP37" s="209" t="e">
        <f t="shared" si="50"/>
        <v>#REF!</v>
      </c>
      <c r="CQ37" s="209" t="e">
        <f t="shared" si="51"/>
        <v>#REF!</v>
      </c>
    </row>
    <row r="38" spans="1:95" x14ac:dyDescent="0.25">
      <c r="A38" s="13" t="s">
        <v>84</v>
      </c>
      <c r="B38" s="14" t="s">
        <v>85</v>
      </c>
      <c r="C38" s="4" t="s">
        <v>94</v>
      </c>
      <c r="D38" s="4" t="s">
        <v>95</v>
      </c>
      <c r="E38" s="11">
        <f>SUMIFS('ICB Core Baseline 2024-25'!Q:Q,'ICB Core Baseline 2024-25'!C:C,C38)</f>
        <v>1831234.3662092758</v>
      </c>
      <c r="F38" s="43" t="e">
        <f>SUMIFS(#REF!,#REF!,C38)</f>
        <v>#REF!</v>
      </c>
      <c r="H38" s="43" t="e">
        <f>SUMIFS(#REF!,#REF!,C38)</f>
        <v>#REF!</v>
      </c>
      <c r="I38" s="43" t="e">
        <f t="shared" si="6"/>
        <v>#REF!</v>
      </c>
      <c r="J38" s="43" t="e">
        <f t="shared" si="7"/>
        <v>#REF!</v>
      </c>
      <c r="K38" s="11" t="e">
        <f t="shared" si="0"/>
        <v>#REF!</v>
      </c>
      <c r="L38" s="11" t="e">
        <f t="shared" si="1"/>
        <v>#REF!</v>
      </c>
      <c r="M38" s="43" t="e">
        <f>SUMIFS(#REF!,#REF!,C38)</f>
        <v>#REF!</v>
      </c>
      <c r="N38" s="11" t="e">
        <f t="shared" si="2"/>
        <v>#REF!</v>
      </c>
      <c r="O38" s="43" t="e">
        <f t="shared" si="8"/>
        <v>#REF!</v>
      </c>
      <c r="P38" s="11" t="e">
        <f t="shared" si="3"/>
        <v>#REF!</v>
      </c>
      <c r="Q38" s="11" t="e">
        <f t="shared" si="9"/>
        <v>#REF!</v>
      </c>
      <c r="R38" s="11" t="e">
        <f t="shared" si="4"/>
        <v>#REF!</v>
      </c>
      <c r="S38" s="11" t="e">
        <f>(SUMIFS(#REF!,#REF!,C38)/SUMIFS(#REF!,#REF!,C38))*1000</f>
        <v>#REF!</v>
      </c>
      <c r="T38" s="11" t="e">
        <f t="shared" si="10"/>
        <v>#REF!</v>
      </c>
      <c r="U38" s="11"/>
      <c r="V38" s="11" t="e">
        <f t="shared" si="11"/>
        <v>#REF!</v>
      </c>
      <c r="W38" s="11" t="e">
        <f t="shared" si="12"/>
        <v>#REF!</v>
      </c>
      <c r="X38" s="43" t="e">
        <f t="shared" si="13"/>
        <v>#REF!</v>
      </c>
      <c r="Y38" s="43" t="e">
        <f ca="1">OFFSET(#REF!,MATCH(C38,#REF!,0)+1,0)</f>
        <v>#REF!</v>
      </c>
      <c r="Z38" s="43" t="e">
        <f t="shared" ca="1" si="14"/>
        <v>#REF!</v>
      </c>
      <c r="AA38" s="43" t="e">
        <f t="shared" si="5"/>
        <v>#REF!</v>
      </c>
      <c r="AB38" s="11" t="e">
        <f>SUMIFS(#REF!,#REF!,C38)/(1+1.8%)*(1+1.8%+2.3%)</f>
        <v>#REF!</v>
      </c>
      <c r="AC38" s="11" t="e">
        <f t="shared" si="15"/>
        <v>#REF!</v>
      </c>
      <c r="AD38" s="64"/>
      <c r="AE38" s="11" t="e">
        <f>(SUMIFS(#REF!,#REF!,C38)/(1+1.8%))*(1+1.8%+2.3%)</f>
        <v>#REF!</v>
      </c>
      <c r="AF38" s="11" t="e">
        <f>-SUMIFS(#REF!,#REF!,C38)/1000</f>
        <v>#REF!</v>
      </c>
      <c r="AG38" s="11" t="e">
        <f>SUMIFS(#REF!,#REF!,C38)</f>
        <v>#REF!</v>
      </c>
      <c r="AH38" s="11" t="e">
        <f>SUMIFS(#REF!,#REF!,C38)</f>
        <v>#REF!</v>
      </c>
      <c r="AI38" s="11" t="e">
        <f>SUMIFS(#REF!,#REF!,C38)</f>
        <v>#REF!</v>
      </c>
      <c r="AJ38" s="11" t="e">
        <f>SUMIFS(#REF!,#REF!,C38)</f>
        <v>#REF!</v>
      </c>
      <c r="AK38" s="11"/>
      <c r="AL38" s="11" t="e">
        <f t="shared" si="16"/>
        <v>#REF!</v>
      </c>
      <c r="AN38" s="11" t="e">
        <f t="shared" si="17"/>
        <v>#REF!</v>
      </c>
      <c r="AO38" s="11" t="e">
        <f t="shared" si="18"/>
        <v>#REF!</v>
      </c>
      <c r="AQ38" s="11" t="e">
        <f t="shared" si="19"/>
        <v>#REF!</v>
      </c>
      <c r="AS38" s="43" t="e">
        <f t="shared" si="20"/>
        <v>#REF!</v>
      </c>
      <c r="AT38" s="11" t="e">
        <f t="shared" si="21"/>
        <v>#REF!</v>
      </c>
      <c r="AV38" s="11" t="e">
        <f>'Share of £1bn'!$F$20*1000*$AO38/$AO$57</f>
        <v>#REF!</v>
      </c>
      <c r="AW38" s="11" t="e">
        <f>'Share of £1bn'!$F$27*1000*$AO38/$AO$57</f>
        <v>#REF!</v>
      </c>
      <c r="AX38" s="11" t="e">
        <f>'Share of £1bn'!$F$21*1000*$AO38/$AO$57</f>
        <v>#REF!</v>
      </c>
      <c r="AZ38" s="11" t="e">
        <f>'Share of £1bn'!$F$43*1000*AO38/$AO$57</f>
        <v>#REF!</v>
      </c>
      <c r="BA38" s="11" t="e">
        <f>'Share of £1bn'!$F$50*1000*$AO38/$AO$57</f>
        <v>#REF!</v>
      </c>
      <c r="BB38" s="11" t="e">
        <f>'Share of £1bn'!$F$44*1000*AO38/$AO$57</f>
        <v>#REF!</v>
      </c>
      <c r="BD38" s="11" t="e">
        <f>'Share of £1bn'!$F$67*1000*AO38/$AO$57</f>
        <v>#REF!</v>
      </c>
      <c r="BF38" s="11">
        <f>SUMIFS('20-11 M6 deficits'!$BO:$BO,'20-11 M6 deficits'!$C:$C,$C38)*1000</f>
        <v>0</v>
      </c>
      <c r="BH38" s="11" t="e">
        <f t="shared" si="22"/>
        <v>#REF!</v>
      </c>
      <c r="BI38" s="11" t="e">
        <f t="shared" si="23"/>
        <v>#REF!</v>
      </c>
      <c r="BJ38" s="11" t="e">
        <f t="shared" si="24"/>
        <v>#REF!</v>
      </c>
      <c r="BK38" s="11" t="e">
        <f t="shared" si="25"/>
        <v>#REF!</v>
      </c>
      <c r="BL38" s="11" t="e">
        <f t="shared" si="26"/>
        <v>#REF!</v>
      </c>
      <c r="BN38" s="11" t="e">
        <f t="shared" si="27"/>
        <v>#REF!</v>
      </c>
      <c r="BO38" s="11" t="e">
        <f t="shared" si="28"/>
        <v>#REF!</v>
      </c>
      <c r="BP38" s="11" t="e">
        <f t="shared" si="29"/>
        <v>#REF!</v>
      </c>
      <c r="BQ38" s="11" t="e">
        <f t="shared" si="30"/>
        <v>#REF!</v>
      </c>
      <c r="BR38" s="11" t="e">
        <f t="shared" si="31"/>
        <v>#REF!</v>
      </c>
      <c r="BT38" s="11" t="e">
        <f t="shared" si="32"/>
        <v>#REF!</v>
      </c>
      <c r="BU38" s="11" t="e">
        <f t="shared" si="33"/>
        <v>#REF!</v>
      </c>
      <c r="BV38" s="11" t="e">
        <f t="shared" si="34"/>
        <v>#REF!</v>
      </c>
      <c r="BW38" s="11" t="e">
        <f t="shared" si="35"/>
        <v>#REF!</v>
      </c>
      <c r="BX38" s="11" t="e">
        <f t="shared" si="36"/>
        <v>#REF!</v>
      </c>
      <c r="BZ38" s="11" t="e">
        <f t="shared" si="37"/>
        <v>#REF!</v>
      </c>
      <c r="CA38" s="11" t="e">
        <f t="shared" si="38"/>
        <v>#REF!</v>
      </c>
      <c r="CB38" s="11" t="e">
        <f t="shared" si="39"/>
        <v>#REF!</v>
      </c>
      <c r="CC38" s="11" t="e">
        <f t="shared" si="40"/>
        <v>#REF!</v>
      </c>
      <c r="CD38" s="11" t="e">
        <f t="shared" si="41"/>
        <v>#REF!</v>
      </c>
      <c r="CF38" s="11" t="e">
        <f t="shared" si="42"/>
        <v>#REF!</v>
      </c>
      <c r="CG38" s="11" t="e">
        <f t="shared" si="43"/>
        <v>#REF!</v>
      </c>
      <c r="CH38" s="11" t="e">
        <f t="shared" si="44"/>
        <v>#REF!</v>
      </c>
      <c r="CI38" s="11" t="e">
        <f t="shared" si="45"/>
        <v>#REF!</v>
      </c>
      <c r="CJ38" s="11" t="e">
        <f t="shared" si="46"/>
        <v>#REF!</v>
      </c>
      <c r="CM38" s="209">
        <f t="shared" si="47"/>
        <v>0</v>
      </c>
      <c r="CN38" s="209" t="e">
        <f t="shared" si="48"/>
        <v>#REF!</v>
      </c>
      <c r="CO38" s="209" t="e">
        <f t="shared" si="49"/>
        <v>#REF!</v>
      </c>
      <c r="CP38" s="209" t="e">
        <f t="shared" si="50"/>
        <v>#REF!</v>
      </c>
      <c r="CQ38" s="209" t="e">
        <f t="shared" si="51"/>
        <v>#REF!</v>
      </c>
    </row>
    <row r="39" spans="1:95" x14ac:dyDescent="0.25">
      <c r="A39" s="15" t="s">
        <v>84</v>
      </c>
      <c r="B39" s="16" t="s">
        <v>85</v>
      </c>
      <c r="C39" s="17" t="s">
        <v>96</v>
      </c>
      <c r="D39" s="17" t="s">
        <v>97</v>
      </c>
      <c r="E39" s="18">
        <f>SUMIFS('ICB Core Baseline 2024-25'!Q:Q,'ICB Core Baseline 2024-25'!C:C,C39)</f>
        <v>3226653.8255152423</v>
      </c>
      <c r="F39" s="44" t="e">
        <f>SUMIFS(#REF!,#REF!,C39)</f>
        <v>#REF!</v>
      </c>
      <c r="H39" s="44" t="e">
        <f>SUMIFS(#REF!,#REF!,C39)</f>
        <v>#REF!</v>
      </c>
      <c r="I39" s="44" t="e">
        <f t="shared" si="6"/>
        <v>#REF!</v>
      </c>
      <c r="J39" s="44" t="e">
        <f t="shared" si="7"/>
        <v>#REF!</v>
      </c>
      <c r="K39" s="18" t="e">
        <f t="shared" si="0"/>
        <v>#REF!</v>
      </c>
      <c r="L39" s="18" t="e">
        <f t="shared" si="1"/>
        <v>#REF!</v>
      </c>
      <c r="M39" s="44" t="e">
        <f>SUMIFS(#REF!,#REF!,C39)</f>
        <v>#REF!</v>
      </c>
      <c r="N39" s="18" t="e">
        <f t="shared" si="2"/>
        <v>#REF!</v>
      </c>
      <c r="O39" s="44" t="e">
        <f t="shared" si="8"/>
        <v>#REF!</v>
      </c>
      <c r="P39" s="18" t="e">
        <f t="shared" si="3"/>
        <v>#REF!</v>
      </c>
      <c r="Q39" s="18" t="e">
        <f t="shared" si="9"/>
        <v>#REF!</v>
      </c>
      <c r="R39" s="18" t="e">
        <f t="shared" si="4"/>
        <v>#REF!</v>
      </c>
      <c r="S39" s="18" t="e">
        <f>(SUMIFS(#REF!,#REF!,C39)/SUMIFS(#REF!,#REF!,C39))*1000</f>
        <v>#REF!</v>
      </c>
      <c r="T39" s="18" t="e">
        <f t="shared" si="10"/>
        <v>#REF!</v>
      </c>
      <c r="U39" s="18"/>
      <c r="V39" s="18" t="e">
        <f t="shared" si="11"/>
        <v>#REF!</v>
      </c>
      <c r="W39" s="18" t="e">
        <f t="shared" si="12"/>
        <v>#REF!</v>
      </c>
      <c r="X39" s="44" t="e">
        <f t="shared" si="13"/>
        <v>#REF!</v>
      </c>
      <c r="Y39" s="44" t="e">
        <f ca="1">OFFSET(#REF!,MATCH(C39,#REF!,0)+1,0)</f>
        <v>#REF!</v>
      </c>
      <c r="Z39" s="44" t="e">
        <f t="shared" ca="1" si="14"/>
        <v>#REF!</v>
      </c>
      <c r="AA39" s="44" t="e">
        <f t="shared" si="5"/>
        <v>#REF!</v>
      </c>
      <c r="AB39" s="18" t="e">
        <f>SUMIFS(#REF!,#REF!,C39)/(1+1.8%)*(1+1.8%+2.3%)</f>
        <v>#REF!</v>
      </c>
      <c r="AC39" s="18" t="e">
        <f t="shared" si="15"/>
        <v>#REF!</v>
      </c>
      <c r="AD39" s="65"/>
      <c r="AE39" s="18" t="e">
        <f>(SUMIFS(#REF!,#REF!,C39)/(1+1.8%))*(1+1.8%+2.3%)</f>
        <v>#REF!</v>
      </c>
      <c r="AF39" s="18" t="e">
        <f>-SUMIFS(#REF!,#REF!,C39)/1000</f>
        <v>#REF!</v>
      </c>
      <c r="AG39" s="18" t="e">
        <f>SUMIFS(#REF!,#REF!,C39)</f>
        <v>#REF!</v>
      </c>
      <c r="AH39" s="18" t="e">
        <f>SUMIFS(#REF!,#REF!,C39)</f>
        <v>#REF!</v>
      </c>
      <c r="AI39" s="18" t="e">
        <f>SUMIFS(#REF!,#REF!,C39)</f>
        <v>#REF!</v>
      </c>
      <c r="AJ39" s="18" t="e">
        <f>SUMIFS(#REF!,#REF!,C39)</f>
        <v>#REF!</v>
      </c>
      <c r="AK39" s="18"/>
      <c r="AL39" s="18" t="e">
        <f t="shared" si="16"/>
        <v>#REF!</v>
      </c>
      <c r="AN39" s="18" t="e">
        <f t="shared" si="17"/>
        <v>#REF!</v>
      </c>
      <c r="AO39" s="18" t="e">
        <f t="shared" si="18"/>
        <v>#REF!</v>
      </c>
      <c r="AQ39" s="18" t="e">
        <f t="shared" si="19"/>
        <v>#REF!</v>
      </c>
      <c r="AS39" s="44" t="e">
        <f t="shared" si="20"/>
        <v>#REF!</v>
      </c>
      <c r="AT39" s="18" t="e">
        <f t="shared" si="21"/>
        <v>#REF!</v>
      </c>
      <c r="AV39" s="18" t="e">
        <f>'Share of £1bn'!$F$20*1000*$AO39/$AO$57</f>
        <v>#REF!</v>
      </c>
      <c r="AW39" s="18" t="e">
        <f>'Share of £1bn'!$F$27*1000*$AO39/$AO$57</f>
        <v>#REF!</v>
      </c>
      <c r="AX39" s="18" t="e">
        <f>'Share of £1bn'!$F$21*1000*$AO39/$AO$57</f>
        <v>#REF!</v>
      </c>
      <c r="AZ39" s="18" t="e">
        <f>'Share of £1bn'!$F$43*1000*AO39/$AO$57</f>
        <v>#REF!</v>
      </c>
      <c r="BA39" s="18" t="e">
        <f>'Share of £1bn'!$F$50*1000*$AO39/$AO$57</f>
        <v>#REF!</v>
      </c>
      <c r="BB39" s="18" t="e">
        <f>'Share of £1bn'!$F$44*1000*AO39/$AO$57</f>
        <v>#REF!</v>
      </c>
      <c r="BD39" s="18" t="e">
        <f>'Share of £1bn'!$F$67*1000*AO39/$AO$57</f>
        <v>#REF!</v>
      </c>
      <c r="BF39" s="11">
        <f>SUMIFS('20-11 M6 deficits'!$BO:$BO,'20-11 M6 deficits'!$C:$C,$C39)*1000</f>
        <v>-40000</v>
      </c>
      <c r="BH39" s="18" t="e">
        <f t="shared" si="22"/>
        <v>#REF!</v>
      </c>
      <c r="BI39" s="18" t="e">
        <f t="shared" si="23"/>
        <v>#REF!</v>
      </c>
      <c r="BJ39" s="18" t="e">
        <f t="shared" si="24"/>
        <v>#REF!</v>
      </c>
      <c r="BK39" s="18" t="e">
        <f t="shared" si="25"/>
        <v>#REF!</v>
      </c>
      <c r="BL39" s="18" t="e">
        <f t="shared" si="26"/>
        <v>#REF!</v>
      </c>
      <c r="BN39" s="18" t="e">
        <f t="shared" si="27"/>
        <v>#REF!</v>
      </c>
      <c r="BO39" s="18" t="e">
        <f t="shared" si="28"/>
        <v>#REF!</v>
      </c>
      <c r="BP39" s="18" t="e">
        <f t="shared" si="29"/>
        <v>#REF!</v>
      </c>
      <c r="BQ39" s="18" t="e">
        <f t="shared" si="30"/>
        <v>#REF!</v>
      </c>
      <c r="BR39" s="18" t="e">
        <f t="shared" si="31"/>
        <v>#REF!</v>
      </c>
      <c r="BT39" s="18" t="e">
        <f t="shared" si="32"/>
        <v>#REF!</v>
      </c>
      <c r="BU39" s="18" t="e">
        <f t="shared" si="33"/>
        <v>#REF!</v>
      </c>
      <c r="BV39" s="18" t="e">
        <f t="shared" si="34"/>
        <v>#REF!</v>
      </c>
      <c r="BW39" s="18" t="e">
        <f t="shared" si="35"/>
        <v>#REF!</v>
      </c>
      <c r="BX39" s="18" t="e">
        <f t="shared" si="36"/>
        <v>#REF!</v>
      </c>
      <c r="BZ39" s="18" t="e">
        <f t="shared" si="37"/>
        <v>#REF!</v>
      </c>
      <c r="CA39" s="18" t="e">
        <f t="shared" si="38"/>
        <v>#REF!</v>
      </c>
      <c r="CB39" s="18" t="e">
        <f t="shared" si="39"/>
        <v>#REF!</v>
      </c>
      <c r="CC39" s="18" t="e">
        <f t="shared" si="40"/>
        <v>#REF!</v>
      </c>
      <c r="CD39" s="18" t="e">
        <f t="shared" si="41"/>
        <v>#REF!</v>
      </c>
      <c r="CF39" s="18" t="e">
        <f t="shared" si="42"/>
        <v>#REF!</v>
      </c>
      <c r="CG39" s="18" t="e">
        <f t="shared" si="43"/>
        <v>#REF!</v>
      </c>
      <c r="CH39" s="18" t="e">
        <f t="shared" si="44"/>
        <v>#REF!</v>
      </c>
      <c r="CI39" s="18" t="e">
        <f t="shared" si="45"/>
        <v>#REF!</v>
      </c>
      <c r="CJ39" s="18" t="e">
        <f t="shared" si="46"/>
        <v>#REF!</v>
      </c>
      <c r="CM39" s="209">
        <f t="shared" si="47"/>
        <v>2.5302889193048302E-2</v>
      </c>
      <c r="CN39" s="209" t="e">
        <f t="shared" si="48"/>
        <v>#REF!</v>
      </c>
      <c r="CO39" s="209" t="e">
        <f t="shared" si="49"/>
        <v>#REF!</v>
      </c>
      <c r="CP39" s="209" t="e">
        <f t="shared" si="50"/>
        <v>#REF!</v>
      </c>
      <c r="CQ39" s="209" t="e">
        <f t="shared" si="51"/>
        <v>#REF!</v>
      </c>
    </row>
    <row r="40" spans="1:95" x14ac:dyDescent="0.25">
      <c r="A40" s="10" t="s">
        <v>98</v>
      </c>
      <c r="B40" s="4" t="s">
        <v>99</v>
      </c>
      <c r="C40" s="4" t="s">
        <v>100</v>
      </c>
      <c r="D40" s="4" t="s">
        <v>101</v>
      </c>
      <c r="E40" s="11">
        <f>SUMIFS('ICB Core Baseline 2024-25'!Q:Q,'ICB Core Baseline 2024-25'!C:C,C40)</f>
        <v>1531973.7598892734</v>
      </c>
      <c r="F40" s="43" t="e">
        <f>SUMIFS(#REF!,#REF!,C40)</f>
        <v>#REF!</v>
      </c>
      <c r="H40" s="43" t="e">
        <f>SUMIFS(#REF!,#REF!,C40)</f>
        <v>#REF!</v>
      </c>
      <c r="I40" s="43" t="e">
        <f t="shared" si="6"/>
        <v>#REF!</v>
      </c>
      <c r="J40" s="43" t="e">
        <f t="shared" si="7"/>
        <v>#REF!</v>
      </c>
      <c r="K40" s="11" t="e">
        <f t="shared" si="0"/>
        <v>#REF!</v>
      </c>
      <c r="L40" s="11" t="e">
        <f t="shared" si="1"/>
        <v>#REF!</v>
      </c>
      <c r="M40" s="43" t="e">
        <f>SUMIFS(#REF!,#REF!,C40)</f>
        <v>#REF!</v>
      </c>
      <c r="N40" s="11" t="e">
        <f t="shared" si="2"/>
        <v>#REF!</v>
      </c>
      <c r="O40" s="43" t="e">
        <f t="shared" si="8"/>
        <v>#REF!</v>
      </c>
      <c r="P40" s="11" t="e">
        <f t="shared" si="3"/>
        <v>#REF!</v>
      </c>
      <c r="Q40" s="11" t="e">
        <f t="shared" si="9"/>
        <v>#REF!</v>
      </c>
      <c r="R40" s="11" t="e">
        <f t="shared" si="4"/>
        <v>#REF!</v>
      </c>
      <c r="S40" s="11" t="e">
        <f>(SUMIFS(#REF!,#REF!,C40)/SUMIFS(#REF!,#REF!,C40))*1000</f>
        <v>#REF!</v>
      </c>
      <c r="T40" s="11" t="e">
        <f t="shared" si="10"/>
        <v>#REF!</v>
      </c>
      <c r="U40" s="11"/>
      <c r="V40" s="11" t="e">
        <f t="shared" si="11"/>
        <v>#REF!</v>
      </c>
      <c r="W40" s="11" t="e">
        <f t="shared" si="12"/>
        <v>#REF!</v>
      </c>
      <c r="X40" s="43" t="e">
        <f t="shared" si="13"/>
        <v>#REF!</v>
      </c>
      <c r="Y40" s="43" t="e">
        <f ca="1">OFFSET(#REF!,MATCH(C40,#REF!,0)+1,0)</f>
        <v>#REF!</v>
      </c>
      <c r="Z40" s="43" t="e">
        <f t="shared" ca="1" si="14"/>
        <v>#REF!</v>
      </c>
      <c r="AA40" s="43" t="e">
        <f t="shared" si="5"/>
        <v>#REF!</v>
      </c>
      <c r="AB40" s="11" t="e">
        <f>SUMIFS(#REF!,#REF!,C40)/(1+1.8%)*(1+1.8%+2.3%)</f>
        <v>#REF!</v>
      </c>
      <c r="AC40" s="11" t="e">
        <f t="shared" si="15"/>
        <v>#REF!</v>
      </c>
      <c r="AD40" s="64"/>
      <c r="AE40" s="11" t="e">
        <f>(SUMIFS(#REF!,#REF!,C40)/(1+1.8%))*(1+1.8%+2.3%)</f>
        <v>#REF!</v>
      </c>
      <c r="AF40" s="11" t="e">
        <f>-SUMIFS(#REF!,#REF!,C40)/1000</f>
        <v>#REF!</v>
      </c>
      <c r="AG40" s="11" t="e">
        <f>SUMIFS(#REF!,#REF!,C40)</f>
        <v>#REF!</v>
      </c>
      <c r="AH40" s="11" t="e">
        <f>SUMIFS(#REF!,#REF!,C40)</f>
        <v>#REF!</v>
      </c>
      <c r="AI40" s="11" t="e">
        <f>SUMIFS(#REF!,#REF!,C40)</f>
        <v>#REF!</v>
      </c>
      <c r="AJ40" s="11" t="e">
        <f>SUMIFS(#REF!,#REF!,C40)</f>
        <v>#REF!</v>
      </c>
      <c r="AK40" s="11"/>
      <c r="AL40" s="11" t="e">
        <f t="shared" si="16"/>
        <v>#REF!</v>
      </c>
      <c r="AN40" s="11" t="e">
        <f t="shared" si="17"/>
        <v>#REF!</v>
      </c>
      <c r="AO40" s="11" t="e">
        <f t="shared" si="18"/>
        <v>#REF!</v>
      </c>
      <c r="AQ40" s="11" t="e">
        <f t="shared" si="19"/>
        <v>#REF!</v>
      </c>
      <c r="AS40" s="43" t="e">
        <f t="shared" si="20"/>
        <v>#REF!</v>
      </c>
      <c r="AT40" s="11" t="e">
        <f t="shared" si="21"/>
        <v>#REF!</v>
      </c>
      <c r="AV40" s="11" t="e">
        <f>'Share of £1bn'!$F$20*1000*$AO40/$AO$57</f>
        <v>#REF!</v>
      </c>
      <c r="AW40" s="11" t="e">
        <f>'Share of £1bn'!$F$27*1000*$AO40/$AO$57</f>
        <v>#REF!</v>
      </c>
      <c r="AX40" s="11" t="e">
        <f>'Share of £1bn'!$F$21*1000*$AO40/$AO$57</f>
        <v>#REF!</v>
      </c>
      <c r="AZ40" s="11" t="e">
        <f>'Share of £1bn'!$F$43*1000*AO40/$AO$57</f>
        <v>#REF!</v>
      </c>
      <c r="BA40" s="11" t="e">
        <f>'Share of £1bn'!$F$50*1000*$AO40/$AO$57</f>
        <v>#REF!</v>
      </c>
      <c r="BB40" s="11" t="e">
        <f>'Share of £1bn'!$F$44*1000*AO40/$AO$57</f>
        <v>#REF!</v>
      </c>
      <c r="BD40" s="11" t="e">
        <f>'Share of £1bn'!$F$67*1000*AO40/$AO$57</f>
        <v>#REF!</v>
      </c>
      <c r="BF40" s="11">
        <f>SUMIFS('20-11 M6 deficits'!$BO:$BO,'20-11 M6 deficits'!$C:$C,$C40)*1000</f>
        <v>-10000</v>
      </c>
      <c r="BH40" s="11" t="e">
        <f t="shared" si="22"/>
        <v>#REF!</v>
      </c>
      <c r="BI40" s="11" t="e">
        <f t="shared" si="23"/>
        <v>#REF!</v>
      </c>
      <c r="BJ40" s="11" t="e">
        <f t="shared" si="24"/>
        <v>#REF!</v>
      </c>
      <c r="BK40" s="11" t="e">
        <f t="shared" si="25"/>
        <v>#REF!</v>
      </c>
      <c r="BL40" s="11" t="e">
        <f t="shared" si="26"/>
        <v>#REF!</v>
      </c>
      <c r="BN40" s="11" t="e">
        <f t="shared" si="27"/>
        <v>#REF!</v>
      </c>
      <c r="BO40" s="11" t="e">
        <f t="shared" si="28"/>
        <v>#REF!</v>
      </c>
      <c r="BP40" s="11" t="e">
        <f t="shared" si="29"/>
        <v>#REF!</v>
      </c>
      <c r="BQ40" s="11" t="e">
        <f t="shared" si="30"/>
        <v>#REF!</v>
      </c>
      <c r="BR40" s="11" t="e">
        <f t="shared" si="31"/>
        <v>#REF!</v>
      </c>
      <c r="BT40" s="11" t="e">
        <f t="shared" si="32"/>
        <v>#REF!</v>
      </c>
      <c r="BU40" s="11" t="e">
        <f t="shared" si="33"/>
        <v>#REF!</v>
      </c>
      <c r="BV40" s="11" t="e">
        <f t="shared" si="34"/>
        <v>#REF!</v>
      </c>
      <c r="BW40" s="11" t="e">
        <f t="shared" si="35"/>
        <v>#REF!</v>
      </c>
      <c r="BX40" s="11" t="e">
        <f t="shared" si="36"/>
        <v>#REF!</v>
      </c>
      <c r="BZ40" s="11" t="e">
        <f t="shared" si="37"/>
        <v>#REF!</v>
      </c>
      <c r="CA40" s="11" t="e">
        <f t="shared" si="38"/>
        <v>#REF!</v>
      </c>
      <c r="CB40" s="11" t="e">
        <f t="shared" si="39"/>
        <v>#REF!</v>
      </c>
      <c r="CC40" s="11" t="e">
        <f t="shared" si="40"/>
        <v>#REF!</v>
      </c>
      <c r="CD40" s="11" t="e">
        <f t="shared" si="41"/>
        <v>#REF!</v>
      </c>
      <c r="CF40" s="11" t="e">
        <f t="shared" si="42"/>
        <v>#REF!</v>
      </c>
      <c r="CG40" s="11" t="e">
        <f t="shared" si="43"/>
        <v>#REF!</v>
      </c>
      <c r="CH40" s="11" t="e">
        <f t="shared" si="44"/>
        <v>#REF!</v>
      </c>
      <c r="CI40" s="11" t="e">
        <f t="shared" si="45"/>
        <v>#REF!</v>
      </c>
      <c r="CJ40" s="11" t="e">
        <f t="shared" si="46"/>
        <v>#REF!</v>
      </c>
      <c r="CM40" s="209">
        <f t="shared" si="47"/>
        <v>6.3257222982620754E-3</v>
      </c>
      <c r="CN40" s="209" t="e">
        <f t="shared" si="48"/>
        <v>#REF!</v>
      </c>
      <c r="CO40" s="209" t="e">
        <f t="shared" si="49"/>
        <v>#REF!</v>
      </c>
      <c r="CP40" s="209" t="e">
        <f t="shared" si="50"/>
        <v>#REF!</v>
      </c>
      <c r="CQ40" s="209" t="e">
        <f t="shared" si="51"/>
        <v>#REF!</v>
      </c>
    </row>
    <row r="41" spans="1:95" x14ac:dyDescent="0.25">
      <c r="A41" s="13" t="s">
        <v>98</v>
      </c>
      <c r="B41" s="14" t="s">
        <v>99</v>
      </c>
      <c r="C41" s="4" t="s">
        <v>102</v>
      </c>
      <c r="D41" s="4" t="s">
        <v>103</v>
      </c>
      <c r="E41" s="11">
        <f>SUMIFS('ICB Core Baseline 2024-25'!Q:Q,'ICB Core Baseline 2024-25'!C:C,C41)</f>
        <v>1696336.7513857663</v>
      </c>
      <c r="F41" s="43" t="e">
        <f>SUMIFS(#REF!,#REF!,C41)</f>
        <v>#REF!</v>
      </c>
      <c r="H41" s="43" t="e">
        <f>SUMIFS(#REF!,#REF!,C41)</f>
        <v>#REF!</v>
      </c>
      <c r="I41" s="43" t="e">
        <f t="shared" si="6"/>
        <v>#REF!</v>
      </c>
      <c r="J41" s="43" t="e">
        <f t="shared" si="7"/>
        <v>#REF!</v>
      </c>
      <c r="K41" s="11" t="e">
        <f t="shared" si="0"/>
        <v>#REF!</v>
      </c>
      <c r="L41" s="11" t="e">
        <f t="shared" si="1"/>
        <v>#REF!</v>
      </c>
      <c r="M41" s="43" t="e">
        <f>SUMIFS(#REF!,#REF!,C41)</f>
        <v>#REF!</v>
      </c>
      <c r="N41" s="11" t="e">
        <f t="shared" si="2"/>
        <v>#REF!</v>
      </c>
      <c r="O41" s="43" t="e">
        <f t="shared" si="8"/>
        <v>#REF!</v>
      </c>
      <c r="P41" s="11" t="e">
        <f t="shared" si="3"/>
        <v>#REF!</v>
      </c>
      <c r="Q41" s="11" t="e">
        <f t="shared" si="9"/>
        <v>#REF!</v>
      </c>
      <c r="R41" s="11" t="e">
        <f t="shared" si="4"/>
        <v>#REF!</v>
      </c>
      <c r="S41" s="11" t="e">
        <f>(SUMIFS(#REF!,#REF!,C41)/SUMIFS(#REF!,#REF!,C41))*1000</f>
        <v>#REF!</v>
      </c>
      <c r="T41" s="11" t="e">
        <f t="shared" si="10"/>
        <v>#REF!</v>
      </c>
      <c r="U41" s="11"/>
      <c r="V41" s="11" t="e">
        <f t="shared" si="11"/>
        <v>#REF!</v>
      </c>
      <c r="W41" s="11" t="e">
        <f t="shared" si="12"/>
        <v>#REF!</v>
      </c>
      <c r="X41" s="43" t="e">
        <f t="shared" si="13"/>
        <v>#REF!</v>
      </c>
      <c r="Y41" s="43" t="e">
        <f ca="1">OFFSET(#REF!,MATCH(C41,#REF!,0)+1,0)</f>
        <v>#REF!</v>
      </c>
      <c r="Z41" s="43" t="e">
        <f t="shared" ca="1" si="14"/>
        <v>#REF!</v>
      </c>
      <c r="AA41" s="43" t="e">
        <f t="shared" si="5"/>
        <v>#REF!</v>
      </c>
      <c r="AB41" s="11" t="e">
        <f>SUMIFS(#REF!,#REF!,C41)/(1+1.8%)*(1+1.8%+2.3%)</f>
        <v>#REF!</v>
      </c>
      <c r="AC41" s="11" t="e">
        <f t="shared" si="15"/>
        <v>#REF!</v>
      </c>
      <c r="AD41" s="64"/>
      <c r="AE41" s="11" t="e">
        <f>(SUMIFS(#REF!,#REF!,C41)/(1+1.8%))*(1+1.8%+2.3%)</f>
        <v>#REF!</v>
      </c>
      <c r="AF41" s="11" t="e">
        <f>-SUMIFS(#REF!,#REF!,C41)/1000</f>
        <v>#REF!</v>
      </c>
      <c r="AG41" s="11" t="e">
        <f>SUMIFS(#REF!,#REF!,C41)</f>
        <v>#REF!</v>
      </c>
      <c r="AH41" s="11" t="e">
        <f>SUMIFS(#REF!,#REF!,C41)</f>
        <v>#REF!</v>
      </c>
      <c r="AI41" s="11" t="e">
        <f>SUMIFS(#REF!,#REF!,C41)</f>
        <v>#REF!</v>
      </c>
      <c r="AJ41" s="11" t="e">
        <f>SUMIFS(#REF!,#REF!,C41)</f>
        <v>#REF!</v>
      </c>
      <c r="AK41" s="11"/>
      <c r="AL41" s="11" t="e">
        <f t="shared" si="16"/>
        <v>#REF!</v>
      </c>
      <c r="AN41" s="11" t="e">
        <f t="shared" si="17"/>
        <v>#REF!</v>
      </c>
      <c r="AO41" s="11" t="e">
        <f t="shared" si="18"/>
        <v>#REF!</v>
      </c>
      <c r="AQ41" s="11" t="e">
        <f t="shared" si="19"/>
        <v>#REF!</v>
      </c>
      <c r="AS41" s="43" t="e">
        <f t="shared" si="20"/>
        <v>#REF!</v>
      </c>
      <c r="AT41" s="11" t="e">
        <f t="shared" si="21"/>
        <v>#REF!</v>
      </c>
      <c r="AV41" s="11" t="e">
        <f>'Share of £1bn'!$F$20*1000*$AO41/$AO$57</f>
        <v>#REF!</v>
      </c>
      <c r="AW41" s="11" t="e">
        <f>'Share of £1bn'!$F$27*1000*$AO41/$AO$57</f>
        <v>#REF!</v>
      </c>
      <c r="AX41" s="11" t="e">
        <f>'Share of £1bn'!$F$21*1000*$AO41/$AO$57</f>
        <v>#REF!</v>
      </c>
      <c r="AZ41" s="11" t="e">
        <f>'Share of £1bn'!$F$43*1000*AO41/$AO$57</f>
        <v>#REF!</v>
      </c>
      <c r="BA41" s="11" t="e">
        <f>'Share of £1bn'!$F$50*1000*$AO41/$AO$57</f>
        <v>#REF!</v>
      </c>
      <c r="BB41" s="11" t="e">
        <f>'Share of £1bn'!$F$44*1000*AO41/$AO$57</f>
        <v>#REF!</v>
      </c>
      <c r="BD41" s="11" t="e">
        <f>'Share of £1bn'!$F$67*1000*AO41/$AO$57</f>
        <v>#REF!</v>
      </c>
      <c r="BF41" s="11">
        <f>SUMIFS('20-11 M6 deficits'!$BO:$BO,'20-11 M6 deficits'!$C:$C,$C41)*1000</f>
        <v>0</v>
      </c>
      <c r="BH41" s="11" t="e">
        <f t="shared" si="22"/>
        <v>#REF!</v>
      </c>
      <c r="BI41" s="11" t="e">
        <f t="shared" si="23"/>
        <v>#REF!</v>
      </c>
      <c r="BJ41" s="11" t="e">
        <f t="shared" si="24"/>
        <v>#REF!</v>
      </c>
      <c r="BK41" s="11" t="e">
        <f t="shared" si="25"/>
        <v>#REF!</v>
      </c>
      <c r="BL41" s="11" t="e">
        <f t="shared" si="26"/>
        <v>#REF!</v>
      </c>
      <c r="BN41" s="11" t="e">
        <f t="shared" si="27"/>
        <v>#REF!</v>
      </c>
      <c r="BO41" s="11" t="e">
        <f t="shared" si="28"/>
        <v>#REF!</v>
      </c>
      <c r="BP41" s="11" t="e">
        <f t="shared" si="29"/>
        <v>#REF!</v>
      </c>
      <c r="BQ41" s="11" t="e">
        <f t="shared" si="30"/>
        <v>#REF!</v>
      </c>
      <c r="BR41" s="11" t="e">
        <f t="shared" si="31"/>
        <v>#REF!</v>
      </c>
      <c r="BT41" s="11" t="e">
        <f t="shared" si="32"/>
        <v>#REF!</v>
      </c>
      <c r="BU41" s="11" t="e">
        <f t="shared" si="33"/>
        <v>#REF!</v>
      </c>
      <c r="BV41" s="11" t="e">
        <f t="shared" si="34"/>
        <v>#REF!</v>
      </c>
      <c r="BW41" s="11" t="e">
        <f t="shared" si="35"/>
        <v>#REF!</v>
      </c>
      <c r="BX41" s="11" t="e">
        <f t="shared" si="36"/>
        <v>#REF!</v>
      </c>
      <c r="BZ41" s="11" t="e">
        <f t="shared" si="37"/>
        <v>#REF!</v>
      </c>
      <c r="CA41" s="11" t="e">
        <f t="shared" si="38"/>
        <v>#REF!</v>
      </c>
      <c r="CB41" s="11" t="e">
        <f t="shared" si="39"/>
        <v>#REF!</v>
      </c>
      <c r="CC41" s="11" t="e">
        <f t="shared" si="40"/>
        <v>#REF!</v>
      </c>
      <c r="CD41" s="11" t="e">
        <f t="shared" si="41"/>
        <v>#REF!</v>
      </c>
      <c r="CF41" s="11" t="e">
        <f t="shared" si="42"/>
        <v>#REF!</v>
      </c>
      <c r="CG41" s="11" t="e">
        <f t="shared" si="43"/>
        <v>#REF!</v>
      </c>
      <c r="CH41" s="11" t="e">
        <f t="shared" si="44"/>
        <v>#REF!</v>
      </c>
      <c r="CI41" s="11" t="e">
        <f t="shared" si="45"/>
        <v>#REF!</v>
      </c>
      <c r="CJ41" s="11" t="e">
        <f t="shared" si="46"/>
        <v>#REF!</v>
      </c>
      <c r="CM41" s="209">
        <f t="shared" si="47"/>
        <v>0</v>
      </c>
      <c r="CN41" s="209" t="e">
        <f t="shared" si="48"/>
        <v>#REF!</v>
      </c>
      <c r="CO41" s="209" t="e">
        <f t="shared" si="49"/>
        <v>#REF!</v>
      </c>
      <c r="CP41" s="209" t="e">
        <f t="shared" si="50"/>
        <v>#REF!</v>
      </c>
      <c r="CQ41" s="209" t="e">
        <f t="shared" si="51"/>
        <v>#REF!</v>
      </c>
    </row>
    <row r="42" spans="1:95" x14ac:dyDescent="0.25">
      <c r="A42" s="13" t="s">
        <v>98</v>
      </c>
      <c r="B42" s="14" t="s">
        <v>99</v>
      </c>
      <c r="C42" s="4" t="s">
        <v>104</v>
      </c>
      <c r="D42" s="4" t="s">
        <v>105</v>
      </c>
      <c r="E42" s="11">
        <f>SUMIFS('ICB Core Baseline 2024-25'!Q:Q,'ICB Core Baseline 2024-25'!C:C,C42)</f>
        <v>1099576.1345820946</v>
      </c>
      <c r="F42" s="43" t="e">
        <f>SUMIFS(#REF!,#REF!,C42)</f>
        <v>#REF!</v>
      </c>
      <c r="H42" s="43" t="e">
        <f>SUMIFS(#REF!,#REF!,C42)</f>
        <v>#REF!</v>
      </c>
      <c r="I42" s="43" t="e">
        <f t="shared" si="6"/>
        <v>#REF!</v>
      </c>
      <c r="J42" s="43" t="e">
        <f t="shared" si="7"/>
        <v>#REF!</v>
      </c>
      <c r="K42" s="11" t="e">
        <f t="shared" si="0"/>
        <v>#REF!</v>
      </c>
      <c r="L42" s="11" t="e">
        <f t="shared" si="1"/>
        <v>#REF!</v>
      </c>
      <c r="M42" s="43" t="e">
        <f>SUMIFS(#REF!,#REF!,C42)</f>
        <v>#REF!</v>
      </c>
      <c r="N42" s="11" t="e">
        <f t="shared" si="2"/>
        <v>#REF!</v>
      </c>
      <c r="O42" s="43" t="e">
        <f t="shared" si="8"/>
        <v>#REF!</v>
      </c>
      <c r="P42" s="11" t="e">
        <f t="shared" si="3"/>
        <v>#REF!</v>
      </c>
      <c r="Q42" s="11" t="e">
        <f t="shared" si="9"/>
        <v>#REF!</v>
      </c>
      <c r="R42" s="11" t="e">
        <f t="shared" si="4"/>
        <v>#REF!</v>
      </c>
      <c r="S42" s="11" t="e">
        <f>(SUMIFS(#REF!,#REF!,C42)/SUMIFS(#REF!,#REF!,C42))*1000</f>
        <v>#REF!</v>
      </c>
      <c r="T42" s="11" t="e">
        <f t="shared" si="10"/>
        <v>#REF!</v>
      </c>
      <c r="U42" s="11"/>
      <c r="V42" s="11" t="e">
        <f t="shared" si="11"/>
        <v>#REF!</v>
      </c>
      <c r="W42" s="11" t="e">
        <f t="shared" si="12"/>
        <v>#REF!</v>
      </c>
      <c r="X42" s="43" t="e">
        <f t="shared" si="13"/>
        <v>#REF!</v>
      </c>
      <c r="Y42" s="43" t="e">
        <f ca="1">OFFSET(#REF!,MATCH(C42,#REF!,0)+1,0)</f>
        <v>#REF!</v>
      </c>
      <c r="Z42" s="43" t="e">
        <f t="shared" ca="1" si="14"/>
        <v>#REF!</v>
      </c>
      <c r="AA42" s="43" t="e">
        <f t="shared" si="5"/>
        <v>#REF!</v>
      </c>
      <c r="AB42" s="11" t="e">
        <f>SUMIFS(#REF!,#REF!,C42)/(1+1.8%)*(1+1.8%+2.3%)</f>
        <v>#REF!</v>
      </c>
      <c r="AC42" s="11" t="e">
        <f t="shared" si="15"/>
        <v>#REF!</v>
      </c>
      <c r="AD42" s="64"/>
      <c r="AE42" s="11" t="e">
        <f>(SUMIFS(#REF!,#REF!,C42)/(1+1.8%))*(1+1.8%+2.3%)</f>
        <v>#REF!</v>
      </c>
      <c r="AF42" s="11" t="e">
        <f>-SUMIFS(#REF!,#REF!,C42)/1000</f>
        <v>#REF!</v>
      </c>
      <c r="AG42" s="11" t="e">
        <f>SUMIFS(#REF!,#REF!,C42)</f>
        <v>#REF!</v>
      </c>
      <c r="AH42" s="11" t="e">
        <f>SUMIFS(#REF!,#REF!,C42)</f>
        <v>#REF!</v>
      </c>
      <c r="AI42" s="11" t="e">
        <f>SUMIFS(#REF!,#REF!,C42)</f>
        <v>#REF!</v>
      </c>
      <c r="AJ42" s="11" t="e">
        <f>SUMIFS(#REF!,#REF!,C42)</f>
        <v>#REF!</v>
      </c>
      <c r="AK42" s="11"/>
      <c r="AL42" s="11" t="e">
        <f t="shared" si="16"/>
        <v>#REF!</v>
      </c>
      <c r="AN42" s="11" t="e">
        <f t="shared" si="17"/>
        <v>#REF!</v>
      </c>
      <c r="AO42" s="11" t="e">
        <f t="shared" si="18"/>
        <v>#REF!</v>
      </c>
      <c r="AQ42" s="11" t="e">
        <f t="shared" si="19"/>
        <v>#REF!</v>
      </c>
      <c r="AS42" s="43" t="e">
        <f t="shared" si="20"/>
        <v>#REF!</v>
      </c>
      <c r="AT42" s="11" t="e">
        <f t="shared" si="21"/>
        <v>#REF!</v>
      </c>
      <c r="AV42" s="11" t="e">
        <f>'Share of £1bn'!$F$20*1000*$AO42/$AO$57</f>
        <v>#REF!</v>
      </c>
      <c r="AW42" s="11" t="e">
        <f>'Share of £1bn'!$F$27*1000*$AO42/$AO$57</f>
        <v>#REF!</v>
      </c>
      <c r="AX42" s="11" t="e">
        <f>'Share of £1bn'!$F$21*1000*$AO42/$AO$57</f>
        <v>#REF!</v>
      </c>
      <c r="AZ42" s="11" t="e">
        <f>'Share of £1bn'!$F$43*1000*AO42/$AO$57</f>
        <v>#REF!</v>
      </c>
      <c r="BA42" s="11" t="e">
        <f>'Share of £1bn'!$F$50*1000*$AO42/$AO$57</f>
        <v>#REF!</v>
      </c>
      <c r="BB42" s="11" t="e">
        <f>'Share of £1bn'!$F$44*1000*AO42/$AO$57</f>
        <v>#REF!</v>
      </c>
      <c r="BD42" s="11" t="e">
        <f>'Share of £1bn'!$F$67*1000*AO42/$AO$57</f>
        <v>#REF!</v>
      </c>
      <c r="BF42" s="11">
        <f>SUMIFS('20-11 M6 deficits'!$BO:$BO,'20-11 M6 deficits'!$C:$C,$C42)*1000</f>
        <v>0</v>
      </c>
      <c r="BH42" s="11" t="e">
        <f t="shared" si="22"/>
        <v>#REF!</v>
      </c>
      <c r="BI42" s="11" t="e">
        <f t="shared" si="23"/>
        <v>#REF!</v>
      </c>
      <c r="BJ42" s="11" t="e">
        <f t="shared" si="24"/>
        <v>#REF!</v>
      </c>
      <c r="BK42" s="11" t="e">
        <f t="shared" si="25"/>
        <v>#REF!</v>
      </c>
      <c r="BL42" s="11" t="e">
        <f t="shared" si="26"/>
        <v>#REF!</v>
      </c>
      <c r="BN42" s="11" t="e">
        <f t="shared" si="27"/>
        <v>#REF!</v>
      </c>
      <c r="BO42" s="11" t="e">
        <f t="shared" si="28"/>
        <v>#REF!</v>
      </c>
      <c r="BP42" s="11" t="e">
        <f t="shared" si="29"/>
        <v>#REF!</v>
      </c>
      <c r="BQ42" s="11" t="e">
        <f t="shared" si="30"/>
        <v>#REF!</v>
      </c>
      <c r="BR42" s="11" t="e">
        <f t="shared" si="31"/>
        <v>#REF!</v>
      </c>
      <c r="BT42" s="11" t="e">
        <f t="shared" si="32"/>
        <v>#REF!</v>
      </c>
      <c r="BU42" s="11" t="e">
        <f t="shared" si="33"/>
        <v>#REF!</v>
      </c>
      <c r="BV42" s="11" t="e">
        <f t="shared" si="34"/>
        <v>#REF!</v>
      </c>
      <c r="BW42" s="11" t="e">
        <f t="shared" si="35"/>
        <v>#REF!</v>
      </c>
      <c r="BX42" s="11" t="e">
        <f t="shared" si="36"/>
        <v>#REF!</v>
      </c>
      <c r="BZ42" s="11" t="e">
        <f t="shared" si="37"/>
        <v>#REF!</v>
      </c>
      <c r="CA42" s="11" t="e">
        <f t="shared" si="38"/>
        <v>#REF!</v>
      </c>
      <c r="CB42" s="11" t="e">
        <f t="shared" si="39"/>
        <v>#REF!</v>
      </c>
      <c r="CC42" s="11" t="e">
        <f t="shared" si="40"/>
        <v>#REF!</v>
      </c>
      <c r="CD42" s="11" t="e">
        <f t="shared" si="41"/>
        <v>#REF!</v>
      </c>
      <c r="CF42" s="11" t="e">
        <f t="shared" si="42"/>
        <v>#REF!</v>
      </c>
      <c r="CG42" s="11" t="e">
        <f t="shared" si="43"/>
        <v>#REF!</v>
      </c>
      <c r="CH42" s="11" t="e">
        <f t="shared" si="44"/>
        <v>#REF!</v>
      </c>
      <c r="CI42" s="11" t="e">
        <f t="shared" si="45"/>
        <v>#REF!</v>
      </c>
      <c r="CJ42" s="11" t="e">
        <f t="shared" si="46"/>
        <v>#REF!</v>
      </c>
      <c r="CM42" s="209">
        <f t="shared" si="47"/>
        <v>0</v>
      </c>
      <c r="CN42" s="209" t="e">
        <f t="shared" si="48"/>
        <v>#REF!</v>
      </c>
      <c r="CO42" s="209" t="e">
        <f t="shared" si="49"/>
        <v>#REF!</v>
      </c>
      <c r="CP42" s="209" t="e">
        <f t="shared" si="50"/>
        <v>#REF!</v>
      </c>
      <c r="CQ42" s="209" t="e">
        <f t="shared" si="51"/>
        <v>#REF!</v>
      </c>
    </row>
    <row r="43" spans="1:95" x14ac:dyDescent="0.25">
      <c r="A43" s="13" t="s">
        <v>98</v>
      </c>
      <c r="B43" s="14" t="s">
        <v>99</v>
      </c>
      <c r="C43" s="4" t="s">
        <v>106</v>
      </c>
      <c r="D43" s="4" t="s">
        <v>107</v>
      </c>
      <c r="E43" s="11">
        <f>SUMIFS('ICB Core Baseline 2024-25'!Q:Q,'ICB Core Baseline 2024-25'!C:C,C43)</f>
        <v>2261976.4170612651</v>
      </c>
      <c r="F43" s="43" t="e">
        <f>SUMIFS(#REF!,#REF!,C43)</f>
        <v>#REF!</v>
      </c>
      <c r="H43" s="43" t="e">
        <f>SUMIFS(#REF!,#REF!,C43)</f>
        <v>#REF!</v>
      </c>
      <c r="I43" s="43" t="e">
        <f t="shared" si="6"/>
        <v>#REF!</v>
      </c>
      <c r="J43" s="43" t="e">
        <f t="shared" si="7"/>
        <v>#REF!</v>
      </c>
      <c r="K43" s="11" t="e">
        <f t="shared" si="0"/>
        <v>#REF!</v>
      </c>
      <c r="L43" s="11" t="e">
        <f t="shared" si="1"/>
        <v>#REF!</v>
      </c>
      <c r="M43" s="43" t="e">
        <f>SUMIFS(#REF!,#REF!,C43)</f>
        <v>#REF!</v>
      </c>
      <c r="N43" s="11" t="e">
        <f t="shared" si="2"/>
        <v>#REF!</v>
      </c>
      <c r="O43" s="43" t="e">
        <f t="shared" si="8"/>
        <v>#REF!</v>
      </c>
      <c r="P43" s="11" t="e">
        <f t="shared" si="3"/>
        <v>#REF!</v>
      </c>
      <c r="Q43" s="11" t="e">
        <f t="shared" si="9"/>
        <v>#REF!</v>
      </c>
      <c r="R43" s="11" t="e">
        <f t="shared" si="4"/>
        <v>#REF!</v>
      </c>
      <c r="S43" s="11" t="e">
        <f>(SUMIFS(#REF!,#REF!,C43)/SUMIFS(#REF!,#REF!,C43))*1000</f>
        <v>#REF!</v>
      </c>
      <c r="T43" s="11" t="e">
        <f t="shared" si="10"/>
        <v>#REF!</v>
      </c>
      <c r="U43" s="11"/>
      <c r="V43" s="11" t="e">
        <f t="shared" si="11"/>
        <v>#REF!</v>
      </c>
      <c r="W43" s="11" t="e">
        <f t="shared" si="12"/>
        <v>#REF!</v>
      </c>
      <c r="X43" s="43" t="e">
        <f t="shared" si="13"/>
        <v>#REF!</v>
      </c>
      <c r="Y43" s="43" t="e">
        <f ca="1">OFFSET(#REF!,MATCH(C43,#REF!,0)+1,0)</f>
        <v>#REF!</v>
      </c>
      <c r="Z43" s="43" t="e">
        <f t="shared" ca="1" si="14"/>
        <v>#REF!</v>
      </c>
      <c r="AA43" s="43" t="e">
        <f t="shared" si="5"/>
        <v>#REF!</v>
      </c>
      <c r="AB43" s="11" t="e">
        <f>SUMIFS(#REF!,#REF!,C43)/(1+1.8%)*(1+1.8%+2.3%)</f>
        <v>#REF!</v>
      </c>
      <c r="AC43" s="11" t="e">
        <f t="shared" si="15"/>
        <v>#REF!</v>
      </c>
      <c r="AD43" s="64"/>
      <c r="AE43" s="11" t="e">
        <f>(SUMIFS(#REF!,#REF!,C43)/(1+1.8%))*(1+1.8%+2.3%)</f>
        <v>#REF!</v>
      </c>
      <c r="AF43" s="11" t="e">
        <f>-SUMIFS(#REF!,#REF!,C43)/1000</f>
        <v>#REF!</v>
      </c>
      <c r="AG43" s="11" t="e">
        <f>SUMIFS(#REF!,#REF!,C43)</f>
        <v>#REF!</v>
      </c>
      <c r="AH43" s="11" t="e">
        <f>SUMIFS(#REF!,#REF!,C43)</f>
        <v>#REF!</v>
      </c>
      <c r="AI43" s="11" t="e">
        <f>SUMIFS(#REF!,#REF!,C43)</f>
        <v>#REF!</v>
      </c>
      <c r="AJ43" s="11" t="e">
        <f>SUMIFS(#REF!,#REF!,C43)</f>
        <v>#REF!</v>
      </c>
      <c r="AK43" s="11"/>
      <c r="AL43" s="11" t="e">
        <f t="shared" si="16"/>
        <v>#REF!</v>
      </c>
      <c r="AN43" s="11" t="e">
        <f t="shared" si="17"/>
        <v>#REF!</v>
      </c>
      <c r="AO43" s="11" t="e">
        <f t="shared" si="18"/>
        <v>#REF!</v>
      </c>
      <c r="AQ43" s="11" t="e">
        <f t="shared" si="19"/>
        <v>#REF!</v>
      </c>
      <c r="AS43" s="43" t="e">
        <f t="shared" si="20"/>
        <v>#REF!</v>
      </c>
      <c r="AT43" s="11" t="e">
        <f t="shared" si="21"/>
        <v>#REF!</v>
      </c>
      <c r="AV43" s="11" t="e">
        <f>'Share of £1bn'!$F$20*1000*$AO43/$AO$57</f>
        <v>#REF!</v>
      </c>
      <c r="AW43" s="11" t="e">
        <f>'Share of £1bn'!$F$27*1000*$AO43/$AO$57</f>
        <v>#REF!</v>
      </c>
      <c r="AX43" s="11" t="e">
        <f>'Share of £1bn'!$F$21*1000*$AO43/$AO$57</f>
        <v>#REF!</v>
      </c>
      <c r="AZ43" s="11" t="e">
        <f>'Share of £1bn'!$F$43*1000*AO43/$AO$57</f>
        <v>#REF!</v>
      </c>
      <c r="BA43" s="11" t="e">
        <f>'Share of £1bn'!$F$50*1000*$AO43/$AO$57</f>
        <v>#REF!</v>
      </c>
      <c r="BB43" s="11" t="e">
        <f>'Share of £1bn'!$F$44*1000*AO43/$AO$57</f>
        <v>#REF!</v>
      </c>
      <c r="BD43" s="11" t="e">
        <f>'Share of £1bn'!$F$67*1000*AO43/$AO$57</f>
        <v>#REF!</v>
      </c>
      <c r="BF43" s="11">
        <f>SUMIFS('20-11 M6 deficits'!$BO:$BO,'20-11 M6 deficits'!$C:$C,$C43)*1000</f>
        <v>-70000</v>
      </c>
      <c r="BH43" s="11" t="e">
        <f t="shared" si="22"/>
        <v>#REF!</v>
      </c>
      <c r="BI43" s="11" t="e">
        <f t="shared" si="23"/>
        <v>#REF!</v>
      </c>
      <c r="BJ43" s="11" t="e">
        <f t="shared" si="24"/>
        <v>#REF!</v>
      </c>
      <c r="BK43" s="11" t="e">
        <f t="shared" si="25"/>
        <v>#REF!</v>
      </c>
      <c r="BL43" s="11" t="e">
        <f t="shared" si="26"/>
        <v>#REF!</v>
      </c>
      <c r="BN43" s="11" t="e">
        <f t="shared" si="27"/>
        <v>#REF!</v>
      </c>
      <c r="BO43" s="11" t="e">
        <f t="shared" si="28"/>
        <v>#REF!</v>
      </c>
      <c r="BP43" s="11" t="e">
        <f t="shared" si="29"/>
        <v>#REF!</v>
      </c>
      <c r="BQ43" s="11" t="e">
        <f t="shared" si="30"/>
        <v>#REF!</v>
      </c>
      <c r="BR43" s="11" t="e">
        <f t="shared" si="31"/>
        <v>#REF!</v>
      </c>
      <c r="BT43" s="11" t="e">
        <f t="shared" si="32"/>
        <v>#REF!</v>
      </c>
      <c r="BU43" s="11" t="e">
        <f t="shared" si="33"/>
        <v>#REF!</v>
      </c>
      <c r="BV43" s="11" t="e">
        <f t="shared" si="34"/>
        <v>#REF!</v>
      </c>
      <c r="BW43" s="11" t="e">
        <f t="shared" si="35"/>
        <v>#REF!</v>
      </c>
      <c r="BX43" s="11" t="e">
        <f t="shared" si="36"/>
        <v>#REF!</v>
      </c>
      <c r="BZ43" s="11" t="e">
        <f t="shared" si="37"/>
        <v>#REF!</v>
      </c>
      <c r="CA43" s="11" t="e">
        <f t="shared" si="38"/>
        <v>#REF!</v>
      </c>
      <c r="CB43" s="11" t="e">
        <f t="shared" si="39"/>
        <v>#REF!</v>
      </c>
      <c r="CC43" s="11" t="e">
        <f t="shared" si="40"/>
        <v>#REF!</v>
      </c>
      <c r="CD43" s="11" t="e">
        <f t="shared" si="41"/>
        <v>#REF!</v>
      </c>
      <c r="CF43" s="11" t="e">
        <f t="shared" si="42"/>
        <v>#REF!</v>
      </c>
      <c r="CG43" s="11" t="e">
        <f t="shared" si="43"/>
        <v>#REF!</v>
      </c>
      <c r="CH43" s="11" t="e">
        <f t="shared" si="44"/>
        <v>#REF!</v>
      </c>
      <c r="CI43" s="11" t="e">
        <f t="shared" si="45"/>
        <v>#REF!</v>
      </c>
      <c r="CJ43" s="11" t="e">
        <f t="shared" si="46"/>
        <v>#REF!</v>
      </c>
      <c r="CM43" s="209">
        <f t="shared" si="47"/>
        <v>4.4280056087834523E-2</v>
      </c>
      <c r="CN43" s="209" t="e">
        <f t="shared" si="48"/>
        <v>#REF!</v>
      </c>
      <c r="CO43" s="209" t="e">
        <f t="shared" si="49"/>
        <v>#REF!</v>
      </c>
      <c r="CP43" s="209" t="e">
        <f t="shared" si="50"/>
        <v>#REF!</v>
      </c>
      <c r="CQ43" s="209" t="e">
        <f t="shared" si="51"/>
        <v>#REF!</v>
      </c>
    </row>
    <row r="44" spans="1:95" x14ac:dyDescent="0.25">
      <c r="A44" s="13" t="s">
        <v>98</v>
      </c>
      <c r="B44" s="14" t="s">
        <v>99</v>
      </c>
      <c r="C44" s="4" t="s">
        <v>108</v>
      </c>
      <c r="D44" s="4" t="s">
        <v>109</v>
      </c>
      <c r="E44" s="11">
        <f>SUMIFS('ICB Core Baseline 2024-25'!Q:Q,'ICB Core Baseline 2024-25'!C:C,C44)</f>
        <v>1451965.4129123772</v>
      </c>
      <c r="F44" s="43" t="e">
        <f>SUMIFS(#REF!,#REF!,C44)</f>
        <v>#REF!</v>
      </c>
      <c r="H44" s="43" t="e">
        <f>SUMIFS(#REF!,#REF!,C44)</f>
        <v>#REF!</v>
      </c>
      <c r="I44" s="43" t="e">
        <f t="shared" si="6"/>
        <v>#REF!</v>
      </c>
      <c r="J44" s="43" t="e">
        <f t="shared" si="7"/>
        <v>#REF!</v>
      </c>
      <c r="K44" s="11" t="e">
        <f t="shared" si="0"/>
        <v>#REF!</v>
      </c>
      <c r="L44" s="11" t="e">
        <f t="shared" si="1"/>
        <v>#REF!</v>
      </c>
      <c r="M44" s="43" t="e">
        <f>SUMIFS(#REF!,#REF!,C44)</f>
        <v>#REF!</v>
      </c>
      <c r="N44" s="11" t="e">
        <f t="shared" si="2"/>
        <v>#REF!</v>
      </c>
      <c r="O44" s="43" t="e">
        <f t="shared" si="8"/>
        <v>#REF!</v>
      </c>
      <c r="P44" s="11" t="e">
        <f t="shared" si="3"/>
        <v>#REF!</v>
      </c>
      <c r="Q44" s="11" t="e">
        <f t="shared" si="9"/>
        <v>#REF!</v>
      </c>
      <c r="R44" s="11" t="e">
        <f t="shared" si="4"/>
        <v>#REF!</v>
      </c>
      <c r="S44" s="11" t="e">
        <f>(SUMIFS(#REF!,#REF!,C44)/SUMIFS(#REF!,#REF!,C44))*1000</f>
        <v>#REF!</v>
      </c>
      <c r="T44" s="11" t="e">
        <f t="shared" si="10"/>
        <v>#REF!</v>
      </c>
      <c r="U44" s="11"/>
      <c r="V44" s="11" t="e">
        <f t="shared" si="11"/>
        <v>#REF!</v>
      </c>
      <c r="W44" s="11" t="e">
        <f t="shared" si="12"/>
        <v>#REF!</v>
      </c>
      <c r="X44" s="43" t="e">
        <f t="shared" si="13"/>
        <v>#REF!</v>
      </c>
      <c r="Y44" s="43" t="e">
        <f ca="1">OFFSET(#REF!,MATCH(C44,#REF!,0)+1,0)</f>
        <v>#REF!</v>
      </c>
      <c r="Z44" s="43" t="e">
        <f t="shared" ca="1" si="14"/>
        <v>#REF!</v>
      </c>
      <c r="AA44" s="43" t="e">
        <f t="shared" si="5"/>
        <v>#REF!</v>
      </c>
      <c r="AB44" s="11" t="e">
        <f>SUMIFS(#REF!,#REF!,C44)/(1+1.8%)*(1+1.8%+2.3%)</f>
        <v>#REF!</v>
      </c>
      <c r="AC44" s="11" t="e">
        <f t="shared" si="15"/>
        <v>#REF!</v>
      </c>
      <c r="AD44" s="64"/>
      <c r="AE44" s="11" t="e">
        <f>(SUMIFS(#REF!,#REF!,C44)/(1+1.8%))*(1+1.8%+2.3%)</f>
        <v>#REF!</v>
      </c>
      <c r="AF44" s="11" t="e">
        <f>-SUMIFS(#REF!,#REF!,C44)/1000</f>
        <v>#REF!</v>
      </c>
      <c r="AG44" s="11" t="e">
        <f>SUMIFS(#REF!,#REF!,C44)</f>
        <v>#REF!</v>
      </c>
      <c r="AH44" s="11" t="e">
        <f>SUMIFS(#REF!,#REF!,C44)</f>
        <v>#REF!</v>
      </c>
      <c r="AI44" s="11" t="e">
        <f>SUMIFS(#REF!,#REF!,C44)</f>
        <v>#REF!</v>
      </c>
      <c r="AJ44" s="11" t="e">
        <f>SUMIFS(#REF!,#REF!,C44)</f>
        <v>#REF!</v>
      </c>
      <c r="AK44" s="11"/>
      <c r="AL44" s="11" t="e">
        <f t="shared" si="16"/>
        <v>#REF!</v>
      </c>
      <c r="AN44" s="11" t="e">
        <f t="shared" si="17"/>
        <v>#REF!</v>
      </c>
      <c r="AO44" s="11" t="e">
        <f t="shared" si="18"/>
        <v>#REF!</v>
      </c>
      <c r="AQ44" s="11" t="e">
        <f t="shared" si="19"/>
        <v>#REF!</v>
      </c>
      <c r="AS44" s="43" t="e">
        <f t="shared" si="20"/>
        <v>#REF!</v>
      </c>
      <c r="AT44" s="11" t="e">
        <f t="shared" si="21"/>
        <v>#REF!</v>
      </c>
      <c r="AV44" s="11" t="e">
        <f>'Share of £1bn'!$F$20*1000*$AO44/$AO$57</f>
        <v>#REF!</v>
      </c>
      <c r="AW44" s="11" t="e">
        <f>'Share of £1bn'!$F$27*1000*$AO44/$AO$57</f>
        <v>#REF!</v>
      </c>
      <c r="AX44" s="11" t="e">
        <f>'Share of £1bn'!$F$21*1000*$AO44/$AO$57</f>
        <v>#REF!</v>
      </c>
      <c r="AZ44" s="11" t="e">
        <f>'Share of £1bn'!$F$43*1000*AO44/$AO$57</f>
        <v>#REF!</v>
      </c>
      <c r="BA44" s="11" t="e">
        <f>'Share of £1bn'!$F$50*1000*$AO44/$AO$57</f>
        <v>#REF!</v>
      </c>
      <c r="BB44" s="11" t="e">
        <f>'Share of £1bn'!$F$44*1000*AO44/$AO$57</f>
        <v>#REF!</v>
      </c>
      <c r="BD44" s="11" t="e">
        <f>'Share of £1bn'!$F$67*1000*AO44/$AO$57</f>
        <v>#REF!</v>
      </c>
      <c r="BF44" s="11">
        <f>SUMIFS('20-11 M6 deficits'!$BO:$BO,'20-11 M6 deficits'!$C:$C,$C44)*1000</f>
        <v>-20000</v>
      </c>
      <c r="BH44" s="11" t="e">
        <f t="shared" si="22"/>
        <v>#REF!</v>
      </c>
      <c r="BI44" s="11" t="e">
        <f t="shared" si="23"/>
        <v>#REF!</v>
      </c>
      <c r="BJ44" s="11" t="e">
        <f t="shared" si="24"/>
        <v>#REF!</v>
      </c>
      <c r="BK44" s="11" t="e">
        <f t="shared" si="25"/>
        <v>#REF!</v>
      </c>
      <c r="BL44" s="11" t="e">
        <f t="shared" si="26"/>
        <v>#REF!</v>
      </c>
      <c r="BN44" s="11" t="e">
        <f t="shared" si="27"/>
        <v>#REF!</v>
      </c>
      <c r="BO44" s="11" t="e">
        <f t="shared" si="28"/>
        <v>#REF!</v>
      </c>
      <c r="BP44" s="11" t="e">
        <f t="shared" si="29"/>
        <v>#REF!</v>
      </c>
      <c r="BQ44" s="11" t="e">
        <f t="shared" si="30"/>
        <v>#REF!</v>
      </c>
      <c r="BR44" s="11" t="e">
        <f t="shared" si="31"/>
        <v>#REF!</v>
      </c>
      <c r="BT44" s="11" t="e">
        <f t="shared" si="32"/>
        <v>#REF!</v>
      </c>
      <c r="BU44" s="11" t="e">
        <f t="shared" si="33"/>
        <v>#REF!</v>
      </c>
      <c r="BV44" s="11" t="e">
        <f t="shared" si="34"/>
        <v>#REF!</v>
      </c>
      <c r="BW44" s="11" t="e">
        <f t="shared" si="35"/>
        <v>#REF!</v>
      </c>
      <c r="BX44" s="11" t="e">
        <f t="shared" si="36"/>
        <v>#REF!</v>
      </c>
      <c r="BZ44" s="11" t="e">
        <f t="shared" si="37"/>
        <v>#REF!</v>
      </c>
      <c r="CA44" s="11" t="e">
        <f t="shared" si="38"/>
        <v>#REF!</v>
      </c>
      <c r="CB44" s="11" t="e">
        <f t="shared" si="39"/>
        <v>#REF!</v>
      </c>
      <c r="CC44" s="11" t="e">
        <f t="shared" si="40"/>
        <v>#REF!</v>
      </c>
      <c r="CD44" s="11" t="e">
        <f t="shared" si="41"/>
        <v>#REF!</v>
      </c>
      <c r="CF44" s="11" t="e">
        <f t="shared" si="42"/>
        <v>#REF!</v>
      </c>
      <c r="CG44" s="11" t="e">
        <f t="shared" si="43"/>
        <v>#REF!</v>
      </c>
      <c r="CH44" s="11" t="e">
        <f t="shared" si="44"/>
        <v>#REF!</v>
      </c>
      <c r="CI44" s="11" t="e">
        <f t="shared" si="45"/>
        <v>#REF!</v>
      </c>
      <c r="CJ44" s="11" t="e">
        <f t="shared" si="46"/>
        <v>#REF!</v>
      </c>
      <c r="CM44" s="209">
        <f t="shared" si="47"/>
        <v>1.2651444596524151E-2</v>
      </c>
      <c r="CN44" s="209" t="e">
        <f t="shared" si="48"/>
        <v>#REF!</v>
      </c>
      <c r="CO44" s="209" t="e">
        <f t="shared" si="49"/>
        <v>#REF!</v>
      </c>
      <c r="CP44" s="209" t="e">
        <f t="shared" si="50"/>
        <v>#REF!</v>
      </c>
      <c r="CQ44" s="209" t="e">
        <f t="shared" si="51"/>
        <v>#REF!</v>
      </c>
    </row>
    <row r="45" spans="1:95" x14ac:dyDescent="0.25">
      <c r="A45" s="13" t="s">
        <v>98</v>
      </c>
      <c r="B45" s="14" t="s">
        <v>99</v>
      </c>
      <c r="C45" s="4" t="s">
        <v>110</v>
      </c>
      <c r="D45" s="4" t="s">
        <v>111</v>
      </c>
      <c r="E45" s="11">
        <f>SUMIFS('ICB Core Baseline 2024-25'!Q:Q,'ICB Core Baseline 2024-25'!C:C,C45)</f>
        <v>1065172.6958849912</v>
      </c>
      <c r="F45" s="43" t="e">
        <f>SUMIFS(#REF!,#REF!,C45)</f>
        <v>#REF!</v>
      </c>
      <c r="H45" s="43" t="e">
        <f>SUMIFS(#REF!,#REF!,C45)</f>
        <v>#REF!</v>
      </c>
      <c r="I45" s="43" t="e">
        <f t="shared" si="6"/>
        <v>#REF!</v>
      </c>
      <c r="J45" s="43" t="e">
        <f t="shared" si="7"/>
        <v>#REF!</v>
      </c>
      <c r="K45" s="11" t="e">
        <f t="shared" si="0"/>
        <v>#REF!</v>
      </c>
      <c r="L45" s="11" t="e">
        <f t="shared" si="1"/>
        <v>#REF!</v>
      </c>
      <c r="M45" s="43" t="e">
        <f>SUMIFS(#REF!,#REF!,C45)</f>
        <v>#REF!</v>
      </c>
      <c r="N45" s="11" t="e">
        <f t="shared" si="2"/>
        <v>#REF!</v>
      </c>
      <c r="O45" s="43" t="e">
        <f t="shared" si="8"/>
        <v>#REF!</v>
      </c>
      <c r="P45" s="11" t="e">
        <f t="shared" si="3"/>
        <v>#REF!</v>
      </c>
      <c r="Q45" s="11" t="e">
        <f t="shared" si="9"/>
        <v>#REF!</v>
      </c>
      <c r="R45" s="11" t="e">
        <f t="shared" si="4"/>
        <v>#REF!</v>
      </c>
      <c r="S45" s="11" t="e">
        <f>(SUMIFS(#REF!,#REF!,C45)/SUMIFS(#REF!,#REF!,C45))*1000</f>
        <v>#REF!</v>
      </c>
      <c r="T45" s="11" t="e">
        <f t="shared" si="10"/>
        <v>#REF!</v>
      </c>
      <c r="U45" s="11"/>
      <c r="V45" s="11" t="e">
        <f t="shared" si="11"/>
        <v>#REF!</v>
      </c>
      <c r="W45" s="11" t="e">
        <f t="shared" si="12"/>
        <v>#REF!</v>
      </c>
      <c r="X45" s="43" t="e">
        <f t="shared" si="13"/>
        <v>#REF!</v>
      </c>
      <c r="Y45" s="43" t="e">
        <f ca="1">OFFSET(#REF!,MATCH(C45,#REF!,0)+1,0)</f>
        <v>#REF!</v>
      </c>
      <c r="Z45" s="43" t="e">
        <f t="shared" ca="1" si="14"/>
        <v>#REF!</v>
      </c>
      <c r="AA45" s="43" t="e">
        <f t="shared" si="5"/>
        <v>#REF!</v>
      </c>
      <c r="AB45" s="11" t="e">
        <f>SUMIFS(#REF!,#REF!,C45)/(1+1.8%)*(1+1.8%+2.3%)</f>
        <v>#REF!</v>
      </c>
      <c r="AC45" s="11" t="e">
        <f t="shared" si="15"/>
        <v>#REF!</v>
      </c>
      <c r="AD45" s="64"/>
      <c r="AE45" s="11" t="e">
        <f>(SUMIFS(#REF!,#REF!,C45)/(1+1.8%))*(1+1.8%+2.3%)</f>
        <v>#REF!</v>
      </c>
      <c r="AF45" s="11" t="e">
        <f>-SUMIFS(#REF!,#REF!,C45)/1000</f>
        <v>#REF!</v>
      </c>
      <c r="AG45" s="11" t="e">
        <f>SUMIFS(#REF!,#REF!,C45)</f>
        <v>#REF!</v>
      </c>
      <c r="AH45" s="11" t="e">
        <f>SUMIFS(#REF!,#REF!,C45)</f>
        <v>#REF!</v>
      </c>
      <c r="AI45" s="11" t="e">
        <f>SUMIFS(#REF!,#REF!,C45)</f>
        <v>#REF!</v>
      </c>
      <c r="AJ45" s="11" t="e">
        <f>SUMIFS(#REF!,#REF!,C45)</f>
        <v>#REF!</v>
      </c>
      <c r="AK45" s="11"/>
      <c r="AL45" s="11" t="e">
        <f t="shared" si="16"/>
        <v>#REF!</v>
      </c>
      <c r="AN45" s="11" t="e">
        <f t="shared" si="17"/>
        <v>#REF!</v>
      </c>
      <c r="AO45" s="11" t="e">
        <f t="shared" si="18"/>
        <v>#REF!</v>
      </c>
      <c r="AQ45" s="11" t="e">
        <f t="shared" si="19"/>
        <v>#REF!</v>
      </c>
      <c r="AS45" s="43" t="e">
        <f t="shared" si="20"/>
        <v>#REF!</v>
      </c>
      <c r="AT45" s="11" t="e">
        <f t="shared" si="21"/>
        <v>#REF!</v>
      </c>
      <c r="AV45" s="11" t="e">
        <f>'Share of £1bn'!$F$20*1000*$AO45/$AO$57</f>
        <v>#REF!</v>
      </c>
      <c r="AW45" s="11" t="e">
        <f>'Share of £1bn'!$F$27*1000*$AO45/$AO$57</f>
        <v>#REF!</v>
      </c>
      <c r="AX45" s="11" t="e">
        <f>'Share of £1bn'!$F$21*1000*$AO45/$AO$57</f>
        <v>#REF!</v>
      </c>
      <c r="AZ45" s="11" t="e">
        <f>'Share of £1bn'!$F$43*1000*AO45/$AO$57</f>
        <v>#REF!</v>
      </c>
      <c r="BA45" s="11" t="e">
        <f>'Share of £1bn'!$F$50*1000*$AO45/$AO$57</f>
        <v>#REF!</v>
      </c>
      <c r="BB45" s="11" t="e">
        <f>'Share of £1bn'!$F$44*1000*AO45/$AO$57</f>
        <v>#REF!</v>
      </c>
      <c r="BD45" s="11" t="e">
        <f>'Share of £1bn'!$F$67*1000*AO45/$AO$57</f>
        <v>#REF!</v>
      </c>
      <c r="BF45" s="11">
        <f>SUMIFS('20-11 M6 deficits'!$BO:$BO,'20-11 M6 deficits'!$C:$C,$C45)*1000</f>
        <v>0</v>
      </c>
      <c r="BH45" s="11" t="e">
        <f t="shared" si="22"/>
        <v>#REF!</v>
      </c>
      <c r="BI45" s="11" t="e">
        <f t="shared" si="23"/>
        <v>#REF!</v>
      </c>
      <c r="BJ45" s="11" t="e">
        <f t="shared" si="24"/>
        <v>#REF!</v>
      </c>
      <c r="BK45" s="11" t="e">
        <f t="shared" si="25"/>
        <v>#REF!</v>
      </c>
      <c r="BL45" s="11" t="e">
        <f t="shared" si="26"/>
        <v>#REF!</v>
      </c>
      <c r="BN45" s="11" t="e">
        <f t="shared" si="27"/>
        <v>#REF!</v>
      </c>
      <c r="BO45" s="11" t="e">
        <f t="shared" si="28"/>
        <v>#REF!</v>
      </c>
      <c r="BP45" s="11" t="e">
        <f t="shared" si="29"/>
        <v>#REF!</v>
      </c>
      <c r="BQ45" s="11" t="e">
        <f t="shared" si="30"/>
        <v>#REF!</v>
      </c>
      <c r="BR45" s="11" t="e">
        <f t="shared" si="31"/>
        <v>#REF!</v>
      </c>
      <c r="BT45" s="11" t="e">
        <f t="shared" si="32"/>
        <v>#REF!</v>
      </c>
      <c r="BU45" s="11" t="e">
        <f t="shared" si="33"/>
        <v>#REF!</v>
      </c>
      <c r="BV45" s="11" t="e">
        <f t="shared" si="34"/>
        <v>#REF!</v>
      </c>
      <c r="BW45" s="11" t="e">
        <f t="shared" si="35"/>
        <v>#REF!</v>
      </c>
      <c r="BX45" s="11" t="e">
        <f t="shared" si="36"/>
        <v>#REF!</v>
      </c>
      <c r="BZ45" s="11" t="e">
        <f t="shared" si="37"/>
        <v>#REF!</v>
      </c>
      <c r="CA45" s="11" t="e">
        <f t="shared" si="38"/>
        <v>#REF!</v>
      </c>
      <c r="CB45" s="11" t="e">
        <f t="shared" si="39"/>
        <v>#REF!</v>
      </c>
      <c r="CC45" s="11" t="e">
        <f t="shared" si="40"/>
        <v>#REF!</v>
      </c>
      <c r="CD45" s="11" t="e">
        <f t="shared" si="41"/>
        <v>#REF!</v>
      </c>
      <c r="CF45" s="11" t="e">
        <f t="shared" si="42"/>
        <v>#REF!</v>
      </c>
      <c r="CG45" s="11" t="e">
        <f t="shared" si="43"/>
        <v>#REF!</v>
      </c>
      <c r="CH45" s="11" t="e">
        <f t="shared" si="44"/>
        <v>#REF!</v>
      </c>
      <c r="CI45" s="11" t="e">
        <f t="shared" si="45"/>
        <v>#REF!</v>
      </c>
      <c r="CJ45" s="11" t="e">
        <f t="shared" si="46"/>
        <v>#REF!</v>
      </c>
      <c r="CM45" s="209">
        <f t="shared" si="47"/>
        <v>0</v>
      </c>
      <c r="CN45" s="209" t="e">
        <f t="shared" si="48"/>
        <v>#REF!</v>
      </c>
      <c r="CO45" s="209" t="e">
        <f t="shared" si="49"/>
        <v>#REF!</v>
      </c>
      <c r="CP45" s="209" t="e">
        <f t="shared" si="50"/>
        <v>#REF!</v>
      </c>
      <c r="CQ45" s="209" t="e">
        <f t="shared" si="51"/>
        <v>#REF!</v>
      </c>
    </row>
    <row r="46" spans="1:95" x14ac:dyDescent="0.25">
      <c r="A46" s="13" t="s">
        <v>98</v>
      </c>
      <c r="B46" s="14" t="s">
        <v>99</v>
      </c>
      <c r="C46" s="4" t="s">
        <v>112</v>
      </c>
      <c r="D46" s="4" t="s">
        <v>113</v>
      </c>
      <c r="E46" s="11">
        <f>SUMIFS('ICB Core Baseline 2024-25'!Q:Q,'ICB Core Baseline 2024-25'!C:C,C46)</f>
        <v>1058710.3515852729</v>
      </c>
      <c r="F46" s="43" t="e">
        <f>SUMIFS(#REF!,#REF!,C46)</f>
        <v>#REF!</v>
      </c>
      <c r="H46" s="43" t="e">
        <f>SUMIFS(#REF!,#REF!,C46)</f>
        <v>#REF!</v>
      </c>
      <c r="I46" s="43" t="e">
        <f t="shared" si="6"/>
        <v>#REF!</v>
      </c>
      <c r="J46" s="43" t="e">
        <f t="shared" si="7"/>
        <v>#REF!</v>
      </c>
      <c r="K46" s="11" t="e">
        <f t="shared" si="0"/>
        <v>#REF!</v>
      </c>
      <c r="L46" s="11" t="e">
        <f t="shared" si="1"/>
        <v>#REF!</v>
      </c>
      <c r="M46" s="43" t="e">
        <f>SUMIFS(#REF!,#REF!,C46)</f>
        <v>#REF!</v>
      </c>
      <c r="N46" s="11" t="e">
        <f t="shared" si="2"/>
        <v>#REF!</v>
      </c>
      <c r="O46" s="43" t="e">
        <f t="shared" si="8"/>
        <v>#REF!</v>
      </c>
      <c r="P46" s="11" t="e">
        <f t="shared" si="3"/>
        <v>#REF!</v>
      </c>
      <c r="Q46" s="11" t="e">
        <f t="shared" si="9"/>
        <v>#REF!</v>
      </c>
      <c r="R46" s="11" t="e">
        <f t="shared" si="4"/>
        <v>#REF!</v>
      </c>
      <c r="S46" s="11" t="e">
        <f>(SUMIFS(#REF!,#REF!,C46)/SUMIFS(#REF!,#REF!,C46))*1000</f>
        <v>#REF!</v>
      </c>
      <c r="T46" s="11" t="e">
        <f t="shared" si="10"/>
        <v>#REF!</v>
      </c>
      <c r="U46" s="11"/>
      <c r="V46" s="11" t="e">
        <f t="shared" si="11"/>
        <v>#REF!</v>
      </c>
      <c r="W46" s="11" t="e">
        <f t="shared" si="12"/>
        <v>#REF!</v>
      </c>
      <c r="X46" s="43" t="e">
        <f t="shared" si="13"/>
        <v>#REF!</v>
      </c>
      <c r="Y46" s="43" t="e">
        <f ca="1">OFFSET(#REF!,MATCH(C46,#REF!,0)+1,0)</f>
        <v>#REF!</v>
      </c>
      <c r="Z46" s="43" t="e">
        <f t="shared" ca="1" si="14"/>
        <v>#REF!</v>
      </c>
      <c r="AA46" s="43" t="e">
        <f t="shared" si="5"/>
        <v>#REF!</v>
      </c>
      <c r="AB46" s="11" t="e">
        <f>SUMIFS(#REF!,#REF!,C46)/(1+1.8%)*(1+1.8%+2.3%)</f>
        <v>#REF!</v>
      </c>
      <c r="AC46" s="11" t="e">
        <f t="shared" si="15"/>
        <v>#REF!</v>
      </c>
      <c r="AD46" s="64"/>
      <c r="AE46" s="11" t="e">
        <f>(SUMIFS(#REF!,#REF!,C46)/(1+1.8%))*(1+1.8%+2.3%)</f>
        <v>#REF!</v>
      </c>
      <c r="AF46" s="11" t="e">
        <f>-SUMIFS(#REF!,#REF!,C46)/1000</f>
        <v>#REF!</v>
      </c>
      <c r="AG46" s="11" t="e">
        <f>SUMIFS(#REF!,#REF!,C46)</f>
        <v>#REF!</v>
      </c>
      <c r="AH46" s="11" t="e">
        <f>SUMIFS(#REF!,#REF!,C46)</f>
        <v>#REF!</v>
      </c>
      <c r="AI46" s="11" t="e">
        <f>SUMIFS(#REF!,#REF!,C46)</f>
        <v>#REF!</v>
      </c>
      <c r="AJ46" s="11" t="e">
        <f>SUMIFS(#REF!,#REF!,C46)</f>
        <v>#REF!</v>
      </c>
      <c r="AK46" s="11"/>
      <c r="AL46" s="11" t="e">
        <f t="shared" si="16"/>
        <v>#REF!</v>
      </c>
      <c r="AN46" s="11" t="e">
        <f t="shared" si="17"/>
        <v>#REF!</v>
      </c>
      <c r="AO46" s="11" t="e">
        <f t="shared" si="18"/>
        <v>#REF!</v>
      </c>
      <c r="AQ46" s="11" t="e">
        <f t="shared" si="19"/>
        <v>#REF!</v>
      </c>
      <c r="AS46" s="43" t="e">
        <f t="shared" si="20"/>
        <v>#REF!</v>
      </c>
      <c r="AT46" s="11" t="e">
        <f t="shared" si="21"/>
        <v>#REF!</v>
      </c>
      <c r="AV46" s="11" t="e">
        <f>'Share of £1bn'!$F$20*1000*$AO46/$AO$57</f>
        <v>#REF!</v>
      </c>
      <c r="AW46" s="11" t="e">
        <f>'Share of £1bn'!$F$27*1000*$AO46/$AO$57</f>
        <v>#REF!</v>
      </c>
      <c r="AX46" s="11" t="e">
        <f>'Share of £1bn'!$F$21*1000*$AO46/$AO$57</f>
        <v>#REF!</v>
      </c>
      <c r="AZ46" s="11" t="e">
        <f>'Share of £1bn'!$F$43*1000*AO46/$AO$57</f>
        <v>#REF!</v>
      </c>
      <c r="BA46" s="11" t="e">
        <f>'Share of £1bn'!$F$50*1000*$AO46/$AO$57</f>
        <v>#REF!</v>
      </c>
      <c r="BB46" s="11" t="e">
        <f>'Share of £1bn'!$F$44*1000*AO46/$AO$57</f>
        <v>#REF!</v>
      </c>
      <c r="BD46" s="11" t="e">
        <f>'Share of £1bn'!$F$67*1000*AO46/$AO$57</f>
        <v>#REF!</v>
      </c>
      <c r="BF46" s="11">
        <f>SUMIFS('20-11 M6 deficits'!$BO:$BO,'20-11 M6 deficits'!$C:$C,$C46)*1000</f>
        <v>0</v>
      </c>
      <c r="BH46" s="11" t="e">
        <f t="shared" si="22"/>
        <v>#REF!</v>
      </c>
      <c r="BI46" s="11" t="e">
        <f t="shared" si="23"/>
        <v>#REF!</v>
      </c>
      <c r="BJ46" s="11" t="e">
        <f t="shared" si="24"/>
        <v>#REF!</v>
      </c>
      <c r="BK46" s="11" t="e">
        <f t="shared" si="25"/>
        <v>#REF!</v>
      </c>
      <c r="BL46" s="11" t="e">
        <f t="shared" si="26"/>
        <v>#REF!</v>
      </c>
      <c r="BN46" s="11" t="e">
        <f t="shared" si="27"/>
        <v>#REF!</v>
      </c>
      <c r="BO46" s="11" t="e">
        <f t="shared" si="28"/>
        <v>#REF!</v>
      </c>
      <c r="BP46" s="11" t="e">
        <f t="shared" si="29"/>
        <v>#REF!</v>
      </c>
      <c r="BQ46" s="11" t="e">
        <f t="shared" si="30"/>
        <v>#REF!</v>
      </c>
      <c r="BR46" s="11" t="e">
        <f t="shared" si="31"/>
        <v>#REF!</v>
      </c>
      <c r="BT46" s="11" t="e">
        <f t="shared" si="32"/>
        <v>#REF!</v>
      </c>
      <c r="BU46" s="11" t="e">
        <f t="shared" si="33"/>
        <v>#REF!</v>
      </c>
      <c r="BV46" s="11" t="e">
        <f t="shared" si="34"/>
        <v>#REF!</v>
      </c>
      <c r="BW46" s="11" t="e">
        <f t="shared" si="35"/>
        <v>#REF!</v>
      </c>
      <c r="BX46" s="11" t="e">
        <f t="shared" si="36"/>
        <v>#REF!</v>
      </c>
      <c r="BZ46" s="11" t="e">
        <f t="shared" si="37"/>
        <v>#REF!</v>
      </c>
      <c r="CA46" s="11" t="e">
        <f t="shared" si="38"/>
        <v>#REF!</v>
      </c>
      <c r="CB46" s="11" t="e">
        <f t="shared" si="39"/>
        <v>#REF!</v>
      </c>
      <c r="CC46" s="11" t="e">
        <f t="shared" si="40"/>
        <v>#REF!</v>
      </c>
      <c r="CD46" s="11" t="e">
        <f t="shared" si="41"/>
        <v>#REF!</v>
      </c>
      <c r="CF46" s="11" t="e">
        <f t="shared" si="42"/>
        <v>#REF!</v>
      </c>
      <c r="CG46" s="11" t="e">
        <f t="shared" si="43"/>
        <v>#REF!</v>
      </c>
      <c r="CH46" s="11" t="e">
        <f t="shared" si="44"/>
        <v>#REF!</v>
      </c>
      <c r="CI46" s="11" t="e">
        <f t="shared" si="45"/>
        <v>#REF!</v>
      </c>
      <c r="CJ46" s="11" t="e">
        <f t="shared" si="46"/>
        <v>#REF!</v>
      </c>
      <c r="CM46" s="209">
        <f t="shared" si="47"/>
        <v>0</v>
      </c>
      <c r="CN46" s="209" t="e">
        <f t="shared" si="48"/>
        <v>#REF!</v>
      </c>
      <c r="CO46" s="209" t="e">
        <f t="shared" si="49"/>
        <v>#REF!</v>
      </c>
      <c r="CP46" s="209" t="e">
        <f t="shared" si="50"/>
        <v>#REF!</v>
      </c>
      <c r="CQ46" s="209" t="e">
        <f t="shared" si="51"/>
        <v>#REF!</v>
      </c>
    </row>
    <row r="47" spans="1:95" x14ac:dyDescent="0.25">
      <c r="A47" s="4"/>
      <c r="B47" s="4"/>
      <c r="C47" s="4"/>
      <c r="D47" s="4"/>
      <c r="AD47" s="63"/>
    </row>
    <row r="48" spans="1:95" x14ac:dyDescent="0.25">
      <c r="A48" s="4"/>
      <c r="B48" s="4"/>
      <c r="C48" s="4"/>
      <c r="D48" s="4"/>
      <c r="AD48" s="63"/>
    </row>
    <row r="49" spans="1:95" ht="114.75" x14ac:dyDescent="0.25">
      <c r="A49" s="4"/>
      <c r="B49" s="5" t="s">
        <v>114</v>
      </c>
      <c r="C49" s="5" t="s">
        <v>13</v>
      </c>
      <c r="D49" s="5" t="s">
        <v>14</v>
      </c>
      <c r="E49" s="27" t="s">
        <v>142</v>
      </c>
      <c r="F49" s="42" t="s">
        <v>146</v>
      </c>
      <c r="G49" s="36" t="s">
        <v>147</v>
      </c>
      <c r="H49" s="42" t="s">
        <v>127</v>
      </c>
      <c r="I49" s="42" t="s">
        <v>381</v>
      </c>
      <c r="J49" s="47" t="s">
        <v>128</v>
      </c>
      <c r="K49" s="47" t="s">
        <v>355</v>
      </c>
      <c r="L49" s="47" t="s">
        <v>356</v>
      </c>
      <c r="M49" s="42" t="s">
        <v>131</v>
      </c>
      <c r="N49" s="47" t="s">
        <v>357</v>
      </c>
      <c r="O49" s="47" t="s">
        <v>358</v>
      </c>
      <c r="P49" s="47" t="s">
        <v>359</v>
      </c>
      <c r="Q49" s="47" t="s">
        <v>355</v>
      </c>
      <c r="R49" s="47" t="s">
        <v>148</v>
      </c>
      <c r="S49" s="59" t="s">
        <v>149</v>
      </c>
      <c r="T49" s="59" t="s">
        <v>150</v>
      </c>
      <c r="U49" s="47" t="s">
        <v>361</v>
      </c>
      <c r="V49" s="59"/>
      <c r="W49" s="59"/>
      <c r="X49" s="42" t="s">
        <v>364</v>
      </c>
      <c r="Y49" s="42"/>
      <c r="Z49" s="42"/>
      <c r="AA49" s="42" t="s">
        <v>151</v>
      </c>
      <c r="AB49" s="27" t="s">
        <v>152</v>
      </c>
      <c r="AC49" s="27" t="s">
        <v>153</v>
      </c>
      <c r="AD49" s="62" t="s">
        <v>154</v>
      </c>
      <c r="AE49" s="47" t="s">
        <v>155</v>
      </c>
      <c r="AF49" s="47" t="s">
        <v>382</v>
      </c>
      <c r="AG49" s="47" t="s">
        <v>156</v>
      </c>
      <c r="AH49" s="47" t="s">
        <v>5</v>
      </c>
      <c r="AI49" s="59" t="s">
        <v>6</v>
      </c>
      <c r="AJ49" s="59" t="s">
        <v>157</v>
      </c>
      <c r="AK49" s="59" t="s">
        <v>158</v>
      </c>
      <c r="AL49" s="27" t="s">
        <v>383</v>
      </c>
      <c r="AN49" s="59" t="str">
        <f>AN3</f>
        <v>Changing base growth</v>
      </c>
      <c r="AO49" s="59" t="str">
        <f>AO3</f>
        <v>Impact of changing base growth (scaled up to £500m)</v>
      </c>
      <c r="AQ49" s="59" t="str">
        <f>AQ3</f>
        <v>Capacity</v>
      </c>
      <c r="AS49" s="59" t="s">
        <v>358</v>
      </c>
      <c r="AT49" s="59" t="str">
        <f>AT3</f>
        <v>Impact of changing convergence</v>
      </c>
      <c r="AV49" s="59" t="str">
        <f>AV3</f>
        <v>Base growth 1 - GDP Deflator (ICB Core)</v>
      </c>
      <c r="AW49" s="59" t="str">
        <f>AW3</f>
        <v>Base growth 1 - GDP Deflator (Other streams) - purely notional</v>
      </c>
      <c r="AX49" s="59" t="str">
        <f>AX3</f>
        <v>Base growth 1 - GDP Deflator (ICB Core leakage)</v>
      </c>
      <c r="AZ49" s="59" t="str">
        <f>AZ3</f>
        <v>Base growth 2 - UEC (ICB Core)</v>
      </c>
      <c r="BA49" s="59" t="str">
        <f>BA3</f>
        <v>Base growth 2 - UEC (Other streams) - purely notional</v>
      </c>
      <c r="BB49" s="59" t="str">
        <f>BB3</f>
        <v>Base growth 2 - UEC (ICB Core Leakage)</v>
      </c>
      <c r="BD49" s="59" t="str">
        <f>BD3</f>
        <v>Base growth 3 - Prescribing/CHC</v>
      </c>
      <c r="BF49" s="59" t="str">
        <f>BF3</f>
        <v>Deficits</v>
      </c>
      <c r="BH49" s="59" t="str">
        <f>BH3</f>
        <v>Base growth 1 - GDP Deflator (ICB Core leakage)</v>
      </c>
      <c r="BI49" s="59" t="str">
        <f>BI3</f>
        <v>New</v>
      </c>
      <c r="BJ49" s="59" t="str">
        <f>BJ3</f>
        <v>Good</v>
      </c>
      <c r="BK49" s="59" t="str">
        <f>BK3</f>
        <v>Good</v>
      </c>
      <c r="BL49" s="59" t="str">
        <f>BL3</f>
        <v>Bad</v>
      </c>
      <c r="BN49" s="59" t="str">
        <f>BN3</f>
        <v>Base growth 2 - UEC (ICB Core)</v>
      </c>
      <c r="BO49" s="59" t="str">
        <f>BO3</f>
        <v>New</v>
      </c>
      <c r="BP49" s="59" t="str">
        <f>BP3</f>
        <v>Good</v>
      </c>
      <c r="BQ49" s="59" t="str">
        <f>BQ3</f>
        <v>Good</v>
      </c>
      <c r="BR49" s="59" t="str">
        <f>BR3</f>
        <v>Bad</v>
      </c>
      <c r="BT49" s="59" t="str">
        <f>BT3</f>
        <v>Base growth 3 - Prescribing/CHC</v>
      </c>
      <c r="BU49" s="59" t="str">
        <f>BU3</f>
        <v>New</v>
      </c>
      <c r="BV49" s="59" t="str">
        <f>BV3</f>
        <v>Good</v>
      </c>
      <c r="BW49" s="59" t="str">
        <f>BW3</f>
        <v>Good</v>
      </c>
      <c r="BX49" s="59" t="str">
        <f>BX3</f>
        <v>Bad</v>
      </c>
      <c r="BZ49" s="59" t="str">
        <f>BZ3</f>
        <v>Convergence</v>
      </c>
      <c r="CA49" s="59" t="str">
        <f>CA3</f>
        <v>New</v>
      </c>
      <c r="CB49" s="59" t="str">
        <f>CB3</f>
        <v>Good</v>
      </c>
      <c r="CC49" s="59" t="str">
        <f>CC3</f>
        <v>Good</v>
      </c>
      <c r="CD49" s="59" t="str">
        <f>CD3</f>
        <v>Bad</v>
      </c>
      <c r="CF49" s="59" t="str">
        <f>CF3</f>
        <v>Capacity</v>
      </c>
      <c r="CG49" s="59" t="str">
        <f>CG3</f>
        <v>New</v>
      </c>
      <c r="CH49" s="59" t="str">
        <f>CH3</f>
        <v>Good</v>
      </c>
      <c r="CI49" s="59" t="str">
        <f>CI3</f>
        <v>Good</v>
      </c>
      <c r="CJ49" s="59" t="str">
        <f>CJ3</f>
        <v>Bad</v>
      </c>
    </row>
    <row r="50" spans="1:95" x14ac:dyDescent="0.25">
      <c r="A50" s="4"/>
      <c r="B50" s="21">
        <v>1</v>
      </c>
      <c r="C50" s="22" t="s">
        <v>17</v>
      </c>
      <c r="D50" s="22" t="s">
        <v>18</v>
      </c>
      <c r="E50" s="23">
        <f>SUMIFS(E$5:E$46,$A$5:$A$46,$C50)</f>
        <v>16103414.606958285</v>
      </c>
      <c r="F50" s="45" t="e">
        <f>SUMIFS(#REF!,#REF!,C50)</f>
        <v>#REF!</v>
      </c>
      <c r="H50" s="45" t="e" cm="1">
        <f t="array" ref="H50">SUMPRODUCT((H$5:H$46)*($E$5:$E$46)*($A$5:$A$46=$C50))/SUMPRODUCT(($E$5:$E$46)*($A$5:$A$46=$C50))</f>
        <v>#REF!</v>
      </c>
      <c r="I50" s="45" t="e" cm="1">
        <f t="array" ref="I50">SUMPRODUCT((I$5:I$46)*($E$5:$E$46)*($A$5:$A$46=$C50))/SUMPRODUCT(($E$5:$E$46)*($A$5:$A$46=$C50))</f>
        <v>#REF!</v>
      </c>
      <c r="J50" s="45" t="e" cm="1">
        <f t="array" ref="J50">SUMPRODUCT((J$5:J$46)*($E$5:$E$46)*($A$5:$A$46=$C50))/SUMPRODUCT(($E$5:$E$46)*($A$5:$A$46=$C50))</f>
        <v>#REF!</v>
      </c>
      <c r="K50" s="23" t="e">
        <f t="shared" ref="K50:L56" si="52">SUMIFS(K$5:K$46,$A$5:$A$46,$C50)</f>
        <v>#REF!</v>
      </c>
      <c r="L50" s="23" t="e">
        <f t="shared" si="52"/>
        <v>#REF!</v>
      </c>
      <c r="M50" s="45" t="e">
        <f>SUMIFS(#REF!,#REF!,C50)</f>
        <v>#REF!</v>
      </c>
      <c r="N50" s="23" t="e">
        <f t="shared" ref="N50:N56" si="53">SUMIFS(N$5:N$46,$A$5:$A$46,$C50)</f>
        <v>#REF!</v>
      </c>
      <c r="O50" s="45" t="e" cm="1">
        <f t="array" ref="O50">SUMPRODUCT((O$5:O$46)*($L$5:$L$46)*($A$5:$A$46=$C50))/SUMPRODUCT(($L$5:$L$46)*($A$5:$A$46=$C50))</f>
        <v>#REF!</v>
      </c>
      <c r="P50" s="23" t="e">
        <f t="shared" ref="P50:AQ56" si="54">SUMIFS(P$5:P$46,$A$5:$A$46,$C50)</f>
        <v>#REF!</v>
      </c>
      <c r="Q50" s="23" t="e">
        <f t="shared" si="54"/>
        <v>#REF!</v>
      </c>
      <c r="R50" s="23" t="e">
        <f t="shared" si="54"/>
        <v>#REF!</v>
      </c>
      <c r="S50" s="23" t="e">
        <f t="shared" si="54"/>
        <v>#REF!</v>
      </c>
      <c r="T50" s="23" t="e">
        <f t="shared" ref="T50:T57" si="55">(R50/S50)*1000</f>
        <v>#REF!</v>
      </c>
      <c r="U50" s="23"/>
      <c r="V50" s="23" t="e">
        <f t="shared" si="54"/>
        <v>#REF!</v>
      </c>
      <c r="W50" s="23" t="e">
        <f t="shared" si="54"/>
        <v>#REF!</v>
      </c>
      <c r="X50" s="45"/>
      <c r="Y50" s="45"/>
      <c r="Z50" s="45"/>
      <c r="AA50" s="45" t="e">
        <f t="shared" ref="AA50:AA57" si="56">R50/E50-1</f>
        <v>#REF!</v>
      </c>
      <c r="AB50" s="23" t="e">
        <f t="shared" si="54"/>
        <v>#REF!</v>
      </c>
      <c r="AC50" s="23" t="e">
        <f t="shared" si="54"/>
        <v>#REF!</v>
      </c>
      <c r="AD50" s="66"/>
      <c r="AE50" s="23" t="e">
        <f t="shared" si="54"/>
        <v>#REF!</v>
      </c>
      <c r="AF50" s="23" t="e">
        <f t="shared" si="54"/>
        <v>#REF!</v>
      </c>
      <c r="AG50" s="23" t="e">
        <f t="shared" si="54"/>
        <v>#REF!</v>
      </c>
      <c r="AH50" s="23" t="e">
        <f t="shared" si="54"/>
        <v>#REF!</v>
      </c>
      <c r="AI50" s="23" t="e">
        <f t="shared" si="54"/>
        <v>#REF!</v>
      </c>
      <c r="AJ50" s="23" t="e">
        <f t="shared" si="54"/>
        <v>#REF!</v>
      </c>
      <c r="AK50" s="23">
        <f t="shared" si="54"/>
        <v>0</v>
      </c>
      <c r="AL50" s="23" t="e">
        <f t="shared" si="54"/>
        <v>#REF!</v>
      </c>
      <c r="AN50" s="23" t="e">
        <f t="shared" si="54"/>
        <v>#REF!</v>
      </c>
      <c r="AO50" s="23" t="e">
        <f t="shared" si="54"/>
        <v>#REF!</v>
      </c>
      <c r="AQ50" s="23" t="e">
        <f t="shared" si="54"/>
        <v>#REF!</v>
      </c>
      <c r="AS50" s="45" t="e" cm="1">
        <f t="array" ref="AS50">SUMPRODUCT((AS$5:AS$46)*($L$5:$L$46)*($A$5:$A$46=$C50))/SUMPRODUCT(($L$5:$L$46)*($A$5:$A$46=$C50))</f>
        <v>#REF!</v>
      </c>
      <c r="AT50" s="23" t="e">
        <f t="shared" ref="AT50:BI56" si="57">SUMIFS(AT$5:AT$46,$A$5:$A$46,$C50)</f>
        <v>#REF!</v>
      </c>
      <c r="AV50" s="23" t="e">
        <f t="shared" si="57"/>
        <v>#REF!</v>
      </c>
      <c r="AW50" s="23" t="e">
        <f t="shared" si="57"/>
        <v>#REF!</v>
      </c>
      <c r="AX50" s="23" t="e">
        <f t="shared" si="57"/>
        <v>#REF!</v>
      </c>
      <c r="AZ50" s="23" t="e">
        <f t="shared" si="57"/>
        <v>#REF!</v>
      </c>
      <c r="BA50" s="23" t="e">
        <f t="shared" si="57"/>
        <v>#REF!</v>
      </c>
      <c r="BB50" s="23" t="e">
        <f t="shared" si="57"/>
        <v>#REF!</v>
      </c>
      <c r="BD50" s="23" t="e">
        <f t="shared" si="57"/>
        <v>#REF!</v>
      </c>
      <c r="BF50" s="23">
        <f t="shared" si="57"/>
        <v>-105017.77082265612</v>
      </c>
      <c r="BH50" s="23" t="e">
        <f t="shared" si="57"/>
        <v>#REF!</v>
      </c>
      <c r="BI50" s="23" t="e">
        <f t="shared" si="57"/>
        <v>#REF!</v>
      </c>
      <c r="BJ50" s="23" t="e">
        <f t="shared" ref="BJ50:BL56" si="58">SUMIFS(BJ$5:BJ$46,$A$5:$A$46,$C50)</f>
        <v>#REF!</v>
      </c>
      <c r="BK50" s="23" t="e">
        <f t="shared" si="58"/>
        <v>#REF!</v>
      </c>
      <c r="BL50" s="23" t="e">
        <f t="shared" si="58"/>
        <v>#REF!</v>
      </c>
      <c r="BN50" s="23" t="e">
        <f t="shared" ref="BN50:CC56" si="59">SUMIFS(BN$5:BN$46,$A$5:$A$46,$C50)</f>
        <v>#REF!</v>
      </c>
      <c r="BO50" s="23" t="e">
        <f t="shared" si="59"/>
        <v>#REF!</v>
      </c>
      <c r="BP50" s="23" t="e">
        <f t="shared" si="59"/>
        <v>#REF!</v>
      </c>
      <c r="BQ50" s="23" t="e">
        <f t="shared" si="59"/>
        <v>#REF!</v>
      </c>
      <c r="BR50" s="23" t="e">
        <f t="shared" si="59"/>
        <v>#REF!</v>
      </c>
      <c r="BT50" s="23" t="e">
        <f t="shared" si="59"/>
        <v>#REF!</v>
      </c>
      <c r="BU50" s="23" t="e">
        <f t="shared" si="59"/>
        <v>#REF!</v>
      </c>
      <c r="BV50" s="23" t="e">
        <f t="shared" si="59"/>
        <v>#REF!</v>
      </c>
      <c r="BW50" s="23" t="e">
        <f t="shared" si="59"/>
        <v>#REF!</v>
      </c>
      <c r="BX50" s="23" t="e">
        <f t="shared" si="59"/>
        <v>#REF!</v>
      </c>
      <c r="BZ50" s="23" t="e">
        <f t="shared" si="59"/>
        <v>#REF!</v>
      </c>
      <c r="CA50" s="23" t="e">
        <f t="shared" si="59"/>
        <v>#REF!</v>
      </c>
      <c r="CB50" s="23" t="e">
        <f t="shared" si="59"/>
        <v>#REF!</v>
      </c>
      <c r="CC50" s="23" t="e">
        <f t="shared" si="59"/>
        <v>#REF!</v>
      </c>
      <c r="CD50" s="23" t="e">
        <f t="shared" ref="CD50:CD56" si="60">SUMIFS(CD$5:CD$46,$A$5:$A$46,$C50)</f>
        <v>#REF!</v>
      </c>
      <c r="CF50" s="23" t="e">
        <f t="shared" ref="CF50:CJ56" si="61">SUMIFS(CF$5:CF$46,$A$5:$A$46,$C50)</f>
        <v>#REF!</v>
      </c>
      <c r="CG50" s="23" t="e">
        <f t="shared" si="61"/>
        <v>#REF!</v>
      </c>
      <c r="CH50" s="23" t="e">
        <f t="shared" si="61"/>
        <v>#REF!</v>
      </c>
      <c r="CI50" s="23" t="e">
        <f t="shared" si="61"/>
        <v>#REF!</v>
      </c>
      <c r="CJ50" s="23" t="e">
        <f t="shared" si="61"/>
        <v>#REF!</v>
      </c>
      <c r="CM50" s="209">
        <f>SUMIFS(BF$5:BF$46,BF$5:BF$46,"&lt;0",$A$5:$A$46,$C50)/$BF$59</f>
        <v>6.6431325460665214E-2</v>
      </c>
      <c r="CN50" s="209" t="e">
        <f t="shared" ref="CN50:CN56" si="62">R50/$R$57</f>
        <v>#REF!</v>
      </c>
      <c r="CO50" s="209" t="e">
        <f t="shared" ref="CO50:CO56" si="63">AO50/$AO$57</f>
        <v>#REF!</v>
      </c>
      <c r="CP50" s="209" t="e">
        <f t="shared" ref="CP50:CP56" si="64">BZ50/$BZ$57</f>
        <v>#REF!</v>
      </c>
      <c r="CQ50" s="209" t="e">
        <f t="shared" ref="CQ50:CQ56" si="65">CF50/$CF$57</f>
        <v>#REF!</v>
      </c>
    </row>
    <row r="51" spans="1:95" x14ac:dyDescent="0.25">
      <c r="A51" s="4"/>
      <c r="B51" s="21">
        <v>2</v>
      </c>
      <c r="C51" s="22" t="s">
        <v>27</v>
      </c>
      <c r="D51" s="22" t="s">
        <v>28</v>
      </c>
      <c r="E51" s="23">
        <f t="shared" ref="E51:E56" si="66">SUMIFS(E$5:E$46,$A$5:$A$46,$C51)</f>
        <v>14450049.427944031</v>
      </c>
      <c r="F51" s="45" t="e">
        <f>SUMIFS(#REF!,#REF!,C51)</f>
        <v>#REF!</v>
      </c>
      <c r="H51" s="45" t="e" cm="1">
        <f t="array" ref="H51">SUMPRODUCT((H$5:H$46)*($E$5:$E$46)*($A$5:$A$46=$C51))/SUMPRODUCT(($E$5:$E$46)*($A$5:$A$46=$C51))</f>
        <v>#REF!</v>
      </c>
      <c r="I51" s="45" t="e" cm="1">
        <f t="array" ref="I51">SUMPRODUCT((I$5:I$46)*($E$5:$E$46)*($A$5:$A$46=$C51))/SUMPRODUCT(($E$5:$E$46)*($A$5:$A$46=$C51))</f>
        <v>#REF!</v>
      </c>
      <c r="J51" s="45" t="e" cm="1">
        <f t="array" ref="J51">SUMPRODUCT((J$5:J$46)*($E$5:$E$46)*($A$5:$A$46=$C51))/SUMPRODUCT(($E$5:$E$46)*($A$5:$A$46=$C51))</f>
        <v>#REF!</v>
      </c>
      <c r="K51" s="23" t="e">
        <f t="shared" si="52"/>
        <v>#REF!</v>
      </c>
      <c r="L51" s="23" t="e">
        <f t="shared" si="52"/>
        <v>#REF!</v>
      </c>
      <c r="M51" s="45" t="e">
        <f>SUMIFS(#REF!,#REF!,C51)</f>
        <v>#REF!</v>
      </c>
      <c r="N51" s="23" t="e">
        <f t="shared" si="53"/>
        <v>#REF!</v>
      </c>
      <c r="O51" s="45" t="e" cm="1">
        <f t="array" ref="O51">SUMPRODUCT((O$5:O$46)*($L$5:$L$46)*($A$5:$A$46=$C51))/SUMPRODUCT(($L$5:$L$46)*($A$5:$A$46=$C51))</f>
        <v>#REF!</v>
      </c>
      <c r="P51" s="23" t="e">
        <f t="shared" si="54"/>
        <v>#REF!</v>
      </c>
      <c r="Q51" s="23" t="e">
        <f t="shared" si="54"/>
        <v>#REF!</v>
      </c>
      <c r="R51" s="23" t="e">
        <f t="shared" si="54"/>
        <v>#REF!</v>
      </c>
      <c r="S51" s="23" t="e">
        <f t="shared" si="54"/>
        <v>#REF!</v>
      </c>
      <c r="T51" s="23" t="e">
        <f t="shared" si="55"/>
        <v>#REF!</v>
      </c>
      <c r="U51" s="23"/>
      <c r="V51" s="23" t="e">
        <f t="shared" si="54"/>
        <v>#REF!</v>
      </c>
      <c r="W51" s="23" t="e">
        <f t="shared" si="54"/>
        <v>#REF!</v>
      </c>
      <c r="X51" s="45"/>
      <c r="Y51" s="45"/>
      <c r="Z51" s="45"/>
      <c r="AA51" s="45" t="e">
        <f t="shared" si="56"/>
        <v>#REF!</v>
      </c>
      <c r="AB51" s="23" t="e">
        <f t="shared" si="54"/>
        <v>#REF!</v>
      </c>
      <c r="AC51" s="23" t="e">
        <f t="shared" si="54"/>
        <v>#REF!</v>
      </c>
      <c r="AD51" s="66"/>
      <c r="AE51" s="23" t="e">
        <f t="shared" si="54"/>
        <v>#REF!</v>
      </c>
      <c r="AF51" s="23" t="e">
        <f t="shared" si="54"/>
        <v>#REF!</v>
      </c>
      <c r="AG51" s="23" t="e">
        <f t="shared" si="54"/>
        <v>#REF!</v>
      </c>
      <c r="AH51" s="23" t="e">
        <f t="shared" si="54"/>
        <v>#REF!</v>
      </c>
      <c r="AI51" s="23" t="e">
        <f t="shared" si="54"/>
        <v>#REF!</v>
      </c>
      <c r="AJ51" s="23" t="e">
        <f t="shared" si="54"/>
        <v>#REF!</v>
      </c>
      <c r="AK51" s="23">
        <f t="shared" si="54"/>
        <v>0</v>
      </c>
      <c r="AL51" s="23" t="e">
        <f t="shared" si="54"/>
        <v>#REF!</v>
      </c>
      <c r="AN51" s="23" t="e">
        <f t="shared" si="54"/>
        <v>#REF!</v>
      </c>
      <c r="AO51" s="23" t="e">
        <f t="shared" si="54"/>
        <v>#REF!</v>
      </c>
      <c r="AQ51" s="23" t="e">
        <f t="shared" si="54"/>
        <v>#REF!</v>
      </c>
      <c r="AS51" s="45" t="e" cm="1">
        <f t="array" ref="AS51">SUMPRODUCT((AS$5:AS$46)*($L$5:$L$46)*($A$5:$A$46=$C51))/SUMPRODUCT(($L$5:$L$46)*($A$5:$A$46=$C51))</f>
        <v>#REF!</v>
      </c>
      <c r="AT51" s="23" t="e">
        <f t="shared" si="57"/>
        <v>#REF!</v>
      </c>
      <c r="AV51" s="23" t="e">
        <f t="shared" si="57"/>
        <v>#REF!</v>
      </c>
      <c r="AW51" s="23" t="e">
        <f t="shared" si="57"/>
        <v>#REF!</v>
      </c>
      <c r="AX51" s="23" t="e">
        <f t="shared" si="57"/>
        <v>#REF!</v>
      </c>
      <c r="AZ51" s="23" t="e">
        <f t="shared" si="57"/>
        <v>#REF!</v>
      </c>
      <c r="BA51" s="23" t="e">
        <f t="shared" si="57"/>
        <v>#REF!</v>
      </c>
      <c r="BB51" s="23" t="e">
        <f t="shared" si="57"/>
        <v>#REF!</v>
      </c>
      <c r="BD51" s="23" t="e">
        <f t="shared" si="57"/>
        <v>#REF!</v>
      </c>
      <c r="BF51" s="23">
        <f t="shared" si="57"/>
        <v>-421165.06055570475</v>
      </c>
      <c r="BH51" s="23" t="e">
        <f t="shared" si="57"/>
        <v>#REF!</v>
      </c>
      <c r="BI51" s="23" t="e">
        <f t="shared" si="57"/>
        <v>#REF!</v>
      </c>
      <c r="BJ51" s="23" t="e">
        <f t="shared" si="58"/>
        <v>#REF!</v>
      </c>
      <c r="BK51" s="23" t="e">
        <f t="shared" si="58"/>
        <v>#REF!</v>
      </c>
      <c r="BL51" s="23" t="e">
        <f t="shared" si="58"/>
        <v>#REF!</v>
      </c>
      <c r="BN51" s="23" t="e">
        <f t="shared" si="59"/>
        <v>#REF!</v>
      </c>
      <c r="BO51" s="23" t="e">
        <f t="shared" si="59"/>
        <v>#REF!</v>
      </c>
      <c r="BP51" s="23" t="e">
        <f t="shared" si="59"/>
        <v>#REF!</v>
      </c>
      <c r="BQ51" s="23" t="e">
        <f t="shared" si="59"/>
        <v>#REF!</v>
      </c>
      <c r="BR51" s="23" t="e">
        <f t="shared" si="59"/>
        <v>#REF!</v>
      </c>
      <c r="BT51" s="23" t="e">
        <f t="shared" si="59"/>
        <v>#REF!</v>
      </c>
      <c r="BU51" s="23" t="e">
        <f t="shared" si="59"/>
        <v>#REF!</v>
      </c>
      <c r="BV51" s="23" t="e">
        <f t="shared" si="59"/>
        <v>#REF!</v>
      </c>
      <c r="BW51" s="23" t="e">
        <f t="shared" si="59"/>
        <v>#REF!</v>
      </c>
      <c r="BX51" s="23" t="e">
        <f t="shared" si="59"/>
        <v>#REF!</v>
      </c>
      <c r="BZ51" s="23" t="e">
        <f t="shared" si="59"/>
        <v>#REF!</v>
      </c>
      <c r="CA51" s="23" t="e">
        <f t="shared" si="59"/>
        <v>#REF!</v>
      </c>
      <c r="CB51" s="23" t="e">
        <f t="shared" si="59"/>
        <v>#REF!</v>
      </c>
      <c r="CC51" s="23" t="e">
        <f t="shared" si="59"/>
        <v>#REF!</v>
      </c>
      <c r="CD51" s="23" t="e">
        <f t="shared" si="60"/>
        <v>#REF!</v>
      </c>
      <c r="CF51" s="23" t="e">
        <f t="shared" si="61"/>
        <v>#REF!</v>
      </c>
      <c r="CG51" s="23" t="e">
        <f t="shared" si="61"/>
        <v>#REF!</v>
      </c>
      <c r="CH51" s="23" t="e">
        <f t="shared" si="61"/>
        <v>#REF!</v>
      </c>
      <c r="CI51" s="23" t="e">
        <f t="shared" si="61"/>
        <v>#REF!</v>
      </c>
      <c r="CJ51" s="23" t="e">
        <f t="shared" si="61"/>
        <v>#REF!</v>
      </c>
      <c r="CM51" s="209">
        <f t="shared" ref="CM51:CM56" si="67">SUMIFS(BF$5:BF$46,BF$5:BF$46,"&lt;0",$A$5:$A$46,$C51)/$BF$59</f>
        <v>0.26641732148061187</v>
      </c>
      <c r="CN51" s="209" t="e">
        <f t="shared" si="62"/>
        <v>#REF!</v>
      </c>
      <c r="CO51" s="209" t="e">
        <f t="shared" si="63"/>
        <v>#REF!</v>
      </c>
      <c r="CP51" s="209" t="e">
        <f t="shared" si="64"/>
        <v>#REF!</v>
      </c>
      <c r="CQ51" s="209" t="e">
        <f t="shared" si="65"/>
        <v>#REF!</v>
      </c>
    </row>
    <row r="52" spans="1:95" x14ac:dyDescent="0.25">
      <c r="A52" s="4"/>
      <c r="B52" s="21">
        <v>3</v>
      </c>
      <c r="C52" s="22" t="s">
        <v>34</v>
      </c>
      <c r="D52" s="22" t="s">
        <v>35</v>
      </c>
      <c r="E52" s="23">
        <f t="shared" si="66"/>
        <v>19536186.067950472</v>
      </c>
      <c r="F52" s="45" t="e">
        <f>SUMIFS(#REF!,#REF!,C52)</f>
        <v>#REF!</v>
      </c>
      <c r="H52" s="45" t="e" cm="1">
        <f t="array" ref="H52">SUMPRODUCT((H$5:H$46)*($E$5:$E$46)*($A$5:$A$46=$C52))/SUMPRODUCT(($E$5:$E$46)*($A$5:$A$46=$C52))</f>
        <v>#REF!</v>
      </c>
      <c r="I52" s="45" t="e" cm="1">
        <f t="array" ref="I52">SUMPRODUCT((I$5:I$46)*($E$5:$E$46)*($A$5:$A$46=$C52))/SUMPRODUCT(($E$5:$E$46)*($A$5:$A$46=$C52))</f>
        <v>#REF!</v>
      </c>
      <c r="J52" s="45" t="e" cm="1">
        <f t="array" ref="J52">SUMPRODUCT((J$5:J$46)*($E$5:$E$46)*($A$5:$A$46=$C52))/SUMPRODUCT(($E$5:$E$46)*($A$5:$A$46=$C52))</f>
        <v>#REF!</v>
      </c>
      <c r="K52" s="23" t="e">
        <f t="shared" si="52"/>
        <v>#REF!</v>
      </c>
      <c r="L52" s="23" t="e">
        <f t="shared" si="52"/>
        <v>#REF!</v>
      </c>
      <c r="M52" s="45" t="e">
        <f>SUMIFS(#REF!,#REF!,C52)</f>
        <v>#REF!</v>
      </c>
      <c r="N52" s="23" t="e">
        <f t="shared" si="53"/>
        <v>#REF!</v>
      </c>
      <c r="O52" s="45" t="e" cm="1">
        <f t="array" ref="O52">SUMPRODUCT((O$5:O$46)*($L$5:$L$46)*($A$5:$A$46=$C52))/SUMPRODUCT(($L$5:$L$46)*($A$5:$A$46=$C52))</f>
        <v>#REF!</v>
      </c>
      <c r="P52" s="23" t="e">
        <f t="shared" si="54"/>
        <v>#REF!</v>
      </c>
      <c r="Q52" s="23" t="e">
        <f t="shared" si="54"/>
        <v>#REF!</v>
      </c>
      <c r="R52" s="23" t="e">
        <f t="shared" si="54"/>
        <v>#REF!</v>
      </c>
      <c r="S52" s="23" t="e">
        <f t="shared" si="54"/>
        <v>#REF!</v>
      </c>
      <c r="T52" s="23" t="e">
        <f t="shared" si="55"/>
        <v>#REF!</v>
      </c>
      <c r="U52" s="23"/>
      <c r="V52" s="23" t="e">
        <f t="shared" si="54"/>
        <v>#REF!</v>
      </c>
      <c r="W52" s="23" t="e">
        <f t="shared" si="54"/>
        <v>#REF!</v>
      </c>
      <c r="X52" s="45"/>
      <c r="Y52" s="45"/>
      <c r="Z52" s="45"/>
      <c r="AA52" s="45" t="e">
        <f t="shared" si="56"/>
        <v>#REF!</v>
      </c>
      <c r="AB52" s="23" t="e">
        <f t="shared" si="54"/>
        <v>#REF!</v>
      </c>
      <c r="AC52" s="23" t="e">
        <f t="shared" si="54"/>
        <v>#REF!</v>
      </c>
      <c r="AD52" s="66"/>
      <c r="AE52" s="23" t="e">
        <f t="shared" si="54"/>
        <v>#REF!</v>
      </c>
      <c r="AF52" s="23" t="e">
        <f t="shared" si="54"/>
        <v>#REF!</v>
      </c>
      <c r="AG52" s="23" t="e">
        <f t="shared" si="54"/>
        <v>#REF!</v>
      </c>
      <c r="AH52" s="23" t="e">
        <f t="shared" si="54"/>
        <v>#REF!</v>
      </c>
      <c r="AI52" s="23" t="e">
        <f t="shared" si="54"/>
        <v>#REF!</v>
      </c>
      <c r="AJ52" s="23" t="e">
        <f t="shared" si="54"/>
        <v>#REF!</v>
      </c>
      <c r="AK52" s="23">
        <f t="shared" si="54"/>
        <v>0</v>
      </c>
      <c r="AL52" s="23" t="e">
        <f t="shared" si="54"/>
        <v>#REF!</v>
      </c>
      <c r="AN52" s="23" t="e">
        <f t="shared" si="54"/>
        <v>#REF!</v>
      </c>
      <c r="AO52" s="23" t="e">
        <f t="shared" si="54"/>
        <v>#REF!</v>
      </c>
      <c r="AQ52" s="23" t="e">
        <f t="shared" si="54"/>
        <v>#REF!</v>
      </c>
      <c r="AS52" s="45" t="e" cm="1">
        <f t="array" ref="AS52">SUMPRODUCT((AS$5:AS$46)*($L$5:$L$46)*($A$5:$A$46=$C52))/SUMPRODUCT(($L$5:$L$46)*($A$5:$A$46=$C52))</f>
        <v>#REF!</v>
      </c>
      <c r="AT52" s="23" t="e">
        <f t="shared" si="57"/>
        <v>#REF!</v>
      </c>
      <c r="AV52" s="23" t="e">
        <f t="shared" si="57"/>
        <v>#REF!</v>
      </c>
      <c r="AW52" s="23" t="e">
        <f t="shared" si="57"/>
        <v>#REF!</v>
      </c>
      <c r="AX52" s="23" t="e">
        <f t="shared" si="57"/>
        <v>#REF!</v>
      </c>
      <c r="AZ52" s="23" t="e">
        <f t="shared" si="57"/>
        <v>#REF!</v>
      </c>
      <c r="BA52" s="23" t="e">
        <f t="shared" si="57"/>
        <v>#REF!</v>
      </c>
      <c r="BB52" s="23" t="e">
        <f t="shared" si="57"/>
        <v>#REF!</v>
      </c>
      <c r="BD52" s="23" t="e">
        <f t="shared" si="57"/>
        <v>#REF!</v>
      </c>
      <c r="BF52" s="23">
        <f t="shared" si="57"/>
        <v>-497354.00760084507</v>
      </c>
      <c r="BH52" s="23" t="e">
        <f t="shared" si="57"/>
        <v>#REF!</v>
      </c>
      <c r="BI52" s="23" t="e">
        <f t="shared" si="57"/>
        <v>#REF!</v>
      </c>
      <c r="BJ52" s="23" t="e">
        <f t="shared" si="58"/>
        <v>#REF!</v>
      </c>
      <c r="BK52" s="23" t="e">
        <f t="shared" si="58"/>
        <v>#REF!</v>
      </c>
      <c r="BL52" s="23" t="e">
        <f t="shared" si="58"/>
        <v>#REF!</v>
      </c>
      <c r="BN52" s="23" t="e">
        <f t="shared" si="59"/>
        <v>#REF!</v>
      </c>
      <c r="BO52" s="23" t="e">
        <f t="shared" si="59"/>
        <v>#REF!</v>
      </c>
      <c r="BP52" s="23" t="e">
        <f t="shared" si="59"/>
        <v>#REF!</v>
      </c>
      <c r="BQ52" s="23" t="e">
        <f t="shared" si="59"/>
        <v>#REF!</v>
      </c>
      <c r="BR52" s="23" t="e">
        <f t="shared" si="59"/>
        <v>#REF!</v>
      </c>
      <c r="BT52" s="23" t="e">
        <f t="shared" si="59"/>
        <v>#REF!</v>
      </c>
      <c r="BU52" s="23" t="e">
        <f t="shared" si="59"/>
        <v>#REF!</v>
      </c>
      <c r="BV52" s="23" t="e">
        <f t="shared" si="59"/>
        <v>#REF!</v>
      </c>
      <c r="BW52" s="23" t="e">
        <f t="shared" si="59"/>
        <v>#REF!</v>
      </c>
      <c r="BX52" s="23" t="e">
        <f t="shared" si="59"/>
        <v>#REF!</v>
      </c>
      <c r="BZ52" s="23" t="e">
        <f t="shared" si="59"/>
        <v>#REF!</v>
      </c>
      <c r="CA52" s="23" t="e">
        <f t="shared" si="59"/>
        <v>#REF!</v>
      </c>
      <c r="CB52" s="23" t="e">
        <f t="shared" si="59"/>
        <v>#REF!</v>
      </c>
      <c r="CC52" s="23" t="e">
        <f t="shared" si="59"/>
        <v>#REF!</v>
      </c>
      <c r="CD52" s="23" t="e">
        <f t="shared" si="60"/>
        <v>#REF!</v>
      </c>
      <c r="CF52" s="23" t="e">
        <f t="shared" si="61"/>
        <v>#REF!</v>
      </c>
      <c r="CG52" s="23" t="e">
        <f t="shared" si="61"/>
        <v>#REF!</v>
      </c>
      <c r="CH52" s="23" t="e">
        <f t="shared" si="61"/>
        <v>#REF!</v>
      </c>
      <c r="CI52" s="23" t="e">
        <f t="shared" si="61"/>
        <v>#REF!</v>
      </c>
      <c r="CJ52" s="23" t="e">
        <f t="shared" si="61"/>
        <v>#REF!</v>
      </c>
      <c r="CM52" s="209">
        <f t="shared" si="67"/>
        <v>0.31461233360106711</v>
      </c>
      <c r="CN52" s="209" t="e">
        <f t="shared" si="62"/>
        <v>#REF!</v>
      </c>
      <c r="CO52" s="209" t="e">
        <f t="shared" si="63"/>
        <v>#REF!</v>
      </c>
      <c r="CP52" s="209" t="e">
        <f t="shared" si="64"/>
        <v>#REF!</v>
      </c>
      <c r="CQ52" s="209" t="e">
        <f t="shared" si="65"/>
        <v>#REF!</v>
      </c>
    </row>
    <row r="53" spans="1:95" x14ac:dyDescent="0.25">
      <c r="A53" s="4"/>
      <c r="B53" s="21">
        <v>4</v>
      </c>
      <c r="C53" s="22" t="s">
        <v>58</v>
      </c>
      <c r="D53" s="22" t="s">
        <v>59</v>
      </c>
      <c r="E53" s="23">
        <f t="shared" si="66"/>
        <v>11559699.774078418</v>
      </c>
      <c r="F53" s="45" t="e">
        <f>SUMIFS(#REF!,#REF!,C53)</f>
        <v>#REF!</v>
      </c>
      <c r="H53" s="45" t="e" cm="1">
        <f t="array" ref="H53">SUMPRODUCT((H$5:H$46)*($E$5:$E$46)*($A$5:$A$46=$C53))/SUMPRODUCT(($E$5:$E$46)*($A$5:$A$46=$C53))</f>
        <v>#REF!</v>
      </c>
      <c r="I53" s="45" t="e" cm="1">
        <f t="array" ref="I53">SUMPRODUCT((I$5:I$46)*($E$5:$E$46)*($A$5:$A$46=$C53))/SUMPRODUCT(($E$5:$E$46)*($A$5:$A$46=$C53))</f>
        <v>#REF!</v>
      </c>
      <c r="J53" s="45" t="e" cm="1">
        <f t="array" ref="J53">SUMPRODUCT((J$5:J$46)*($E$5:$E$46)*($A$5:$A$46=$C53))/SUMPRODUCT(($E$5:$E$46)*($A$5:$A$46=$C53))</f>
        <v>#REF!</v>
      </c>
      <c r="K53" s="23" t="e">
        <f t="shared" si="52"/>
        <v>#REF!</v>
      </c>
      <c r="L53" s="23" t="e">
        <f t="shared" si="52"/>
        <v>#REF!</v>
      </c>
      <c r="M53" s="45" t="e">
        <f>SUMIFS(#REF!,#REF!,C53)</f>
        <v>#REF!</v>
      </c>
      <c r="N53" s="23" t="e">
        <f t="shared" si="53"/>
        <v>#REF!</v>
      </c>
      <c r="O53" s="45" t="e" cm="1">
        <f t="array" ref="O53">SUMPRODUCT((O$5:O$46)*($L$5:$L$46)*($A$5:$A$46=$C53))/SUMPRODUCT(($L$5:$L$46)*($A$5:$A$46=$C53))</f>
        <v>#REF!</v>
      </c>
      <c r="P53" s="23" t="e">
        <f t="shared" si="54"/>
        <v>#REF!</v>
      </c>
      <c r="Q53" s="23" t="e">
        <f t="shared" si="54"/>
        <v>#REF!</v>
      </c>
      <c r="R53" s="23" t="e">
        <f t="shared" si="54"/>
        <v>#REF!</v>
      </c>
      <c r="S53" s="23" t="e">
        <f t="shared" si="54"/>
        <v>#REF!</v>
      </c>
      <c r="T53" s="23" t="e">
        <f t="shared" si="55"/>
        <v>#REF!</v>
      </c>
      <c r="U53" s="23"/>
      <c r="V53" s="23" t="e">
        <f t="shared" si="54"/>
        <v>#REF!</v>
      </c>
      <c r="W53" s="23" t="e">
        <f t="shared" si="54"/>
        <v>#REF!</v>
      </c>
      <c r="X53" s="45"/>
      <c r="Y53" s="45"/>
      <c r="Z53" s="45"/>
      <c r="AA53" s="45" t="e">
        <f t="shared" si="56"/>
        <v>#REF!</v>
      </c>
      <c r="AB53" s="23" t="e">
        <f t="shared" si="54"/>
        <v>#REF!</v>
      </c>
      <c r="AC53" s="23" t="e">
        <f t="shared" si="54"/>
        <v>#REF!</v>
      </c>
      <c r="AD53" s="66"/>
      <c r="AE53" s="23" t="e">
        <f t="shared" si="54"/>
        <v>#REF!</v>
      </c>
      <c r="AF53" s="23" t="e">
        <f t="shared" si="54"/>
        <v>#REF!</v>
      </c>
      <c r="AG53" s="23" t="e">
        <f t="shared" si="54"/>
        <v>#REF!</v>
      </c>
      <c r="AH53" s="23" t="e">
        <f t="shared" si="54"/>
        <v>#REF!</v>
      </c>
      <c r="AI53" s="23" t="e">
        <f t="shared" si="54"/>
        <v>#REF!</v>
      </c>
      <c r="AJ53" s="23" t="e">
        <f t="shared" si="54"/>
        <v>#REF!</v>
      </c>
      <c r="AK53" s="23">
        <f t="shared" si="54"/>
        <v>0</v>
      </c>
      <c r="AL53" s="23" t="e">
        <f t="shared" si="54"/>
        <v>#REF!</v>
      </c>
      <c r="AN53" s="23" t="e">
        <f t="shared" si="54"/>
        <v>#REF!</v>
      </c>
      <c r="AO53" s="23" t="e">
        <f t="shared" si="54"/>
        <v>#REF!</v>
      </c>
      <c r="AQ53" s="23" t="e">
        <f t="shared" si="54"/>
        <v>#REF!</v>
      </c>
      <c r="AS53" s="45" t="e" cm="1">
        <f t="array" ref="AS53">SUMPRODUCT((AS$5:AS$46)*($L$5:$L$46)*($A$5:$A$46=$C53))/SUMPRODUCT(($L$5:$L$46)*($A$5:$A$46=$C53))</f>
        <v>#REF!</v>
      </c>
      <c r="AT53" s="23" t="e">
        <f t="shared" si="57"/>
        <v>#REF!</v>
      </c>
      <c r="AV53" s="23" t="e">
        <f t="shared" si="57"/>
        <v>#REF!</v>
      </c>
      <c r="AW53" s="23" t="e">
        <f t="shared" si="57"/>
        <v>#REF!</v>
      </c>
      <c r="AX53" s="23" t="e">
        <f t="shared" si="57"/>
        <v>#REF!</v>
      </c>
      <c r="AZ53" s="23" t="e">
        <f t="shared" si="57"/>
        <v>#REF!</v>
      </c>
      <c r="BA53" s="23" t="e">
        <f t="shared" si="57"/>
        <v>#REF!</v>
      </c>
      <c r="BB53" s="23" t="e">
        <f t="shared" si="57"/>
        <v>#REF!</v>
      </c>
      <c r="BD53" s="23" t="e">
        <f t="shared" si="57"/>
        <v>#REF!</v>
      </c>
      <c r="BF53" s="23">
        <f t="shared" si="57"/>
        <v>-50310.300445076602</v>
      </c>
      <c r="BH53" s="23" t="e">
        <f t="shared" si="57"/>
        <v>#REF!</v>
      </c>
      <c r="BI53" s="23" t="e">
        <f t="shared" si="57"/>
        <v>#REF!</v>
      </c>
      <c r="BJ53" s="23" t="e">
        <f t="shared" si="58"/>
        <v>#REF!</v>
      </c>
      <c r="BK53" s="23" t="e">
        <f t="shared" si="58"/>
        <v>#REF!</v>
      </c>
      <c r="BL53" s="23" t="e">
        <f t="shared" si="58"/>
        <v>#REF!</v>
      </c>
      <c r="BN53" s="23" t="e">
        <f t="shared" si="59"/>
        <v>#REF!</v>
      </c>
      <c r="BO53" s="23" t="e">
        <f t="shared" si="59"/>
        <v>#REF!</v>
      </c>
      <c r="BP53" s="23" t="e">
        <f t="shared" si="59"/>
        <v>#REF!</v>
      </c>
      <c r="BQ53" s="23" t="e">
        <f t="shared" si="59"/>
        <v>#REF!</v>
      </c>
      <c r="BR53" s="23" t="e">
        <f t="shared" si="59"/>
        <v>#REF!</v>
      </c>
      <c r="BT53" s="23" t="e">
        <f t="shared" si="59"/>
        <v>#REF!</v>
      </c>
      <c r="BU53" s="23" t="e">
        <f t="shared" si="59"/>
        <v>#REF!</v>
      </c>
      <c r="BV53" s="23" t="e">
        <f t="shared" si="59"/>
        <v>#REF!</v>
      </c>
      <c r="BW53" s="23" t="e">
        <f t="shared" si="59"/>
        <v>#REF!</v>
      </c>
      <c r="BX53" s="23" t="e">
        <f t="shared" si="59"/>
        <v>#REF!</v>
      </c>
      <c r="BZ53" s="23" t="e">
        <f t="shared" si="59"/>
        <v>#REF!</v>
      </c>
      <c r="CA53" s="23" t="e">
        <f t="shared" si="59"/>
        <v>#REF!</v>
      </c>
      <c r="CB53" s="23" t="e">
        <f t="shared" si="59"/>
        <v>#REF!</v>
      </c>
      <c r="CC53" s="23" t="e">
        <f t="shared" si="59"/>
        <v>#REF!</v>
      </c>
      <c r="CD53" s="23" t="e">
        <f t="shared" si="60"/>
        <v>#REF!</v>
      </c>
      <c r="CF53" s="23" t="e">
        <f t="shared" si="61"/>
        <v>#REF!</v>
      </c>
      <c r="CG53" s="23" t="e">
        <f t="shared" si="61"/>
        <v>#REF!</v>
      </c>
      <c r="CH53" s="23" t="e">
        <f t="shared" si="61"/>
        <v>#REF!</v>
      </c>
      <c r="CI53" s="23" t="e">
        <f t="shared" si="61"/>
        <v>#REF!</v>
      </c>
      <c r="CJ53" s="23" t="e">
        <f t="shared" si="61"/>
        <v>#REF!</v>
      </c>
      <c r="CM53" s="209">
        <f t="shared" si="67"/>
        <v>3.1824898935768543E-2</v>
      </c>
      <c r="CN53" s="209" t="e">
        <f t="shared" si="62"/>
        <v>#REF!</v>
      </c>
      <c r="CO53" s="209" t="e">
        <f t="shared" si="63"/>
        <v>#REF!</v>
      </c>
      <c r="CP53" s="209" t="e">
        <f t="shared" si="64"/>
        <v>#REF!</v>
      </c>
      <c r="CQ53" s="209" t="e">
        <f t="shared" si="65"/>
        <v>#REF!</v>
      </c>
    </row>
    <row r="54" spans="1:95" x14ac:dyDescent="0.25">
      <c r="A54" s="4"/>
      <c r="B54" s="21">
        <v>5</v>
      </c>
      <c r="C54" s="22" t="s">
        <v>72</v>
      </c>
      <c r="D54" s="22" t="s">
        <v>73</v>
      </c>
      <c r="E54" s="23">
        <f t="shared" si="66"/>
        <v>16796669.95379521</v>
      </c>
      <c r="F54" s="45" t="e">
        <f>SUMIFS(#REF!,#REF!,C54)</f>
        <v>#REF!</v>
      </c>
      <c r="H54" s="45" t="e" cm="1">
        <f t="array" ref="H54">SUMPRODUCT((H$5:H$46)*($E$5:$E$46)*($A$5:$A$46=$C54))/SUMPRODUCT(($E$5:$E$46)*($A$5:$A$46=$C54))</f>
        <v>#REF!</v>
      </c>
      <c r="I54" s="45" t="e" cm="1">
        <f t="array" ref="I54">SUMPRODUCT((I$5:I$46)*($E$5:$E$46)*($A$5:$A$46=$C54))/SUMPRODUCT(($E$5:$E$46)*($A$5:$A$46=$C54))</f>
        <v>#REF!</v>
      </c>
      <c r="J54" s="45" t="e" cm="1">
        <f t="array" ref="J54">SUMPRODUCT((J$5:J$46)*($E$5:$E$46)*($A$5:$A$46=$C54))/SUMPRODUCT(($E$5:$E$46)*($A$5:$A$46=$C54))</f>
        <v>#REF!</v>
      </c>
      <c r="K54" s="23" t="e">
        <f t="shared" si="52"/>
        <v>#REF!</v>
      </c>
      <c r="L54" s="23" t="e">
        <f t="shared" si="52"/>
        <v>#REF!</v>
      </c>
      <c r="M54" s="45" t="e">
        <f>SUMIFS(#REF!,#REF!,C54)</f>
        <v>#REF!</v>
      </c>
      <c r="N54" s="23" t="e">
        <f t="shared" si="53"/>
        <v>#REF!</v>
      </c>
      <c r="O54" s="45" t="e" cm="1">
        <f t="array" ref="O54">SUMPRODUCT((O$5:O$46)*($L$5:$L$46)*($A$5:$A$46=$C54))/SUMPRODUCT(($L$5:$L$46)*($A$5:$A$46=$C54))</f>
        <v>#REF!</v>
      </c>
      <c r="P54" s="23" t="e">
        <f t="shared" si="54"/>
        <v>#REF!</v>
      </c>
      <c r="Q54" s="23" t="e">
        <f t="shared" si="54"/>
        <v>#REF!</v>
      </c>
      <c r="R54" s="23" t="e">
        <f t="shared" si="54"/>
        <v>#REF!</v>
      </c>
      <c r="S54" s="23" t="e">
        <f t="shared" si="54"/>
        <v>#REF!</v>
      </c>
      <c r="T54" s="23" t="e">
        <f t="shared" si="55"/>
        <v>#REF!</v>
      </c>
      <c r="U54" s="23"/>
      <c r="V54" s="23" t="e">
        <f t="shared" si="54"/>
        <v>#REF!</v>
      </c>
      <c r="W54" s="23" t="e">
        <f t="shared" si="54"/>
        <v>#REF!</v>
      </c>
      <c r="X54" s="45"/>
      <c r="Y54" s="45"/>
      <c r="Z54" s="45"/>
      <c r="AA54" s="45" t="e">
        <f t="shared" si="56"/>
        <v>#REF!</v>
      </c>
      <c r="AB54" s="23" t="e">
        <f t="shared" si="54"/>
        <v>#REF!</v>
      </c>
      <c r="AC54" s="23" t="e">
        <f t="shared" si="54"/>
        <v>#REF!</v>
      </c>
      <c r="AD54" s="66"/>
      <c r="AE54" s="23" t="e">
        <f t="shared" si="54"/>
        <v>#REF!</v>
      </c>
      <c r="AF54" s="23" t="e">
        <f t="shared" si="54"/>
        <v>#REF!</v>
      </c>
      <c r="AG54" s="23" t="e">
        <f t="shared" si="54"/>
        <v>#REF!</v>
      </c>
      <c r="AH54" s="23" t="e">
        <f t="shared" si="54"/>
        <v>#REF!</v>
      </c>
      <c r="AI54" s="23" t="e">
        <f t="shared" si="54"/>
        <v>#REF!</v>
      </c>
      <c r="AJ54" s="23" t="e">
        <f t="shared" si="54"/>
        <v>#REF!</v>
      </c>
      <c r="AK54" s="23">
        <f t="shared" si="54"/>
        <v>0</v>
      </c>
      <c r="AL54" s="23" t="e">
        <f t="shared" si="54"/>
        <v>#REF!</v>
      </c>
      <c r="AN54" s="23" t="e">
        <f t="shared" si="54"/>
        <v>#REF!</v>
      </c>
      <c r="AO54" s="23" t="e">
        <f t="shared" si="54"/>
        <v>#REF!</v>
      </c>
      <c r="AQ54" s="23" t="e">
        <f t="shared" si="54"/>
        <v>#REF!</v>
      </c>
      <c r="AS54" s="45" t="e" cm="1">
        <f t="array" ref="AS54">SUMPRODUCT((AS$5:AS$46)*($L$5:$L$46)*($A$5:$A$46=$C54))/SUMPRODUCT(($L$5:$L$46)*($A$5:$A$46=$C54))</f>
        <v>#REF!</v>
      </c>
      <c r="AT54" s="23" t="e">
        <f t="shared" si="57"/>
        <v>#REF!</v>
      </c>
      <c r="AV54" s="23" t="e">
        <f t="shared" si="57"/>
        <v>#REF!</v>
      </c>
      <c r="AW54" s="23" t="e">
        <f t="shared" si="57"/>
        <v>#REF!</v>
      </c>
      <c r="AX54" s="23" t="e">
        <f t="shared" si="57"/>
        <v>#REF!</v>
      </c>
      <c r="AZ54" s="23" t="e">
        <f t="shared" si="57"/>
        <v>#REF!</v>
      </c>
      <c r="BA54" s="23" t="e">
        <f t="shared" si="57"/>
        <v>#REF!</v>
      </c>
      <c r="BB54" s="23" t="e">
        <f t="shared" si="57"/>
        <v>#REF!</v>
      </c>
      <c r="BD54" s="23" t="e">
        <f t="shared" si="57"/>
        <v>#REF!</v>
      </c>
      <c r="BF54" s="23">
        <f t="shared" si="57"/>
        <v>-106600</v>
      </c>
      <c r="BH54" s="23" t="e">
        <f t="shared" si="57"/>
        <v>#REF!</v>
      </c>
      <c r="BI54" s="23" t="e">
        <f t="shared" si="57"/>
        <v>#REF!</v>
      </c>
      <c r="BJ54" s="23" t="e">
        <f t="shared" si="58"/>
        <v>#REF!</v>
      </c>
      <c r="BK54" s="23" t="e">
        <f t="shared" si="58"/>
        <v>#REF!</v>
      </c>
      <c r="BL54" s="23" t="e">
        <f t="shared" si="58"/>
        <v>#REF!</v>
      </c>
      <c r="BN54" s="23" t="e">
        <f t="shared" si="59"/>
        <v>#REF!</v>
      </c>
      <c r="BO54" s="23" t="e">
        <f t="shared" si="59"/>
        <v>#REF!</v>
      </c>
      <c r="BP54" s="23" t="e">
        <f t="shared" si="59"/>
        <v>#REF!</v>
      </c>
      <c r="BQ54" s="23" t="e">
        <f t="shared" si="59"/>
        <v>#REF!</v>
      </c>
      <c r="BR54" s="23" t="e">
        <f t="shared" si="59"/>
        <v>#REF!</v>
      </c>
      <c r="BT54" s="23" t="e">
        <f t="shared" si="59"/>
        <v>#REF!</v>
      </c>
      <c r="BU54" s="23" t="e">
        <f t="shared" si="59"/>
        <v>#REF!</v>
      </c>
      <c r="BV54" s="23" t="e">
        <f t="shared" si="59"/>
        <v>#REF!</v>
      </c>
      <c r="BW54" s="23" t="e">
        <f t="shared" si="59"/>
        <v>#REF!</v>
      </c>
      <c r="BX54" s="23" t="e">
        <f t="shared" si="59"/>
        <v>#REF!</v>
      </c>
      <c r="BZ54" s="23" t="e">
        <f t="shared" si="59"/>
        <v>#REF!</v>
      </c>
      <c r="CA54" s="23" t="e">
        <f t="shared" si="59"/>
        <v>#REF!</v>
      </c>
      <c r="CB54" s="23" t="e">
        <f t="shared" si="59"/>
        <v>#REF!</v>
      </c>
      <c r="CC54" s="23" t="e">
        <f t="shared" si="59"/>
        <v>#REF!</v>
      </c>
      <c r="CD54" s="23" t="e">
        <f t="shared" si="60"/>
        <v>#REF!</v>
      </c>
      <c r="CF54" s="23" t="e">
        <f t="shared" si="61"/>
        <v>#REF!</v>
      </c>
      <c r="CG54" s="23" t="e">
        <f t="shared" si="61"/>
        <v>#REF!</v>
      </c>
      <c r="CH54" s="23" t="e">
        <f t="shared" si="61"/>
        <v>#REF!</v>
      </c>
      <c r="CI54" s="23" t="e">
        <f t="shared" si="61"/>
        <v>#REF!</v>
      </c>
      <c r="CJ54" s="23" t="e">
        <f t="shared" si="61"/>
        <v>#REF!</v>
      </c>
      <c r="CM54" s="209">
        <f t="shared" si="67"/>
        <v>6.7432199699473727E-2</v>
      </c>
      <c r="CN54" s="209" t="e">
        <f t="shared" si="62"/>
        <v>#REF!</v>
      </c>
      <c r="CO54" s="209" t="e">
        <f t="shared" si="63"/>
        <v>#REF!</v>
      </c>
      <c r="CP54" s="209" t="e">
        <f t="shared" si="64"/>
        <v>#REF!</v>
      </c>
      <c r="CQ54" s="209" t="e">
        <f t="shared" si="65"/>
        <v>#REF!</v>
      </c>
    </row>
    <row r="55" spans="1:95" x14ac:dyDescent="0.25">
      <c r="A55" s="4"/>
      <c r="B55" s="21">
        <v>6</v>
      </c>
      <c r="C55" s="22" t="s">
        <v>84</v>
      </c>
      <c r="D55" s="22" t="s">
        <v>85</v>
      </c>
      <c r="E55" s="23">
        <f t="shared" si="66"/>
        <v>15582342.155601533</v>
      </c>
      <c r="F55" s="45" t="e">
        <f>SUMIFS(#REF!,#REF!,C55)</f>
        <v>#REF!</v>
      </c>
      <c r="H55" s="45" t="e" cm="1">
        <f t="array" ref="H55">SUMPRODUCT((H$5:H$46)*($E$5:$E$46)*($A$5:$A$46=$C55))/SUMPRODUCT(($E$5:$E$46)*($A$5:$A$46=$C55))</f>
        <v>#REF!</v>
      </c>
      <c r="I55" s="45" t="e" cm="1">
        <f t="array" ref="I55">SUMPRODUCT((I$5:I$46)*($E$5:$E$46)*($A$5:$A$46=$C55))/SUMPRODUCT(($E$5:$E$46)*($A$5:$A$46=$C55))</f>
        <v>#REF!</v>
      </c>
      <c r="J55" s="45" t="e" cm="1">
        <f t="array" ref="J55">SUMPRODUCT((J$5:J$46)*($E$5:$E$46)*($A$5:$A$46=$C55))/SUMPRODUCT(($E$5:$E$46)*($A$5:$A$46=$C55))</f>
        <v>#REF!</v>
      </c>
      <c r="K55" s="23" t="e">
        <f t="shared" si="52"/>
        <v>#REF!</v>
      </c>
      <c r="L55" s="23" t="e">
        <f t="shared" si="52"/>
        <v>#REF!</v>
      </c>
      <c r="M55" s="45" t="e">
        <f>SUMIFS(#REF!,#REF!,C55)</f>
        <v>#REF!</v>
      </c>
      <c r="N55" s="23" t="e">
        <f t="shared" si="53"/>
        <v>#REF!</v>
      </c>
      <c r="O55" s="45" t="e" cm="1">
        <f t="array" ref="O55">SUMPRODUCT((O$5:O$46)*($L$5:$L$46)*($A$5:$A$46=$C55))/SUMPRODUCT(($L$5:$L$46)*($A$5:$A$46=$C55))</f>
        <v>#REF!</v>
      </c>
      <c r="P55" s="23" t="e">
        <f t="shared" si="54"/>
        <v>#REF!</v>
      </c>
      <c r="Q55" s="23" t="e">
        <f t="shared" si="54"/>
        <v>#REF!</v>
      </c>
      <c r="R55" s="23" t="e">
        <f t="shared" si="54"/>
        <v>#REF!</v>
      </c>
      <c r="S55" s="23" t="e">
        <f t="shared" si="54"/>
        <v>#REF!</v>
      </c>
      <c r="T55" s="23" t="e">
        <f t="shared" si="55"/>
        <v>#REF!</v>
      </c>
      <c r="U55" s="23"/>
      <c r="V55" s="23" t="e">
        <f t="shared" si="54"/>
        <v>#REF!</v>
      </c>
      <c r="W55" s="23" t="e">
        <f t="shared" si="54"/>
        <v>#REF!</v>
      </c>
      <c r="X55" s="45"/>
      <c r="Y55" s="45"/>
      <c r="Z55" s="45"/>
      <c r="AA55" s="45" t="e">
        <f t="shared" si="56"/>
        <v>#REF!</v>
      </c>
      <c r="AB55" s="23" t="e">
        <f t="shared" si="54"/>
        <v>#REF!</v>
      </c>
      <c r="AC55" s="23" t="e">
        <f t="shared" si="54"/>
        <v>#REF!</v>
      </c>
      <c r="AD55" s="66"/>
      <c r="AE55" s="23" t="e">
        <f t="shared" si="54"/>
        <v>#REF!</v>
      </c>
      <c r="AF55" s="23" t="e">
        <f t="shared" si="54"/>
        <v>#REF!</v>
      </c>
      <c r="AG55" s="23" t="e">
        <f t="shared" si="54"/>
        <v>#REF!</v>
      </c>
      <c r="AH55" s="23" t="e">
        <f t="shared" si="54"/>
        <v>#REF!</v>
      </c>
      <c r="AI55" s="23" t="e">
        <f t="shared" si="54"/>
        <v>#REF!</v>
      </c>
      <c r="AJ55" s="23" t="e">
        <f t="shared" si="54"/>
        <v>#REF!</v>
      </c>
      <c r="AK55" s="23">
        <f t="shared" si="54"/>
        <v>0</v>
      </c>
      <c r="AL55" s="23" t="e">
        <f t="shared" si="54"/>
        <v>#REF!</v>
      </c>
      <c r="AN55" s="23" t="e">
        <f t="shared" si="54"/>
        <v>#REF!</v>
      </c>
      <c r="AO55" s="23" t="e">
        <f t="shared" si="54"/>
        <v>#REF!</v>
      </c>
      <c r="AQ55" s="23" t="e">
        <f t="shared" si="54"/>
        <v>#REF!</v>
      </c>
      <c r="AS55" s="45" t="e" cm="1">
        <f t="array" ref="AS55">SUMPRODUCT((AS$5:AS$46)*($L$5:$L$46)*($A$5:$A$46=$C55))/SUMPRODUCT(($L$5:$L$46)*($A$5:$A$46=$C55))</f>
        <v>#REF!</v>
      </c>
      <c r="AT55" s="23" t="e">
        <f t="shared" si="57"/>
        <v>#REF!</v>
      </c>
      <c r="AV55" s="23" t="e">
        <f t="shared" si="57"/>
        <v>#REF!</v>
      </c>
      <c r="AW55" s="23" t="e">
        <f t="shared" si="57"/>
        <v>#REF!</v>
      </c>
      <c r="AX55" s="23" t="e">
        <f t="shared" si="57"/>
        <v>#REF!</v>
      </c>
      <c r="AZ55" s="23" t="e">
        <f t="shared" si="57"/>
        <v>#REF!</v>
      </c>
      <c r="BA55" s="23" t="e">
        <f t="shared" si="57"/>
        <v>#REF!</v>
      </c>
      <c r="BB55" s="23" t="e">
        <f t="shared" si="57"/>
        <v>#REF!</v>
      </c>
      <c r="BD55" s="23" t="e">
        <f t="shared" si="57"/>
        <v>#REF!</v>
      </c>
      <c r="BF55" s="23">
        <f t="shared" si="57"/>
        <v>-300400</v>
      </c>
      <c r="BH55" s="23" t="e">
        <f t="shared" si="57"/>
        <v>#REF!</v>
      </c>
      <c r="BI55" s="23" t="e">
        <f t="shared" si="57"/>
        <v>#REF!</v>
      </c>
      <c r="BJ55" s="23" t="e">
        <f t="shared" si="58"/>
        <v>#REF!</v>
      </c>
      <c r="BK55" s="23" t="e">
        <f t="shared" si="58"/>
        <v>#REF!</v>
      </c>
      <c r="BL55" s="23" t="e">
        <f t="shared" si="58"/>
        <v>#REF!</v>
      </c>
      <c r="BN55" s="23" t="e">
        <f t="shared" si="59"/>
        <v>#REF!</v>
      </c>
      <c r="BO55" s="23" t="e">
        <f t="shared" si="59"/>
        <v>#REF!</v>
      </c>
      <c r="BP55" s="23" t="e">
        <f t="shared" si="59"/>
        <v>#REF!</v>
      </c>
      <c r="BQ55" s="23" t="e">
        <f t="shared" si="59"/>
        <v>#REF!</v>
      </c>
      <c r="BR55" s="23" t="e">
        <f t="shared" si="59"/>
        <v>#REF!</v>
      </c>
      <c r="BT55" s="23" t="e">
        <f t="shared" si="59"/>
        <v>#REF!</v>
      </c>
      <c r="BU55" s="23" t="e">
        <f t="shared" si="59"/>
        <v>#REF!</v>
      </c>
      <c r="BV55" s="23" t="e">
        <f t="shared" si="59"/>
        <v>#REF!</v>
      </c>
      <c r="BW55" s="23" t="e">
        <f t="shared" si="59"/>
        <v>#REF!</v>
      </c>
      <c r="BX55" s="23" t="e">
        <f t="shared" si="59"/>
        <v>#REF!</v>
      </c>
      <c r="BZ55" s="23" t="e">
        <f t="shared" si="59"/>
        <v>#REF!</v>
      </c>
      <c r="CA55" s="23" t="e">
        <f t="shared" si="59"/>
        <v>#REF!</v>
      </c>
      <c r="CB55" s="23" t="e">
        <f t="shared" si="59"/>
        <v>#REF!</v>
      </c>
      <c r="CC55" s="23" t="e">
        <f t="shared" si="59"/>
        <v>#REF!</v>
      </c>
      <c r="CD55" s="23" t="e">
        <f t="shared" si="60"/>
        <v>#REF!</v>
      </c>
      <c r="CF55" s="23" t="e">
        <f t="shared" si="61"/>
        <v>#REF!</v>
      </c>
      <c r="CG55" s="23" t="e">
        <f t="shared" si="61"/>
        <v>#REF!</v>
      </c>
      <c r="CH55" s="23" t="e">
        <f t="shared" si="61"/>
        <v>#REF!</v>
      </c>
      <c r="CI55" s="23" t="e">
        <f t="shared" si="61"/>
        <v>#REF!</v>
      </c>
      <c r="CJ55" s="23" t="e">
        <f t="shared" si="61"/>
        <v>#REF!</v>
      </c>
      <c r="CM55" s="209">
        <f t="shared" si="67"/>
        <v>0.19002469783979273</v>
      </c>
      <c r="CN55" s="209" t="e">
        <f t="shared" si="62"/>
        <v>#REF!</v>
      </c>
      <c r="CO55" s="209" t="e">
        <f t="shared" si="63"/>
        <v>#REF!</v>
      </c>
      <c r="CP55" s="209" t="e">
        <f t="shared" si="64"/>
        <v>#REF!</v>
      </c>
      <c r="CQ55" s="209" t="e">
        <f t="shared" si="65"/>
        <v>#REF!</v>
      </c>
    </row>
    <row r="56" spans="1:95" x14ac:dyDescent="0.25">
      <c r="A56" s="4"/>
      <c r="B56" s="21">
        <v>7</v>
      </c>
      <c r="C56" s="22" t="s">
        <v>98</v>
      </c>
      <c r="D56" s="22" t="s">
        <v>99</v>
      </c>
      <c r="E56" s="23">
        <f t="shared" si="66"/>
        <v>10165711.523301041</v>
      </c>
      <c r="F56" s="45" t="e">
        <f>SUMIFS(#REF!,#REF!,C56)</f>
        <v>#REF!</v>
      </c>
      <c r="H56" s="45" t="e" cm="1">
        <f t="array" ref="H56">SUMPRODUCT((H$5:H$46)*($E$5:$E$46)*($A$5:$A$46=$C56))/SUMPRODUCT(($E$5:$E$46)*($A$5:$A$46=$C56))</f>
        <v>#REF!</v>
      </c>
      <c r="I56" s="45" t="e" cm="1">
        <f t="array" ref="I56">SUMPRODUCT((I$5:I$46)*($E$5:$E$46)*($A$5:$A$46=$C56))/SUMPRODUCT(($E$5:$E$46)*($A$5:$A$46=$C56))</f>
        <v>#REF!</v>
      </c>
      <c r="J56" s="45" t="e" cm="1">
        <f t="array" ref="J56">SUMPRODUCT((J$5:J$46)*($E$5:$E$46)*($A$5:$A$46=$C56))/SUMPRODUCT(($E$5:$E$46)*($A$5:$A$46=$C56))</f>
        <v>#REF!</v>
      </c>
      <c r="K56" s="23" t="e">
        <f t="shared" si="52"/>
        <v>#REF!</v>
      </c>
      <c r="L56" s="23" t="e">
        <f t="shared" si="52"/>
        <v>#REF!</v>
      </c>
      <c r="M56" s="45" t="e">
        <f>SUMIFS(#REF!,#REF!,C56)</f>
        <v>#REF!</v>
      </c>
      <c r="N56" s="23" t="e">
        <f t="shared" si="53"/>
        <v>#REF!</v>
      </c>
      <c r="O56" s="45" t="e" cm="1">
        <f t="array" ref="O56">SUMPRODUCT((O$5:O$46)*($L$5:$L$46)*($A$5:$A$46=$C56))/SUMPRODUCT(($L$5:$L$46)*($A$5:$A$46=$C56))</f>
        <v>#REF!</v>
      </c>
      <c r="P56" s="23" t="e">
        <f t="shared" si="54"/>
        <v>#REF!</v>
      </c>
      <c r="Q56" s="23" t="e">
        <f t="shared" si="54"/>
        <v>#REF!</v>
      </c>
      <c r="R56" s="23" t="e">
        <f t="shared" si="54"/>
        <v>#REF!</v>
      </c>
      <c r="S56" s="23" t="e">
        <f t="shared" si="54"/>
        <v>#REF!</v>
      </c>
      <c r="T56" s="23" t="e">
        <f t="shared" si="55"/>
        <v>#REF!</v>
      </c>
      <c r="U56" s="23"/>
      <c r="V56" s="23" t="e">
        <f t="shared" si="54"/>
        <v>#REF!</v>
      </c>
      <c r="W56" s="23" t="e">
        <f t="shared" si="54"/>
        <v>#REF!</v>
      </c>
      <c r="X56" s="45"/>
      <c r="Y56" s="45"/>
      <c r="Z56" s="45"/>
      <c r="AA56" s="45" t="e">
        <f t="shared" si="56"/>
        <v>#REF!</v>
      </c>
      <c r="AB56" s="23" t="e">
        <f t="shared" si="54"/>
        <v>#REF!</v>
      </c>
      <c r="AC56" s="23" t="e">
        <f t="shared" si="54"/>
        <v>#REF!</v>
      </c>
      <c r="AD56" s="66"/>
      <c r="AE56" s="23" t="e">
        <f t="shared" si="54"/>
        <v>#REF!</v>
      </c>
      <c r="AF56" s="23" t="e">
        <f t="shared" si="54"/>
        <v>#REF!</v>
      </c>
      <c r="AG56" s="23" t="e">
        <f t="shared" si="54"/>
        <v>#REF!</v>
      </c>
      <c r="AH56" s="23" t="e">
        <f t="shared" si="54"/>
        <v>#REF!</v>
      </c>
      <c r="AI56" s="23" t="e">
        <f t="shared" si="54"/>
        <v>#REF!</v>
      </c>
      <c r="AJ56" s="23" t="e">
        <f t="shared" si="54"/>
        <v>#REF!</v>
      </c>
      <c r="AK56" s="23">
        <f t="shared" si="54"/>
        <v>0</v>
      </c>
      <c r="AL56" s="23" t="e">
        <f t="shared" si="54"/>
        <v>#REF!</v>
      </c>
      <c r="AN56" s="23" t="e">
        <f t="shared" si="54"/>
        <v>#REF!</v>
      </c>
      <c r="AO56" s="23" t="e">
        <f t="shared" si="54"/>
        <v>#REF!</v>
      </c>
      <c r="AQ56" s="23" t="e">
        <f t="shared" si="54"/>
        <v>#REF!</v>
      </c>
      <c r="AS56" s="45" t="e" cm="1">
        <f t="array" ref="AS56">SUMPRODUCT((AS$5:AS$46)*($L$5:$L$46)*($A$5:$A$46=$C56))/SUMPRODUCT(($L$5:$L$46)*($A$5:$A$46=$C56))</f>
        <v>#REF!</v>
      </c>
      <c r="AT56" s="23" t="e">
        <f t="shared" si="57"/>
        <v>#REF!</v>
      </c>
      <c r="AV56" s="23" t="e">
        <f t="shared" si="57"/>
        <v>#REF!</v>
      </c>
      <c r="AW56" s="23" t="e">
        <f t="shared" si="57"/>
        <v>#REF!</v>
      </c>
      <c r="AX56" s="23" t="e">
        <f t="shared" si="57"/>
        <v>#REF!</v>
      </c>
      <c r="AZ56" s="23" t="e">
        <f t="shared" si="57"/>
        <v>#REF!</v>
      </c>
      <c r="BA56" s="23" t="e">
        <f t="shared" si="57"/>
        <v>#REF!</v>
      </c>
      <c r="BB56" s="23" t="e">
        <f t="shared" si="57"/>
        <v>#REF!</v>
      </c>
      <c r="BD56" s="23" t="e">
        <f t="shared" si="57"/>
        <v>#REF!</v>
      </c>
      <c r="BF56" s="23">
        <f t="shared" si="57"/>
        <v>-100000</v>
      </c>
      <c r="BH56" s="23" t="e">
        <f t="shared" si="57"/>
        <v>#REF!</v>
      </c>
      <c r="BI56" s="23" t="e">
        <f t="shared" si="57"/>
        <v>#REF!</v>
      </c>
      <c r="BJ56" s="23" t="e">
        <f t="shared" si="58"/>
        <v>#REF!</v>
      </c>
      <c r="BK56" s="23" t="e">
        <f t="shared" si="58"/>
        <v>#REF!</v>
      </c>
      <c r="BL56" s="23" t="e">
        <f t="shared" si="58"/>
        <v>#REF!</v>
      </c>
      <c r="BN56" s="23" t="e">
        <f t="shared" si="59"/>
        <v>#REF!</v>
      </c>
      <c r="BO56" s="23" t="e">
        <f t="shared" si="59"/>
        <v>#REF!</v>
      </c>
      <c r="BP56" s="23" t="e">
        <f t="shared" si="59"/>
        <v>#REF!</v>
      </c>
      <c r="BQ56" s="23" t="e">
        <f t="shared" si="59"/>
        <v>#REF!</v>
      </c>
      <c r="BR56" s="23" t="e">
        <f t="shared" si="59"/>
        <v>#REF!</v>
      </c>
      <c r="BT56" s="23" t="e">
        <f t="shared" si="59"/>
        <v>#REF!</v>
      </c>
      <c r="BU56" s="23" t="e">
        <f t="shared" si="59"/>
        <v>#REF!</v>
      </c>
      <c r="BV56" s="23" t="e">
        <f t="shared" si="59"/>
        <v>#REF!</v>
      </c>
      <c r="BW56" s="23" t="e">
        <f t="shared" si="59"/>
        <v>#REF!</v>
      </c>
      <c r="BX56" s="23" t="e">
        <f t="shared" si="59"/>
        <v>#REF!</v>
      </c>
      <c r="BZ56" s="23" t="e">
        <f t="shared" si="59"/>
        <v>#REF!</v>
      </c>
      <c r="CA56" s="23" t="e">
        <f t="shared" si="59"/>
        <v>#REF!</v>
      </c>
      <c r="CB56" s="23" t="e">
        <f t="shared" si="59"/>
        <v>#REF!</v>
      </c>
      <c r="CC56" s="23" t="e">
        <f t="shared" si="59"/>
        <v>#REF!</v>
      </c>
      <c r="CD56" s="23" t="e">
        <f t="shared" si="60"/>
        <v>#REF!</v>
      </c>
      <c r="CF56" s="23" t="e">
        <f t="shared" si="61"/>
        <v>#REF!</v>
      </c>
      <c r="CG56" s="23" t="e">
        <f t="shared" si="61"/>
        <v>#REF!</v>
      </c>
      <c r="CH56" s="23" t="e">
        <f t="shared" si="61"/>
        <v>#REF!</v>
      </c>
      <c r="CI56" s="23" t="e">
        <f t="shared" si="61"/>
        <v>#REF!</v>
      </c>
      <c r="CJ56" s="23" t="e">
        <f t="shared" si="61"/>
        <v>#REF!</v>
      </c>
      <c r="CM56" s="209">
        <f t="shared" si="67"/>
        <v>6.325722298262075E-2</v>
      </c>
      <c r="CN56" s="209" t="e">
        <f t="shared" si="62"/>
        <v>#REF!</v>
      </c>
      <c r="CO56" s="209" t="e">
        <f t="shared" si="63"/>
        <v>#REF!</v>
      </c>
      <c r="CP56" s="209" t="e">
        <f t="shared" si="64"/>
        <v>#REF!</v>
      </c>
      <c r="CQ56" s="209" t="e">
        <f t="shared" si="65"/>
        <v>#REF!</v>
      </c>
    </row>
    <row r="57" spans="1:95" x14ac:dyDescent="0.25">
      <c r="A57" s="22"/>
      <c r="B57" s="37"/>
      <c r="C57" s="38" t="s">
        <v>115</v>
      </c>
      <c r="D57" s="38" t="s">
        <v>116</v>
      </c>
      <c r="E57" s="33">
        <f>SUM(E50:E56)</f>
        <v>104194073.50962898</v>
      </c>
      <c r="F57" s="46" t="e">
        <f>SUMIFS(#REF!,#REF!,C57)</f>
        <v>#REF!</v>
      </c>
      <c r="H57" s="46" t="e">
        <f>SUMPRODUCT(H5:H46,E5:E46)/E57</f>
        <v>#REF!</v>
      </c>
      <c r="I57" s="46" t="e">
        <f t="shared" ref="I57" si="68">H57-$H$57</f>
        <v>#REF!</v>
      </c>
      <c r="J57" s="46" t="e">
        <f>$J$2+I57</f>
        <v>#REF!</v>
      </c>
      <c r="K57" s="33" t="e">
        <f>SUM(K50:K56)</f>
        <v>#REF!</v>
      </c>
      <c r="L57" s="33" t="e">
        <f>SUM(L50:L56)</f>
        <v>#REF!</v>
      </c>
      <c r="M57" s="46" t="e">
        <f>SUMIFS(#REF!,#REF!,C57)</f>
        <v>#REF!</v>
      </c>
      <c r="N57" s="33" t="e">
        <f t="shared" ref="N57:Q57" si="69">SUM(N50:N56)</f>
        <v>#REF!</v>
      </c>
      <c r="O57" s="46" t="e">
        <f>P57/L57</f>
        <v>#REF!</v>
      </c>
      <c r="P57" s="33" t="e">
        <f t="shared" si="69"/>
        <v>#REF!</v>
      </c>
      <c r="Q57" s="33" t="e">
        <f t="shared" si="69"/>
        <v>#REF!</v>
      </c>
      <c r="R57" s="33" t="e">
        <f t="shared" ref="R57:S57" si="70">SUM(R50:R56)</f>
        <v>#REF!</v>
      </c>
      <c r="S57" s="33" t="e">
        <f t="shared" si="70"/>
        <v>#REF!</v>
      </c>
      <c r="T57" s="33" t="e">
        <f t="shared" si="55"/>
        <v>#REF!</v>
      </c>
      <c r="U57" s="33"/>
      <c r="V57" s="33" t="e">
        <f t="shared" ref="V57:W57" si="71">SUM(V50:V56)</f>
        <v>#REF!</v>
      </c>
      <c r="W57" s="33" t="e">
        <f t="shared" si="71"/>
        <v>#REF!</v>
      </c>
      <c r="X57" s="46"/>
      <c r="Y57" s="46"/>
      <c r="Z57" s="46"/>
      <c r="AA57" s="46" t="e">
        <f t="shared" si="56"/>
        <v>#REF!</v>
      </c>
      <c r="AB57" s="33" t="e">
        <f t="shared" ref="AB57:AC57" si="72">SUM(AB50:AB56)</f>
        <v>#REF!</v>
      </c>
      <c r="AC57" s="33" t="e">
        <f t="shared" si="72"/>
        <v>#REF!</v>
      </c>
      <c r="AD57" s="67"/>
      <c r="AE57" s="33" t="e">
        <f t="shared" ref="AE57:AQ57" si="73">SUM(AE50:AE56)</f>
        <v>#REF!</v>
      </c>
      <c r="AF57" s="33" t="e">
        <f t="shared" si="73"/>
        <v>#REF!</v>
      </c>
      <c r="AG57" s="33" t="e">
        <f t="shared" si="73"/>
        <v>#REF!</v>
      </c>
      <c r="AH57" s="33" t="e">
        <f t="shared" si="73"/>
        <v>#REF!</v>
      </c>
      <c r="AI57" s="33" t="e">
        <f t="shared" si="73"/>
        <v>#REF!</v>
      </c>
      <c r="AJ57" s="33" t="e">
        <f t="shared" si="73"/>
        <v>#REF!</v>
      </c>
      <c r="AK57" s="33">
        <f t="shared" si="73"/>
        <v>0</v>
      </c>
      <c r="AL57" s="33" t="e">
        <f t="shared" si="73"/>
        <v>#REF!</v>
      </c>
      <c r="AN57" s="33" t="e">
        <f t="shared" si="73"/>
        <v>#REF!</v>
      </c>
      <c r="AO57" s="33" t="e">
        <f t="shared" si="73"/>
        <v>#REF!</v>
      </c>
      <c r="AQ57" s="33" t="e">
        <f t="shared" si="73"/>
        <v>#REF!</v>
      </c>
      <c r="AS57" s="46" t="e" cm="1">
        <f t="array" ref="AS57">SUMPRODUCT((AS$5:AS$46)*($L$5:$L$46))/SUMPRODUCT(($L$5:$L$46))</f>
        <v>#REF!</v>
      </c>
      <c r="AT57" s="33" t="e">
        <f t="shared" ref="AT57:AX57" si="74">SUM(AT50:AT56)</f>
        <v>#REF!</v>
      </c>
      <c r="AV57" s="33" t="e">
        <f t="shared" si="74"/>
        <v>#REF!</v>
      </c>
      <c r="AW57" s="33" t="e">
        <f t="shared" si="74"/>
        <v>#REF!</v>
      </c>
      <c r="AX57" s="33" t="e">
        <f t="shared" si="74"/>
        <v>#REF!</v>
      </c>
      <c r="AZ57" s="33" t="e">
        <f t="shared" ref="AZ57:BB57" si="75">SUM(AZ50:AZ56)</f>
        <v>#REF!</v>
      </c>
      <c r="BA57" s="33" t="e">
        <f t="shared" si="75"/>
        <v>#REF!</v>
      </c>
      <c r="BB57" s="33" t="e">
        <f t="shared" si="75"/>
        <v>#REF!</v>
      </c>
      <c r="BD57" s="33" t="e">
        <f t="shared" ref="BD57:BF57" si="76">SUM(BD50:BD56)</f>
        <v>#REF!</v>
      </c>
      <c r="BF57" s="33">
        <f t="shared" si="76"/>
        <v>-1580847.1394242826</v>
      </c>
      <c r="BH57" s="33" t="e">
        <f t="shared" ref="BH57:BL57" si="77">SUM(BH50:BH56)</f>
        <v>#REF!</v>
      </c>
      <c r="BI57" s="33" t="e">
        <f t="shared" si="77"/>
        <v>#REF!</v>
      </c>
      <c r="BJ57" s="33" t="e">
        <f t="shared" si="77"/>
        <v>#REF!</v>
      </c>
      <c r="BK57" s="33" t="e">
        <f t="shared" si="77"/>
        <v>#REF!</v>
      </c>
      <c r="BL57" s="33" t="e">
        <f t="shared" si="77"/>
        <v>#REF!</v>
      </c>
      <c r="BN57" s="33" t="e">
        <f t="shared" ref="BN57:BR57" si="78">SUM(BN50:BN56)</f>
        <v>#REF!</v>
      </c>
      <c r="BO57" s="33" t="e">
        <f t="shared" si="78"/>
        <v>#REF!</v>
      </c>
      <c r="BP57" s="33" t="e">
        <f t="shared" si="78"/>
        <v>#REF!</v>
      </c>
      <c r="BQ57" s="33" t="e">
        <f t="shared" si="78"/>
        <v>#REF!</v>
      </c>
      <c r="BR57" s="33" t="e">
        <f t="shared" si="78"/>
        <v>#REF!</v>
      </c>
      <c r="BT57" s="33" t="e">
        <f t="shared" ref="BT57:BX57" si="79">SUM(BT50:BT56)</f>
        <v>#REF!</v>
      </c>
      <c r="BU57" s="33" t="e">
        <f t="shared" si="79"/>
        <v>#REF!</v>
      </c>
      <c r="BV57" s="33" t="e">
        <f t="shared" si="79"/>
        <v>#REF!</v>
      </c>
      <c r="BW57" s="33" t="e">
        <f t="shared" si="79"/>
        <v>#REF!</v>
      </c>
      <c r="BX57" s="33" t="e">
        <f t="shared" si="79"/>
        <v>#REF!</v>
      </c>
      <c r="BZ57" s="33" t="e">
        <f t="shared" ref="BZ57:CD57" si="80">SUM(BZ50:BZ56)</f>
        <v>#REF!</v>
      </c>
      <c r="CA57" s="33" t="e">
        <f t="shared" si="80"/>
        <v>#REF!</v>
      </c>
      <c r="CB57" s="33" t="e">
        <f t="shared" si="80"/>
        <v>#REF!</v>
      </c>
      <c r="CC57" s="33" t="e">
        <f t="shared" si="80"/>
        <v>#REF!</v>
      </c>
      <c r="CD57" s="33" t="e">
        <f t="shared" si="80"/>
        <v>#REF!</v>
      </c>
      <c r="CF57" s="33" t="e">
        <f t="shared" ref="CF57:CJ57" si="81">SUM(CF50:CF56)</f>
        <v>#REF!</v>
      </c>
      <c r="CG57" s="33" t="e">
        <f t="shared" si="81"/>
        <v>#REF!</v>
      </c>
      <c r="CH57" s="33" t="e">
        <f t="shared" si="81"/>
        <v>#REF!</v>
      </c>
      <c r="CI57" s="33" t="e">
        <f t="shared" si="81"/>
        <v>#REF!</v>
      </c>
      <c r="CJ57" s="33" t="e">
        <f t="shared" si="81"/>
        <v>#REF!</v>
      </c>
    </row>
    <row r="59" spans="1:95" x14ac:dyDescent="0.25">
      <c r="D59" s="22" t="s">
        <v>252</v>
      </c>
      <c r="E59" s="58" t="e">
        <f>E57-#REF!</f>
        <v>#REF!</v>
      </c>
      <c r="L59" s="58" t="e">
        <f>L57-E57</f>
        <v>#REF!</v>
      </c>
      <c r="N59" s="60"/>
      <c r="O59" s="41" t="e">
        <f>O57-M57</f>
        <v>#REF!</v>
      </c>
      <c r="AB59" s="58" t="e">
        <f>AB57-#REF!</f>
        <v>#REF!</v>
      </c>
      <c r="AE59" s="58" t="e">
        <f>AE57-#REF!</f>
        <v>#REF!</v>
      </c>
      <c r="AH59" s="58" t="e">
        <f>AH57-#REF!</f>
        <v>#REF!</v>
      </c>
      <c r="AI59" s="58"/>
      <c r="AJ59" s="58"/>
      <c r="AK59" s="58"/>
      <c r="AN59" s="58"/>
      <c r="AO59" s="58"/>
      <c r="AQ59" s="58"/>
      <c r="AT59" s="58"/>
      <c r="AV59" s="58"/>
      <c r="AW59" s="58"/>
      <c r="AX59" s="58"/>
      <c r="AZ59" s="58"/>
      <c r="BA59" s="58"/>
      <c r="BB59" s="58"/>
      <c r="BD59" s="58"/>
      <c r="BF59" s="58">
        <f>SUMIFS(BF$5:BF$46,BF$5:BF$46,"&lt;0")</f>
        <v>-1580847.1394242826</v>
      </c>
      <c r="BH59" s="58"/>
      <c r="BI59" s="58">
        <f>SUMIFS(BI$5:BI$46,BI$5:BI$46,"&lt;0")</f>
        <v>0</v>
      </c>
      <c r="BJ59" s="58"/>
      <c r="BK59" s="58"/>
      <c r="BL59" s="58"/>
      <c r="BN59" s="58"/>
      <c r="BO59" s="58">
        <f>SUMIFS(BO$5:BO$46,BO$5:BO$46,"&lt;0")</f>
        <v>0</v>
      </c>
      <c r="BP59" s="58"/>
      <c r="BQ59" s="58"/>
      <c r="BR59" s="58"/>
      <c r="BT59" s="58"/>
      <c r="BU59" s="58">
        <f>SUMIFS(BU$5:BU$46,BU$5:BU$46,"&lt;0")</f>
        <v>0</v>
      </c>
      <c r="BV59" s="58"/>
      <c r="BW59" s="58"/>
      <c r="BX59" s="58"/>
      <c r="BZ59" s="58"/>
      <c r="CA59" s="58">
        <f>SUMIFS(CA$5:CA$46,CA$5:CA$46,"&lt;0")</f>
        <v>0</v>
      </c>
      <c r="CB59" s="58"/>
      <c r="CC59" s="58"/>
      <c r="CD59" s="58"/>
      <c r="CF59" s="58"/>
      <c r="CG59" s="58">
        <f>SUMIFS(CG$5:CG$46,CG$5:CG$46,"&lt;0")</f>
        <v>0</v>
      </c>
      <c r="CH59" s="58"/>
      <c r="CI59" s="58"/>
      <c r="CJ59" s="58"/>
    </row>
    <row r="60" spans="1:95" x14ac:dyDescent="0.25">
      <c r="D60" s="22" t="s">
        <v>384</v>
      </c>
      <c r="H60" s="48"/>
      <c r="N60" s="60"/>
      <c r="O60" s="48" t="e">
        <f>Q57/O59*0.1%</f>
        <v>#REF!</v>
      </c>
      <c r="R60" s="58" t="e">
        <f>R57-#REF!</f>
        <v>#REF!</v>
      </c>
      <c r="S60" s="58"/>
      <c r="T60" s="58"/>
      <c r="BF60" s="58">
        <f>SUMIFS(BF$5:BF$46,BF$5:BF$46,"&gt;0")</f>
        <v>0</v>
      </c>
      <c r="BI60" s="58">
        <f>SUMIFS(BI$5:BI$46,BI$5:BI$46,"&gt;0")</f>
        <v>0</v>
      </c>
      <c r="BO60" s="58">
        <f>SUMIFS(BO$5:BO$46,BO$5:BO$46,"&gt;0")</f>
        <v>0</v>
      </c>
      <c r="BU60" s="58">
        <f>SUMIFS(BU$5:BU$46,BU$5:BU$46,"&gt;0")</f>
        <v>0</v>
      </c>
      <c r="CA60" s="58">
        <f>SUMIFS(CA$5:CA$46,CA$5:CA$46,"&gt;0")</f>
        <v>0</v>
      </c>
      <c r="CG60" s="58">
        <f>SUMIFS(CG$5:CG$46,CG$5:CG$46,"&gt;0")</f>
        <v>0</v>
      </c>
    </row>
    <row r="61" spans="1:95" x14ac:dyDescent="0.25">
      <c r="D61" s="22" t="s">
        <v>115</v>
      </c>
      <c r="H61" s="48"/>
      <c r="L61">
        <v>107818948.98651202</v>
      </c>
      <c r="N61" s="60"/>
      <c r="R61" s="58"/>
      <c r="S61" s="58"/>
      <c r="T61" s="58"/>
      <c r="AA61" s="41" t="s">
        <v>385</v>
      </c>
      <c r="AB61">
        <v>38.700000000000003</v>
      </c>
      <c r="AE61">
        <v>4.7</v>
      </c>
      <c r="BF61" s="58">
        <f>SUM(BF59:BF60)</f>
        <v>-1580847.1394242826</v>
      </c>
      <c r="BI61" s="58">
        <f>SUM(BI59:BI60)</f>
        <v>0</v>
      </c>
      <c r="BO61" s="58">
        <f>SUM(BO59:BO60)</f>
        <v>0</v>
      </c>
      <c r="BU61" s="58">
        <f>SUM(BU59:BU60)</f>
        <v>0</v>
      </c>
      <c r="CA61" s="58">
        <f>SUM(CA59:CA60)</f>
        <v>0</v>
      </c>
      <c r="CG61" s="58">
        <f>SUM(CG59:CG60)</f>
        <v>0</v>
      </c>
    </row>
    <row r="62" spans="1:95" x14ac:dyDescent="0.25">
      <c r="L62" s="58" t="e">
        <f>L57-L61</f>
        <v>#REF!</v>
      </c>
      <c r="N62" s="60"/>
      <c r="O62" s="80">
        <v>305</v>
      </c>
      <c r="R62" s="58">
        <v>106793243.06720334</v>
      </c>
      <c r="S62" s="58"/>
      <c r="T62" s="58"/>
      <c r="AA62" s="41" t="s">
        <v>386</v>
      </c>
      <c r="AB62">
        <v>16.899999999999999</v>
      </c>
      <c r="AE62">
        <v>2.1</v>
      </c>
    </row>
    <row r="63" spans="1:95" x14ac:dyDescent="0.25">
      <c r="D63" s="22" t="s">
        <v>252</v>
      </c>
      <c r="N63" s="60"/>
      <c r="O63" s="80">
        <v>50</v>
      </c>
      <c r="R63" s="58" t="e">
        <f>R57-R62</f>
        <v>#REF!</v>
      </c>
      <c r="S63" s="58"/>
      <c r="T63" s="58"/>
      <c r="AA63" s="41" t="s">
        <v>115</v>
      </c>
      <c r="AB63">
        <f>SUM(AB61:AB62)</f>
        <v>55.6</v>
      </c>
      <c r="AE63">
        <f>SUM(AE61:AE62)</f>
        <v>6.8000000000000007</v>
      </c>
      <c r="BF63">
        <f>COUNTIFS(BF$5:BF$46,"&lt;0")</f>
        <v>27</v>
      </c>
      <c r="BI63">
        <f>COUNTIFS(BI$5:BI$46,"&lt;0")</f>
        <v>0</v>
      </c>
      <c r="BO63">
        <f>COUNTIFS(BO$5:BO$46,"&lt;0")</f>
        <v>0</v>
      </c>
      <c r="BU63">
        <f>COUNTIFS(BU$5:BU$46,"&lt;0")</f>
        <v>0</v>
      </c>
      <c r="CA63">
        <f>COUNTIFS(CA$5:CA$46,"&lt;0")</f>
        <v>0</v>
      </c>
      <c r="CG63">
        <f>COUNTIFS(CG$5:CG$46,"&lt;0")</f>
        <v>0</v>
      </c>
    </row>
    <row r="64" spans="1:95" x14ac:dyDescent="0.25">
      <c r="D64" s="22" t="s">
        <v>257</v>
      </c>
      <c r="N64" s="60"/>
      <c r="O64" s="80">
        <v>150</v>
      </c>
      <c r="AA64" s="41" t="s">
        <v>387</v>
      </c>
      <c r="AB64" s="41" t="e">
        <f>(AB59/1000)/AB63-1</f>
        <v>#REF!</v>
      </c>
      <c r="AE64" s="41" t="e">
        <f>(AE59/1000)/AE63-1</f>
        <v>#REF!</v>
      </c>
      <c r="BF64">
        <f>COUNTIFS(BF$5:BF$46,0)</f>
        <v>15</v>
      </c>
      <c r="BI64">
        <f>COUNTIFS(BI$5:BI$46,0)</f>
        <v>0</v>
      </c>
      <c r="BO64">
        <f>COUNTIFS(BO$5:BO$46,0)</f>
        <v>0</v>
      </c>
      <c r="BU64">
        <f>COUNTIFS(BU$5:BU$46,0)</f>
        <v>0</v>
      </c>
      <c r="CA64">
        <f>COUNTIFS(CA$5:CA$46,0)</f>
        <v>0</v>
      </c>
      <c r="CG64">
        <f>COUNTIFS(CG$5:CG$46,0)</f>
        <v>0</v>
      </c>
    </row>
    <row r="65" spans="4:85" x14ac:dyDescent="0.25">
      <c r="D65" s="22" t="s">
        <v>384</v>
      </c>
      <c r="N65" s="60"/>
      <c r="O65" s="81">
        <f>SUM(O62:O64)</f>
        <v>505</v>
      </c>
      <c r="AE65" t="s">
        <v>388</v>
      </c>
      <c r="BF65">
        <f>COUNTIFS(BF$5:BF$46,"&gt;0")</f>
        <v>0</v>
      </c>
      <c r="BI65">
        <f>COUNTIFS(BI$5:BI$46,"&gt;0")</f>
        <v>0</v>
      </c>
      <c r="BO65">
        <f>COUNTIFS(BO$5:BO$46,"&gt;0")</f>
        <v>0</v>
      </c>
      <c r="BU65">
        <f>COUNTIFS(BU$5:BU$46,"&gt;0")</f>
        <v>0</v>
      </c>
      <c r="CA65">
        <f>COUNTIFS(CA$5:CA$46,"&gt;0")</f>
        <v>0</v>
      </c>
      <c r="CG65">
        <f>COUNTIFS(CG$5:CG$46,"&gt;0")</f>
        <v>0</v>
      </c>
    </row>
    <row r="66" spans="4:85" x14ac:dyDescent="0.25">
      <c r="N66" s="60"/>
    </row>
    <row r="67" spans="4:85" x14ac:dyDescent="0.25">
      <c r="AE67">
        <f>300/(1+1.8%)*2.3%</f>
        <v>6.7779960707269149</v>
      </c>
    </row>
    <row r="68" spans="4:85" x14ac:dyDescent="0.25">
      <c r="AE68">
        <f>500/(1+1.8%)*2.3%</f>
        <v>11.296660117878192</v>
      </c>
    </row>
    <row r="69" spans="4:85" x14ac:dyDescent="0.25">
      <c r="AE69">
        <f>AE68/AE67-1</f>
        <v>0.66666666666666674</v>
      </c>
    </row>
    <row r="72" spans="4:85" x14ac:dyDescent="0.25">
      <c r="AE72" t="e">
        <f>AE59/1000-AE63</f>
        <v>#REF!</v>
      </c>
    </row>
  </sheetData>
  <conditionalFormatting sqref="CM5:CM46">
    <cfRule type="colorScale" priority="2">
      <colorScale>
        <cfvo type="min"/>
        <cfvo type="percentile" val="50"/>
        <cfvo type="max"/>
        <color rgb="FF63BE7B"/>
        <color rgb="FFFFEB84"/>
        <color rgb="FFF8696B"/>
      </colorScale>
    </cfRule>
  </conditionalFormatting>
  <conditionalFormatting sqref="CM50:CM56">
    <cfRule type="colorScale" priority="3">
      <colorScale>
        <cfvo type="min"/>
        <cfvo type="percentile" val="50"/>
        <cfvo type="max"/>
        <color rgb="FF63BE7B"/>
        <color rgb="FFFFEB84"/>
        <color rgb="FFF8696B"/>
      </colorScale>
    </cfRule>
  </conditionalFormatting>
  <conditionalFormatting sqref="CN5:CQ46">
    <cfRule type="colorScale" priority="1">
      <colorScale>
        <cfvo type="min"/>
        <cfvo type="percentile" val="50"/>
        <cfvo type="max"/>
        <color rgb="FFF8696B"/>
        <color rgb="FFFFEB84"/>
        <color rgb="FF63BE7B"/>
      </colorScale>
    </cfRule>
  </conditionalFormatting>
  <conditionalFormatting sqref="CN50:CQ56">
    <cfRule type="colorScale" priority="4">
      <colorScale>
        <cfvo type="min"/>
        <cfvo type="percentile" val="50"/>
        <cfvo type="max"/>
        <color rgb="FFF8696B"/>
        <color rgb="FFFFEB84"/>
        <color rgb="FF63BE7B"/>
      </colorScale>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120B-3ECE-4DFE-9C5B-C20D18789D5E}">
  <sheetPr codeName="Sheet9">
    <tabColor rgb="FF0070C0"/>
  </sheetPr>
  <dimension ref="A1:CQ72"/>
  <sheetViews>
    <sheetView zoomScaleNormal="100" workbookViewId="0">
      <pane xSplit="4" ySplit="4" topLeftCell="BA5" activePane="bottomRight" state="frozen"/>
      <selection pane="topRight" activeCell="F13" sqref="F13"/>
      <selection pane="bottomLeft" activeCell="F13" sqref="F13"/>
      <selection pane="bottomRight" activeCell="BF5" sqref="BF5:BF46"/>
    </sheetView>
  </sheetViews>
  <sheetFormatPr defaultRowHeight="15" outlineLevelCol="1" x14ac:dyDescent="0.25"/>
  <cols>
    <col min="1" max="1" width="8.7109375" customWidth="1" outlineLevel="1"/>
    <col min="2" max="2" width="21.7109375" customWidth="1" outlineLevel="1"/>
    <col min="4" max="4" width="54" bestFit="1" customWidth="1"/>
    <col min="5" max="5" width="13.28515625" customWidth="1"/>
    <col min="6" max="6" width="13.28515625" style="41" customWidth="1"/>
    <col min="8" max="10" width="13.28515625" style="41" customWidth="1"/>
    <col min="11" max="12" width="13.28515625" customWidth="1"/>
    <col min="13" max="13" width="13.28515625" style="41" customWidth="1"/>
    <col min="14" max="14" width="13.28515625" customWidth="1"/>
    <col min="15" max="15" width="13.28515625" style="41" customWidth="1"/>
    <col min="16" max="23" width="13.28515625" customWidth="1"/>
    <col min="24" max="27" width="13.28515625" style="41" customWidth="1"/>
    <col min="28" max="29" width="13.28515625" customWidth="1"/>
    <col min="30" max="30" width="13.28515625" style="41" customWidth="1"/>
    <col min="31" max="38" width="13.28515625" customWidth="1"/>
    <col min="40" max="41" width="13.28515625" customWidth="1"/>
    <col min="43" max="43" width="13.28515625" customWidth="1"/>
    <col min="45" max="45" width="13.28515625" style="41" customWidth="1"/>
    <col min="46" max="46" width="13.28515625" customWidth="1"/>
    <col min="48" max="50" width="13.28515625" customWidth="1"/>
    <col min="52" max="54" width="13.28515625" customWidth="1"/>
    <col min="56" max="56" width="13.28515625" customWidth="1"/>
    <col min="58" max="58" width="13.28515625" customWidth="1"/>
    <col min="60" max="64" width="13.28515625" customWidth="1" outlineLevel="1"/>
    <col min="66" max="70" width="13.28515625" customWidth="1" outlineLevel="1"/>
    <col min="72" max="76" width="13.28515625" customWidth="1" outlineLevel="1"/>
    <col min="78" max="82" width="13.28515625" customWidth="1" outlineLevel="1"/>
    <col min="84" max="88" width="13.28515625" customWidth="1" outlineLevel="1"/>
  </cols>
  <sheetData>
    <row r="1" spans="1:95" ht="25.5" x14ac:dyDescent="0.35">
      <c r="A1" s="1" t="s">
        <v>12</v>
      </c>
      <c r="J1" s="90" t="e">
        <f>J2-H2</f>
        <v>#REF!</v>
      </c>
      <c r="M1" s="48">
        <f>COUNTIF(M5:M46,"&lt;0")</f>
        <v>0</v>
      </c>
      <c r="O1" s="41">
        <v>0.9</v>
      </c>
      <c r="AN1" t="s">
        <v>353</v>
      </c>
      <c r="AS1" s="41">
        <f>O2</f>
        <v>1</v>
      </c>
    </row>
    <row r="2" spans="1:95" x14ac:dyDescent="0.25">
      <c r="H2" s="41" t="e">
        <f>H57</f>
        <v>#REF!</v>
      </c>
      <c r="J2" s="41" t="e">
        <f>H57+791000/E57</f>
        <v>#REF!</v>
      </c>
      <c r="M2" s="41" t="e">
        <f>MIN(M5:M46)</f>
        <v>#REF!</v>
      </c>
      <c r="O2" s="41">
        <v>1</v>
      </c>
      <c r="AD2" s="41" t="s">
        <v>144</v>
      </c>
      <c r="AF2" t="s">
        <v>145</v>
      </c>
      <c r="AN2" s="96">
        <v>4.8459581480066001E-3</v>
      </c>
      <c r="AS2" s="41">
        <v>0.45327004191740927</v>
      </c>
      <c r="AT2" s="97">
        <f>AS2-AS1</f>
        <v>-0.54672995808259073</v>
      </c>
    </row>
    <row r="3" spans="1:95" ht="114.75" x14ac:dyDescent="0.25">
      <c r="A3" s="25" t="s">
        <v>13</v>
      </c>
      <c r="B3" s="26" t="s">
        <v>14</v>
      </c>
      <c r="C3" s="26" t="s">
        <v>15</v>
      </c>
      <c r="D3" s="26" t="s">
        <v>16</v>
      </c>
      <c r="E3" s="27" t="s">
        <v>142</v>
      </c>
      <c r="F3" s="42" t="s">
        <v>146</v>
      </c>
      <c r="G3" s="36" t="s">
        <v>147</v>
      </c>
      <c r="H3" s="42" t="s">
        <v>127</v>
      </c>
      <c r="I3" s="42" t="s">
        <v>354</v>
      </c>
      <c r="J3" s="47" t="s">
        <v>128</v>
      </c>
      <c r="K3" s="47" t="s">
        <v>355</v>
      </c>
      <c r="L3" s="47" t="s">
        <v>356</v>
      </c>
      <c r="M3" s="42" t="s">
        <v>131</v>
      </c>
      <c r="N3" s="47" t="s">
        <v>357</v>
      </c>
      <c r="O3" s="47" t="s">
        <v>358</v>
      </c>
      <c r="P3" s="47" t="s">
        <v>359</v>
      </c>
      <c r="Q3" s="47" t="s">
        <v>355</v>
      </c>
      <c r="R3" s="47" t="s">
        <v>148</v>
      </c>
      <c r="S3" s="59" t="s">
        <v>149</v>
      </c>
      <c r="T3" s="59" t="s">
        <v>150</v>
      </c>
      <c r="U3" s="47" t="s">
        <v>361</v>
      </c>
      <c r="V3" s="84" t="s">
        <v>362</v>
      </c>
      <c r="W3" s="84" t="s">
        <v>363</v>
      </c>
      <c r="X3" s="84" t="s">
        <v>364</v>
      </c>
      <c r="Y3" s="84" t="s">
        <v>365</v>
      </c>
      <c r="Z3" s="84" t="s">
        <v>343</v>
      </c>
      <c r="AA3" s="42" t="s">
        <v>151</v>
      </c>
      <c r="AB3" s="27" t="s">
        <v>152</v>
      </c>
      <c r="AC3" s="27" t="s">
        <v>153</v>
      </c>
      <c r="AD3" s="62" t="s">
        <v>154</v>
      </c>
      <c r="AE3" s="47" t="s">
        <v>155</v>
      </c>
      <c r="AF3" s="47" t="s">
        <v>4</v>
      </c>
      <c r="AG3" s="47" t="s">
        <v>156</v>
      </c>
      <c r="AH3" s="47" t="s">
        <v>5</v>
      </c>
      <c r="AI3" s="59" t="s">
        <v>6</v>
      </c>
      <c r="AJ3" s="59" t="s">
        <v>157</v>
      </c>
      <c r="AK3" s="59" t="s">
        <v>158</v>
      </c>
      <c r="AL3" s="27" t="s">
        <v>159</v>
      </c>
      <c r="AN3" s="59" t="s">
        <v>164</v>
      </c>
      <c r="AO3" s="59" t="s">
        <v>366</v>
      </c>
      <c r="AQ3" s="59" t="s">
        <v>177</v>
      </c>
      <c r="AS3" s="59" t="s">
        <v>367</v>
      </c>
      <c r="AT3" s="59" t="s">
        <v>368</v>
      </c>
      <c r="AV3" s="59" t="s">
        <v>369</v>
      </c>
      <c r="AW3" s="59" t="s">
        <v>370</v>
      </c>
      <c r="AX3" s="59" t="s">
        <v>371</v>
      </c>
      <c r="AZ3" s="59" t="s">
        <v>372</v>
      </c>
      <c r="BA3" s="59" t="s">
        <v>373</v>
      </c>
      <c r="BB3" s="59" t="s">
        <v>374</v>
      </c>
      <c r="BD3" s="59" t="s">
        <v>375</v>
      </c>
      <c r="BF3" s="216" t="s">
        <v>252</v>
      </c>
      <c r="BH3" s="59" t="s">
        <v>371</v>
      </c>
      <c r="BI3" s="59" t="s">
        <v>376</v>
      </c>
      <c r="BJ3" s="59" t="s">
        <v>377</v>
      </c>
      <c r="BK3" s="59" t="s">
        <v>377</v>
      </c>
      <c r="BL3" s="59" t="s">
        <v>378</v>
      </c>
      <c r="BN3" s="59" t="s">
        <v>372</v>
      </c>
      <c r="BO3" s="59" t="s">
        <v>376</v>
      </c>
      <c r="BP3" s="59" t="s">
        <v>377</v>
      </c>
      <c r="BQ3" s="59" t="s">
        <v>377</v>
      </c>
      <c r="BR3" s="59" t="s">
        <v>378</v>
      </c>
      <c r="BT3" s="59" t="s">
        <v>375</v>
      </c>
      <c r="BU3" s="59" t="s">
        <v>376</v>
      </c>
      <c r="BV3" s="59" t="s">
        <v>377</v>
      </c>
      <c r="BW3" s="59" t="s">
        <v>377</v>
      </c>
      <c r="BX3" s="59" t="s">
        <v>378</v>
      </c>
      <c r="BZ3" s="59" t="s">
        <v>2</v>
      </c>
      <c r="CA3" s="59" t="s">
        <v>376</v>
      </c>
      <c r="CB3" s="59" t="s">
        <v>377</v>
      </c>
      <c r="CC3" s="59" t="s">
        <v>377</v>
      </c>
      <c r="CD3" s="59" t="s">
        <v>378</v>
      </c>
      <c r="CF3" s="59" t="s">
        <v>177</v>
      </c>
      <c r="CG3" s="59" t="s">
        <v>376</v>
      </c>
      <c r="CH3" s="59" t="s">
        <v>377</v>
      </c>
      <c r="CI3" s="59" t="s">
        <v>377</v>
      </c>
      <c r="CJ3" s="59" t="s">
        <v>378</v>
      </c>
      <c r="CM3" s="59" t="s">
        <v>252</v>
      </c>
      <c r="CN3" s="59" t="s">
        <v>379</v>
      </c>
      <c r="CO3" s="59" t="s">
        <v>380</v>
      </c>
      <c r="CP3" s="59" t="s">
        <v>2</v>
      </c>
      <c r="CQ3" s="59" t="s">
        <v>177</v>
      </c>
    </row>
    <row r="4" spans="1:95" x14ac:dyDescent="0.25">
      <c r="AD4" s="63"/>
    </row>
    <row r="5" spans="1:95" x14ac:dyDescent="0.25">
      <c r="A5" s="10" t="s">
        <v>17</v>
      </c>
      <c r="B5" s="4" t="s">
        <v>18</v>
      </c>
      <c r="C5" s="4" t="s">
        <v>19</v>
      </c>
      <c r="D5" s="4" t="s">
        <v>20</v>
      </c>
      <c r="E5" s="11">
        <f>SUMIFS('ICB Core Baseline 2024-25'!Q:Q,'ICB Core Baseline 2024-25'!C:C,C5)</f>
        <v>3049118.4291022574</v>
      </c>
      <c r="F5" s="43" t="e">
        <f>SUMIFS(#REF!,#REF!,C5)</f>
        <v>#REF!</v>
      </c>
      <c r="H5" s="43" t="e">
        <f>SUMIFS(#REF!,#REF!,C5)</f>
        <v>#REF!</v>
      </c>
      <c r="I5" s="43" t="e">
        <f>H5-$H$57</f>
        <v>#REF!</v>
      </c>
      <c r="J5" s="43" t="e">
        <f>$J$2+I5</f>
        <v>#REF!</v>
      </c>
      <c r="K5" s="11" t="e">
        <f t="shared" ref="K5:K46" si="0">E5*(J5-H5)</f>
        <v>#REF!</v>
      </c>
      <c r="L5" s="11" t="e">
        <f t="shared" ref="L5:L46" si="1">E5*(1+J5)</f>
        <v>#REF!</v>
      </c>
      <c r="M5" s="43" t="e">
        <f>SUMIFS(#REF!,#REF!,C5)</f>
        <v>#REF!</v>
      </c>
      <c r="N5" s="11" t="e">
        <f t="shared" ref="N5:N46" si="2">L5*M5</f>
        <v>#REF!</v>
      </c>
      <c r="O5" s="43" t="e">
        <f>IF(M5&gt;0,M5,M5*$O$2)</f>
        <v>#REF!</v>
      </c>
      <c r="P5" s="11" t="e">
        <f t="shared" ref="P5:P46" si="3">L5*O5</f>
        <v>#REF!</v>
      </c>
      <c r="Q5" s="11" t="e">
        <f>P5-N5</f>
        <v>#REF!</v>
      </c>
      <c r="R5" s="11" t="e">
        <f t="shared" ref="R5:R46" si="4">E5*(1+J5)*(1+O5)</f>
        <v>#REF!</v>
      </c>
      <c r="S5" s="11" t="e">
        <f>(SUMIFS(#REF!,#REF!,C5)/SUMIFS(#REF!,#REF!,C5))*1000</f>
        <v>#REF!</v>
      </c>
      <c r="T5" s="11" t="e">
        <f>(R5/S5)*1000</f>
        <v>#REF!</v>
      </c>
      <c r="U5" s="11"/>
      <c r="V5" s="11" t="e">
        <f>(E5/(1+F5))*(1+J5)</f>
        <v>#REF!</v>
      </c>
      <c r="W5" s="11" t="e">
        <f>V5-R5</f>
        <v>#REF!</v>
      </c>
      <c r="X5" s="43" t="e">
        <f>R5/V5-1</f>
        <v>#REF!</v>
      </c>
      <c r="Y5" s="43" t="e">
        <f ca="1">OFFSET(#REF!,MATCH(C5,#REF!,0)+1,0)</f>
        <v>#REF!</v>
      </c>
      <c r="Z5" s="43" t="e">
        <f ca="1">X5-Y5</f>
        <v>#REF!</v>
      </c>
      <c r="AA5" s="43" t="e">
        <f t="shared" ref="AA5:AA46" si="5">R5/E5-1</f>
        <v>#REF!</v>
      </c>
      <c r="AB5" s="11" t="e">
        <f>SUMIFS(#REF!,#REF!,C5)/(1+1.8%)*(1+1.8%+2.3%)</f>
        <v>#REF!</v>
      </c>
      <c r="AC5" s="11" t="e">
        <f>SUM(R5,AB5)</f>
        <v>#REF!</v>
      </c>
      <c r="AD5" s="64"/>
      <c r="AE5" s="11" t="e">
        <f>(SUMIFS(#REF!,#REF!,C5)/(1+1.8%))*(1+1.8%+2.3%)</f>
        <v>#REF!</v>
      </c>
      <c r="AF5" s="11" t="e">
        <f>-SUMIFS(#REF!,#REF!,C5)/1000</f>
        <v>#REF!</v>
      </c>
      <c r="AG5" s="11" t="e">
        <f>SUMIFS(#REF!,#REF!,C5)</f>
        <v>#REF!</v>
      </c>
      <c r="AH5" s="11" t="e">
        <f>SUMIFS(#REF!,#REF!,C5)</f>
        <v>#REF!</v>
      </c>
      <c r="AI5" s="11" t="e">
        <f>SUMIFS(#REF!,#REF!,C5)</f>
        <v>#REF!</v>
      </c>
      <c r="AJ5" s="11" t="e">
        <f>SUMIFS(#REF!,#REF!,C5)</f>
        <v>#REF!</v>
      </c>
      <c r="AK5" s="11"/>
      <c r="AL5" s="11" t="e">
        <f>SUM(AC5,AE5:AK5)</f>
        <v>#REF!</v>
      </c>
      <c r="AN5" s="11" t="e">
        <f>E5*(1+J5+$AN$2)*(1+O5)</f>
        <v>#REF!</v>
      </c>
      <c r="AO5" s="11" t="e">
        <f>AN5-R5</f>
        <v>#REF!</v>
      </c>
      <c r="AQ5" s="11" t="e">
        <f>500000*AH5/$AH$57</f>
        <v>#REF!</v>
      </c>
      <c r="AS5" s="43" t="e">
        <f>IF(M5&gt;0,M5,M5*$AS$2)</f>
        <v>#REF!</v>
      </c>
      <c r="AT5" s="11" t="e">
        <f>E5*(1+J5)*(1+AS5)-R5</f>
        <v>#REF!</v>
      </c>
      <c r="AV5" s="11" t="e">
        <f>'Share of £1bn'!$F$20*1000*$AO5/$AO$57</f>
        <v>#REF!</v>
      </c>
      <c r="AW5" s="11" t="e">
        <f>'Share of £1bn'!$F$27*1000*$AO5/$AO$57</f>
        <v>#REF!</v>
      </c>
      <c r="AX5" s="11" t="e">
        <f>'Share of £1bn'!$F$21*1000*$AO5/$AO$57</f>
        <v>#REF!</v>
      </c>
      <c r="AZ5" s="11" t="e">
        <f>'Share of £1bn'!$F$43*1000*AO5/$AO$57</f>
        <v>#REF!</v>
      </c>
      <c r="BA5" s="11" t="e">
        <f>'Share of £1bn'!$F$50*1000*$AO5/$AO$57</f>
        <v>#REF!</v>
      </c>
      <c r="BB5" s="11" t="e">
        <f>'Share of £1bn'!$F$44*1000*AO5/$AO$57</f>
        <v>#REF!</v>
      </c>
      <c r="BD5" s="11" t="e">
        <f>'Share of £1bn'!$F$67*1000*AO5/$AO$57</f>
        <v>#REF!</v>
      </c>
      <c r="BF5" s="11">
        <f>SUMIFS('20-11 M6 deficits'!$BO:$BO,'20-11 M6 deficits'!$C:$C,$C5)*1000</f>
        <v>-30000</v>
      </c>
      <c r="BH5" s="11" t="e">
        <f>SUM(AV5:AX5)</f>
        <v>#REF!</v>
      </c>
      <c r="BI5" s="11" t="e">
        <f>$BF5+BH5</f>
        <v>#REF!</v>
      </c>
      <c r="BJ5" s="11" t="e">
        <f>IF(AND($BF5&lt;0,BI5&lt;0),BH5,0)</f>
        <v>#REF!</v>
      </c>
      <c r="BK5" s="11" t="e">
        <f>IF(AND($BF5&lt;0,BI5&gt;0),-$BF5,0)</f>
        <v>#REF!</v>
      </c>
      <c r="BL5" s="11" t="e">
        <f>IF(OR($BF5&gt;=0,BI5&gt;=0),BH5-BK5,0)</f>
        <v>#REF!</v>
      </c>
      <c r="BN5" s="11" t="e">
        <f>SUM(AZ5:BB5)</f>
        <v>#REF!</v>
      </c>
      <c r="BO5" s="11" t="e">
        <f>$BF5+BN5</f>
        <v>#REF!</v>
      </c>
      <c r="BP5" s="11" t="e">
        <f>IF(AND($BF5&lt;0,BO5&lt;0),BN5,0)</f>
        <v>#REF!</v>
      </c>
      <c r="BQ5" s="11" t="e">
        <f>IF(AND($BF5&lt;0,BO5&gt;0),-$BF5,0)</f>
        <v>#REF!</v>
      </c>
      <c r="BR5" s="11" t="e">
        <f>IF(OR($BF5&gt;=0,BO5&gt;=0),BN5-BQ5,0)</f>
        <v>#REF!</v>
      </c>
      <c r="BT5" s="11" t="e">
        <f>SUM(BD5)</f>
        <v>#REF!</v>
      </c>
      <c r="BU5" s="11" t="e">
        <f>$BF5+BT5</f>
        <v>#REF!</v>
      </c>
      <c r="BV5" s="11" t="e">
        <f>IF(AND($BF5&lt;0,BU5&lt;0),BT5,0)</f>
        <v>#REF!</v>
      </c>
      <c r="BW5" s="11" t="e">
        <f>IF(AND($BF5&lt;0,BU5&gt;0),-$BF5,0)</f>
        <v>#REF!</v>
      </c>
      <c r="BX5" s="11" t="e">
        <f>IF(OR($BF5&gt;=0,BU5&gt;=0),BT5-BW5,0)</f>
        <v>#REF!</v>
      </c>
      <c r="BZ5" s="11" t="e">
        <f>AT5</f>
        <v>#REF!</v>
      </c>
      <c r="CA5" s="11" t="e">
        <f>$BF5+BZ5</f>
        <v>#REF!</v>
      </c>
      <c r="CB5" s="11" t="e">
        <f>IF(AND($BF5&lt;0,CA5&lt;0),BZ5,0)</f>
        <v>#REF!</v>
      </c>
      <c r="CC5" s="11" t="e">
        <f>IF(AND($BF5&lt;0,CA5&gt;0),-$BF5,0)</f>
        <v>#REF!</v>
      </c>
      <c r="CD5" s="11" t="e">
        <f>IF(OR($BF5&gt;=0,CA5&gt;=0),BZ5-CC5,0)</f>
        <v>#REF!</v>
      </c>
      <c r="CF5" s="11" t="e">
        <f>AQ5</f>
        <v>#REF!</v>
      </c>
      <c r="CG5" s="11" t="e">
        <f>$BF5+CF5</f>
        <v>#REF!</v>
      </c>
      <c r="CH5" s="11" t="e">
        <f>IF(AND($BF5&lt;0,CG5&lt;0),CF5,0)</f>
        <v>#REF!</v>
      </c>
      <c r="CI5" s="11" t="e">
        <f>IF(AND($BF5&lt;0,CG5&gt;0),-$BF5,0)</f>
        <v>#REF!</v>
      </c>
      <c r="CJ5" s="11" t="e">
        <f>IF(OR($BF5&gt;=0,CG5&gt;=0),CF5-CI5,0)</f>
        <v>#REF!</v>
      </c>
      <c r="CM5" s="209">
        <f>IF(BF5&lt;0,BF5/$BF$59,0)</f>
        <v>1.8977166894786224E-2</v>
      </c>
      <c r="CN5" s="209" t="e">
        <f>R5/$R$57</f>
        <v>#REF!</v>
      </c>
      <c r="CO5" s="209" t="e">
        <f>AO5/$AO$57</f>
        <v>#REF!</v>
      </c>
      <c r="CP5" s="209" t="e">
        <f>BZ5/$BZ$57</f>
        <v>#REF!</v>
      </c>
      <c r="CQ5" s="209" t="e">
        <f>CF5/$CF$57</f>
        <v>#REF!</v>
      </c>
    </row>
    <row r="6" spans="1:95" x14ac:dyDescent="0.25">
      <c r="A6" s="13" t="s">
        <v>17</v>
      </c>
      <c r="B6" s="14" t="s">
        <v>18</v>
      </c>
      <c r="C6" s="4" t="s">
        <v>21</v>
      </c>
      <c r="D6" s="4" t="s">
        <v>22</v>
      </c>
      <c r="E6" s="11">
        <f>SUMIFS('ICB Core Baseline 2024-25'!Q:Q,'ICB Core Baseline 2024-25'!C:C,C6)</f>
        <v>6016186.5103033921</v>
      </c>
      <c r="F6" s="43" t="e">
        <f>SUMIFS(#REF!,#REF!,C6)</f>
        <v>#REF!</v>
      </c>
      <c r="H6" s="43" t="e">
        <f>SUMIFS(#REF!,#REF!,C6)</f>
        <v>#REF!</v>
      </c>
      <c r="I6" s="43" t="e">
        <f t="shared" ref="I6:I46" si="6">H6-$H$57</f>
        <v>#REF!</v>
      </c>
      <c r="J6" s="43" t="e">
        <f t="shared" ref="J6:J46" si="7">$J$2+I6</f>
        <v>#REF!</v>
      </c>
      <c r="K6" s="11" t="e">
        <f t="shared" si="0"/>
        <v>#REF!</v>
      </c>
      <c r="L6" s="11" t="e">
        <f t="shared" si="1"/>
        <v>#REF!</v>
      </c>
      <c r="M6" s="43" t="e">
        <f>SUMIFS(#REF!,#REF!,C6)</f>
        <v>#REF!</v>
      </c>
      <c r="N6" s="11" t="e">
        <f t="shared" si="2"/>
        <v>#REF!</v>
      </c>
      <c r="O6" s="43" t="e">
        <f t="shared" ref="O6:O46" si="8">IF(M6&gt;0,M6,M6*$O$2)</f>
        <v>#REF!</v>
      </c>
      <c r="P6" s="11" t="e">
        <f t="shared" si="3"/>
        <v>#REF!</v>
      </c>
      <c r="Q6" s="11" t="e">
        <f t="shared" ref="Q6:Q46" si="9">P6-N6</f>
        <v>#REF!</v>
      </c>
      <c r="R6" s="11" t="e">
        <f t="shared" si="4"/>
        <v>#REF!</v>
      </c>
      <c r="S6" s="11" t="e">
        <f>(SUMIFS(#REF!,#REF!,C6)/SUMIFS(#REF!,#REF!,C6))*1000</f>
        <v>#REF!</v>
      </c>
      <c r="T6" s="11" t="e">
        <f t="shared" ref="T6:T46" si="10">(R6/S6)*1000</f>
        <v>#REF!</v>
      </c>
      <c r="U6" s="11"/>
      <c r="V6" s="11" t="e">
        <f t="shared" ref="V6:V46" si="11">(E6/(1+F6))*(1+J6)</f>
        <v>#REF!</v>
      </c>
      <c r="W6" s="11" t="e">
        <f t="shared" ref="W6:W46" si="12">V6-R6</f>
        <v>#REF!</v>
      </c>
      <c r="X6" s="43" t="e">
        <f t="shared" ref="X6:X46" si="13">R6/V6-1</f>
        <v>#REF!</v>
      </c>
      <c r="Y6" s="43" t="e">
        <f ca="1">OFFSET(#REF!,MATCH(C6,#REF!,0)+1,0)</f>
        <v>#REF!</v>
      </c>
      <c r="Z6" s="43" t="e">
        <f t="shared" ref="Z6:Z46" ca="1" si="14">X6-Y6</f>
        <v>#REF!</v>
      </c>
      <c r="AA6" s="43" t="e">
        <f t="shared" si="5"/>
        <v>#REF!</v>
      </c>
      <c r="AB6" s="11" t="e">
        <f>SUMIFS(#REF!,#REF!,C6)/(1+1.8%)*(1+1.8%+2.3%)</f>
        <v>#REF!</v>
      </c>
      <c r="AC6" s="11" t="e">
        <f t="shared" ref="AC6:AC46" si="15">SUM(R6,AB6)</f>
        <v>#REF!</v>
      </c>
      <c r="AD6" s="64"/>
      <c r="AE6" s="11" t="e">
        <f>(SUMIFS(#REF!,#REF!,C6)/(1+1.8%))*(1+1.8%+2.3%)</f>
        <v>#REF!</v>
      </c>
      <c r="AF6" s="11" t="e">
        <f>-SUMIFS(#REF!,#REF!,C6)/1000</f>
        <v>#REF!</v>
      </c>
      <c r="AG6" s="11" t="e">
        <f>SUMIFS(#REF!,#REF!,C6)</f>
        <v>#REF!</v>
      </c>
      <c r="AH6" s="11" t="e">
        <f>SUMIFS(#REF!,#REF!,C6)</f>
        <v>#REF!</v>
      </c>
      <c r="AI6" s="11" t="e">
        <f>SUMIFS(#REF!,#REF!,C6)</f>
        <v>#REF!</v>
      </c>
      <c r="AJ6" s="11" t="e">
        <f>SUMIFS(#REF!,#REF!,C6)</f>
        <v>#REF!</v>
      </c>
      <c r="AK6" s="11"/>
      <c r="AL6" s="11" t="e">
        <f t="shared" ref="AL6:AL46" si="16">SUM(AC6,AE6:AK6)</f>
        <v>#REF!</v>
      </c>
      <c r="AN6" s="11" t="e">
        <f t="shared" ref="AN6:AN46" si="17">E6*(1+J6+$AN$2)*(1+O6)</f>
        <v>#REF!</v>
      </c>
      <c r="AO6" s="11" t="e">
        <f t="shared" ref="AO6:AO46" si="18">AN6-R6</f>
        <v>#REF!</v>
      </c>
      <c r="AQ6" s="11" t="e">
        <f t="shared" ref="AQ6:AQ46" si="19">500000*AH6/$AH$57</f>
        <v>#REF!</v>
      </c>
      <c r="AS6" s="43" t="e">
        <f t="shared" ref="AS6:AS46" si="20">IF(M6&gt;0,M6,M6*$AS$2)</f>
        <v>#REF!</v>
      </c>
      <c r="AT6" s="11" t="e">
        <f t="shared" ref="AT6:AT46" si="21">E6*(1+J6)*(1+AS6)-R6</f>
        <v>#REF!</v>
      </c>
      <c r="AV6" s="11" t="e">
        <f>'Share of £1bn'!$F$20*1000*$AO6/$AO$57</f>
        <v>#REF!</v>
      </c>
      <c r="AW6" s="11" t="e">
        <f>'Share of £1bn'!$F$27*1000*$AO6/$AO$57</f>
        <v>#REF!</v>
      </c>
      <c r="AX6" s="11" t="e">
        <f>'Share of £1bn'!$F$21*1000*$AO6/$AO$57</f>
        <v>#REF!</v>
      </c>
      <c r="AZ6" s="11" t="e">
        <f>'Share of £1bn'!$F$43*1000*AO6/$AO$57</f>
        <v>#REF!</v>
      </c>
      <c r="BA6" s="11" t="e">
        <f>'Share of £1bn'!$F$50*1000*$AO6/$AO$57</f>
        <v>#REF!</v>
      </c>
      <c r="BB6" s="11" t="e">
        <f>'Share of £1bn'!$F$44*1000*AO6/$AO$57</f>
        <v>#REF!</v>
      </c>
      <c r="BD6" s="11" t="e">
        <f>'Share of £1bn'!$F$67*1000*AO6/$AO$57</f>
        <v>#REF!</v>
      </c>
      <c r="BF6" s="11">
        <f>SUMIFS('20-11 M6 deficits'!$BO:$BO,'20-11 M6 deficits'!$C:$C,$C6)*1000</f>
        <v>-35000</v>
      </c>
      <c r="BH6" s="11" t="e">
        <f t="shared" ref="BH6:BH46" si="22">SUM(AV6:AX6)</f>
        <v>#REF!</v>
      </c>
      <c r="BI6" s="11" t="e">
        <f t="shared" ref="BI6:BI46" si="23">$BF6+BH6</f>
        <v>#REF!</v>
      </c>
      <c r="BJ6" s="11" t="e">
        <f t="shared" ref="BJ6:BJ46" si="24">IF(AND($BF6&lt;0,BI6&lt;0),BH6,0)</f>
        <v>#REF!</v>
      </c>
      <c r="BK6" s="11" t="e">
        <f t="shared" ref="BK6:BK46" si="25">IF(AND($BF6&lt;0,BI6&gt;0),-$BF6,0)</f>
        <v>#REF!</v>
      </c>
      <c r="BL6" s="11" t="e">
        <f t="shared" ref="BL6:BL46" si="26">IF(OR($BF6&gt;=0,BI6&gt;=0),BH6-BK6,0)</f>
        <v>#REF!</v>
      </c>
      <c r="BN6" s="11" t="e">
        <f t="shared" ref="BN6:BN46" si="27">SUM(AZ6:BB6)</f>
        <v>#REF!</v>
      </c>
      <c r="BO6" s="11" t="e">
        <f t="shared" ref="BO6:BO46" si="28">$BF6+BN6</f>
        <v>#REF!</v>
      </c>
      <c r="BP6" s="11" t="e">
        <f t="shared" ref="BP6:BP46" si="29">IF(AND($BF6&lt;0,BO6&lt;0),BN6,0)</f>
        <v>#REF!</v>
      </c>
      <c r="BQ6" s="11" t="e">
        <f t="shared" ref="BQ6:BQ46" si="30">IF(AND($BF6&lt;0,BO6&gt;0),-$BF6,0)</f>
        <v>#REF!</v>
      </c>
      <c r="BR6" s="11" t="e">
        <f t="shared" ref="BR6:BR46" si="31">IF(OR($BF6&gt;=0,BO6&gt;=0),BN6-BQ6,0)</f>
        <v>#REF!</v>
      </c>
      <c r="BT6" s="11" t="e">
        <f t="shared" ref="BT6:BT46" si="32">SUM(BD6)</f>
        <v>#REF!</v>
      </c>
      <c r="BU6" s="11" t="e">
        <f t="shared" ref="BU6:BU46" si="33">$BF6+BT6</f>
        <v>#REF!</v>
      </c>
      <c r="BV6" s="11" t="e">
        <f t="shared" ref="BV6:BV46" si="34">IF(AND($BF6&lt;0,BU6&lt;0),BT6,0)</f>
        <v>#REF!</v>
      </c>
      <c r="BW6" s="11" t="e">
        <f t="shared" ref="BW6:BW46" si="35">IF(AND($BF6&lt;0,BU6&gt;0),-$BF6,0)</f>
        <v>#REF!</v>
      </c>
      <c r="BX6" s="11" t="e">
        <f t="shared" ref="BX6:BX46" si="36">IF(OR($BF6&gt;=0,BU6&gt;=0),BT6-BW6,0)</f>
        <v>#REF!</v>
      </c>
      <c r="BZ6" s="11" t="e">
        <f t="shared" ref="BZ6:BZ46" si="37">AT6</f>
        <v>#REF!</v>
      </c>
      <c r="CA6" s="11" t="e">
        <f t="shared" ref="CA6:CA46" si="38">$BF6+BZ6</f>
        <v>#REF!</v>
      </c>
      <c r="CB6" s="11" t="e">
        <f t="shared" ref="CB6:CB46" si="39">IF(AND($BF6&lt;0,CA6&lt;0),BZ6,0)</f>
        <v>#REF!</v>
      </c>
      <c r="CC6" s="11" t="e">
        <f t="shared" ref="CC6:CC46" si="40">IF(AND($BF6&lt;0,CA6&gt;0),-$BF6,0)</f>
        <v>#REF!</v>
      </c>
      <c r="CD6" s="11" t="e">
        <f t="shared" ref="CD6:CD46" si="41">IF(OR($BF6&gt;=0,CA6&gt;=0),BZ6-CC6,0)</f>
        <v>#REF!</v>
      </c>
      <c r="CF6" s="11" t="e">
        <f t="shared" ref="CF6:CF46" si="42">AQ6</f>
        <v>#REF!</v>
      </c>
      <c r="CG6" s="11" t="e">
        <f t="shared" ref="CG6:CG46" si="43">$BF6+CF6</f>
        <v>#REF!</v>
      </c>
      <c r="CH6" s="11" t="e">
        <f t="shared" ref="CH6:CH46" si="44">IF(AND($BF6&lt;0,CG6&lt;0),CF6,0)</f>
        <v>#REF!</v>
      </c>
      <c r="CI6" s="11" t="e">
        <f t="shared" ref="CI6:CI46" si="45">IF(AND($BF6&lt;0,CG6&gt;0),-$BF6,0)</f>
        <v>#REF!</v>
      </c>
      <c r="CJ6" s="11" t="e">
        <f t="shared" ref="CJ6:CJ46" si="46">IF(OR($BF6&gt;=0,CG6&gt;=0),CF6-CI6,0)</f>
        <v>#REF!</v>
      </c>
      <c r="CM6" s="209">
        <f t="shared" ref="CM6:CM46" si="47">IF(BF6&lt;0,BF6/$BF$59,0)</f>
        <v>2.2140028043917261E-2</v>
      </c>
      <c r="CN6" s="209" t="e">
        <f t="shared" ref="CN6:CN46" si="48">R6/$R$57</f>
        <v>#REF!</v>
      </c>
      <c r="CO6" s="209" t="e">
        <f t="shared" ref="CO6:CO46" si="49">AO6/$AO$57</f>
        <v>#REF!</v>
      </c>
      <c r="CP6" s="209" t="e">
        <f t="shared" ref="CP6:CP46" si="50">BZ6/$BZ$57</f>
        <v>#REF!</v>
      </c>
      <c r="CQ6" s="209" t="e">
        <f t="shared" ref="CQ6:CQ46" si="51">CF6/$CF$57</f>
        <v>#REF!</v>
      </c>
    </row>
    <row r="7" spans="1:95" x14ac:dyDescent="0.25">
      <c r="A7" s="13" t="s">
        <v>17</v>
      </c>
      <c r="B7" s="14" t="s">
        <v>18</v>
      </c>
      <c r="C7" s="4" t="s">
        <v>23</v>
      </c>
      <c r="D7" s="4" t="s">
        <v>24</v>
      </c>
      <c r="E7" s="11">
        <f>SUMIFS('ICB Core Baseline 2024-25'!Q:Q,'ICB Core Baseline 2024-25'!C:C,C7)</f>
        <v>2625646.0761444462</v>
      </c>
      <c r="F7" s="43" t="e">
        <f>SUMIFS(#REF!,#REF!,C7)</f>
        <v>#REF!</v>
      </c>
      <c r="H7" s="43" t="e">
        <f>SUMIFS(#REF!,#REF!,C7)</f>
        <v>#REF!</v>
      </c>
      <c r="I7" s="43" t="e">
        <f t="shared" si="6"/>
        <v>#REF!</v>
      </c>
      <c r="J7" s="43" t="e">
        <f t="shared" si="7"/>
        <v>#REF!</v>
      </c>
      <c r="K7" s="11" t="e">
        <f t="shared" si="0"/>
        <v>#REF!</v>
      </c>
      <c r="L7" s="11" t="e">
        <f t="shared" si="1"/>
        <v>#REF!</v>
      </c>
      <c r="M7" s="43" t="e">
        <f>SUMIFS(#REF!,#REF!,C7)</f>
        <v>#REF!</v>
      </c>
      <c r="N7" s="11" t="e">
        <f t="shared" si="2"/>
        <v>#REF!</v>
      </c>
      <c r="O7" s="43" t="e">
        <f t="shared" si="8"/>
        <v>#REF!</v>
      </c>
      <c r="P7" s="11" t="e">
        <f t="shared" si="3"/>
        <v>#REF!</v>
      </c>
      <c r="Q7" s="11" t="e">
        <f t="shared" si="9"/>
        <v>#REF!</v>
      </c>
      <c r="R7" s="11" t="e">
        <f t="shared" si="4"/>
        <v>#REF!</v>
      </c>
      <c r="S7" s="11" t="e">
        <f>(SUMIFS(#REF!,#REF!,C7)/SUMIFS(#REF!,#REF!,C7))*1000</f>
        <v>#REF!</v>
      </c>
      <c r="T7" s="11" t="e">
        <f t="shared" si="10"/>
        <v>#REF!</v>
      </c>
      <c r="U7" s="11"/>
      <c r="V7" s="11" t="e">
        <f t="shared" si="11"/>
        <v>#REF!</v>
      </c>
      <c r="W7" s="11" t="e">
        <f t="shared" si="12"/>
        <v>#REF!</v>
      </c>
      <c r="X7" s="43" t="e">
        <f t="shared" si="13"/>
        <v>#REF!</v>
      </c>
      <c r="Y7" s="43" t="e">
        <f ca="1">OFFSET(#REF!,MATCH(C7,#REF!,0)+1,0)</f>
        <v>#REF!</v>
      </c>
      <c r="Z7" s="43" t="e">
        <f t="shared" ca="1" si="14"/>
        <v>#REF!</v>
      </c>
      <c r="AA7" s="43" t="e">
        <f t="shared" si="5"/>
        <v>#REF!</v>
      </c>
      <c r="AB7" s="11" t="e">
        <f>SUMIFS(#REF!,#REF!,C7)/(1+1.8%)*(1+1.8%+2.3%)</f>
        <v>#REF!</v>
      </c>
      <c r="AC7" s="11" t="e">
        <f t="shared" si="15"/>
        <v>#REF!</v>
      </c>
      <c r="AD7" s="64"/>
      <c r="AE7" s="11" t="e">
        <f>(SUMIFS(#REF!,#REF!,C7)/(1+1.8%))*(1+1.8%+2.3%)</f>
        <v>#REF!</v>
      </c>
      <c r="AF7" s="11" t="e">
        <f>-SUMIFS(#REF!,#REF!,C7)/1000</f>
        <v>#REF!</v>
      </c>
      <c r="AG7" s="11" t="e">
        <f>SUMIFS(#REF!,#REF!,C7)</f>
        <v>#REF!</v>
      </c>
      <c r="AH7" s="11" t="e">
        <f>SUMIFS(#REF!,#REF!,C7)</f>
        <v>#REF!</v>
      </c>
      <c r="AI7" s="11" t="e">
        <f>SUMIFS(#REF!,#REF!,C7)</f>
        <v>#REF!</v>
      </c>
      <c r="AJ7" s="11" t="e">
        <f>SUMIFS(#REF!,#REF!,C7)</f>
        <v>#REF!</v>
      </c>
      <c r="AK7" s="11"/>
      <c r="AL7" s="11" t="e">
        <f t="shared" si="16"/>
        <v>#REF!</v>
      </c>
      <c r="AN7" s="11" t="e">
        <f t="shared" si="17"/>
        <v>#REF!</v>
      </c>
      <c r="AO7" s="11" t="e">
        <f t="shared" si="18"/>
        <v>#REF!</v>
      </c>
      <c r="AQ7" s="11" t="e">
        <f t="shared" si="19"/>
        <v>#REF!</v>
      </c>
      <c r="AS7" s="43" t="e">
        <f t="shared" si="20"/>
        <v>#REF!</v>
      </c>
      <c r="AT7" s="11" t="e">
        <f t="shared" si="21"/>
        <v>#REF!</v>
      </c>
      <c r="AV7" s="11" t="e">
        <f>'Share of £1bn'!$F$20*1000*$AO7/$AO$57</f>
        <v>#REF!</v>
      </c>
      <c r="AW7" s="11" t="e">
        <f>'Share of £1bn'!$F$27*1000*$AO7/$AO$57</f>
        <v>#REF!</v>
      </c>
      <c r="AX7" s="11" t="e">
        <f>'Share of £1bn'!$F$21*1000*$AO7/$AO$57</f>
        <v>#REF!</v>
      </c>
      <c r="AZ7" s="11" t="e">
        <f>'Share of £1bn'!$F$43*1000*AO7/$AO$57</f>
        <v>#REF!</v>
      </c>
      <c r="BA7" s="11" t="e">
        <f>'Share of £1bn'!$F$50*1000*$AO7/$AO$57</f>
        <v>#REF!</v>
      </c>
      <c r="BB7" s="11" t="e">
        <f>'Share of £1bn'!$F$44*1000*AO7/$AO$57</f>
        <v>#REF!</v>
      </c>
      <c r="BD7" s="11" t="e">
        <f>'Share of £1bn'!$F$67*1000*AO7/$AO$57</f>
        <v>#REF!</v>
      </c>
      <c r="BF7" s="11">
        <f>SUMIFS('20-11 M6 deficits'!$BO:$BO,'20-11 M6 deficits'!$C:$C,$C7)*1000</f>
        <v>-40017.770822656123</v>
      </c>
      <c r="BH7" s="11" t="e">
        <f t="shared" si="22"/>
        <v>#REF!</v>
      </c>
      <c r="BI7" s="11" t="e">
        <f t="shared" si="23"/>
        <v>#REF!</v>
      </c>
      <c r="BJ7" s="11" t="e">
        <f t="shared" si="24"/>
        <v>#REF!</v>
      </c>
      <c r="BK7" s="11" t="e">
        <f t="shared" si="25"/>
        <v>#REF!</v>
      </c>
      <c r="BL7" s="11" t="e">
        <f t="shared" si="26"/>
        <v>#REF!</v>
      </c>
      <c r="BN7" s="11" t="e">
        <f t="shared" si="27"/>
        <v>#REF!</v>
      </c>
      <c r="BO7" s="11" t="e">
        <f t="shared" si="28"/>
        <v>#REF!</v>
      </c>
      <c r="BP7" s="11" t="e">
        <f t="shared" si="29"/>
        <v>#REF!</v>
      </c>
      <c r="BQ7" s="11" t="e">
        <f t="shared" si="30"/>
        <v>#REF!</v>
      </c>
      <c r="BR7" s="11" t="e">
        <f t="shared" si="31"/>
        <v>#REF!</v>
      </c>
      <c r="BT7" s="11" t="e">
        <f t="shared" si="32"/>
        <v>#REF!</v>
      </c>
      <c r="BU7" s="11" t="e">
        <f t="shared" si="33"/>
        <v>#REF!</v>
      </c>
      <c r="BV7" s="11" t="e">
        <f t="shared" si="34"/>
        <v>#REF!</v>
      </c>
      <c r="BW7" s="11" t="e">
        <f t="shared" si="35"/>
        <v>#REF!</v>
      </c>
      <c r="BX7" s="11" t="e">
        <f t="shared" si="36"/>
        <v>#REF!</v>
      </c>
      <c r="BZ7" s="11" t="e">
        <f t="shared" si="37"/>
        <v>#REF!</v>
      </c>
      <c r="CA7" s="11" t="e">
        <f t="shared" si="38"/>
        <v>#REF!</v>
      </c>
      <c r="CB7" s="11" t="e">
        <f t="shared" si="39"/>
        <v>#REF!</v>
      </c>
      <c r="CC7" s="11" t="e">
        <f t="shared" si="40"/>
        <v>#REF!</v>
      </c>
      <c r="CD7" s="11" t="e">
        <f t="shared" si="41"/>
        <v>#REF!</v>
      </c>
      <c r="CF7" s="11" t="e">
        <f t="shared" si="42"/>
        <v>#REF!</v>
      </c>
      <c r="CG7" s="11" t="e">
        <f t="shared" si="43"/>
        <v>#REF!</v>
      </c>
      <c r="CH7" s="11" t="e">
        <f t="shared" si="44"/>
        <v>#REF!</v>
      </c>
      <c r="CI7" s="11" t="e">
        <f t="shared" si="45"/>
        <v>#REF!</v>
      </c>
      <c r="CJ7" s="11" t="e">
        <f t="shared" si="46"/>
        <v>#REF!</v>
      </c>
      <c r="CM7" s="209">
        <f t="shared" si="47"/>
        <v>2.5314130521961731E-2</v>
      </c>
      <c r="CN7" s="209" t="e">
        <f t="shared" si="48"/>
        <v>#REF!</v>
      </c>
      <c r="CO7" s="209" t="e">
        <f t="shared" si="49"/>
        <v>#REF!</v>
      </c>
      <c r="CP7" s="209" t="e">
        <f t="shared" si="50"/>
        <v>#REF!</v>
      </c>
      <c r="CQ7" s="209" t="e">
        <f t="shared" si="51"/>
        <v>#REF!</v>
      </c>
    </row>
    <row r="8" spans="1:95" x14ac:dyDescent="0.25">
      <c r="A8" s="15" t="s">
        <v>17</v>
      </c>
      <c r="B8" s="16" t="s">
        <v>18</v>
      </c>
      <c r="C8" s="17" t="s">
        <v>25</v>
      </c>
      <c r="D8" s="17" t="s">
        <v>26</v>
      </c>
      <c r="E8" s="18">
        <f>SUMIFS('ICB Core Baseline 2024-25'!Q:Q,'ICB Core Baseline 2024-25'!C:C,C8)</f>
        <v>4412463.5914081903</v>
      </c>
      <c r="F8" s="44" t="e">
        <f>SUMIFS(#REF!,#REF!,C8)</f>
        <v>#REF!</v>
      </c>
      <c r="H8" s="44" t="e">
        <f>SUMIFS(#REF!,#REF!,C8)</f>
        <v>#REF!</v>
      </c>
      <c r="I8" s="44" t="e">
        <f t="shared" si="6"/>
        <v>#REF!</v>
      </c>
      <c r="J8" s="44" t="e">
        <f t="shared" si="7"/>
        <v>#REF!</v>
      </c>
      <c r="K8" s="18" t="e">
        <f t="shared" si="0"/>
        <v>#REF!</v>
      </c>
      <c r="L8" s="18" t="e">
        <f t="shared" si="1"/>
        <v>#REF!</v>
      </c>
      <c r="M8" s="44" t="e">
        <f>SUMIFS(#REF!,#REF!,C8)</f>
        <v>#REF!</v>
      </c>
      <c r="N8" s="18" t="e">
        <f t="shared" si="2"/>
        <v>#REF!</v>
      </c>
      <c r="O8" s="44" t="e">
        <f t="shared" si="8"/>
        <v>#REF!</v>
      </c>
      <c r="P8" s="18" t="e">
        <f t="shared" si="3"/>
        <v>#REF!</v>
      </c>
      <c r="Q8" s="18" t="e">
        <f t="shared" si="9"/>
        <v>#REF!</v>
      </c>
      <c r="R8" s="18" t="e">
        <f t="shared" si="4"/>
        <v>#REF!</v>
      </c>
      <c r="S8" s="18" t="e">
        <f>(SUMIFS(#REF!,#REF!,C8)/SUMIFS(#REF!,#REF!,C8))*1000</f>
        <v>#REF!</v>
      </c>
      <c r="T8" s="18" t="e">
        <f t="shared" si="10"/>
        <v>#REF!</v>
      </c>
      <c r="U8" s="18"/>
      <c r="V8" s="18" t="e">
        <f t="shared" si="11"/>
        <v>#REF!</v>
      </c>
      <c r="W8" s="18" t="e">
        <f t="shared" si="12"/>
        <v>#REF!</v>
      </c>
      <c r="X8" s="44" t="e">
        <f t="shared" si="13"/>
        <v>#REF!</v>
      </c>
      <c r="Y8" s="44" t="e">
        <f ca="1">OFFSET(#REF!,MATCH(C8,#REF!,0)+1,0)</f>
        <v>#REF!</v>
      </c>
      <c r="Z8" s="44" t="e">
        <f t="shared" ca="1" si="14"/>
        <v>#REF!</v>
      </c>
      <c r="AA8" s="44" t="e">
        <f t="shared" si="5"/>
        <v>#REF!</v>
      </c>
      <c r="AB8" s="18" t="e">
        <f>SUMIFS(#REF!,#REF!,C8)/(1+1.8%)*(1+1.8%+2.3%)</f>
        <v>#REF!</v>
      </c>
      <c r="AC8" s="18" t="e">
        <f t="shared" si="15"/>
        <v>#REF!</v>
      </c>
      <c r="AD8" s="65"/>
      <c r="AE8" s="18" t="e">
        <f>(SUMIFS(#REF!,#REF!,C8)/(1+1.8%))*(1+1.8%+2.3%)</f>
        <v>#REF!</v>
      </c>
      <c r="AF8" s="18" t="e">
        <f>-SUMIFS(#REF!,#REF!,C8)/1000</f>
        <v>#REF!</v>
      </c>
      <c r="AG8" s="18" t="e">
        <f>SUMIFS(#REF!,#REF!,C8)</f>
        <v>#REF!</v>
      </c>
      <c r="AH8" s="18" t="e">
        <f>SUMIFS(#REF!,#REF!,C8)</f>
        <v>#REF!</v>
      </c>
      <c r="AI8" s="18" t="e">
        <f>SUMIFS(#REF!,#REF!,C8)</f>
        <v>#REF!</v>
      </c>
      <c r="AJ8" s="18" t="e">
        <f>SUMIFS(#REF!,#REF!,C8)</f>
        <v>#REF!</v>
      </c>
      <c r="AK8" s="18"/>
      <c r="AL8" s="18" t="e">
        <f t="shared" si="16"/>
        <v>#REF!</v>
      </c>
      <c r="AN8" s="18" t="e">
        <f t="shared" si="17"/>
        <v>#REF!</v>
      </c>
      <c r="AO8" s="18" t="e">
        <f t="shared" si="18"/>
        <v>#REF!</v>
      </c>
      <c r="AQ8" s="18" t="e">
        <f t="shared" si="19"/>
        <v>#REF!</v>
      </c>
      <c r="AS8" s="44" t="e">
        <f t="shared" si="20"/>
        <v>#REF!</v>
      </c>
      <c r="AT8" s="18" t="e">
        <f t="shared" si="21"/>
        <v>#REF!</v>
      </c>
      <c r="AV8" s="18" t="e">
        <f>'Share of £1bn'!$F$20*1000*$AO8/$AO$57</f>
        <v>#REF!</v>
      </c>
      <c r="AW8" s="18" t="e">
        <f>'Share of £1bn'!$F$27*1000*$AO8/$AO$57</f>
        <v>#REF!</v>
      </c>
      <c r="AX8" s="18" t="e">
        <f>'Share of £1bn'!$F$21*1000*$AO8/$AO$57</f>
        <v>#REF!</v>
      </c>
      <c r="AZ8" s="18" t="e">
        <f>'Share of £1bn'!$F$43*1000*AO8/$AO$57</f>
        <v>#REF!</v>
      </c>
      <c r="BA8" s="18" t="e">
        <f>'Share of £1bn'!$F$50*1000*$AO8/$AO$57</f>
        <v>#REF!</v>
      </c>
      <c r="BB8" s="18" t="e">
        <f>'Share of £1bn'!$F$44*1000*AO8/$AO$57</f>
        <v>#REF!</v>
      </c>
      <c r="BD8" s="18" t="e">
        <f>'Share of £1bn'!$F$67*1000*AO8/$AO$57</f>
        <v>#REF!</v>
      </c>
      <c r="BF8" s="11">
        <f>SUMIFS('20-11 M6 deficits'!$BO:$BO,'20-11 M6 deficits'!$C:$C,$C8)*1000</f>
        <v>0</v>
      </c>
      <c r="BH8" s="18" t="e">
        <f t="shared" si="22"/>
        <v>#REF!</v>
      </c>
      <c r="BI8" s="18" t="e">
        <f t="shared" si="23"/>
        <v>#REF!</v>
      </c>
      <c r="BJ8" s="18" t="e">
        <f t="shared" si="24"/>
        <v>#REF!</v>
      </c>
      <c r="BK8" s="18" t="e">
        <f t="shared" si="25"/>
        <v>#REF!</v>
      </c>
      <c r="BL8" s="18" t="e">
        <f t="shared" si="26"/>
        <v>#REF!</v>
      </c>
      <c r="BN8" s="18" t="e">
        <f t="shared" si="27"/>
        <v>#REF!</v>
      </c>
      <c r="BO8" s="18" t="e">
        <f t="shared" si="28"/>
        <v>#REF!</v>
      </c>
      <c r="BP8" s="18" t="e">
        <f t="shared" si="29"/>
        <v>#REF!</v>
      </c>
      <c r="BQ8" s="18" t="e">
        <f t="shared" si="30"/>
        <v>#REF!</v>
      </c>
      <c r="BR8" s="18" t="e">
        <f t="shared" si="31"/>
        <v>#REF!</v>
      </c>
      <c r="BT8" s="18" t="e">
        <f t="shared" si="32"/>
        <v>#REF!</v>
      </c>
      <c r="BU8" s="18" t="e">
        <f t="shared" si="33"/>
        <v>#REF!</v>
      </c>
      <c r="BV8" s="18" t="e">
        <f t="shared" si="34"/>
        <v>#REF!</v>
      </c>
      <c r="BW8" s="18" t="e">
        <f t="shared" si="35"/>
        <v>#REF!</v>
      </c>
      <c r="BX8" s="18" t="e">
        <f t="shared" si="36"/>
        <v>#REF!</v>
      </c>
      <c r="BZ8" s="18" t="e">
        <f t="shared" si="37"/>
        <v>#REF!</v>
      </c>
      <c r="CA8" s="18" t="e">
        <f t="shared" si="38"/>
        <v>#REF!</v>
      </c>
      <c r="CB8" s="18" t="e">
        <f t="shared" si="39"/>
        <v>#REF!</v>
      </c>
      <c r="CC8" s="18" t="e">
        <f t="shared" si="40"/>
        <v>#REF!</v>
      </c>
      <c r="CD8" s="18" t="e">
        <f t="shared" si="41"/>
        <v>#REF!</v>
      </c>
      <c r="CF8" s="18" t="e">
        <f t="shared" si="42"/>
        <v>#REF!</v>
      </c>
      <c r="CG8" s="18" t="e">
        <f t="shared" si="43"/>
        <v>#REF!</v>
      </c>
      <c r="CH8" s="18" t="e">
        <f t="shared" si="44"/>
        <v>#REF!</v>
      </c>
      <c r="CI8" s="18" t="e">
        <f t="shared" si="45"/>
        <v>#REF!</v>
      </c>
      <c r="CJ8" s="18" t="e">
        <f t="shared" si="46"/>
        <v>#REF!</v>
      </c>
      <c r="CM8" s="209">
        <f t="shared" si="47"/>
        <v>0</v>
      </c>
      <c r="CN8" s="209" t="e">
        <f t="shared" si="48"/>
        <v>#REF!</v>
      </c>
      <c r="CO8" s="209" t="e">
        <f t="shared" si="49"/>
        <v>#REF!</v>
      </c>
      <c r="CP8" s="209" t="e">
        <f t="shared" si="50"/>
        <v>#REF!</v>
      </c>
      <c r="CQ8" s="209" t="e">
        <f t="shared" si="51"/>
        <v>#REF!</v>
      </c>
    </row>
    <row r="9" spans="1:95" x14ac:dyDescent="0.25">
      <c r="A9" s="10" t="s">
        <v>27</v>
      </c>
      <c r="B9" s="4" t="s">
        <v>28</v>
      </c>
      <c r="C9" s="4" t="s">
        <v>29</v>
      </c>
      <c r="D9" s="4" t="s">
        <v>30</v>
      </c>
      <c r="E9" s="11">
        <f>SUMIFS('ICB Core Baseline 2024-25'!Q:Q,'ICB Core Baseline 2024-25'!C:C,C9)</f>
        <v>5282103.6953610079</v>
      </c>
      <c r="F9" s="43" t="e">
        <f>SUMIFS(#REF!,#REF!,C9)</f>
        <v>#REF!</v>
      </c>
      <c r="H9" s="43" t="e">
        <f>SUMIFS(#REF!,#REF!,C9)</f>
        <v>#REF!</v>
      </c>
      <c r="I9" s="43" t="e">
        <f t="shared" si="6"/>
        <v>#REF!</v>
      </c>
      <c r="J9" s="43" t="e">
        <f t="shared" si="7"/>
        <v>#REF!</v>
      </c>
      <c r="K9" s="11" t="e">
        <f t="shared" si="0"/>
        <v>#REF!</v>
      </c>
      <c r="L9" s="11" t="e">
        <f t="shared" si="1"/>
        <v>#REF!</v>
      </c>
      <c r="M9" s="43" t="e">
        <f>SUMIFS(#REF!,#REF!,C9)</f>
        <v>#REF!</v>
      </c>
      <c r="N9" s="11" t="e">
        <f t="shared" si="2"/>
        <v>#REF!</v>
      </c>
      <c r="O9" s="43" t="e">
        <f t="shared" si="8"/>
        <v>#REF!</v>
      </c>
      <c r="P9" s="11" t="e">
        <f t="shared" si="3"/>
        <v>#REF!</v>
      </c>
      <c r="Q9" s="11" t="e">
        <f t="shared" si="9"/>
        <v>#REF!</v>
      </c>
      <c r="R9" s="11" t="e">
        <f t="shared" si="4"/>
        <v>#REF!</v>
      </c>
      <c r="S9" s="11" t="e">
        <f>(SUMIFS(#REF!,#REF!,C9)/SUMIFS(#REF!,#REF!,C9))*1000</f>
        <v>#REF!</v>
      </c>
      <c r="T9" s="11" t="e">
        <f t="shared" si="10"/>
        <v>#REF!</v>
      </c>
      <c r="U9" s="11"/>
      <c r="V9" s="11" t="e">
        <f t="shared" si="11"/>
        <v>#REF!</v>
      </c>
      <c r="W9" s="11" t="e">
        <f t="shared" si="12"/>
        <v>#REF!</v>
      </c>
      <c r="X9" s="43" t="e">
        <f t="shared" si="13"/>
        <v>#REF!</v>
      </c>
      <c r="Y9" s="43" t="e">
        <f ca="1">OFFSET(#REF!,MATCH(C9,#REF!,0)+1,0)</f>
        <v>#REF!</v>
      </c>
      <c r="Z9" s="43" t="e">
        <f t="shared" ca="1" si="14"/>
        <v>#REF!</v>
      </c>
      <c r="AA9" s="43" t="e">
        <f t="shared" si="5"/>
        <v>#REF!</v>
      </c>
      <c r="AB9" s="11" t="e">
        <f>SUMIFS(#REF!,#REF!,C9)/(1+1.8%)*(1+1.8%+2.3%)</f>
        <v>#REF!</v>
      </c>
      <c r="AC9" s="11" t="e">
        <f t="shared" si="15"/>
        <v>#REF!</v>
      </c>
      <c r="AD9" s="64"/>
      <c r="AE9" s="11" t="e">
        <f>(SUMIFS(#REF!,#REF!,C9)/(1+1.8%))*(1+1.8%+2.3%)</f>
        <v>#REF!</v>
      </c>
      <c r="AF9" s="11" t="e">
        <f>-SUMIFS(#REF!,#REF!,C9)/1000</f>
        <v>#REF!</v>
      </c>
      <c r="AG9" s="11" t="e">
        <f>SUMIFS(#REF!,#REF!,C9)</f>
        <v>#REF!</v>
      </c>
      <c r="AH9" s="11" t="e">
        <f>SUMIFS(#REF!,#REF!,C9)</f>
        <v>#REF!</v>
      </c>
      <c r="AI9" s="11" t="e">
        <f>SUMIFS(#REF!,#REF!,C9)</f>
        <v>#REF!</v>
      </c>
      <c r="AJ9" s="11" t="e">
        <f>SUMIFS(#REF!,#REF!,C9)</f>
        <v>#REF!</v>
      </c>
      <c r="AK9" s="11"/>
      <c r="AL9" s="11" t="e">
        <f t="shared" si="16"/>
        <v>#REF!</v>
      </c>
      <c r="AN9" s="11" t="e">
        <f t="shared" si="17"/>
        <v>#REF!</v>
      </c>
      <c r="AO9" s="11" t="e">
        <f t="shared" si="18"/>
        <v>#REF!</v>
      </c>
      <c r="AQ9" s="11" t="e">
        <f t="shared" si="19"/>
        <v>#REF!</v>
      </c>
      <c r="AS9" s="43" t="e">
        <f t="shared" si="20"/>
        <v>#REF!</v>
      </c>
      <c r="AT9" s="11" t="e">
        <f t="shared" si="21"/>
        <v>#REF!</v>
      </c>
      <c r="AV9" s="11" t="e">
        <f>'Share of £1bn'!$F$20*1000*$AO9/$AO$57</f>
        <v>#REF!</v>
      </c>
      <c r="AW9" s="11" t="e">
        <f>'Share of £1bn'!$F$27*1000*$AO9/$AO$57</f>
        <v>#REF!</v>
      </c>
      <c r="AX9" s="11" t="e">
        <f>'Share of £1bn'!$F$21*1000*$AO9/$AO$57</f>
        <v>#REF!</v>
      </c>
      <c r="AZ9" s="11" t="e">
        <f>'Share of £1bn'!$F$43*1000*AO9/$AO$57</f>
        <v>#REF!</v>
      </c>
      <c r="BA9" s="11" t="e">
        <f>'Share of £1bn'!$F$50*1000*$AO9/$AO$57</f>
        <v>#REF!</v>
      </c>
      <c r="BB9" s="11" t="e">
        <f>'Share of £1bn'!$F$44*1000*AO9/$AO$57</f>
        <v>#REF!</v>
      </c>
      <c r="BD9" s="11" t="e">
        <f>'Share of £1bn'!$F$67*1000*AO9/$AO$57</f>
        <v>#REF!</v>
      </c>
      <c r="BF9" s="11">
        <f>SUMIFS('20-11 M6 deficits'!$BO:$BO,'20-11 M6 deficits'!$C:$C,$C9)*1000</f>
        <v>-51200</v>
      </c>
      <c r="BH9" s="11" t="e">
        <f t="shared" si="22"/>
        <v>#REF!</v>
      </c>
      <c r="BI9" s="11" t="e">
        <f t="shared" si="23"/>
        <v>#REF!</v>
      </c>
      <c r="BJ9" s="11" t="e">
        <f t="shared" si="24"/>
        <v>#REF!</v>
      </c>
      <c r="BK9" s="11" t="e">
        <f t="shared" si="25"/>
        <v>#REF!</v>
      </c>
      <c r="BL9" s="11" t="e">
        <f t="shared" si="26"/>
        <v>#REF!</v>
      </c>
      <c r="BN9" s="11" t="e">
        <f t="shared" si="27"/>
        <v>#REF!</v>
      </c>
      <c r="BO9" s="11" t="e">
        <f t="shared" si="28"/>
        <v>#REF!</v>
      </c>
      <c r="BP9" s="11" t="e">
        <f t="shared" si="29"/>
        <v>#REF!</v>
      </c>
      <c r="BQ9" s="11" t="e">
        <f t="shared" si="30"/>
        <v>#REF!</v>
      </c>
      <c r="BR9" s="11" t="e">
        <f t="shared" si="31"/>
        <v>#REF!</v>
      </c>
      <c r="BT9" s="11" t="e">
        <f t="shared" si="32"/>
        <v>#REF!</v>
      </c>
      <c r="BU9" s="11" t="e">
        <f t="shared" si="33"/>
        <v>#REF!</v>
      </c>
      <c r="BV9" s="11" t="e">
        <f t="shared" si="34"/>
        <v>#REF!</v>
      </c>
      <c r="BW9" s="11" t="e">
        <f t="shared" si="35"/>
        <v>#REF!</v>
      </c>
      <c r="BX9" s="11" t="e">
        <f t="shared" si="36"/>
        <v>#REF!</v>
      </c>
      <c r="BZ9" s="11" t="e">
        <f t="shared" si="37"/>
        <v>#REF!</v>
      </c>
      <c r="CA9" s="11" t="e">
        <f t="shared" si="38"/>
        <v>#REF!</v>
      </c>
      <c r="CB9" s="11" t="e">
        <f t="shared" si="39"/>
        <v>#REF!</v>
      </c>
      <c r="CC9" s="11" t="e">
        <f t="shared" si="40"/>
        <v>#REF!</v>
      </c>
      <c r="CD9" s="11" t="e">
        <f t="shared" si="41"/>
        <v>#REF!</v>
      </c>
      <c r="CF9" s="11" t="e">
        <f t="shared" si="42"/>
        <v>#REF!</v>
      </c>
      <c r="CG9" s="11" t="e">
        <f t="shared" si="43"/>
        <v>#REF!</v>
      </c>
      <c r="CH9" s="11" t="e">
        <f t="shared" si="44"/>
        <v>#REF!</v>
      </c>
      <c r="CI9" s="11" t="e">
        <f t="shared" si="45"/>
        <v>#REF!</v>
      </c>
      <c r="CJ9" s="11" t="e">
        <f t="shared" si="46"/>
        <v>#REF!</v>
      </c>
      <c r="CM9" s="209">
        <f t="shared" si="47"/>
        <v>3.2387698167101825E-2</v>
      </c>
      <c r="CN9" s="209" t="e">
        <f t="shared" si="48"/>
        <v>#REF!</v>
      </c>
      <c r="CO9" s="209" t="e">
        <f t="shared" si="49"/>
        <v>#REF!</v>
      </c>
      <c r="CP9" s="209" t="e">
        <f t="shared" si="50"/>
        <v>#REF!</v>
      </c>
      <c r="CQ9" s="209" t="e">
        <f t="shared" si="51"/>
        <v>#REF!</v>
      </c>
    </row>
    <row r="10" spans="1:95" x14ac:dyDescent="0.25">
      <c r="A10" s="13" t="s">
        <v>27</v>
      </c>
      <c r="B10" s="14" t="s">
        <v>28</v>
      </c>
      <c r="C10" s="4" t="s">
        <v>31</v>
      </c>
      <c r="D10" s="4" t="s">
        <v>8</v>
      </c>
      <c r="E10" s="11">
        <f>SUMIFS('ICB Core Baseline 2024-25'!Q:Q,'ICB Core Baseline 2024-25'!C:C,C10)</f>
        <v>5659485.1514335498</v>
      </c>
      <c r="F10" s="43" t="e">
        <f>SUMIFS(#REF!,#REF!,C10)</f>
        <v>#REF!</v>
      </c>
      <c r="H10" s="43" t="e">
        <f>SUMIFS(#REF!,#REF!,C10)</f>
        <v>#REF!</v>
      </c>
      <c r="I10" s="43" t="e">
        <f t="shared" si="6"/>
        <v>#REF!</v>
      </c>
      <c r="J10" s="43" t="e">
        <f t="shared" si="7"/>
        <v>#REF!</v>
      </c>
      <c r="K10" s="11" t="e">
        <f t="shared" si="0"/>
        <v>#REF!</v>
      </c>
      <c r="L10" s="11" t="e">
        <f t="shared" si="1"/>
        <v>#REF!</v>
      </c>
      <c r="M10" s="43" t="e">
        <f>SUMIFS(#REF!,#REF!,C10)</f>
        <v>#REF!</v>
      </c>
      <c r="N10" s="11" t="e">
        <f t="shared" si="2"/>
        <v>#REF!</v>
      </c>
      <c r="O10" s="43" t="e">
        <f t="shared" si="8"/>
        <v>#REF!</v>
      </c>
      <c r="P10" s="11" t="e">
        <f t="shared" si="3"/>
        <v>#REF!</v>
      </c>
      <c r="Q10" s="11" t="e">
        <f t="shared" si="9"/>
        <v>#REF!</v>
      </c>
      <c r="R10" s="11" t="e">
        <f t="shared" si="4"/>
        <v>#REF!</v>
      </c>
      <c r="S10" s="11" t="e">
        <f>(SUMIFS(#REF!,#REF!,C10)/SUMIFS(#REF!,#REF!,C10))*1000</f>
        <v>#REF!</v>
      </c>
      <c r="T10" s="11" t="e">
        <f t="shared" si="10"/>
        <v>#REF!</v>
      </c>
      <c r="U10" s="11"/>
      <c r="V10" s="11" t="e">
        <f t="shared" si="11"/>
        <v>#REF!</v>
      </c>
      <c r="W10" s="11" t="e">
        <f t="shared" si="12"/>
        <v>#REF!</v>
      </c>
      <c r="X10" s="43" t="e">
        <f t="shared" si="13"/>
        <v>#REF!</v>
      </c>
      <c r="Y10" s="43" t="e">
        <f ca="1">OFFSET(#REF!,MATCH(C10,#REF!,0)+1,0)</f>
        <v>#REF!</v>
      </c>
      <c r="Z10" s="43" t="e">
        <f t="shared" ca="1" si="14"/>
        <v>#REF!</v>
      </c>
      <c r="AA10" s="43" t="e">
        <f t="shared" si="5"/>
        <v>#REF!</v>
      </c>
      <c r="AB10" s="11" t="e">
        <f>SUMIFS(#REF!,#REF!,C10)/(1+1.8%)*(1+1.8%+2.3%)</f>
        <v>#REF!</v>
      </c>
      <c r="AC10" s="11" t="e">
        <f t="shared" si="15"/>
        <v>#REF!</v>
      </c>
      <c r="AD10" s="64"/>
      <c r="AE10" s="11" t="e">
        <f>(SUMIFS(#REF!,#REF!,C10)/(1+1.8%))*(1+1.8%+2.3%)</f>
        <v>#REF!</v>
      </c>
      <c r="AF10" s="11" t="e">
        <f>-SUMIFS(#REF!,#REF!,C10)/1000</f>
        <v>#REF!</v>
      </c>
      <c r="AG10" s="11" t="e">
        <f>SUMIFS(#REF!,#REF!,C10)</f>
        <v>#REF!</v>
      </c>
      <c r="AH10" s="11" t="e">
        <f>SUMIFS(#REF!,#REF!,C10)</f>
        <v>#REF!</v>
      </c>
      <c r="AI10" s="11" t="e">
        <f>SUMIFS(#REF!,#REF!,C10)</f>
        <v>#REF!</v>
      </c>
      <c r="AJ10" s="11" t="e">
        <f>SUMIFS(#REF!,#REF!,C10)</f>
        <v>#REF!</v>
      </c>
      <c r="AK10" s="11"/>
      <c r="AL10" s="11" t="e">
        <f t="shared" si="16"/>
        <v>#REF!</v>
      </c>
      <c r="AN10" s="11" t="e">
        <f t="shared" si="17"/>
        <v>#REF!</v>
      </c>
      <c r="AO10" s="11" t="e">
        <f t="shared" si="18"/>
        <v>#REF!</v>
      </c>
      <c r="AQ10" s="11" t="e">
        <f t="shared" si="19"/>
        <v>#REF!</v>
      </c>
      <c r="AS10" s="43" t="e">
        <f t="shared" si="20"/>
        <v>#REF!</v>
      </c>
      <c r="AT10" s="11" t="e">
        <f t="shared" si="21"/>
        <v>#REF!</v>
      </c>
      <c r="AV10" s="11" t="e">
        <f>'Share of £1bn'!$F$20*1000*$AO10/$AO$57</f>
        <v>#REF!</v>
      </c>
      <c r="AW10" s="11" t="e">
        <f>'Share of £1bn'!$F$27*1000*$AO10/$AO$57</f>
        <v>#REF!</v>
      </c>
      <c r="AX10" s="11" t="e">
        <f>'Share of £1bn'!$F$21*1000*$AO10/$AO$57</f>
        <v>#REF!</v>
      </c>
      <c r="AZ10" s="11" t="e">
        <f>'Share of £1bn'!$F$43*1000*AO10/$AO$57</f>
        <v>#REF!</v>
      </c>
      <c r="BA10" s="11" t="e">
        <f>'Share of £1bn'!$F$50*1000*$AO10/$AO$57</f>
        <v>#REF!</v>
      </c>
      <c r="BB10" s="11" t="e">
        <f>'Share of £1bn'!$F$44*1000*AO10/$AO$57</f>
        <v>#REF!</v>
      </c>
      <c r="BD10" s="11" t="e">
        <f>'Share of £1bn'!$F$67*1000*AO10/$AO$57</f>
        <v>#REF!</v>
      </c>
      <c r="BF10" s="11">
        <f>SUMIFS('20-11 M6 deficits'!$BO:$BO,'20-11 M6 deficits'!$C:$C,$C10)*1000</f>
        <v>-169956.59103814809</v>
      </c>
      <c r="BH10" s="11" t="e">
        <f t="shared" si="22"/>
        <v>#REF!</v>
      </c>
      <c r="BI10" s="11" t="e">
        <f t="shared" si="23"/>
        <v>#REF!</v>
      </c>
      <c r="BJ10" s="11" t="e">
        <f t="shared" si="24"/>
        <v>#REF!</v>
      </c>
      <c r="BK10" s="11" t="e">
        <f t="shared" si="25"/>
        <v>#REF!</v>
      </c>
      <c r="BL10" s="11" t="e">
        <f t="shared" si="26"/>
        <v>#REF!</v>
      </c>
      <c r="BN10" s="11" t="e">
        <f t="shared" si="27"/>
        <v>#REF!</v>
      </c>
      <c r="BO10" s="11" t="e">
        <f t="shared" si="28"/>
        <v>#REF!</v>
      </c>
      <c r="BP10" s="11" t="e">
        <f t="shared" si="29"/>
        <v>#REF!</v>
      </c>
      <c r="BQ10" s="11" t="e">
        <f t="shared" si="30"/>
        <v>#REF!</v>
      </c>
      <c r="BR10" s="11" t="e">
        <f t="shared" si="31"/>
        <v>#REF!</v>
      </c>
      <c r="BT10" s="11" t="e">
        <f t="shared" si="32"/>
        <v>#REF!</v>
      </c>
      <c r="BU10" s="11" t="e">
        <f t="shared" si="33"/>
        <v>#REF!</v>
      </c>
      <c r="BV10" s="11" t="e">
        <f t="shared" si="34"/>
        <v>#REF!</v>
      </c>
      <c r="BW10" s="11" t="e">
        <f t="shared" si="35"/>
        <v>#REF!</v>
      </c>
      <c r="BX10" s="11" t="e">
        <f t="shared" si="36"/>
        <v>#REF!</v>
      </c>
      <c r="BZ10" s="11" t="e">
        <f t="shared" si="37"/>
        <v>#REF!</v>
      </c>
      <c r="CA10" s="11" t="e">
        <f t="shared" si="38"/>
        <v>#REF!</v>
      </c>
      <c r="CB10" s="11" t="e">
        <f t="shared" si="39"/>
        <v>#REF!</v>
      </c>
      <c r="CC10" s="11" t="e">
        <f t="shared" si="40"/>
        <v>#REF!</v>
      </c>
      <c r="CD10" s="11" t="e">
        <f t="shared" si="41"/>
        <v>#REF!</v>
      </c>
      <c r="CF10" s="11" t="e">
        <f t="shared" si="42"/>
        <v>#REF!</v>
      </c>
      <c r="CG10" s="11" t="e">
        <f t="shared" si="43"/>
        <v>#REF!</v>
      </c>
      <c r="CH10" s="11" t="e">
        <f t="shared" si="44"/>
        <v>#REF!</v>
      </c>
      <c r="CI10" s="11" t="e">
        <f t="shared" si="45"/>
        <v>#REF!</v>
      </c>
      <c r="CJ10" s="11" t="e">
        <f t="shared" si="46"/>
        <v>#REF!</v>
      </c>
      <c r="CM10" s="209">
        <f t="shared" si="47"/>
        <v>0.10750981976666217</v>
      </c>
      <c r="CN10" s="209" t="e">
        <f t="shared" si="48"/>
        <v>#REF!</v>
      </c>
      <c r="CO10" s="209" t="e">
        <f t="shared" si="49"/>
        <v>#REF!</v>
      </c>
      <c r="CP10" s="209" t="e">
        <f t="shared" si="50"/>
        <v>#REF!</v>
      </c>
      <c r="CQ10" s="209" t="e">
        <f t="shared" si="51"/>
        <v>#REF!</v>
      </c>
    </row>
    <row r="11" spans="1:95" x14ac:dyDescent="0.25">
      <c r="A11" s="15" t="s">
        <v>27</v>
      </c>
      <c r="B11" s="16" t="s">
        <v>28</v>
      </c>
      <c r="C11" s="17" t="s">
        <v>32</v>
      </c>
      <c r="D11" s="17" t="s">
        <v>33</v>
      </c>
      <c r="E11" s="18">
        <f>SUMIFS('ICB Core Baseline 2024-25'!Q:Q,'ICB Core Baseline 2024-25'!C:C,C11)</f>
        <v>3508460.5811494747</v>
      </c>
      <c r="F11" s="44" t="e">
        <f>SUMIFS(#REF!,#REF!,C11)</f>
        <v>#REF!</v>
      </c>
      <c r="H11" s="44" t="e">
        <f>SUMIFS(#REF!,#REF!,C11)</f>
        <v>#REF!</v>
      </c>
      <c r="I11" s="44" t="e">
        <f t="shared" si="6"/>
        <v>#REF!</v>
      </c>
      <c r="J11" s="44" t="e">
        <f t="shared" si="7"/>
        <v>#REF!</v>
      </c>
      <c r="K11" s="18" t="e">
        <f t="shared" si="0"/>
        <v>#REF!</v>
      </c>
      <c r="L11" s="18" t="e">
        <f t="shared" si="1"/>
        <v>#REF!</v>
      </c>
      <c r="M11" s="44" t="e">
        <f>SUMIFS(#REF!,#REF!,C11)</f>
        <v>#REF!</v>
      </c>
      <c r="N11" s="18" t="e">
        <f t="shared" si="2"/>
        <v>#REF!</v>
      </c>
      <c r="O11" s="44" t="e">
        <f t="shared" si="8"/>
        <v>#REF!</v>
      </c>
      <c r="P11" s="18" t="e">
        <f t="shared" si="3"/>
        <v>#REF!</v>
      </c>
      <c r="Q11" s="18" t="e">
        <f t="shared" si="9"/>
        <v>#REF!</v>
      </c>
      <c r="R11" s="18" t="e">
        <f t="shared" si="4"/>
        <v>#REF!</v>
      </c>
      <c r="S11" s="18" t="e">
        <f>(SUMIFS(#REF!,#REF!,C11)/SUMIFS(#REF!,#REF!,C11))*1000</f>
        <v>#REF!</v>
      </c>
      <c r="T11" s="18" t="e">
        <f t="shared" si="10"/>
        <v>#REF!</v>
      </c>
      <c r="U11" s="18"/>
      <c r="V11" s="18" t="e">
        <f t="shared" si="11"/>
        <v>#REF!</v>
      </c>
      <c r="W11" s="18" t="e">
        <f t="shared" si="12"/>
        <v>#REF!</v>
      </c>
      <c r="X11" s="44" t="e">
        <f t="shared" si="13"/>
        <v>#REF!</v>
      </c>
      <c r="Y11" s="44" t="e">
        <f ca="1">OFFSET(#REF!,MATCH(C11,#REF!,0)+1,0)</f>
        <v>#REF!</v>
      </c>
      <c r="Z11" s="44" t="e">
        <f t="shared" ca="1" si="14"/>
        <v>#REF!</v>
      </c>
      <c r="AA11" s="44" t="e">
        <f t="shared" si="5"/>
        <v>#REF!</v>
      </c>
      <c r="AB11" s="18" t="e">
        <f>SUMIFS(#REF!,#REF!,C11)/(1+1.8%)*(1+1.8%+2.3%)</f>
        <v>#REF!</v>
      </c>
      <c r="AC11" s="18" t="e">
        <f t="shared" si="15"/>
        <v>#REF!</v>
      </c>
      <c r="AD11" s="65"/>
      <c r="AE11" s="18" t="e">
        <f>(SUMIFS(#REF!,#REF!,C11)/(1+1.8%))*(1+1.8%+2.3%)</f>
        <v>#REF!</v>
      </c>
      <c r="AF11" s="18" t="e">
        <f>-SUMIFS(#REF!,#REF!,C11)/1000</f>
        <v>#REF!</v>
      </c>
      <c r="AG11" s="18" t="e">
        <f>SUMIFS(#REF!,#REF!,C11)</f>
        <v>#REF!</v>
      </c>
      <c r="AH11" s="18" t="e">
        <f>SUMIFS(#REF!,#REF!,C11)</f>
        <v>#REF!</v>
      </c>
      <c r="AI11" s="18" t="e">
        <f>SUMIFS(#REF!,#REF!,C11)</f>
        <v>#REF!</v>
      </c>
      <c r="AJ11" s="18" t="e">
        <f>SUMIFS(#REF!,#REF!,C11)</f>
        <v>#REF!</v>
      </c>
      <c r="AK11" s="18"/>
      <c r="AL11" s="18" t="e">
        <f t="shared" si="16"/>
        <v>#REF!</v>
      </c>
      <c r="AN11" s="18" t="e">
        <f t="shared" si="17"/>
        <v>#REF!</v>
      </c>
      <c r="AO11" s="18" t="e">
        <f t="shared" si="18"/>
        <v>#REF!</v>
      </c>
      <c r="AQ11" s="18" t="e">
        <f t="shared" si="19"/>
        <v>#REF!</v>
      </c>
      <c r="AS11" s="44" t="e">
        <f t="shared" si="20"/>
        <v>#REF!</v>
      </c>
      <c r="AT11" s="18" t="e">
        <f t="shared" si="21"/>
        <v>#REF!</v>
      </c>
      <c r="AV11" s="18" t="e">
        <f>'Share of £1bn'!$F$20*1000*$AO11/$AO$57</f>
        <v>#REF!</v>
      </c>
      <c r="AW11" s="18" t="e">
        <f>'Share of £1bn'!$F$27*1000*$AO11/$AO$57</f>
        <v>#REF!</v>
      </c>
      <c r="AX11" s="18" t="e">
        <f>'Share of £1bn'!$F$21*1000*$AO11/$AO$57</f>
        <v>#REF!</v>
      </c>
      <c r="AZ11" s="18" t="e">
        <f>'Share of £1bn'!$F$43*1000*AO11/$AO$57</f>
        <v>#REF!</v>
      </c>
      <c r="BA11" s="18" t="e">
        <f>'Share of £1bn'!$F$50*1000*$AO11/$AO$57</f>
        <v>#REF!</v>
      </c>
      <c r="BB11" s="18" t="e">
        <f>'Share of £1bn'!$F$44*1000*AO11/$AO$57</f>
        <v>#REF!</v>
      </c>
      <c r="BD11" s="18" t="e">
        <f>'Share of £1bn'!$F$67*1000*AO11/$AO$57</f>
        <v>#REF!</v>
      </c>
      <c r="BF11" s="11">
        <f>SUMIFS('20-11 M6 deficits'!$BO:$BO,'20-11 M6 deficits'!$C:$C,$C11)*1000</f>
        <v>-200008.46951755669</v>
      </c>
      <c r="BH11" s="18" t="e">
        <f t="shared" si="22"/>
        <v>#REF!</v>
      </c>
      <c r="BI11" s="18" t="e">
        <f t="shared" si="23"/>
        <v>#REF!</v>
      </c>
      <c r="BJ11" s="18" t="e">
        <f t="shared" si="24"/>
        <v>#REF!</v>
      </c>
      <c r="BK11" s="18" t="e">
        <f t="shared" si="25"/>
        <v>#REF!</v>
      </c>
      <c r="BL11" s="18" t="e">
        <f t="shared" si="26"/>
        <v>#REF!</v>
      </c>
      <c r="BN11" s="18" t="e">
        <f t="shared" si="27"/>
        <v>#REF!</v>
      </c>
      <c r="BO11" s="18" t="e">
        <f t="shared" si="28"/>
        <v>#REF!</v>
      </c>
      <c r="BP11" s="18" t="e">
        <f t="shared" si="29"/>
        <v>#REF!</v>
      </c>
      <c r="BQ11" s="18" t="e">
        <f t="shared" si="30"/>
        <v>#REF!</v>
      </c>
      <c r="BR11" s="18" t="e">
        <f t="shared" si="31"/>
        <v>#REF!</v>
      </c>
      <c r="BT11" s="18" t="e">
        <f t="shared" si="32"/>
        <v>#REF!</v>
      </c>
      <c r="BU11" s="18" t="e">
        <f t="shared" si="33"/>
        <v>#REF!</v>
      </c>
      <c r="BV11" s="18" t="e">
        <f t="shared" si="34"/>
        <v>#REF!</v>
      </c>
      <c r="BW11" s="18" t="e">
        <f t="shared" si="35"/>
        <v>#REF!</v>
      </c>
      <c r="BX11" s="18" t="e">
        <f t="shared" si="36"/>
        <v>#REF!</v>
      </c>
      <c r="BZ11" s="18" t="e">
        <f t="shared" si="37"/>
        <v>#REF!</v>
      </c>
      <c r="CA11" s="18" t="e">
        <f t="shared" si="38"/>
        <v>#REF!</v>
      </c>
      <c r="CB11" s="18" t="e">
        <f t="shared" si="39"/>
        <v>#REF!</v>
      </c>
      <c r="CC11" s="18" t="e">
        <f t="shared" si="40"/>
        <v>#REF!</v>
      </c>
      <c r="CD11" s="18" t="e">
        <f t="shared" si="41"/>
        <v>#REF!</v>
      </c>
      <c r="CF11" s="18" t="e">
        <f t="shared" si="42"/>
        <v>#REF!</v>
      </c>
      <c r="CG11" s="18" t="e">
        <f t="shared" si="43"/>
        <v>#REF!</v>
      </c>
      <c r="CH11" s="18" t="e">
        <f t="shared" si="44"/>
        <v>#REF!</v>
      </c>
      <c r="CI11" s="18" t="e">
        <f t="shared" si="45"/>
        <v>#REF!</v>
      </c>
      <c r="CJ11" s="18" t="e">
        <f t="shared" si="46"/>
        <v>#REF!</v>
      </c>
      <c r="CM11" s="209">
        <f t="shared" si="47"/>
        <v>0.12651980354684789</v>
      </c>
      <c r="CN11" s="209" t="e">
        <f t="shared" si="48"/>
        <v>#REF!</v>
      </c>
      <c r="CO11" s="209" t="e">
        <f t="shared" si="49"/>
        <v>#REF!</v>
      </c>
      <c r="CP11" s="209" t="e">
        <f t="shared" si="50"/>
        <v>#REF!</v>
      </c>
      <c r="CQ11" s="209" t="e">
        <f t="shared" si="51"/>
        <v>#REF!</v>
      </c>
    </row>
    <row r="12" spans="1:95" x14ac:dyDescent="0.25">
      <c r="A12" s="10" t="s">
        <v>34</v>
      </c>
      <c r="B12" s="4" t="s">
        <v>35</v>
      </c>
      <c r="C12" s="4" t="s">
        <v>36</v>
      </c>
      <c r="D12" s="4" t="s">
        <v>37</v>
      </c>
      <c r="E12" s="11">
        <f>SUMIFS('ICB Core Baseline 2024-25'!Q:Q,'ICB Core Baseline 2024-25'!C:C,C12)</f>
        <v>2582726.5490809772</v>
      </c>
      <c r="F12" s="43" t="e">
        <f>SUMIFS(#REF!,#REF!,C12)</f>
        <v>#REF!</v>
      </c>
      <c r="H12" s="43" t="e">
        <f>SUMIFS(#REF!,#REF!,C12)</f>
        <v>#REF!</v>
      </c>
      <c r="I12" s="43" t="e">
        <f t="shared" si="6"/>
        <v>#REF!</v>
      </c>
      <c r="J12" s="43" t="e">
        <f t="shared" si="7"/>
        <v>#REF!</v>
      </c>
      <c r="K12" s="11" t="e">
        <f t="shared" si="0"/>
        <v>#REF!</v>
      </c>
      <c r="L12" s="11" t="e">
        <f t="shared" si="1"/>
        <v>#REF!</v>
      </c>
      <c r="M12" s="43" t="e">
        <f>SUMIFS(#REF!,#REF!,C12)</f>
        <v>#REF!</v>
      </c>
      <c r="N12" s="11" t="e">
        <f t="shared" si="2"/>
        <v>#REF!</v>
      </c>
      <c r="O12" s="43" t="e">
        <f t="shared" si="8"/>
        <v>#REF!</v>
      </c>
      <c r="P12" s="11" t="e">
        <f t="shared" si="3"/>
        <v>#REF!</v>
      </c>
      <c r="Q12" s="11" t="e">
        <f t="shared" si="9"/>
        <v>#REF!</v>
      </c>
      <c r="R12" s="11" t="e">
        <f t="shared" si="4"/>
        <v>#REF!</v>
      </c>
      <c r="S12" s="11" t="e">
        <f>(SUMIFS(#REF!,#REF!,C12)/SUMIFS(#REF!,#REF!,C12))*1000</f>
        <v>#REF!</v>
      </c>
      <c r="T12" s="11" t="e">
        <f t="shared" si="10"/>
        <v>#REF!</v>
      </c>
      <c r="U12" s="11"/>
      <c r="V12" s="11" t="e">
        <f t="shared" si="11"/>
        <v>#REF!</v>
      </c>
      <c r="W12" s="11" t="e">
        <f t="shared" si="12"/>
        <v>#REF!</v>
      </c>
      <c r="X12" s="43" t="e">
        <f t="shared" si="13"/>
        <v>#REF!</v>
      </c>
      <c r="Y12" s="43" t="e">
        <f ca="1">OFFSET(#REF!,MATCH(C12,#REF!,0)+1,0)</f>
        <v>#REF!</v>
      </c>
      <c r="Z12" s="43" t="e">
        <f t="shared" ca="1" si="14"/>
        <v>#REF!</v>
      </c>
      <c r="AA12" s="43" t="e">
        <f t="shared" si="5"/>
        <v>#REF!</v>
      </c>
      <c r="AB12" s="11" t="e">
        <f>SUMIFS(#REF!,#REF!,C12)/(1+1.8%)*(1+1.8%+2.3%)</f>
        <v>#REF!</v>
      </c>
      <c r="AC12" s="11" t="e">
        <f t="shared" si="15"/>
        <v>#REF!</v>
      </c>
      <c r="AD12" s="64"/>
      <c r="AE12" s="11" t="e">
        <f>(SUMIFS(#REF!,#REF!,C12)/(1+1.8%))*(1+1.8%+2.3%)</f>
        <v>#REF!</v>
      </c>
      <c r="AF12" s="11" t="e">
        <f>-SUMIFS(#REF!,#REF!,C12)/1000</f>
        <v>#REF!</v>
      </c>
      <c r="AG12" s="11" t="e">
        <f>SUMIFS(#REF!,#REF!,C12)</f>
        <v>#REF!</v>
      </c>
      <c r="AH12" s="11" t="e">
        <f>SUMIFS(#REF!,#REF!,C12)</f>
        <v>#REF!</v>
      </c>
      <c r="AI12" s="11" t="e">
        <f>SUMIFS(#REF!,#REF!,C12)</f>
        <v>#REF!</v>
      </c>
      <c r="AJ12" s="11" t="e">
        <f>SUMIFS(#REF!,#REF!,C12)</f>
        <v>#REF!</v>
      </c>
      <c r="AK12" s="11"/>
      <c r="AL12" s="11" t="e">
        <f t="shared" si="16"/>
        <v>#REF!</v>
      </c>
      <c r="AN12" s="11" t="e">
        <f t="shared" si="17"/>
        <v>#REF!</v>
      </c>
      <c r="AO12" s="11" t="e">
        <f t="shared" si="18"/>
        <v>#REF!</v>
      </c>
      <c r="AQ12" s="11" t="e">
        <f t="shared" si="19"/>
        <v>#REF!</v>
      </c>
      <c r="AS12" s="43" t="e">
        <f t="shared" si="20"/>
        <v>#REF!</v>
      </c>
      <c r="AT12" s="11" t="e">
        <f t="shared" si="21"/>
        <v>#REF!</v>
      </c>
      <c r="AV12" s="11" t="e">
        <f>'Share of £1bn'!$F$20*1000*$AO12/$AO$57</f>
        <v>#REF!</v>
      </c>
      <c r="AW12" s="11" t="e">
        <f>'Share of £1bn'!$F$27*1000*$AO12/$AO$57</f>
        <v>#REF!</v>
      </c>
      <c r="AX12" s="11" t="e">
        <f>'Share of £1bn'!$F$21*1000*$AO12/$AO$57</f>
        <v>#REF!</v>
      </c>
      <c r="AZ12" s="11" t="e">
        <f>'Share of £1bn'!$F$43*1000*AO12/$AO$57</f>
        <v>#REF!</v>
      </c>
      <c r="BA12" s="11" t="e">
        <f>'Share of £1bn'!$F$50*1000*$AO12/$AO$57</f>
        <v>#REF!</v>
      </c>
      <c r="BB12" s="11" t="e">
        <f>'Share of £1bn'!$F$44*1000*AO12/$AO$57</f>
        <v>#REF!</v>
      </c>
      <c r="BD12" s="11" t="e">
        <f>'Share of £1bn'!$F$67*1000*AO12/$AO$57</f>
        <v>#REF!</v>
      </c>
      <c r="BF12" s="11">
        <f>SUMIFS('20-11 M6 deficits'!$BO:$BO,'20-11 M6 deficits'!$C:$C,$C12)*1000</f>
        <v>0</v>
      </c>
      <c r="BH12" s="11" t="e">
        <f t="shared" si="22"/>
        <v>#REF!</v>
      </c>
      <c r="BI12" s="11" t="e">
        <f t="shared" si="23"/>
        <v>#REF!</v>
      </c>
      <c r="BJ12" s="11" t="e">
        <f t="shared" si="24"/>
        <v>#REF!</v>
      </c>
      <c r="BK12" s="11" t="e">
        <f t="shared" si="25"/>
        <v>#REF!</v>
      </c>
      <c r="BL12" s="11" t="e">
        <f t="shared" si="26"/>
        <v>#REF!</v>
      </c>
      <c r="BN12" s="11" t="e">
        <f t="shared" si="27"/>
        <v>#REF!</v>
      </c>
      <c r="BO12" s="11" t="e">
        <f t="shared" si="28"/>
        <v>#REF!</v>
      </c>
      <c r="BP12" s="11" t="e">
        <f t="shared" si="29"/>
        <v>#REF!</v>
      </c>
      <c r="BQ12" s="11" t="e">
        <f t="shared" si="30"/>
        <v>#REF!</v>
      </c>
      <c r="BR12" s="11" t="e">
        <f t="shared" si="31"/>
        <v>#REF!</v>
      </c>
      <c r="BT12" s="11" t="e">
        <f t="shared" si="32"/>
        <v>#REF!</v>
      </c>
      <c r="BU12" s="11" t="e">
        <f t="shared" si="33"/>
        <v>#REF!</v>
      </c>
      <c r="BV12" s="11" t="e">
        <f t="shared" si="34"/>
        <v>#REF!</v>
      </c>
      <c r="BW12" s="11" t="e">
        <f t="shared" si="35"/>
        <v>#REF!</v>
      </c>
      <c r="BX12" s="11" t="e">
        <f t="shared" si="36"/>
        <v>#REF!</v>
      </c>
      <c r="BZ12" s="11" t="e">
        <f t="shared" si="37"/>
        <v>#REF!</v>
      </c>
      <c r="CA12" s="11" t="e">
        <f t="shared" si="38"/>
        <v>#REF!</v>
      </c>
      <c r="CB12" s="11" t="e">
        <f t="shared" si="39"/>
        <v>#REF!</v>
      </c>
      <c r="CC12" s="11" t="e">
        <f t="shared" si="40"/>
        <v>#REF!</v>
      </c>
      <c r="CD12" s="11" t="e">
        <f t="shared" si="41"/>
        <v>#REF!</v>
      </c>
      <c r="CF12" s="11" t="e">
        <f t="shared" si="42"/>
        <v>#REF!</v>
      </c>
      <c r="CG12" s="11" t="e">
        <f t="shared" si="43"/>
        <v>#REF!</v>
      </c>
      <c r="CH12" s="11" t="e">
        <f t="shared" si="44"/>
        <v>#REF!</v>
      </c>
      <c r="CI12" s="11" t="e">
        <f t="shared" si="45"/>
        <v>#REF!</v>
      </c>
      <c r="CJ12" s="11" t="e">
        <f t="shared" si="46"/>
        <v>#REF!</v>
      </c>
      <c r="CM12" s="209">
        <f t="shared" si="47"/>
        <v>0</v>
      </c>
      <c r="CN12" s="209" t="e">
        <f t="shared" si="48"/>
        <v>#REF!</v>
      </c>
      <c r="CO12" s="209" t="e">
        <f t="shared" si="49"/>
        <v>#REF!</v>
      </c>
      <c r="CP12" s="209" t="e">
        <f t="shared" si="50"/>
        <v>#REF!</v>
      </c>
      <c r="CQ12" s="209" t="e">
        <f t="shared" si="51"/>
        <v>#REF!</v>
      </c>
    </row>
    <row r="13" spans="1:95" x14ac:dyDescent="0.25">
      <c r="A13" s="13" t="s">
        <v>34</v>
      </c>
      <c r="B13" s="14" t="s">
        <v>35</v>
      </c>
      <c r="C13" s="4" t="s">
        <v>38</v>
      </c>
      <c r="D13" s="4" t="s">
        <v>39</v>
      </c>
      <c r="E13" s="11">
        <f>SUMIFS('ICB Core Baseline 2024-25'!Q:Q,'ICB Core Baseline 2024-25'!C:C,C13)</f>
        <v>2279346.3873321107</v>
      </c>
      <c r="F13" s="43" t="e">
        <f>SUMIFS(#REF!,#REF!,C13)</f>
        <v>#REF!</v>
      </c>
      <c r="H13" s="43" t="e">
        <f>SUMIFS(#REF!,#REF!,C13)</f>
        <v>#REF!</v>
      </c>
      <c r="I13" s="43" t="e">
        <f t="shared" si="6"/>
        <v>#REF!</v>
      </c>
      <c r="J13" s="43" t="e">
        <f t="shared" si="7"/>
        <v>#REF!</v>
      </c>
      <c r="K13" s="11" t="e">
        <f t="shared" si="0"/>
        <v>#REF!</v>
      </c>
      <c r="L13" s="11" t="e">
        <f t="shared" si="1"/>
        <v>#REF!</v>
      </c>
      <c r="M13" s="43" t="e">
        <f>SUMIFS(#REF!,#REF!,C13)</f>
        <v>#REF!</v>
      </c>
      <c r="N13" s="11" t="e">
        <f t="shared" si="2"/>
        <v>#REF!</v>
      </c>
      <c r="O13" s="43" t="e">
        <f t="shared" si="8"/>
        <v>#REF!</v>
      </c>
      <c r="P13" s="11" t="e">
        <f t="shared" si="3"/>
        <v>#REF!</v>
      </c>
      <c r="Q13" s="11" t="e">
        <f t="shared" si="9"/>
        <v>#REF!</v>
      </c>
      <c r="R13" s="11" t="e">
        <f t="shared" si="4"/>
        <v>#REF!</v>
      </c>
      <c r="S13" s="11" t="e">
        <f>(SUMIFS(#REF!,#REF!,C13)/SUMIFS(#REF!,#REF!,C13))*1000</f>
        <v>#REF!</v>
      </c>
      <c r="T13" s="11" t="e">
        <f t="shared" si="10"/>
        <v>#REF!</v>
      </c>
      <c r="U13" s="11"/>
      <c r="V13" s="11" t="e">
        <f t="shared" si="11"/>
        <v>#REF!</v>
      </c>
      <c r="W13" s="11" t="e">
        <f t="shared" si="12"/>
        <v>#REF!</v>
      </c>
      <c r="X13" s="43" t="e">
        <f t="shared" si="13"/>
        <v>#REF!</v>
      </c>
      <c r="Y13" s="43" t="e">
        <f ca="1">OFFSET(#REF!,MATCH(C13,#REF!,0)+1,0)</f>
        <v>#REF!</v>
      </c>
      <c r="Z13" s="43" t="e">
        <f t="shared" ca="1" si="14"/>
        <v>#REF!</v>
      </c>
      <c r="AA13" s="43" t="e">
        <f t="shared" si="5"/>
        <v>#REF!</v>
      </c>
      <c r="AB13" s="11" t="e">
        <f>SUMIFS(#REF!,#REF!,C13)/(1+1.8%)*(1+1.8%+2.3%)</f>
        <v>#REF!</v>
      </c>
      <c r="AC13" s="11" t="e">
        <f t="shared" si="15"/>
        <v>#REF!</v>
      </c>
      <c r="AD13" s="64"/>
      <c r="AE13" s="11" t="e">
        <f>(SUMIFS(#REF!,#REF!,C13)/(1+1.8%))*(1+1.8%+2.3%)</f>
        <v>#REF!</v>
      </c>
      <c r="AF13" s="11" t="e">
        <f>-SUMIFS(#REF!,#REF!,C13)/1000</f>
        <v>#REF!</v>
      </c>
      <c r="AG13" s="11" t="e">
        <f>SUMIFS(#REF!,#REF!,C13)</f>
        <v>#REF!</v>
      </c>
      <c r="AH13" s="11" t="e">
        <f>SUMIFS(#REF!,#REF!,C13)</f>
        <v>#REF!</v>
      </c>
      <c r="AI13" s="11" t="e">
        <f>SUMIFS(#REF!,#REF!,C13)</f>
        <v>#REF!</v>
      </c>
      <c r="AJ13" s="11" t="e">
        <f>SUMIFS(#REF!,#REF!,C13)</f>
        <v>#REF!</v>
      </c>
      <c r="AK13" s="11"/>
      <c r="AL13" s="11" t="e">
        <f t="shared" si="16"/>
        <v>#REF!</v>
      </c>
      <c r="AN13" s="11" t="e">
        <f t="shared" si="17"/>
        <v>#REF!</v>
      </c>
      <c r="AO13" s="11" t="e">
        <f t="shared" si="18"/>
        <v>#REF!</v>
      </c>
      <c r="AQ13" s="11" t="e">
        <f t="shared" si="19"/>
        <v>#REF!</v>
      </c>
      <c r="AS13" s="43" t="e">
        <f t="shared" si="20"/>
        <v>#REF!</v>
      </c>
      <c r="AT13" s="11" t="e">
        <f t="shared" si="21"/>
        <v>#REF!</v>
      </c>
      <c r="AV13" s="11" t="e">
        <f>'Share of £1bn'!$F$20*1000*$AO13/$AO$57</f>
        <v>#REF!</v>
      </c>
      <c r="AW13" s="11" t="e">
        <f>'Share of £1bn'!$F$27*1000*$AO13/$AO$57</f>
        <v>#REF!</v>
      </c>
      <c r="AX13" s="11" t="e">
        <f>'Share of £1bn'!$F$21*1000*$AO13/$AO$57</f>
        <v>#REF!</v>
      </c>
      <c r="AZ13" s="11" t="e">
        <f>'Share of £1bn'!$F$43*1000*AO13/$AO$57</f>
        <v>#REF!</v>
      </c>
      <c r="BA13" s="11" t="e">
        <f>'Share of £1bn'!$F$50*1000*$AO13/$AO$57</f>
        <v>#REF!</v>
      </c>
      <c r="BB13" s="11" t="e">
        <f>'Share of £1bn'!$F$44*1000*AO13/$AO$57</f>
        <v>#REF!</v>
      </c>
      <c r="BD13" s="11" t="e">
        <f>'Share of £1bn'!$F$67*1000*AO13/$AO$57</f>
        <v>#REF!</v>
      </c>
      <c r="BF13" s="11">
        <f>SUMIFS('20-11 M6 deficits'!$BO:$BO,'20-11 M6 deficits'!$C:$C,$C13)*1000</f>
        <v>-65000</v>
      </c>
      <c r="BH13" s="11" t="e">
        <f t="shared" si="22"/>
        <v>#REF!</v>
      </c>
      <c r="BI13" s="11" t="e">
        <f t="shared" si="23"/>
        <v>#REF!</v>
      </c>
      <c r="BJ13" s="11" t="e">
        <f t="shared" si="24"/>
        <v>#REF!</v>
      </c>
      <c r="BK13" s="11" t="e">
        <f t="shared" si="25"/>
        <v>#REF!</v>
      </c>
      <c r="BL13" s="11" t="e">
        <f t="shared" si="26"/>
        <v>#REF!</v>
      </c>
      <c r="BN13" s="11" t="e">
        <f t="shared" si="27"/>
        <v>#REF!</v>
      </c>
      <c r="BO13" s="11" t="e">
        <f t="shared" si="28"/>
        <v>#REF!</v>
      </c>
      <c r="BP13" s="11" t="e">
        <f t="shared" si="29"/>
        <v>#REF!</v>
      </c>
      <c r="BQ13" s="11" t="e">
        <f t="shared" si="30"/>
        <v>#REF!</v>
      </c>
      <c r="BR13" s="11" t="e">
        <f t="shared" si="31"/>
        <v>#REF!</v>
      </c>
      <c r="BT13" s="11" t="e">
        <f t="shared" si="32"/>
        <v>#REF!</v>
      </c>
      <c r="BU13" s="11" t="e">
        <f t="shared" si="33"/>
        <v>#REF!</v>
      </c>
      <c r="BV13" s="11" t="e">
        <f t="shared" si="34"/>
        <v>#REF!</v>
      </c>
      <c r="BW13" s="11" t="e">
        <f t="shared" si="35"/>
        <v>#REF!</v>
      </c>
      <c r="BX13" s="11" t="e">
        <f t="shared" si="36"/>
        <v>#REF!</v>
      </c>
      <c r="BZ13" s="11" t="e">
        <f t="shared" si="37"/>
        <v>#REF!</v>
      </c>
      <c r="CA13" s="11" t="e">
        <f t="shared" si="38"/>
        <v>#REF!</v>
      </c>
      <c r="CB13" s="11" t="e">
        <f t="shared" si="39"/>
        <v>#REF!</v>
      </c>
      <c r="CC13" s="11" t="e">
        <f t="shared" si="40"/>
        <v>#REF!</v>
      </c>
      <c r="CD13" s="11" t="e">
        <f t="shared" si="41"/>
        <v>#REF!</v>
      </c>
      <c r="CF13" s="11" t="e">
        <f t="shared" si="42"/>
        <v>#REF!</v>
      </c>
      <c r="CG13" s="11" t="e">
        <f t="shared" si="43"/>
        <v>#REF!</v>
      </c>
      <c r="CH13" s="11" t="e">
        <f t="shared" si="44"/>
        <v>#REF!</v>
      </c>
      <c r="CI13" s="11" t="e">
        <f t="shared" si="45"/>
        <v>#REF!</v>
      </c>
      <c r="CJ13" s="11" t="e">
        <f t="shared" si="46"/>
        <v>#REF!</v>
      </c>
      <c r="CM13" s="209">
        <f t="shared" si="47"/>
        <v>4.1117194938703486E-2</v>
      </c>
      <c r="CN13" s="209" t="e">
        <f t="shared" si="48"/>
        <v>#REF!</v>
      </c>
      <c r="CO13" s="209" t="e">
        <f t="shared" si="49"/>
        <v>#REF!</v>
      </c>
      <c r="CP13" s="209" t="e">
        <f t="shared" si="50"/>
        <v>#REF!</v>
      </c>
      <c r="CQ13" s="209" t="e">
        <f t="shared" si="51"/>
        <v>#REF!</v>
      </c>
    </row>
    <row r="14" spans="1:95" x14ac:dyDescent="0.25">
      <c r="A14" s="13" t="s">
        <v>34</v>
      </c>
      <c r="B14" s="14" t="s">
        <v>35</v>
      </c>
      <c r="C14" s="4" t="s">
        <v>40</v>
      </c>
      <c r="D14" s="4" t="s">
        <v>41</v>
      </c>
      <c r="E14" s="11">
        <f>SUMIFS('ICB Core Baseline 2024-25'!Q:Q,'ICB Core Baseline 2024-25'!C:C,C14)</f>
        <v>1685859.4368248242</v>
      </c>
      <c r="F14" s="43" t="e">
        <f>SUMIFS(#REF!,#REF!,C14)</f>
        <v>#REF!</v>
      </c>
      <c r="H14" s="43" t="e">
        <f>SUMIFS(#REF!,#REF!,C14)</f>
        <v>#REF!</v>
      </c>
      <c r="I14" s="43" t="e">
        <f t="shared" si="6"/>
        <v>#REF!</v>
      </c>
      <c r="J14" s="43" t="e">
        <f t="shared" si="7"/>
        <v>#REF!</v>
      </c>
      <c r="K14" s="11" t="e">
        <f t="shared" si="0"/>
        <v>#REF!</v>
      </c>
      <c r="L14" s="11" t="e">
        <f t="shared" si="1"/>
        <v>#REF!</v>
      </c>
      <c r="M14" s="43" t="e">
        <f>SUMIFS(#REF!,#REF!,C14)</f>
        <v>#REF!</v>
      </c>
      <c r="N14" s="11" t="e">
        <f t="shared" si="2"/>
        <v>#REF!</v>
      </c>
      <c r="O14" s="43" t="e">
        <f t="shared" si="8"/>
        <v>#REF!</v>
      </c>
      <c r="P14" s="11" t="e">
        <f t="shared" si="3"/>
        <v>#REF!</v>
      </c>
      <c r="Q14" s="11" t="e">
        <f t="shared" si="9"/>
        <v>#REF!</v>
      </c>
      <c r="R14" s="11" t="e">
        <f t="shared" si="4"/>
        <v>#REF!</v>
      </c>
      <c r="S14" s="11" t="e">
        <f>(SUMIFS(#REF!,#REF!,C14)/SUMIFS(#REF!,#REF!,C14))*1000</f>
        <v>#REF!</v>
      </c>
      <c r="T14" s="11" t="e">
        <f t="shared" si="10"/>
        <v>#REF!</v>
      </c>
      <c r="U14" s="11"/>
      <c r="V14" s="11" t="e">
        <f t="shared" si="11"/>
        <v>#REF!</v>
      </c>
      <c r="W14" s="11" t="e">
        <f t="shared" si="12"/>
        <v>#REF!</v>
      </c>
      <c r="X14" s="43" t="e">
        <f t="shared" si="13"/>
        <v>#REF!</v>
      </c>
      <c r="Y14" s="43" t="e">
        <f ca="1">OFFSET(#REF!,MATCH(C14,#REF!,0)+1,0)</f>
        <v>#REF!</v>
      </c>
      <c r="Z14" s="43" t="e">
        <f t="shared" ca="1" si="14"/>
        <v>#REF!</v>
      </c>
      <c r="AA14" s="43" t="e">
        <f t="shared" si="5"/>
        <v>#REF!</v>
      </c>
      <c r="AB14" s="11" t="e">
        <f>SUMIFS(#REF!,#REF!,C14)/(1+1.8%)*(1+1.8%+2.3%)</f>
        <v>#REF!</v>
      </c>
      <c r="AC14" s="11" t="e">
        <f t="shared" si="15"/>
        <v>#REF!</v>
      </c>
      <c r="AD14" s="64"/>
      <c r="AE14" s="11" t="e">
        <f>(SUMIFS(#REF!,#REF!,C14)/(1+1.8%))*(1+1.8%+2.3%)</f>
        <v>#REF!</v>
      </c>
      <c r="AF14" s="11" t="e">
        <f>-SUMIFS(#REF!,#REF!,C14)/1000</f>
        <v>#REF!</v>
      </c>
      <c r="AG14" s="11" t="e">
        <f>SUMIFS(#REF!,#REF!,C14)</f>
        <v>#REF!</v>
      </c>
      <c r="AH14" s="11" t="e">
        <f>SUMIFS(#REF!,#REF!,C14)</f>
        <v>#REF!</v>
      </c>
      <c r="AI14" s="11" t="e">
        <f>SUMIFS(#REF!,#REF!,C14)</f>
        <v>#REF!</v>
      </c>
      <c r="AJ14" s="11" t="e">
        <f>SUMIFS(#REF!,#REF!,C14)</f>
        <v>#REF!</v>
      </c>
      <c r="AK14" s="11"/>
      <c r="AL14" s="11" t="e">
        <f t="shared" si="16"/>
        <v>#REF!</v>
      </c>
      <c r="AN14" s="11" t="e">
        <f t="shared" si="17"/>
        <v>#REF!</v>
      </c>
      <c r="AO14" s="11" t="e">
        <f t="shared" si="18"/>
        <v>#REF!</v>
      </c>
      <c r="AQ14" s="11" t="e">
        <f t="shared" si="19"/>
        <v>#REF!</v>
      </c>
      <c r="AS14" s="43" t="e">
        <f t="shared" si="20"/>
        <v>#REF!</v>
      </c>
      <c r="AT14" s="11" t="e">
        <f t="shared" si="21"/>
        <v>#REF!</v>
      </c>
      <c r="AV14" s="11" t="e">
        <f>'Share of £1bn'!$F$20*1000*$AO14/$AO$57</f>
        <v>#REF!</v>
      </c>
      <c r="AW14" s="11" t="e">
        <f>'Share of £1bn'!$F$27*1000*$AO14/$AO$57</f>
        <v>#REF!</v>
      </c>
      <c r="AX14" s="11" t="e">
        <f>'Share of £1bn'!$F$21*1000*$AO14/$AO$57</f>
        <v>#REF!</v>
      </c>
      <c r="AZ14" s="11" t="e">
        <f>'Share of £1bn'!$F$43*1000*AO14/$AO$57</f>
        <v>#REF!</v>
      </c>
      <c r="BA14" s="11" t="e">
        <f>'Share of £1bn'!$F$50*1000*$AO14/$AO$57</f>
        <v>#REF!</v>
      </c>
      <c r="BB14" s="11" t="e">
        <f>'Share of £1bn'!$F$44*1000*AO14/$AO$57</f>
        <v>#REF!</v>
      </c>
      <c r="BD14" s="11" t="e">
        <f>'Share of £1bn'!$F$67*1000*AO14/$AO$57</f>
        <v>#REF!</v>
      </c>
      <c r="BF14" s="11">
        <f>SUMIFS('20-11 M6 deficits'!$BO:$BO,'20-11 M6 deficits'!$C:$C,$C14)*1000</f>
        <v>0</v>
      </c>
      <c r="BH14" s="11" t="e">
        <f t="shared" si="22"/>
        <v>#REF!</v>
      </c>
      <c r="BI14" s="11" t="e">
        <f t="shared" si="23"/>
        <v>#REF!</v>
      </c>
      <c r="BJ14" s="11" t="e">
        <f t="shared" si="24"/>
        <v>#REF!</v>
      </c>
      <c r="BK14" s="11" t="e">
        <f t="shared" si="25"/>
        <v>#REF!</v>
      </c>
      <c r="BL14" s="11" t="e">
        <f t="shared" si="26"/>
        <v>#REF!</v>
      </c>
      <c r="BN14" s="11" t="e">
        <f t="shared" si="27"/>
        <v>#REF!</v>
      </c>
      <c r="BO14" s="11" t="e">
        <f t="shared" si="28"/>
        <v>#REF!</v>
      </c>
      <c r="BP14" s="11" t="e">
        <f t="shared" si="29"/>
        <v>#REF!</v>
      </c>
      <c r="BQ14" s="11" t="e">
        <f t="shared" si="30"/>
        <v>#REF!</v>
      </c>
      <c r="BR14" s="11" t="e">
        <f t="shared" si="31"/>
        <v>#REF!</v>
      </c>
      <c r="BT14" s="11" t="e">
        <f t="shared" si="32"/>
        <v>#REF!</v>
      </c>
      <c r="BU14" s="11" t="e">
        <f t="shared" si="33"/>
        <v>#REF!</v>
      </c>
      <c r="BV14" s="11" t="e">
        <f t="shared" si="34"/>
        <v>#REF!</v>
      </c>
      <c r="BW14" s="11" t="e">
        <f t="shared" si="35"/>
        <v>#REF!</v>
      </c>
      <c r="BX14" s="11" t="e">
        <f t="shared" si="36"/>
        <v>#REF!</v>
      </c>
      <c r="BZ14" s="11" t="e">
        <f t="shared" si="37"/>
        <v>#REF!</v>
      </c>
      <c r="CA14" s="11" t="e">
        <f t="shared" si="38"/>
        <v>#REF!</v>
      </c>
      <c r="CB14" s="11" t="e">
        <f t="shared" si="39"/>
        <v>#REF!</v>
      </c>
      <c r="CC14" s="11" t="e">
        <f t="shared" si="40"/>
        <v>#REF!</v>
      </c>
      <c r="CD14" s="11" t="e">
        <f t="shared" si="41"/>
        <v>#REF!</v>
      </c>
      <c r="CF14" s="11" t="e">
        <f t="shared" si="42"/>
        <v>#REF!</v>
      </c>
      <c r="CG14" s="11" t="e">
        <f t="shared" si="43"/>
        <v>#REF!</v>
      </c>
      <c r="CH14" s="11" t="e">
        <f t="shared" si="44"/>
        <v>#REF!</v>
      </c>
      <c r="CI14" s="11" t="e">
        <f t="shared" si="45"/>
        <v>#REF!</v>
      </c>
      <c r="CJ14" s="11" t="e">
        <f t="shared" si="46"/>
        <v>#REF!</v>
      </c>
      <c r="CM14" s="209">
        <f t="shared" si="47"/>
        <v>0</v>
      </c>
      <c r="CN14" s="209" t="e">
        <f t="shared" si="48"/>
        <v>#REF!</v>
      </c>
      <c r="CO14" s="209" t="e">
        <f t="shared" si="49"/>
        <v>#REF!</v>
      </c>
      <c r="CP14" s="209" t="e">
        <f t="shared" si="50"/>
        <v>#REF!</v>
      </c>
      <c r="CQ14" s="209" t="e">
        <f t="shared" si="51"/>
        <v>#REF!</v>
      </c>
    </row>
    <row r="15" spans="1:95" x14ac:dyDescent="0.25">
      <c r="A15" s="13" t="s">
        <v>34</v>
      </c>
      <c r="B15" s="14" t="s">
        <v>35</v>
      </c>
      <c r="C15" s="4" t="s">
        <v>42</v>
      </c>
      <c r="D15" s="4" t="s">
        <v>43</v>
      </c>
      <c r="E15" s="11">
        <f>SUMIFS('ICB Core Baseline 2024-25'!Q:Q,'ICB Core Baseline 2024-25'!C:C,C15)</f>
        <v>1963325.072147588</v>
      </c>
      <c r="F15" s="43" t="e">
        <f>SUMIFS(#REF!,#REF!,C15)</f>
        <v>#REF!</v>
      </c>
      <c r="H15" s="43" t="e">
        <f>SUMIFS(#REF!,#REF!,C15)</f>
        <v>#REF!</v>
      </c>
      <c r="I15" s="43" t="e">
        <f t="shared" si="6"/>
        <v>#REF!</v>
      </c>
      <c r="J15" s="43" t="e">
        <f t="shared" si="7"/>
        <v>#REF!</v>
      </c>
      <c r="K15" s="11" t="e">
        <f t="shared" si="0"/>
        <v>#REF!</v>
      </c>
      <c r="L15" s="11" t="e">
        <f t="shared" si="1"/>
        <v>#REF!</v>
      </c>
      <c r="M15" s="43" t="e">
        <f>SUMIFS(#REF!,#REF!,C15)</f>
        <v>#REF!</v>
      </c>
      <c r="N15" s="11" t="e">
        <f t="shared" si="2"/>
        <v>#REF!</v>
      </c>
      <c r="O15" s="43" t="e">
        <f t="shared" si="8"/>
        <v>#REF!</v>
      </c>
      <c r="P15" s="11" t="e">
        <f t="shared" si="3"/>
        <v>#REF!</v>
      </c>
      <c r="Q15" s="11" t="e">
        <f t="shared" si="9"/>
        <v>#REF!</v>
      </c>
      <c r="R15" s="11" t="e">
        <f t="shared" si="4"/>
        <v>#REF!</v>
      </c>
      <c r="S15" s="11" t="e">
        <f>(SUMIFS(#REF!,#REF!,C15)/SUMIFS(#REF!,#REF!,C15))*1000</f>
        <v>#REF!</v>
      </c>
      <c r="T15" s="11" t="e">
        <f t="shared" si="10"/>
        <v>#REF!</v>
      </c>
      <c r="U15" s="11"/>
      <c r="V15" s="11" t="e">
        <f t="shared" si="11"/>
        <v>#REF!</v>
      </c>
      <c r="W15" s="11" t="e">
        <f t="shared" si="12"/>
        <v>#REF!</v>
      </c>
      <c r="X15" s="43" t="e">
        <f t="shared" si="13"/>
        <v>#REF!</v>
      </c>
      <c r="Y15" s="43" t="e">
        <f ca="1">OFFSET(#REF!,MATCH(C15,#REF!,0)+1,0)</f>
        <v>#REF!</v>
      </c>
      <c r="Z15" s="43" t="e">
        <f t="shared" ca="1" si="14"/>
        <v>#REF!</v>
      </c>
      <c r="AA15" s="43" t="e">
        <f t="shared" si="5"/>
        <v>#REF!</v>
      </c>
      <c r="AB15" s="11" t="e">
        <f>SUMIFS(#REF!,#REF!,C15)/(1+1.8%)*(1+1.8%+2.3%)</f>
        <v>#REF!</v>
      </c>
      <c r="AC15" s="11" t="e">
        <f t="shared" si="15"/>
        <v>#REF!</v>
      </c>
      <c r="AD15" s="64"/>
      <c r="AE15" s="11" t="e">
        <f>(SUMIFS(#REF!,#REF!,C15)/(1+1.8%))*(1+1.8%+2.3%)</f>
        <v>#REF!</v>
      </c>
      <c r="AF15" s="11" t="e">
        <f>-SUMIFS(#REF!,#REF!,C15)/1000</f>
        <v>#REF!</v>
      </c>
      <c r="AG15" s="11" t="e">
        <f>SUMIFS(#REF!,#REF!,C15)</f>
        <v>#REF!</v>
      </c>
      <c r="AH15" s="11" t="e">
        <f>SUMIFS(#REF!,#REF!,C15)</f>
        <v>#REF!</v>
      </c>
      <c r="AI15" s="11" t="e">
        <f>SUMIFS(#REF!,#REF!,C15)</f>
        <v>#REF!</v>
      </c>
      <c r="AJ15" s="11" t="e">
        <f>SUMIFS(#REF!,#REF!,C15)</f>
        <v>#REF!</v>
      </c>
      <c r="AK15" s="11"/>
      <c r="AL15" s="11" t="e">
        <f t="shared" si="16"/>
        <v>#REF!</v>
      </c>
      <c r="AN15" s="11" t="e">
        <f t="shared" si="17"/>
        <v>#REF!</v>
      </c>
      <c r="AO15" s="11" t="e">
        <f t="shared" si="18"/>
        <v>#REF!</v>
      </c>
      <c r="AQ15" s="11" t="e">
        <f t="shared" si="19"/>
        <v>#REF!</v>
      </c>
      <c r="AS15" s="43" t="e">
        <f t="shared" si="20"/>
        <v>#REF!</v>
      </c>
      <c r="AT15" s="11" t="e">
        <f t="shared" si="21"/>
        <v>#REF!</v>
      </c>
      <c r="AV15" s="11" t="e">
        <f>'Share of £1bn'!$F$20*1000*$AO15/$AO$57</f>
        <v>#REF!</v>
      </c>
      <c r="AW15" s="11" t="e">
        <f>'Share of £1bn'!$F$27*1000*$AO15/$AO$57</f>
        <v>#REF!</v>
      </c>
      <c r="AX15" s="11" t="e">
        <f>'Share of £1bn'!$F$21*1000*$AO15/$AO$57</f>
        <v>#REF!</v>
      </c>
      <c r="AZ15" s="11" t="e">
        <f>'Share of £1bn'!$F$43*1000*AO15/$AO$57</f>
        <v>#REF!</v>
      </c>
      <c r="BA15" s="11" t="e">
        <f>'Share of £1bn'!$F$50*1000*$AO15/$AO$57</f>
        <v>#REF!</v>
      </c>
      <c r="BB15" s="11" t="e">
        <f>'Share of £1bn'!$F$44*1000*AO15/$AO$57</f>
        <v>#REF!</v>
      </c>
      <c r="BD15" s="11" t="e">
        <f>'Share of £1bn'!$F$67*1000*AO15/$AO$57</f>
        <v>#REF!</v>
      </c>
      <c r="BF15" s="11">
        <f>SUMIFS('20-11 M6 deficits'!$BO:$BO,'20-11 M6 deficits'!$C:$C,$C15)*1000</f>
        <v>-27991.698574590439</v>
      </c>
      <c r="BH15" s="11" t="e">
        <f t="shared" si="22"/>
        <v>#REF!</v>
      </c>
      <c r="BI15" s="11" t="e">
        <f t="shared" si="23"/>
        <v>#REF!</v>
      </c>
      <c r="BJ15" s="11" t="e">
        <f t="shared" si="24"/>
        <v>#REF!</v>
      </c>
      <c r="BK15" s="11" t="e">
        <f t="shared" si="25"/>
        <v>#REF!</v>
      </c>
      <c r="BL15" s="11" t="e">
        <f t="shared" si="26"/>
        <v>#REF!</v>
      </c>
      <c r="BN15" s="11" t="e">
        <f t="shared" si="27"/>
        <v>#REF!</v>
      </c>
      <c r="BO15" s="11" t="e">
        <f t="shared" si="28"/>
        <v>#REF!</v>
      </c>
      <c r="BP15" s="11" t="e">
        <f t="shared" si="29"/>
        <v>#REF!</v>
      </c>
      <c r="BQ15" s="11" t="e">
        <f t="shared" si="30"/>
        <v>#REF!</v>
      </c>
      <c r="BR15" s="11" t="e">
        <f t="shared" si="31"/>
        <v>#REF!</v>
      </c>
      <c r="BT15" s="11" t="e">
        <f t="shared" si="32"/>
        <v>#REF!</v>
      </c>
      <c r="BU15" s="11" t="e">
        <f t="shared" si="33"/>
        <v>#REF!</v>
      </c>
      <c r="BV15" s="11" t="e">
        <f t="shared" si="34"/>
        <v>#REF!</v>
      </c>
      <c r="BW15" s="11" t="e">
        <f t="shared" si="35"/>
        <v>#REF!</v>
      </c>
      <c r="BX15" s="11" t="e">
        <f t="shared" si="36"/>
        <v>#REF!</v>
      </c>
      <c r="BZ15" s="11" t="e">
        <f t="shared" si="37"/>
        <v>#REF!</v>
      </c>
      <c r="CA15" s="11" t="e">
        <f t="shared" si="38"/>
        <v>#REF!</v>
      </c>
      <c r="CB15" s="11" t="e">
        <f t="shared" si="39"/>
        <v>#REF!</v>
      </c>
      <c r="CC15" s="11" t="e">
        <f t="shared" si="40"/>
        <v>#REF!</v>
      </c>
      <c r="CD15" s="11" t="e">
        <f t="shared" si="41"/>
        <v>#REF!</v>
      </c>
      <c r="CF15" s="11" t="e">
        <f t="shared" si="42"/>
        <v>#REF!</v>
      </c>
      <c r="CG15" s="11" t="e">
        <f t="shared" si="43"/>
        <v>#REF!</v>
      </c>
      <c r="CH15" s="11" t="e">
        <f t="shared" si="44"/>
        <v>#REF!</v>
      </c>
      <c r="CI15" s="11" t="e">
        <f t="shared" si="45"/>
        <v>#REF!</v>
      </c>
      <c r="CJ15" s="11" t="e">
        <f t="shared" si="46"/>
        <v>#REF!</v>
      </c>
      <c r="CM15" s="209">
        <f t="shared" si="47"/>
        <v>1.7706771183951749E-2</v>
      </c>
      <c r="CN15" s="209" t="e">
        <f t="shared" si="48"/>
        <v>#REF!</v>
      </c>
      <c r="CO15" s="209" t="e">
        <f t="shared" si="49"/>
        <v>#REF!</v>
      </c>
      <c r="CP15" s="209" t="e">
        <f t="shared" si="50"/>
        <v>#REF!</v>
      </c>
      <c r="CQ15" s="209" t="e">
        <f t="shared" si="51"/>
        <v>#REF!</v>
      </c>
    </row>
    <row r="16" spans="1:95" x14ac:dyDescent="0.25">
      <c r="A16" s="13" t="s">
        <v>34</v>
      </c>
      <c r="B16" s="14" t="s">
        <v>35</v>
      </c>
      <c r="C16" s="4" t="s">
        <v>44</v>
      </c>
      <c r="D16" s="4" t="s">
        <v>45</v>
      </c>
      <c r="E16" s="11">
        <f>SUMIFS('ICB Core Baseline 2024-25'!Q:Q,'ICB Core Baseline 2024-25'!C:C,C16)</f>
        <v>1399084.5320666675</v>
      </c>
      <c r="F16" s="43" t="e">
        <f>SUMIFS(#REF!,#REF!,C16)</f>
        <v>#REF!</v>
      </c>
      <c r="H16" s="43" t="e">
        <f>SUMIFS(#REF!,#REF!,C16)</f>
        <v>#REF!</v>
      </c>
      <c r="I16" s="43" t="e">
        <f t="shared" si="6"/>
        <v>#REF!</v>
      </c>
      <c r="J16" s="43" t="e">
        <f t="shared" si="7"/>
        <v>#REF!</v>
      </c>
      <c r="K16" s="11" t="e">
        <f t="shared" si="0"/>
        <v>#REF!</v>
      </c>
      <c r="L16" s="11" t="e">
        <f t="shared" si="1"/>
        <v>#REF!</v>
      </c>
      <c r="M16" s="43" t="e">
        <f>SUMIFS(#REF!,#REF!,C16)</f>
        <v>#REF!</v>
      </c>
      <c r="N16" s="11" t="e">
        <f t="shared" si="2"/>
        <v>#REF!</v>
      </c>
      <c r="O16" s="43" t="e">
        <f t="shared" si="8"/>
        <v>#REF!</v>
      </c>
      <c r="P16" s="11" t="e">
        <f t="shared" si="3"/>
        <v>#REF!</v>
      </c>
      <c r="Q16" s="11" t="e">
        <f t="shared" si="9"/>
        <v>#REF!</v>
      </c>
      <c r="R16" s="11" t="e">
        <f t="shared" si="4"/>
        <v>#REF!</v>
      </c>
      <c r="S16" s="11" t="e">
        <f>(SUMIFS(#REF!,#REF!,C16)/SUMIFS(#REF!,#REF!,C16))*1000</f>
        <v>#REF!</v>
      </c>
      <c r="T16" s="11" t="e">
        <f t="shared" si="10"/>
        <v>#REF!</v>
      </c>
      <c r="U16" s="11"/>
      <c r="V16" s="11" t="e">
        <f t="shared" si="11"/>
        <v>#REF!</v>
      </c>
      <c r="W16" s="11" t="e">
        <f t="shared" si="12"/>
        <v>#REF!</v>
      </c>
      <c r="X16" s="43" t="e">
        <f t="shared" si="13"/>
        <v>#REF!</v>
      </c>
      <c r="Y16" s="43" t="e">
        <f ca="1">OFFSET(#REF!,MATCH(C16,#REF!,0)+1,0)</f>
        <v>#REF!</v>
      </c>
      <c r="Z16" s="43" t="e">
        <f t="shared" ca="1" si="14"/>
        <v>#REF!</v>
      </c>
      <c r="AA16" s="43" t="e">
        <f t="shared" si="5"/>
        <v>#REF!</v>
      </c>
      <c r="AB16" s="11" t="e">
        <f>SUMIFS(#REF!,#REF!,C16)/(1+1.8%)*(1+1.8%+2.3%)</f>
        <v>#REF!</v>
      </c>
      <c r="AC16" s="11" t="e">
        <f t="shared" si="15"/>
        <v>#REF!</v>
      </c>
      <c r="AD16" s="64"/>
      <c r="AE16" s="11" t="e">
        <f>(SUMIFS(#REF!,#REF!,C16)/(1+1.8%))*(1+1.8%+2.3%)</f>
        <v>#REF!</v>
      </c>
      <c r="AF16" s="11" t="e">
        <f>-SUMIFS(#REF!,#REF!,C16)/1000</f>
        <v>#REF!</v>
      </c>
      <c r="AG16" s="11" t="e">
        <f>SUMIFS(#REF!,#REF!,C16)</f>
        <v>#REF!</v>
      </c>
      <c r="AH16" s="11" t="e">
        <f>SUMIFS(#REF!,#REF!,C16)</f>
        <v>#REF!</v>
      </c>
      <c r="AI16" s="11" t="e">
        <f>SUMIFS(#REF!,#REF!,C16)</f>
        <v>#REF!</v>
      </c>
      <c r="AJ16" s="11" t="e">
        <f>SUMIFS(#REF!,#REF!,C16)</f>
        <v>#REF!</v>
      </c>
      <c r="AK16" s="11"/>
      <c r="AL16" s="11" t="e">
        <f t="shared" si="16"/>
        <v>#REF!</v>
      </c>
      <c r="AN16" s="11" t="e">
        <f t="shared" si="17"/>
        <v>#REF!</v>
      </c>
      <c r="AO16" s="11" t="e">
        <f t="shared" si="18"/>
        <v>#REF!</v>
      </c>
      <c r="AQ16" s="11" t="e">
        <f t="shared" si="19"/>
        <v>#REF!</v>
      </c>
      <c r="AS16" s="43" t="e">
        <f t="shared" si="20"/>
        <v>#REF!</v>
      </c>
      <c r="AT16" s="11" t="e">
        <f t="shared" si="21"/>
        <v>#REF!</v>
      </c>
      <c r="AV16" s="11" t="e">
        <f>'Share of £1bn'!$F$20*1000*$AO16/$AO$57</f>
        <v>#REF!</v>
      </c>
      <c r="AW16" s="11" t="e">
        <f>'Share of £1bn'!$F$27*1000*$AO16/$AO$57</f>
        <v>#REF!</v>
      </c>
      <c r="AX16" s="11" t="e">
        <f>'Share of £1bn'!$F$21*1000*$AO16/$AO$57</f>
        <v>#REF!</v>
      </c>
      <c r="AZ16" s="11" t="e">
        <f>'Share of £1bn'!$F$43*1000*AO16/$AO$57</f>
        <v>#REF!</v>
      </c>
      <c r="BA16" s="11" t="e">
        <f>'Share of £1bn'!$F$50*1000*$AO16/$AO$57</f>
        <v>#REF!</v>
      </c>
      <c r="BB16" s="11" t="e">
        <f>'Share of £1bn'!$F$44*1000*AO16/$AO$57</f>
        <v>#REF!</v>
      </c>
      <c r="BD16" s="11" t="e">
        <f>'Share of £1bn'!$F$67*1000*AO16/$AO$57</f>
        <v>#REF!</v>
      </c>
      <c r="BF16" s="11">
        <f>SUMIFS('20-11 M6 deficits'!$BO:$BO,'20-11 M6 deficits'!$C:$C,$C16)*1000</f>
        <v>-19000</v>
      </c>
      <c r="BH16" s="11" t="e">
        <f t="shared" si="22"/>
        <v>#REF!</v>
      </c>
      <c r="BI16" s="11" t="e">
        <f t="shared" si="23"/>
        <v>#REF!</v>
      </c>
      <c r="BJ16" s="11" t="e">
        <f t="shared" si="24"/>
        <v>#REF!</v>
      </c>
      <c r="BK16" s="11" t="e">
        <f t="shared" si="25"/>
        <v>#REF!</v>
      </c>
      <c r="BL16" s="11" t="e">
        <f t="shared" si="26"/>
        <v>#REF!</v>
      </c>
      <c r="BN16" s="11" t="e">
        <f t="shared" si="27"/>
        <v>#REF!</v>
      </c>
      <c r="BO16" s="11" t="e">
        <f t="shared" si="28"/>
        <v>#REF!</v>
      </c>
      <c r="BP16" s="11" t="e">
        <f t="shared" si="29"/>
        <v>#REF!</v>
      </c>
      <c r="BQ16" s="11" t="e">
        <f t="shared" si="30"/>
        <v>#REF!</v>
      </c>
      <c r="BR16" s="11" t="e">
        <f t="shared" si="31"/>
        <v>#REF!</v>
      </c>
      <c r="BT16" s="11" t="e">
        <f t="shared" si="32"/>
        <v>#REF!</v>
      </c>
      <c r="BU16" s="11" t="e">
        <f t="shared" si="33"/>
        <v>#REF!</v>
      </c>
      <c r="BV16" s="11" t="e">
        <f t="shared" si="34"/>
        <v>#REF!</v>
      </c>
      <c r="BW16" s="11" t="e">
        <f t="shared" si="35"/>
        <v>#REF!</v>
      </c>
      <c r="BX16" s="11" t="e">
        <f t="shared" si="36"/>
        <v>#REF!</v>
      </c>
      <c r="BZ16" s="11" t="e">
        <f t="shared" si="37"/>
        <v>#REF!</v>
      </c>
      <c r="CA16" s="11" t="e">
        <f t="shared" si="38"/>
        <v>#REF!</v>
      </c>
      <c r="CB16" s="11" t="e">
        <f t="shared" si="39"/>
        <v>#REF!</v>
      </c>
      <c r="CC16" s="11" t="e">
        <f t="shared" si="40"/>
        <v>#REF!</v>
      </c>
      <c r="CD16" s="11" t="e">
        <f t="shared" si="41"/>
        <v>#REF!</v>
      </c>
      <c r="CF16" s="11" t="e">
        <f t="shared" si="42"/>
        <v>#REF!</v>
      </c>
      <c r="CG16" s="11" t="e">
        <f t="shared" si="43"/>
        <v>#REF!</v>
      </c>
      <c r="CH16" s="11" t="e">
        <f t="shared" si="44"/>
        <v>#REF!</v>
      </c>
      <c r="CI16" s="11" t="e">
        <f t="shared" si="45"/>
        <v>#REF!</v>
      </c>
      <c r="CJ16" s="11" t="e">
        <f t="shared" si="46"/>
        <v>#REF!</v>
      </c>
      <c r="CM16" s="209">
        <f t="shared" si="47"/>
        <v>1.2018872366697943E-2</v>
      </c>
      <c r="CN16" s="209" t="e">
        <f t="shared" si="48"/>
        <v>#REF!</v>
      </c>
      <c r="CO16" s="209" t="e">
        <f t="shared" si="49"/>
        <v>#REF!</v>
      </c>
      <c r="CP16" s="209" t="e">
        <f t="shared" si="50"/>
        <v>#REF!</v>
      </c>
      <c r="CQ16" s="209" t="e">
        <f t="shared" si="51"/>
        <v>#REF!</v>
      </c>
    </row>
    <row r="17" spans="1:95" x14ac:dyDescent="0.25">
      <c r="A17" s="13" t="s">
        <v>34</v>
      </c>
      <c r="B17" s="14" t="s">
        <v>35</v>
      </c>
      <c r="C17" s="4" t="s">
        <v>46</v>
      </c>
      <c r="D17" s="4" t="s">
        <v>47</v>
      </c>
      <c r="E17" s="11">
        <f>SUMIFS('ICB Core Baseline 2024-25'!Q:Q,'ICB Core Baseline 2024-25'!C:C,C17)</f>
        <v>1777885.3086175141</v>
      </c>
      <c r="F17" s="43" t="e">
        <f>SUMIFS(#REF!,#REF!,C17)</f>
        <v>#REF!</v>
      </c>
      <c r="H17" s="43" t="e">
        <f>SUMIFS(#REF!,#REF!,C17)</f>
        <v>#REF!</v>
      </c>
      <c r="I17" s="43" t="e">
        <f t="shared" si="6"/>
        <v>#REF!</v>
      </c>
      <c r="J17" s="43" t="e">
        <f t="shared" si="7"/>
        <v>#REF!</v>
      </c>
      <c r="K17" s="11" t="e">
        <f t="shared" si="0"/>
        <v>#REF!</v>
      </c>
      <c r="L17" s="11" t="e">
        <f t="shared" si="1"/>
        <v>#REF!</v>
      </c>
      <c r="M17" s="43" t="e">
        <f>SUMIFS(#REF!,#REF!,C17)</f>
        <v>#REF!</v>
      </c>
      <c r="N17" s="11" t="e">
        <f t="shared" si="2"/>
        <v>#REF!</v>
      </c>
      <c r="O17" s="43" t="e">
        <f t="shared" si="8"/>
        <v>#REF!</v>
      </c>
      <c r="P17" s="11" t="e">
        <f t="shared" si="3"/>
        <v>#REF!</v>
      </c>
      <c r="Q17" s="11" t="e">
        <f t="shared" si="9"/>
        <v>#REF!</v>
      </c>
      <c r="R17" s="11" t="e">
        <f t="shared" si="4"/>
        <v>#REF!</v>
      </c>
      <c r="S17" s="11" t="e">
        <f>(SUMIFS(#REF!,#REF!,C17)/SUMIFS(#REF!,#REF!,C17))*1000</f>
        <v>#REF!</v>
      </c>
      <c r="T17" s="11" t="e">
        <f t="shared" si="10"/>
        <v>#REF!</v>
      </c>
      <c r="U17" s="11"/>
      <c r="V17" s="11" t="e">
        <f t="shared" si="11"/>
        <v>#REF!</v>
      </c>
      <c r="W17" s="11" t="e">
        <f t="shared" si="12"/>
        <v>#REF!</v>
      </c>
      <c r="X17" s="43" t="e">
        <f t="shared" si="13"/>
        <v>#REF!</v>
      </c>
      <c r="Y17" s="43" t="e">
        <f ca="1">OFFSET(#REF!,MATCH(C17,#REF!,0)+1,0)</f>
        <v>#REF!</v>
      </c>
      <c r="Z17" s="43" t="e">
        <f t="shared" ca="1" si="14"/>
        <v>#REF!</v>
      </c>
      <c r="AA17" s="43" t="e">
        <f t="shared" si="5"/>
        <v>#REF!</v>
      </c>
      <c r="AB17" s="11" t="e">
        <f>SUMIFS(#REF!,#REF!,C17)/(1+1.8%)*(1+1.8%+2.3%)</f>
        <v>#REF!</v>
      </c>
      <c r="AC17" s="11" t="e">
        <f t="shared" si="15"/>
        <v>#REF!</v>
      </c>
      <c r="AD17" s="64"/>
      <c r="AE17" s="11" t="e">
        <f>(SUMIFS(#REF!,#REF!,C17)/(1+1.8%))*(1+1.8%+2.3%)</f>
        <v>#REF!</v>
      </c>
      <c r="AF17" s="11" t="e">
        <f>-SUMIFS(#REF!,#REF!,C17)/1000</f>
        <v>#REF!</v>
      </c>
      <c r="AG17" s="11" t="e">
        <f>SUMIFS(#REF!,#REF!,C17)</f>
        <v>#REF!</v>
      </c>
      <c r="AH17" s="11" t="e">
        <f>SUMIFS(#REF!,#REF!,C17)</f>
        <v>#REF!</v>
      </c>
      <c r="AI17" s="11" t="e">
        <f>SUMIFS(#REF!,#REF!,C17)</f>
        <v>#REF!</v>
      </c>
      <c r="AJ17" s="11" t="e">
        <f>SUMIFS(#REF!,#REF!,C17)</f>
        <v>#REF!</v>
      </c>
      <c r="AK17" s="11"/>
      <c r="AL17" s="11" t="e">
        <f t="shared" si="16"/>
        <v>#REF!</v>
      </c>
      <c r="AN17" s="11" t="e">
        <f t="shared" si="17"/>
        <v>#REF!</v>
      </c>
      <c r="AO17" s="11" t="e">
        <f t="shared" si="18"/>
        <v>#REF!</v>
      </c>
      <c r="AQ17" s="11" t="e">
        <f t="shared" si="19"/>
        <v>#REF!</v>
      </c>
      <c r="AS17" s="43" t="e">
        <f t="shared" si="20"/>
        <v>#REF!</v>
      </c>
      <c r="AT17" s="11" t="e">
        <f t="shared" si="21"/>
        <v>#REF!</v>
      </c>
      <c r="AV17" s="11" t="e">
        <f>'Share of £1bn'!$F$20*1000*$AO17/$AO$57</f>
        <v>#REF!</v>
      </c>
      <c r="AW17" s="11" t="e">
        <f>'Share of £1bn'!$F$27*1000*$AO17/$AO$57</f>
        <v>#REF!</v>
      </c>
      <c r="AX17" s="11" t="e">
        <f>'Share of £1bn'!$F$21*1000*$AO17/$AO$57</f>
        <v>#REF!</v>
      </c>
      <c r="AZ17" s="11" t="e">
        <f>'Share of £1bn'!$F$43*1000*AO17/$AO$57</f>
        <v>#REF!</v>
      </c>
      <c r="BA17" s="11" t="e">
        <f>'Share of £1bn'!$F$50*1000*$AO17/$AO$57</f>
        <v>#REF!</v>
      </c>
      <c r="BB17" s="11" t="e">
        <f>'Share of £1bn'!$F$44*1000*AO17/$AO$57</f>
        <v>#REF!</v>
      </c>
      <c r="BD17" s="11" t="e">
        <f>'Share of £1bn'!$F$67*1000*AO17/$AO$57</f>
        <v>#REF!</v>
      </c>
      <c r="BF17" s="11">
        <f>SUMIFS('20-11 M6 deficits'!$BO:$BO,'20-11 M6 deficits'!$C:$C,$C17)*1000</f>
        <v>-40000</v>
      </c>
      <c r="BH17" s="11" t="e">
        <f t="shared" si="22"/>
        <v>#REF!</v>
      </c>
      <c r="BI17" s="11" t="e">
        <f t="shared" si="23"/>
        <v>#REF!</v>
      </c>
      <c r="BJ17" s="11" t="e">
        <f t="shared" si="24"/>
        <v>#REF!</v>
      </c>
      <c r="BK17" s="11" t="e">
        <f t="shared" si="25"/>
        <v>#REF!</v>
      </c>
      <c r="BL17" s="11" t="e">
        <f t="shared" si="26"/>
        <v>#REF!</v>
      </c>
      <c r="BN17" s="11" t="e">
        <f t="shared" si="27"/>
        <v>#REF!</v>
      </c>
      <c r="BO17" s="11" t="e">
        <f t="shared" si="28"/>
        <v>#REF!</v>
      </c>
      <c r="BP17" s="11" t="e">
        <f t="shared" si="29"/>
        <v>#REF!</v>
      </c>
      <c r="BQ17" s="11" t="e">
        <f t="shared" si="30"/>
        <v>#REF!</v>
      </c>
      <c r="BR17" s="11" t="e">
        <f t="shared" si="31"/>
        <v>#REF!</v>
      </c>
      <c r="BT17" s="11" t="e">
        <f t="shared" si="32"/>
        <v>#REF!</v>
      </c>
      <c r="BU17" s="11" t="e">
        <f t="shared" si="33"/>
        <v>#REF!</v>
      </c>
      <c r="BV17" s="11" t="e">
        <f t="shared" si="34"/>
        <v>#REF!</v>
      </c>
      <c r="BW17" s="11" t="e">
        <f t="shared" si="35"/>
        <v>#REF!</v>
      </c>
      <c r="BX17" s="11" t="e">
        <f t="shared" si="36"/>
        <v>#REF!</v>
      </c>
      <c r="BZ17" s="11" t="e">
        <f t="shared" si="37"/>
        <v>#REF!</v>
      </c>
      <c r="CA17" s="11" t="e">
        <f t="shared" si="38"/>
        <v>#REF!</v>
      </c>
      <c r="CB17" s="11" t="e">
        <f t="shared" si="39"/>
        <v>#REF!</v>
      </c>
      <c r="CC17" s="11" t="e">
        <f t="shared" si="40"/>
        <v>#REF!</v>
      </c>
      <c r="CD17" s="11" t="e">
        <f t="shared" si="41"/>
        <v>#REF!</v>
      </c>
      <c r="CF17" s="11" t="e">
        <f t="shared" si="42"/>
        <v>#REF!</v>
      </c>
      <c r="CG17" s="11" t="e">
        <f t="shared" si="43"/>
        <v>#REF!</v>
      </c>
      <c r="CH17" s="11" t="e">
        <f t="shared" si="44"/>
        <v>#REF!</v>
      </c>
      <c r="CI17" s="11" t="e">
        <f t="shared" si="45"/>
        <v>#REF!</v>
      </c>
      <c r="CJ17" s="11" t="e">
        <f t="shared" si="46"/>
        <v>#REF!</v>
      </c>
      <c r="CM17" s="209">
        <f t="shared" si="47"/>
        <v>2.5302889193048302E-2</v>
      </c>
      <c r="CN17" s="209" t="e">
        <f t="shared" si="48"/>
        <v>#REF!</v>
      </c>
      <c r="CO17" s="209" t="e">
        <f t="shared" si="49"/>
        <v>#REF!</v>
      </c>
      <c r="CP17" s="209" t="e">
        <f t="shared" si="50"/>
        <v>#REF!</v>
      </c>
      <c r="CQ17" s="209" t="e">
        <f t="shared" si="51"/>
        <v>#REF!</v>
      </c>
    </row>
    <row r="18" spans="1:95" x14ac:dyDescent="0.25">
      <c r="A18" s="13" t="s">
        <v>34</v>
      </c>
      <c r="B18" s="14" t="s">
        <v>35</v>
      </c>
      <c r="C18" s="4" t="s">
        <v>48</v>
      </c>
      <c r="D18" s="4" t="s">
        <v>49</v>
      </c>
      <c r="E18" s="11">
        <f>SUMIFS('ICB Core Baseline 2024-25'!Q:Q,'ICB Core Baseline 2024-25'!C:C,C18)</f>
        <v>1430894.8889875349</v>
      </c>
      <c r="F18" s="43" t="e">
        <f>SUMIFS(#REF!,#REF!,C18)</f>
        <v>#REF!</v>
      </c>
      <c r="H18" s="43" t="e">
        <f>SUMIFS(#REF!,#REF!,C18)</f>
        <v>#REF!</v>
      </c>
      <c r="I18" s="43" t="e">
        <f t="shared" si="6"/>
        <v>#REF!</v>
      </c>
      <c r="J18" s="43" t="e">
        <f t="shared" si="7"/>
        <v>#REF!</v>
      </c>
      <c r="K18" s="11" t="e">
        <f t="shared" si="0"/>
        <v>#REF!</v>
      </c>
      <c r="L18" s="11" t="e">
        <f t="shared" si="1"/>
        <v>#REF!</v>
      </c>
      <c r="M18" s="43" t="e">
        <f>SUMIFS(#REF!,#REF!,C18)</f>
        <v>#REF!</v>
      </c>
      <c r="N18" s="11" t="e">
        <f t="shared" si="2"/>
        <v>#REF!</v>
      </c>
      <c r="O18" s="43" t="e">
        <f t="shared" si="8"/>
        <v>#REF!</v>
      </c>
      <c r="P18" s="11" t="e">
        <f t="shared" si="3"/>
        <v>#REF!</v>
      </c>
      <c r="Q18" s="11" t="e">
        <f t="shared" si="9"/>
        <v>#REF!</v>
      </c>
      <c r="R18" s="11" t="e">
        <f t="shared" si="4"/>
        <v>#REF!</v>
      </c>
      <c r="S18" s="11" t="e">
        <f>(SUMIFS(#REF!,#REF!,C18)/SUMIFS(#REF!,#REF!,C18))*1000</f>
        <v>#REF!</v>
      </c>
      <c r="T18" s="11" t="e">
        <f t="shared" si="10"/>
        <v>#REF!</v>
      </c>
      <c r="U18" s="11"/>
      <c r="V18" s="11" t="e">
        <f t="shared" si="11"/>
        <v>#REF!</v>
      </c>
      <c r="W18" s="11" t="e">
        <f t="shared" si="12"/>
        <v>#REF!</v>
      </c>
      <c r="X18" s="43" t="e">
        <f t="shared" si="13"/>
        <v>#REF!</v>
      </c>
      <c r="Y18" s="43" t="e">
        <f ca="1">OFFSET(#REF!,MATCH(C18,#REF!,0)+1,0)</f>
        <v>#REF!</v>
      </c>
      <c r="Z18" s="43" t="e">
        <f t="shared" ca="1" si="14"/>
        <v>#REF!</v>
      </c>
      <c r="AA18" s="43" t="e">
        <f t="shared" si="5"/>
        <v>#REF!</v>
      </c>
      <c r="AB18" s="11" t="e">
        <f>SUMIFS(#REF!,#REF!,C18)/(1+1.8%)*(1+1.8%+2.3%)</f>
        <v>#REF!</v>
      </c>
      <c r="AC18" s="11" t="e">
        <f t="shared" si="15"/>
        <v>#REF!</v>
      </c>
      <c r="AD18" s="64"/>
      <c r="AE18" s="11" t="e">
        <f>(SUMIFS(#REF!,#REF!,C18)/(1+1.8%))*(1+1.8%+2.3%)</f>
        <v>#REF!</v>
      </c>
      <c r="AF18" s="11" t="e">
        <f>-SUMIFS(#REF!,#REF!,C18)/1000</f>
        <v>#REF!</v>
      </c>
      <c r="AG18" s="11" t="e">
        <f>SUMIFS(#REF!,#REF!,C18)</f>
        <v>#REF!</v>
      </c>
      <c r="AH18" s="11" t="e">
        <f>SUMIFS(#REF!,#REF!,C18)</f>
        <v>#REF!</v>
      </c>
      <c r="AI18" s="11" t="e">
        <f>SUMIFS(#REF!,#REF!,C18)</f>
        <v>#REF!</v>
      </c>
      <c r="AJ18" s="11" t="e">
        <f>SUMIFS(#REF!,#REF!,C18)</f>
        <v>#REF!</v>
      </c>
      <c r="AK18" s="11"/>
      <c r="AL18" s="11" t="e">
        <f t="shared" si="16"/>
        <v>#REF!</v>
      </c>
      <c r="AN18" s="11" t="e">
        <f t="shared" si="17"/>
        <v>#REF!</v>
      </c>
      <c r="AO18" s="11" t="e">
        <f t="shared" si="18"/>
        <v>#REF!</v>
      </c>
      <c r="AQ18" s="11" t="e">
        <f t="shared" si="19"/>
        <v>#REF!</v>
      </c>
      <c r="AS18" s="43" t="e">
        <f t="shared" si="20"/>
        <v>#REF!</v>
      </c>
      <c r="AT18" s="11" t="e">
        <f t="shared" si="21"/>
        <v>#REF!</v>
      </c>
      <c r="AV18" s="11" t="e">
        <f>'Share of £1bn'!$F$20*1000*$AO18/$AO$57</f>
        <v>#REF!</v>
      </c>
      <c r="AW18" s="11" t="e">
        <f>'Share of £1bn'!$F$27*1000*$AO18/$AO$57</f>
        <v>#REF!</v>
      </c>
      <c r="AX18" s="11" t="e">
        <f>'Share of £1bn'!$F$21*1000*$AO18/$AO$57</f>
        <v>#REF!</v>
      </c>
      <c r="AZ18" s="11" t="e">
        <f>'Share of £1bn'!$F$43*1000*AO18/$AO$57</f>
        <v>#REF!</v>
      </c>
      <c r="BA18" s="11" t="e">
        <f>'Share of £1bn'!$F$50*1000*$AO18/$AO$57</f>
        <v>#REF!</v>
      </c>
      <c r="BB18" s="11" t="e">
        <f>'Share of £1bn'!$F$44*1000*AO18/$AO$57</f>
        <v>#REF!</v>
      </c>
      <c r="BD18" s="11" t="e">
        <f>'Share of £1bn'!$F$67*1000*AO18/$AO$57</f>
        <v>#REF!</v>
      </c>
      <c r="BF18" s="11">
        <f>SUMIFS('20-11 M6 deficits'!$BO:$BO,'20-11 M6 deficits'!$C:$C,$C18)*1000</f>
        <v>-15400</v>
      </c>
      <c r="BH18" s="11" t="e">
        <f t="shared" si="22"/>
        <v>#REF!</v>
      </c>
      <c r="BI18" s="11" t="e">
        <f t="shared" si="23"/>
        <v>#REF!</v>
      </c>
      <c r="BJ18" s="11" t="e">
        <f t="shared" si="24"/>
        <v>#REF!</v>
      </c>
      <c r="BK18" s="11" t="e">
        <f t="shared" si="25"/>
        <v>#REF!</v>
      </c>
      <c r="BL18" s="11" t="e">
        <f t="shared" si="26"/>
        <v>#REF!</v>
      </c>
      <c r="BN18" s="11" t="e">
        <f t="shared" si="27"/>
        <v>#REF!</v>
      </c>
      <c r="BO18" s="11" t="e">
        <f t="shared" si="28"/>
        <v>#REF!</v>
      </c>
      <c r="BP18" s="11" t="e">
        <f t="shared" si="29"/>
        <v>#REF!</v>
      </c>
      <c r="BQ18" s="11" t="e">
        <f t="shared" si="30"/>
        <v>#REF!</v>
      </c>
      <c r="BR18" s="11" t="e">
        <f t="shared" si="31"/>
        <v>#REF!</v>
      </c>
      <c r="BT18" s="11" t="e">
        <f t="shared" si="32"/>
        <v>#REF!</v>
      </c>
      <c r="BU18" s="11" t="e">
        <f t="shared" si="33"/>
        <v>#REF!</v>
      </c>
      <c r="BV18" s="11" t="e">
        <f t="shared" si="34"/>
        <v>#REF!</v>
      </c>
      <c r="BW18" s="11" t="e">
        <f t="shared" si="35"/>
        <v>#REF!</v>
      </c>
      <c r="BX18" s="11" t="e">
        <f t="shared" si="36"/>
        <v>#REF!</v>
      </c>
      <c r="BZ18" s="11" t="e">
        <f t="shared" si="37"/>
        <v>#REF!</v>
      </c>
      <c r="CA18" s="11" t="e">
        <f t="shared" si="38"/>
        <v>#REF!</v>
      </c>
      <c r="CB18" s="11" t="e">
        <f t="shared" si="39"/>
        <v>#REF!</v>
      </c>
      <c r="CC18" s="11" t="e">
        <f t="shared" si="40"/>
        <v>#REF!</v>
      </c>
      <c r="CD18" s="11" t="e">
        <f t="shared" si="41"/>
        <v>#REF!</v>
      </c>
      <c r="CF18" s="11" t="e">
        <f t="shared" si="42"/>
        <v>#REF!</v>
      </c>
      <c r="CG18" s="11" t="e">
        <f t="shared" si="43"/>
        <v>#REF!</v>
      </c>
      <c r="CH18" s="11" t="e">
        <f t="shared" si="44"/>
        <v>#REF!</v>
      </c>
      <c r="CI18" s="11" t="e">
        <f t="shared" si="45"/>
        <v>#REF!</v>
      </c>
      <c r="CJ18" s="11" t="e">
        <f t="shared" si="46"/>
        <v>#REF!</v>
      </c>
      <c r="CM18" s="209">
        <f t="shared" si="47"/>
        <v>9.7416123393235955E-3</v>
      </c>
      <c r="CN18" s="209" t="e">
        <f t="shared" si="48"/>
        <v>#REF!</v>
      </c>
      <c r="CO18" s="209" t="e">
        <f t="shared" si="49"/>
        <v>#REF!</v>
      </c>
      <c r="CP18" s="209" t="e">
        <f t="shared" si="50"/>
        <v>#REF!</v>
      </c>
      <c r="CQ18" s="209" t="e">
        <f t="shared" si="51"/>
        <v>#REF!</v>
      </c>
    </row>
    <row r="19" spans="1:95" x14ac:dyDescent="0.25">
      <c r="A19" s="13" t="s">
        <v>34</v>
      </c>
      <c r="B19" s="14" t="s">
        <v>35</v>
      </c>
      <c r="C19" s="4" t="s">
        <v>50</v>
      </c>
      <c r="D19" s="4" t="s">
        <v>51</v>
      </c>
      <c r="E19" s="11">
        <f>SUMIFS('ICB Core Baseline 2024-25'!Q:Q,'ICB Core Baseline 2024-25'!C:C,C19)</f>
        <v>1309001.4633780424</v>
      </c>
      <c r="F19" s="43" t="e">
        <f>SUMIFS(#REF!,#REF!,C19)</f>
        <v>#REF!</v>
      </c>
      <c r="H19" s="43" t="e">
        <f>SUMIFS(#REF!,#REF!,C19)</f>
        <v>#REF!</v>
      </c>
      <c r="I19" s="43" t="e">
        <f t="shared" si="6"/>
        <v>#REF!</v>
      </c>
      <c r="J19" s="43" t="e">
        <f t="shared" si="7"/>
        <v>#REF!</v>
      </c>
      <c r="K19" s="11" t="e">
        <f t="shared" si="0"/>
        <v>#REF!</v>
      </c>
      <c r="L19" s="11" t="e">
        <f t="shared" si="1"/>
        <v>#REF!</v>
      </c>
      <c r="M19" s="43" t="e">
        <f>SUMIFS(#REF!,#REF!,C19)</f>
        <v>#REF!</v>
      </c>
      <c r="N19" s="11" t="e">
        <f t="shared" si="2"/>
        <v>#REF!</v>
      </c>
      <c r="O19" s="43" t="e">
        <f t="shared" si="8"/>
        <v>#REF!</v>
      </c>
      <c r="P19" s="11" t="e">
        <f t="shared" si="3"/>
        <v>#REF!</v>
      </c>
      <c r="Q19" s="11" t="e">
        <f t="shared" si="9"/>
        <v>#REF!</v>
      </c>
      <c r="R19" s="11" t="e">
        <f t="shared" si="4"/>
        <v>#REF!</v>
      </c>
      <c r="S19" s="11" t="e">
        <f>(SUMIFS(#REF!,#REF!,C19)/SUMIFS(#REF!,#REF!,C19))*1000</f>
        <v>#REF!</v>
      </c>
      <c r="T19" s="11" t="e">
        <f t="shared" si="10"/>
        <v>#REF!</v>
      </c>
      <c r="U19" s="11"/>
      <c r="V19" s="11" t="e">
        <f t="shared" si="11"/>
        <v>#REF!</v>
      </c>
      <c r="W19" s="11" t="e">
        <f t="shared" si="12"/>
        <v>#REF!</v>
      </c>
      <c r="X19" s="43" t="e">
        <f t="shared" si="13"/>
        <v>#REF!</v>
      </c>
      <c r="Y19" s="43" t="e">
        <f ca="1">OFFSET(#REF!,MATCH(C19,#REF!,0)+1,0)</f>
        <v>#REF!</v>
      </c>
      <c r="Z19" s="43" t="e">
        <f t="shared" ca="1" si="14"/>
        <v>#REF!</v>
      </c>
      <c r="AA19" s="43" t="e">
        <f t="shared" si="5"/>
        <v>#REF!</v>
      </c>
      <c r="AB19" s="11" t="e">
        <f>SUMIFS(#REF!,#REF!,C19)/(1+1.8%)*(1+1.8%+2.3%)</f>
        <v>#REF!</v>
      </c>
      <c r="AC19" s="11" t="e">
        <f t="shared" si="15"/>
        <v>#REF!</v>
      </c>
      <c r="AD19" s="64"/>
      <c r="AE19" s="11" t="e">
        <f>(SUMIFS(#REF!,#REF!,C19)/(1+1.8%))*(1+1.8%+2.3%)</f>
        <v>#REF!</v>
      </c>
      <c r="AF19" s="11" t="e">
        <f>-SUMIFS(#REF!,#REF!,C19)/1000</f>
        <v>#REF!</v>
      </c>
      <c r="AG19" s="11" t="e">
        <f>SUMIFS(#REF!,#REF!,C19)</f>
        <v>#REF!</v>
      </c>
      <c r="AH19" s="11" t="e">
        <f>SUMIFS(#REF!,#REF!,C19)</f>
        <v>#REF!</v>
      </c>
      <c r="AI19" s="11" t="e">
        <f>SUMIFS(#REF!,#REF!,C19)</f>
        <v>#REF!</v>
      </c>
      <c r="AJ19" s="11" t="e">
        <f>SUMIFS(#REF!,#REF!,C19)</f>
        <v>#REF!</v>
      </c>
      <c r="AK19" s="11"/>
      <c r="AL19" s="11" t="e">
        <f t="shared" si="16"/>
        <v>#REF!</v>
      </c>
      <c r="AN19" s="11" t="e">
        <f t="shared" si="17"/>
        <v>#REF!</v>
      </c>
      <c r="AO19" s="11" t="e">
        <f t="shared" si="18"/>
        <v>#REF!</v>
      </c>
      <c r="AQ19" s="11" t="e">
        <f t="shared" si="19"/>
        <v>#REF!</v>
      </c>
      <c r="AS19" s="43" t="e">
        <f t="shared" si="20"/>
        <v>#REF!</v>
      </c>
      <c r="AT19" s="11" t="e">
        <f t="shared" si="21"/>
        <v>#REF!</v>
      </c>
      <c r="AV19" s="11" t="e">
        <f>'Share of £1bn'!$F$20*1000*$AO19/$AO$57</f>
        <v>#REF!</v>
      </c>
      <c r="AW19" s="11" t="e">
        <f>'Share of £1bn'!$F$27*1000*$AO19/$AO$57</f>
        <v>#REF!</v>
      </c>
      <c r="AX19" s="11" t="e">
        <f>'Share of £1bn'!$F$21*1000*$AO19/$AO$57</f>
        <v>#REF!</v>
      </c>
      <c r="AZ19" s="11" t="e">
        <f>'Share of £1bn'!$F$43*1000*AO19/$AO$57</f>
        <v>#REF!</v>
      </c>
      <c r="BA19" s="11" t="e">
        <f>'Share of £1bn'!$F$50*1000*$AO19/$AO$57</f>
        <v>#REF!</v>
      </c>
      <c r="BB19" s="11" t="e">
        <f>'Share of £1bn'!$F$44*1000*AO19/$AO$57</f>
        <v>#REF!</v>
      </c>
      <c r="BD19" s="11" t="e">
        <f>'Share of £1bn'!$F$67*1000*AO19/$AO$57</f>
        <v>#REF!</v>
      </c>
      <c r="BF19" s="11">
        <f>SUMIFS('20-11 M6 deficits'!$BO:$BO,'20-11 M6 deficits'!$C:$C,$C19)*1000</f>
        <v>-34962.309026254647</v>
      </c>
      <c r="BH19" s="11" t="e">
        <f t="shared" si="22"/>
        <v>#REF!</v>
      </c>
      <c r="BI19" s="11" t="e">
        <f t="shared" si="23"/>
        <v>#REF!</v>
      </c>
      <c r="BJ19" s="11" t="e">
        <f t="shared" si="24"/>
        <v>#REF!</v>
      </c>
      <c r="BK19" s="11" t="e">
        <f t="shared" si="25"/>
        <v>#REF!</v>
      </c>
      <c r="BL19" s="11" t="e">
        <f t="shared" si="26"/>
        <v>#REF!</v>
      </c>
      <c r="BN19" s="11" t="e">
        <f t="shared" si="27"/>
        <v>#REF!</v>
      </c>
      <c r="BO19" s="11" t="e">
        <f t="shared" si="28"/>
        <v>#REF!</v>
      </c>
      <c r="BP19" s="11" t="e">
        <f t="shared" si="29"/>
        <v>#REF!</v>
      </c>
      <c r="BQ19" s="11" t="e">
        <f t="shared" si="30"/>
        <v>#REF!</v>
      </c>
      <c r="BR19" s="11" t="e">
        <f t="shared" si="31"/>
        <v>#REF!</v>
      </c>
      <c r="BT19" s="11" t="e">
        <f t="shared" si="32"/>
        <v>#REF!</v>
      </c>
      <c r="BU19" s="11" t="e">
        <f t="shared" si="33"/>
        <v>#REF!</v>
      </c>
      <c r="BV19" s="11" t="e">
        <f t="shared" si="34"/>
        <v>#REF!</v>
      </c>
      <c r="BW19" s="11" t="e">
        <f t="shared" si="35"/>
        <v>#REF!</v>
      </c>
      <c r="BX19" s="11" t="e">
        <f t="shared" si="36"/>
        <v>#REF!</v>
      </c>
      <c r="BZ19" s="11" t="e">
        <f t="shared" si="37"/>
        <v>#REF!</v>
      </c>
      <c r="CA19" s="11" t="e">
        <f t="shared" si="38"/>
        <v>#REF!</v>
      </c>
      <c r="CB19" s="11" t="e">
        <f t="shared" si="39"/>
        <v>#REF!</v>
      </c>
      <c r="CC19" s="11" t="e">
        <f t="shared" si="40"/>
        <v>#REF!</v>
      </c>
      <c r="CD19" s="11" t="e">
        <f t="shared" si="41"/>
        <v>#REF!</v>
      </c>
      <c r="CF19" s="11" t="e">
        <f t="shared" si="42"/>
        <v>#REF!</v>
      </c>
      <c r="CG19" s="11" t="e">
        <f t="shared" si="43"/>
        <v>#REF!</v>
      </c>
      <c r="CH19" s="11" t="e">
        <f t="shared" si="44"/>
        <v>#REF!</v>
      </c>
      <c r="CI19" s="11" t="e">
        <f t="shared" si="45"/>
        <v>#REF!</v>
      </c>
      <c r="CJ19" s="11" t="e">
        <f t="shared" si="46"/>
        <v>#REF!</v>
      </c>
      <c r="CM19" s="209">
        <f t="shared" si="47"/>
        <v>2.2116185780610843E-2</v>
      </c>
      <c r="CN19" s="209" t="e">
        <f t="shared" si="48"/>
        <v>#REF!</v>
      </c>
      <c r="CO19" s="209" t="e">
        <f t="shared" si="49"/>
        <v>#REF!</v>
      </c>
      <c r="CP19" s="209" t="e">
        <f t="shared" si="50"/>
        <v>#REF!</v>
      </c>
      <c r="CQ19" s="209" t="e">
        <f t="shared" si="51"/>
        <v>#REF!</v>
      </c>
    </row>
    <row r="20" spans="1:95" x14ac:dyDescent="0.25">
      <c r="A20" s="13" t="s">
        <v>34</v>
      </c>
      <c r="B20" s="14" t="s">
        <v>35</v>
      </c>
      <c r="C20" s="4" t="s">
        <v>52</v>
      </c>
      <c r="D20" s="4" t="s">
        <v>53</v>
      </c>
      <c r="E20" s="11">
        <f>SUMIFS('ICB Core Baseline 2024-25'!Q:Q,'ICB Core Baseline 2024-25'!C:C,C20)</f>
        <v>2105484.7321976945</v>
      </c>
      <c r="F20" s="43" t="e">
        <f>SUMIFS(#REF!,#REF!,C20)</f>
        <v>#REF!</v>
      </c>
      <c r="H20" s="43" t="e">
        <f>SUMIFS(#REF!,#REF!,C20)</f>
        <v>#REF!</v>
      </c>
      <c r="I20" s="43" t="e">
        <f t="shared" si="6"/>
        <v>#REF!</v>
      </c>
      <c r="J20" s="43" t="e">
        <f t="shared" si="7"/>
        <v>#REF!</v>
      </c>
      <c r="K20" s="11" t="e">
        <f t="shared" si="0"/>
        <v>#REF!</v>
      </c>
      <c r="L20" s="11" t="e">
        <f t="shared" si="1"/>
        <v>#REF!</v>
      </c>
      <c r="M20" s="43" t="e">
        <f>SUMIFS(#REF!,#REF!,C20)</f>
        <v>#REF!</v>
      </c>
      <c r="N20" s="11" t="e">
        <f t="shared" si="2"/>
        <v>#REF!</v>
      </c>
      <c r="O20" s="43" t="e">
        <f t="shared" si="8"/>
        <v>#REF!</v>
      </c>
      <c r="P20" s="11" t="e">
        <f t="shared" si="3"/>
        <v>#REF!</v>
      </c>
      <c r="Q20" s="11" t="e">
        <f t="shared" si="9"/>
        <v>#REF!</v>
      </c>
      <c r="R20" s="11" t="e">
        <f t="shared" si="4"/>
        <v>#REF!</v>
      </c>
      <c r="S20" s="11" t="e">
        <f>(SUMIFS(#REF!,#REF!,C20)/SUMIFS(#REF!,#REF!,C20))*1000</f>
        <v>#REF!</v>
      </c>
      <c r="T20" s="11" t="e">
        <f t="shared" si="10"/>
        <v>#REF!</v>
      </c>
      <c r="U20" s="11"/>
      <c r="V20" s="11" t="e">
        <f t="shared" si="11"/>
        <v>#REF!</v>
      </c>
      <c r="W20" s="11" t="e">
        <f t="shared" si="12"/>
        <v>#REF!</v>
      </c>
      <c r="X20" s="43" t="e">
        <f t="shared" si="13"/>
        <v>#REF!</v>
      </c>
      <c r="Y20" s="43" t="e">
        <f ca="1">OFFSET(#REF!,MATCH(C20,#REF!,0)+1,0)</f>
        <v>#REF!</v>
      </c>
      <c r="Z20" s="43" t="e">
        <f t="shared" ca="1" si="14"/>
        <v>#REF!</v>
      </c>
      <c r="AA20" s="43" t="e">
        <f t="shared" si="5"/>
        <v>#REF!</v>
      </c>
      <c r="AB20" s="11" t="e">
        <f>SUMIFS(#REF!,#REF!,C20)/(1+1.8%)*(1+1.8%+2.3%)</f>
        <v>#REF!</v>
      </c>
      <c r="AC20" s="11" t="e">
        <f t="shared" si="15"/>
        <v>#REF!</v>
      </c>
      <c r="AD20" s="64"/>
      <c r="AE20" s="11" t="e">
        <f>(SUMIFS(#REF!,#REF!,C20)/(1+1.8%))*(1+1.8%+2.3%)</f>
        <v>#REF!</v>
      </c>
      <c r="AF20" s="11" t="e">
        <f>-SUMIFS(#REF!,#REF!,C20)/1000</f>
        <v>#REF!</v>
      </c>
      <c r="AG20" s="11" t="e">
        <f>SUMIFS(#REF!,#REF!,C20)</f>
        <v>#REF!</v>
      </c>
      <c r="AH20" s="11" t="e">
        <f>SUMIFS(#REF!,#REF!,C20)</f>
        <v>#REF!</v>
      </c>
      <c r="AI20" s="11" t="e">
        <f>SUMIFS(#REF!,#REF!,C20)</f>
        <v>#REF!</v>
      </c>
      <c r="AJ20" s="11" t="e">
        <f>SUMIFS(#REF!,#REF!,C20)</f>
        <v>#REF!</v>
      </c>
      <c r="AK20" s="11"/>
      <c r="AL20" s="11" t="e">
        <f t="shared" si="16"/>
        <v>#REF!</v>
      </c>
      <c r="AN20" s="11" t="e">
        <f t="shared" si="17"/>
        <v>#REF!</v>
      </c>
      <c r="AO20" s="11" t="e">
        <f t="shared" si="18"/>
        <v>#REF!</v>
      </c>
      <c r="AQ20" s="11" t="e">
        <f t="shared" si="19"/>
        <v>#REF!</v>
      </c>
      <c r="AS20" s="43" t="e">
        <f t="shared" si="20"/>
        <v>#REF!</v>
      </c>
      <c r="AT20" s="11" t="e">
        <f t="shared" si="21"/>
        <v>#REF!</v>
      </c>
      <c r="AV20" s="11" t="e">
        <f>'Share of £1bn'!$F$20*1000*$AO20/$AO$57</f>
        <v>#REF!</v>
      </c>
      <c r="AW20" s="11" t="e">
        <f>'Share of £1bn'!$F$27*1000*$AO20/$AO$57</f>
        <v>#REF!</v>
      </c>
      <c r="AX20" s="11" t="e">
        <f>'Share of £1bn'!$F$21*1000*$AO20/$AO$57</f>
        <v>#REF!</v>
      </c>
      <c r="AZ20" s="11" t="e">
        <f>'Share of £1bn'!$F$43*1000*AO20/$AO$57</f>
        <v>#REF!</v>
      </c>
      <c r="BA20" s="11" t="e">
        <f>'Share of £1bn'!$F$50*1000*$AO20/$AO$57</f>
        <v>#REF!</v>
      </c>
      <c r="BB20" s="11" t="e">
        <f>'Share of £1bn'!$F$44*1000*AO20/$AO$57</f>
        <v>#REF!</v>
      </c>
      <c r="BD20" s="11" t="e">
        <f>'Share of £1bn'!$F$67*1000*AO20/$AO$57</f>
        <v>#REF!</v>
      </c>
      <c r="BF20" s="11">
        <f>SUMIFS('20-11 M6 deficits'!$BO:$BO,'20-11 M6 deficits'!$C:$C,$C20)*1000</f>
        <v>-85000</v>
      </c>
      <c r="BH20" s="11" t="e">
        <f t="shared" si="22"/>
        <v>#REF!</v>
      </c>
      <c r="BI20" s="11" t="e">
        <f t="shared" si="23"/>
        <v>#REF!</v>
      </c>
      <c r="BJ20" s="11" t="e">
        <f t="shared" si="24"/>
        <v>#REF!</v>
      </c>
      <c r="BK20" s="11" t="e">
        <f t="shared" si="25"/>
        <v>#REF!</v>
      </c>
      <c r="BL20" s="11" t="e">
        <f t="shared" si="26"/>
        <v>#REF!</v>
      </c>
      <c r="BN20" s="11" t="e">
        <f t="shared" si="27"/>
        <v>#REF!</v>
      </c>
      <c r="BO20" s="11" t="e">
        <f t="shared" si="28"/>
        <v>#REF!</v>
      </c>
      <c r="BP20" s="11" t="e">
        <f t="shared" si="29"/>
        <v>#REF!</v>
      </c>
      <c r="BQ20" s="11" t="e">
        <f t="shared" si="30"/>
        <v>#REF!</v>
      </c>
      <c r="BR20" s="11" t="e">
        <f t="shared" si="31"/>
        <v>#REF!</v>
      </c>
      <c r="BT20" s="11" t="e">
        <f t="shared" si="32"/>
        <v>#REF!</v>
      </c>
      <c r="BU20" s="11" t="e">
        <f t="shared" si="33"/>
        <v>#REF!</v>
      </c>
      <c r="BV20" s="11" t="e">
        <f t="shared" si="34"/>
        <v>#REF!</v>
      </c>
      <c r="BW20" s="11" t="e">
        <f t="shared" si="35"/>
        <v>#REF!</v>
      </c>
      <c r="BX20" s="11" t="e">
        <f t="shared" si="36"/>
        <v>#REF!</v>
      </c>
      <c r="BZ20" s="11" t="e">
        <f t="shared" si="37"/>
        <v>#REF!</v>
      </c>
      <c r="CA20" s="11" t="e">
        <f t="shared" si="38"/>
        <v>#REF!</v>
      </c>
      <c r="CB20" s="11" t="e">
        <f t="shared" si="39"/>
        <v>#REF!</v>
      </c>
      <c r="CC20" s="11" t="e">
        <f t="shared" si="40"/>
        <v>#REF!</v>
      </c>
      <c r="CD20" s="11" t="e">
        <f t="shared" si="41"/>
        <v>#REF!</v>
      </c>
      <c r="CF20" s="11" t="e">
        <f t="shared" si="42"/>
        <v>#REF!</v>
      </c>
      <c r="CG20" s="11" t="e">
        <f t="shared" si="43"/>
        <v>#REF!</v>
      </c>
      <c r="CH20" s="11" t="e">
        <f t="shared" si="44"/>
        <v>#REF!</v>
      </c>
      <c r="CI20" s="11" t="e">
        <f t="shared" si="45"/>
        <v>#REF!</v>
      </c>
      <c r="CJ20" s="11" t="e">
        <f t="shared" si="46"/>
        <v>#REF!</v>
      </c>
      <c r="CM20" s="209">
        <f t="shared" si="47"/>
        <v>5.376863953522764E-2</v>
      </c>
      <c r="CN20" s="209" t="e">
        <f t="shared" si="48"/>
        <v>#REF!</v>
      </c>
      <c r="CO20" s="209" t="e">
        <f t="shared" si="49"/>
        <v>#REF!</v>
      </c>
      <c r="CP20" s="209" t="e">
        <f t="shared" si="50"/>
        <v>#REF!</v>
      </c>
      <c r="CQ20" s="209" t="e">
        <f t="shared" si="51"/>
        <v>#REF!</v>
      </c>
    </row>
    <row r="21" spans="1:95" x14ac:dyDescent="0.25">
      <c r="A21" s="13" t="s">
        <v>34</v>
      </c>
      <c r="B21" s="14" t="s">
        <v>35</v>
      </c>
      <c r="C21" s="4" t="s">
        <v>54</v>
      </c>
      <c r="D21" s="4" t="s">
        <v>55</v>
      </c>
      <c r="E21" s="11">
        <f>SUMIFS('ICB Core Baseline 2024-25'!Q:Q,'ICB Core Baseline 2024-25'!C:C,C21)</f>
        <v>916651.06573692488</v>
      </c>
      <c r="F21" s="43" t="e">
        <f>SUMIFS(#REF!,#REF!,C21)</f>
        <v>#REF!</v>
      </c>
      <c r="H21" s="43" t="e">
        <f>SUMIFS(#REF!,#REF!,C21)</f>
        <v>#REF!</v>
      </c>
      <c r="I21" s="43" t="e">
        <f t="shared" si="6"/>
        <v>#REF!</v>
      </c>
      <c r="J21" s="43" t="e">
        <f t="shared" si="7"/>
        <v>#REF!</v>
      </c>
      <c r="K21" s="11" t="e">
        <f t="shared" si="0"/>
        <v>#REF!</v>
      </c>
      <c r="L21" s="11" t="e">
        <f t="shared" si="1"/>
        <v>#REF!</v>
      </c>
      <c r="M21" s="43" t="e">
        <f>SUMIFS(#REF!,#REF!,C21)</f>
        <v>#REF!</v>
      </c>
      <c r="N21" s="11" t="e">
        <f t="shared" si="2"/>
        <v>#REF!</v>
      </c>
      <c r="O21" s="43" t="e">
        <f t="shared" si="8"/>
        <v>#REF!</v>
      </c>
      <c r="P21" s="11" t="e">
        <f t="shared" si="3"/>
        <v>#REF!</v>
      </c>
      <c r="Q21" s="11" t="e">
        <f t="shared" si="9"/>
        <v>#REF!</v>
      </c>
      <c r="R21" s="11" t="e">
        <f t="shared" si="4"/>
        <v>#REF!</v>
      </c>
      <c r="S21" s="11" t="e">
        <f>(SUMIFS(#REF!,#REF!,C21)/SUMIFS(#REF!,#REF!,C21))*1000</f>
        <v>#REF!</v>
      </c>
      <c r="T21" s="11" t="e">
        <f t="shared" si="10"/>
        <v>#REF!</v>
      </c>
      <c r="U21" s="11"/>
      <c r="V21" s="11" t="e">
        <f t="shared" si="11"/>
        <v>#REF!</v>
      </c>
      <c r="W21" s="11" t="e">
        <f t="shared" si="12"/>
        <v>#REF!</v>
      </c>
      <c r="X21" s="43" t="e">
        <f t="shared" si="13"/>
        <v>#REF!</v>
      </c>
      <c r="Y21" s="43" t="e">
        <f ca="1">OFFSET(#REF!,MATCH(C21,#REF!,0)+1,0)</f>
        <v>#REF!</v>
      </c>
      <c r="Z21" s="43" t="e">
        <f t="shared" ca="1" si="14"/>
        <v>#REF!</v>
      </c>
      <c r="AA21" s="43" t="e">
        <f t="shared" si="5"/>
        <v>#REF!</v>
      </c>
      <c r="AB21" s="11" t="e">
        <f>SUMIFS(#REF!,#REF!,C21)/(1+1.8%)*(1+1.8%+2.3%)</f>
        <v>#REF!</v>
      </c>
      <c r="AC21" s="11" t="e">
        <f t="shared" si="15"/>
        <v>#REF!</v>
      </c>
      <c r="AD21" s="64"/>
      <c r="AE21" s="11" t="e">
        <f>(SUMIFS(#REF!,#REF!,C21)/(1+1.8%))*(1+1.8%+2.3%)</f>
        <v>#REF!</v>
      </c>
      <c r="AF21" s="11" t="e">
        <f>-SUMIFS(#REF!,#REF!,C21)/1000</f>
        <v>#REF!</v>
      </c>
      <c r="AG21" s="11" t="e">
        <f>SUMIFS(#REF!,#REF!,C21)</f>
        <v>#REF!</v>
      </c>
      <c r="AH21" s="11" t="e">
        <f>SUMIFS(#REF!,#REF!,C21)</f>
        <v>#REF!</v>
      </c>
      <c r="AI21" s="11" t="e">
        <f>SUMIFS(#REF!,#REF!,C21)</f>
        <v>#REF!</v>
      </c>
      <c r="AJ21" s="11" t="e">
        <f>SUMIFS(#REF!,#REF!,C21)</f>
        <v>#REF!</v>
      </c>
      <c r="AK21" s="11"/>
      <c r="AL21" s="11" t="e">
        <f t="shared" si="16"/>
        <v>#REF!</v>
      </c>
      <c r="AN21" s="11" t="e">
        <f t="shared" si="17"/>
        <v>#REF!</v>
      </c>
      <c r="AO21" s="11" t="e">
        <f t="shared" si="18"/>
        <v>#REF!</v>
      </c>
      <c r="AQ21" s="11" t="e">
        <f t="shared" si="19"/>
        <v>#REF!</v>
      </c>
      <c r="AS21" s="43" t="e">
        <f t="shared" si="20"/>
        <v>#REF!</v>
      </c>
      <c r="AT21" s="11" t="e">
        <f t="shared" si="21"/>
        <v>#REF!</v>
      </c>
      <c r="AV21" s="11" t="e">
        <f>'Share of £1bn'!$F$20*1000*$AO21/$AO$57</f>
        <v>#REF!</v>
      </c>
      <c r="AW21" s="11" t="e">
        <f>'Share of £1bn'!$F$27*1000*$AO21/$AO$57</f>
        <v>#REF!</v>
      </c>
      <c r="AX21" s="11" t="e">
        <f>'Share of £1bn'!$F$21*1000*$AO21/$AO$57</f>
        <v>#REF!</v>
      </c>
      <c r="AZ21" s="11" t="e">
        <f>'Share of £1bn'!$F$43*1000*AO21/$AO$57</f>
        <v>#REF!</v>
      </c>
      <c r="BA21" s="11" t="e">
        <f>'Share of £1bn'!$F$50*1000*$AO21/$AO$57</f>
        <v>#REF!</v>
      </c>
      <c r="BB21" s="11" t="e">
        <f>'Share of £1bn'!$F$44*1000*AO21/$AO$57</f>
        <v>#REF!</v>
      </c>
      <c r="BD21" s="11" t="e">
        <f>'Share of £1bn'!$F$67*1000*AO21/$AO$57</f>
        <v>#REF!</v>
      </c>
      <c r="BF21" s="11">
        <f>SUMIFS('20-11 M6 deficits'!$BO:$BO,'20-11 M6 deficits'!$C:$C,$C21)*1000</f>
        <v>-120000</v>
      </c>
      <c r="BH21" s="11" t="e">
        <f t="shared" si="22"/>
        <v>#REF!</v>
      </c>
      <c r="BI21" s="11" t="e">
        <f t="shared" si="23"/>
        <v>#REF!</v>
      </c>
      <c r="BJ21" s="11" t="e">
        <f t="shared" si="24"/>
        <v>#REF!</v>
      </c>
      <c r="BK21" s="11" t="e">
        <f t="shared" si="25"/>
        <v>#REF!</v>
      </c>
      <c r="BL21" s="11" t="e">
        <f t="shared" si="26"/>
        <v>#REF!</v>
      </c>
      <c r="BN21" s="11" t="e">
        <f t="shared" si="27"/>
        <v>#REF!</v>
      </c>
      <c r="BO21" s="11" t="e">
        <f t="shared" si="28"/>
        <v>#REF!</v>
      </c>
      <c r="BP21" s="11" t="e">
        <f t="shared" si="29"/>
        <v>#REF!</v>
      </c>
      <c r="BQ21" s="11" t="e">
        <f t="shared" si="30"/>
        <v>#REF!</v>
      </c>
      <c r="BR21" s="11" t="e">
        <f t="shared" si="31"/>
        <v>#REF!</v>
      </c>
      <c r="BT21" s="11" t="e">
        <f t="shared" si="32"/>
        <v>#REF!</v>
      </c>
      <c r="BU21" s="11" t="e">
        <f t="shared" si="33"/>
        <v>#REF!</v>
      </c>
      <c r="BV21" s="11" t="e">
        <f t="shared" si="34"/>
        <v>#REF!</v>
      </c>
      <c r="BW21" s="11" t="e">
        <f t="shared" si="35"/>
        <v>#REF!</v>
      </c>
      <c r="BX21" s="11" t="e">
        <f t="shared" si="36"/>
        <v>#REF!</v>
      </c>
      <c r="BZ21" s="11" t="e">
        <f t="shared" si="37"/>
        <v>#REF!</v>
      </c>
      <c r="CA21" s="11" t="e">
        <f t="shared" si="38"/>
        <v>#REF!</v>
      </c>
      <c r="CB21" s="11" t="e">
        <f t="shared" si="39"/>
        <v>#REF!</v>
      </c>
      <c r="CC21" s="11" t="e">
        <f t="shared" si="40"/>
        <v>#REF!</v>
      </c>
      <c r="CD21" s="11" t="e">
        <f t="shared" si="41"/>
        <v>#REF!</v>
      </c>
      <c r="CF21" s="11" t="e">
        <f t="shared" si="42"/>
        <v>#REF!</v>
      </c>
      <c r="CG21" s="11" t="e">
        <f t="shared" si="43"/>
        <v>#REF!</v>
      </c>
      <c r="CH21" s="11" t="e">
        <f t="shared" si="44"/>
        <v>#REF!</v>
      </c>
      <c r="CI21" s="11" t="e">
        <f t="shared" si="45"/>
        <v>#REF!</v>
      </c>
      <c r="CJ21" s="11" t="e">
        <f t="shared" si="46"/>
        <v>#REF!</v>
      </c>
      <c r="CM21" s="209">
        <f t="shared" si="47"/>
        <v>7.5908667579144898E-2</v>
      </c>
      <c r="CN21" s="209" t="e">
        <f t="shared" si="48"/>
        <v>#REF!</v>
      </c>
      <c r="CO21" s="209" t="e">
        <f t="shared" si="49"/>
        <v>#REF!</v>
      </c>
      <c r="CP21" s="209" t="e">
        <f t="shared" si="50"/>
        <v>#REF!</v>
      </c>
      <c r="CQ21" s="209" t="e">
        <f t="shared" si="51"/>
        <v>#REF!</v>
      </c>
    </row>
    <row r="22" spans="1:95" x14ac:dyDescent="0.25">
      <c r="A22" s="15" t="s">
        <v>34</v>
      </c>
      <c r="B22" s="16" t="s">
        <v>35</v>
      </c>
      <c r="C22" s="17" t="s">
        <v>56</v>
      </c>
      <c r="D22" s="17" t="s">
        <v>57</v>
      </c>
      <c r="E22" s="18">
        <f>SUMIFS('ICB Core Baseline 2024-25'!Q:Q,'ICB Core Baseline 2024-25'!C:C,C22)</f>
        <v>2085926.6315805949</v>
      </c>
      <c r="F22" s="44" t="e">
        <f>SUMIFS(#REF!,#REF!,C22)</f>
        <v>#REF!</v>
      </c>
      <c r="H22" s="44" t="e">
        <f>SUMIFS(#REF!,#REF!,C22)</f>
        <v>#REF!</v>
      </c>
      <c r="I22" s="44" t="e">
        <f t="shared" si="6"/>
        <v>#REF!</v>
      </c>
      <c r="J22" s="44" t="e">
        <f t="shared" si="7"/>
        <v>#REF!</v>
      </c>
      <c r="K22" s="18" t="e">
        <f t="shared" si="0"/>
        <v>#REF!</v>
      </c>
      <c r="L22" s="18" t="e">
        <f t="shared" si="1"/>
        <v>#REF!</v>
      </c>
      <c r="M22" s="44" t="e">
        <f>SUMIFS(#REF!,#REF!,C22)</f>
        <v>#REF!</v>
      </c>
      <c r="N22" s="18" t="e">
        <f t="shared" si="2"/>
        <v>#REF!</v>
      </c>
      <c r="O22" s="44" t="e">
        <f t="shared" si="8"/>
        <v>#REF!</v>
      </c>
      <c r="P22" s="18" t="e">
        <f t="shared" si="3"/>
        <v>#REF!</v>
      </c>
      <c r="Q22" s="18" t="e">
        <f t="shared" si="9"/>
        <v>#REF!</v>
      </c>
      <c r="R22" s="18" t="e">
        <f t="shared" si="4"/>
        <v>#REF!</v>
      </c>
      <c r="S22" s="18" t="e">
        <f>(SUMIFS(#REF!,#REF!,C22)/SUMIFS(#REF!,#REF!,C22))*1000</f>
        <v>#REF!</v>
      </c>
      <c r="T22" s="18" t="e">
        <f t="shared" si="10"/>
        <v>#REF!</v>
      </c>
      <c r="U22" s="18"/>
      <c r="V22" s="18" t="e">
        <f t="shared" si="11"/>
        <v>#REF!</v>
      </c>
      <c r="W22" s="18" t="e">
        <f t="shared" si="12"/>
        <v>#REF!</v>
      </c>
      <c r="X22" s="44" t="e">
        <f t="shared" si="13"/>
        <v>#REF!</v>
      </c>
      <c r="Y22" s="44" t="e">
        <f ca="1">OFFSET(#REF!,MATCH(C22,#REF!,0)+1,0)</f>
        <v>#REF!</v>
      </c>
      <c r="Z22" s="44" t="e">
        <f t="shared" ca="1" si="14"/>
        <v>#REF!</v>
      </c>
      <c r="AA22" s="44" t="e">
        <f t="shared" si="5"/>
        <v>#REF!</v>
      </c>
      <c r="AB22" s="18" t="e">
        <f>SUMIFS(#REF!,#REF!,C22)/(1+1.8%)*(1+1.8%+2.3%)</f>
        <v>#REF!</v>
      </c>
      <c r="AC22" s="18" t="e">
        <f t="shared" si="15"/>
        <v>#REF!</v>
      </c>
      <c r="AD22" s="65"/>
      <c r="AE22" s="18" t="e">
        <f>(SUMIFS(#REF!,#REF!,C22)/(1+1.8%))*(1+1.8%+2.3%)</f>
        <v>#REF!</v>
      </c>
      <c r="AF22" s="18" t="e">
        <f>-SUMIFS(#REF!,#REF!,C22)/1000</f>
        <v>#REF!</v>
      </c>
      <c r="AG22" s="18" t="e">
        <f>SUMIFS(#REF!,#REF!,C22)</f>
        <v>#REF!</v>
      </c>
      <c r="AH22" s="18" t="e">
        <f>SUMIFS(#REF!,#REF!,C22)</f>
        <v>#REF!</v>
      </c>
      <c r="AI22" s="18" t="e">
        <f>SUMIFS(#REF!,#REF!,C22)</f>
        <v>#REF!</v>
      </c>
      <c r="AJ22" s="18" t="e">
        <f>SUMIFS(#REF!,#REF!,C22)</f>
        <v>#REF!</v>
      </c>
      <c r="AK22" s="18"/>
      <c r="AL22" s="18" t="e">
        <f t="shared" si="16"/>
        <v>#REF!</v>
      </c>
      <c r="AN22" s="18" t="e">
        <f t="shared" si="17"/>
        <v>#REF!</v>
      </c>
      <c r="AO22" s="18" t="e">
        <f t="shared" si="18"/>
        <v>#REF!</v>
      </c>
      <c r="AQ22" s="18" t="e">
        <f t="shared" si="19"/>
        <v>#REF!</v>
      </c>
      <c r="AS22" s="44" t="e">
        <f t="shared" si="20"/>
        <v>#REF!</v>
      </c>
      <c r="AT22" s="18" t="e">
        <f t="shared" si="21"/>
        <v>#REF!</v>
      </c>
      <c r="AV22" s="18" t="e">
        <f>'Share of £1bn'!$F$20*1000*$AO22/$AO$57</f>
        <v>#REF!</v>
      </c>
      <c r="AW22" s="18" t="e">
        <f>'Share of £1bn'!$F$27*1000*$AO22/$AO$57</f>
        <v>#REF!</v>
      </c>
      <c r="AX22" s="18" t="e">
        <f>'Share of £1bn'!$F$21*1000*$AO22/$AO$57</f>
        <v>#REF!</v>
      </c>
      <c r="AZ22" s="18" t="e">
        <f>'Share of £1bn'!$F$43*1000*AO22/$AO$57</f>
        <v>#REF!</v>
      </c>
      <c r="BA22" s="18" t="e">
        <f>'Share of £1bn'!$F$50*1000*$AO22/$AO$57</f>
        <v>#REF!</v>
      </c>
      <c r="BB22" s="18" t="e">
        <f>'Share of £1bn'!$F$44*1000*AO22/$AO$57</f>
        <v>#REF!</v>
      </c>
      <c r="BD22" s="18" t="e">
        <f>'Share of £1bn'!$F$67*1000*AO22/$AO$57</f>
        <v>#REF!</v>
      </c>
      <c r="BF22" s="11">
        <f>SUMIFS('20-11 M6 deficits'!$BO:$BO,'20-11 M6 deficits'!$C:$C,$C22)*1000</f>
        <v>-90000</v>
      </c>
      <c r="BH22" s="18" t="e">
        <f t="shared" si="22"/>
        <v>#REF!</v>
      </c>
      <c r="BI22" s="18" t="e">
        <f t="shared" si="23"/>
        <v>#REF!</v>
      </c>
      <c r="BJ22" s="18" t="e">
        <f t="shared" si="24"/>
        <v>#REF!</v>
      </c>
      <c r="BK22" s="18" t="e">
        <f t="shared" si="25"/>
        <v>#REF!</v>
      </c>
      <c r="BL22" s="18" t="e">
        <f t="shared" si="26"/>
        <v>#REF!</v>
      </c>
      <c r="BN22" s="18" t="e">
        <f t="shared" si="27"/>
        <v>#REF!</v>
      </c>
      <c r="BO22" s="18" t="e">
        <f t="shared" si="28"/>
        <v>#REF!</v>
      </c>
      <c r="BP22" s="18" t="e">
        <f t="shared" si="29"/>
        <v>#REF!</v>
      </c>
      <c r="BQ22" s="18" t="e">
        <f t="shared" si="30"/>
        <v>#REF!</v>
      </c>
      <c r="BR22" s="18" t="e">
        <f t="shared" si="31"/>
        <v>#REF!</v>
      </c>
      <c r="BT22" s="18" t="e">
        <f t="shared" si="32"/>
        <v>#REF!</v>
      </c>
      <c r="BU22" s="18" t="e">
        <f t="shared" si="33"/>
        <v>#REF!</v>
      </c>
      <c r="BV22" s="18" t="e">
        <f t="shared" si="34"/>
        <v>#REF!</v>
      </c>
      <c r="BW22" s="18" t="e">
        <f t="shared" si="35"/>
        <v>#REF!</v>
      </c>
      <c r="BX22" s="18" t="e">
        <f t="shared" si="36"/>
        <v>#REF!</v>
      </c>
      <c r="BZ22" s="18" t="e">
        <f t="shared" si="37"/>
        <v>#REF!</v>
      </c>
      <c r="CA22" s="18" t="e">
        <f t="shared" si="38"/>
        <v>#REF!</v>
      </c>
      <c r="CB22" s="18" t="e">
        <f t="shared" si="39"/>
        <v>#REF!</v>
      </c>
      <c r="CC22" s="18" t="e">
        <f t="shared" si="40"/>
        <v>#REF!</v>
      </c>
      <c r="CD22" s="18" t="e">
        <f t="shared" si="41"/>
        <v>#REF!</v>
      </c>
      <c r="CF22" s="18" t="e">
        <f t="shared" si="42"/>
        <v>#REF!</v>
      </c>
      <c r="CG22" s="18" t="e">
        <f t="shared" si="43"/>
        <v>#REF!</v>
      </c>
      <c r="CH22" s="18" t="e">
        <f t="shared" si="44"/>
        <v>#REF!</v>
      </c>
      <c r="CI22" s="18" t="e">
        <f t="shared" si="45"/>
        <v>#REF!</v>
      </c>
      <c r="CJ22" s="18" t="e">
        <f t="shared" si="46"/>
        <v>#REF!</v>
      </c>
      <c r="CM22" s="209">
        <f t="shared" si="47"/>
        <v>5.6931500684358677E-2</v>
      </c>
      <c r="CN22" s="209" t="e">
        <f t="shared" si="48"/>
        <v>#REF!</v>
      </c>
      <c r="CO22" s="209" t="e">
        <f t="shared" si="49"/>
        <v>#REF!</v>
      </c>
      <c r="CP22" s="209" t="e">
        <f t="shared" si="50"/>
        <v>#REF!</v>
      </c>
      <c r="CQ22" s="209" t="e">
        <f t="shared" si="51"/>
        <v>#REF!</v>
      </c>
    </row>
    <row r="23" spans="1:95" x14ac:dyDescent="0.25">
      <c r="A23" s="10" t="s">
        <v>58</v>
      </c>
      <c r="B23" s="4" t="s">
        <v>59</v>
      </c>
      <c r="C23" s="4" t="s">
        <v>60</v>
      </c>
      <c r="D23" s="4" t="s">
        <v>61</v>
      </c>
      <c r="E23" s="11">
        <f>SUMIFS('ICB Core Baseline 2024-25'!Q:Q,'ICB Core Baseline 2024-25'!C:C,C23)</f>
        <v>1642311.0679959552</v>
      </c>
      <c r="F23" s="43" t="e">
        <f>SUMIFS(#REF!,#REF!,C23)</f>
        <v>#REF!</v>
      </c>
      <c r="H23" s="43" t="e">
        <f>SUMIFS(#REF!,#REF!,C23)</f>
        <v>#REF!</v>
      </c>
      <c r="I23" s="43" t="e">
        <f t="shared" si="6"/>
        <v>#REF!</v>
      </c>
      <c r="J23" s="43" t="e">
        <f t="shared" si="7"/>
        <v>#REF!</v>
      </c>
      <c r="K23" s="11" t="e">
        <f t="shared" si="0"/>
        <v>#REF!</v>
      </c>
      <c r="L23" s="11" t="e">
        <f t="shared" si="1"/>
        <v>#REF!</v>
      </c>
      <c r="M23" s="43" t="e">
        <f>SUMIFS(#REF!,#REF!,C23)</f>
        <v>#REF!</v>
      </c>
      <c r="N23" s="11" t="e">
        <f t="shared" si="2"/>
        <v>#REF!</v>
      </c>
      <c r="O23" s="43" t="e">
        <f t="shared" si="8"/>
        <v>#REF!</v>
      </c>
      <c r="P23" s="11" t="e">
        <f t="shared" si="3"/>
        <v>#REF!</v>
      </c>
      <c r="Q23" s="11" t="e">
        <f t="shared" si="9"/>
        <v>#REF!</v>
      </c>
      <c r="R23" s="11" t="e">
        <f t="shared" si="4"/>
        <v>#REF!</v>
      </c>
      <c r="S23" s="11" t="e">
        <f>(SUMIFS(#REF!,#REF!,C23)/SUMIFS(#REF!,#REF!,C23))*1000</f>
        <v>#REF!</v>
      </c>
      <c r="T23" s="11" t="e">
        <f t="shared" si="10"/>
        <v>#REF!</v>
      </c>
      <c r="U23" s="11"/>
      <c r="V23" s="11" t="e">
        <f t="shared" si="11"/>
        <v>#REF!</v>
      </c>
      <c r="W23" s="11" t="e">
        <f t="shared" si="12"/>
        <v>#REF!</v>
      </c>
      <c r="X23" s="43" t="e">
        <f t="shared" si="13"/>
        <v>#REF!</v>
      </c>
      <c r="Y23" s="43" t="e">
        <f ca="1">OFFSET(#REF!,MATCH(C23,#REF!,0)+1,0)</f>
        <v>#REF!</v>
      </c>
      <c r="Z23" s="43" t="e">
        <f t="shared" ca="1" si="14"/>
        <v>#REF!</v>
      </c>
      <c r="AA23" s="43" t="e">
        <f t="shared" si="5"/>
        <v>#REF!</v>
      </c>
      <c r="AB23" s="11" t="e">
        <f>SUMIFS(#REF!,#REF!,C23)/(1+1.8%)*(1+1.8%+2.3%)</f>
        <v>#REF!</v>
      </c>
      <c r="AC23" s="11" t="e">
        <f t="shared" si="15"/>
        <v>#REF!</v>
      </c>
      <c r="AD23" s="64"/>
      <c r="AE23" s="11" t="e">
        <f>(SUMIFS(#REF!,#REF!,C23)/(1+1.8%))*(1+1.8%+2.3%)</f>
        <v>#REF!</v>
      </c>
      <c r="AF23" s="11" t="e">
        <f>-SUMIFS(#REF!,#REF!,C23)/1000</f>
        <v>#REF!</v>
      </c>
      <c r="AG23" s="11" t="e">
        <f>SUMIFS(#REF!,#REF!,C23)</f>
        <v>#REF!</v>
      </c>
      <c r="AH23" s="11" t="e">
        <f>SUMIFS(#REF!,#REF!,C23)</f>
        <v>#REF!</v>
      </c>
      <c r="AI23" s="11" t="e">
        <f>SUMIFS(#REF!,#REF!,C23)</f>
        <v>#REF!</v>
      </c>
      <c r="AJ23" s="11" t="e">
        <f>SUMIFS(#REF!,#REF!,C23)</f>
        <v>#REF!</v>
      </c>
      <c r="AK23" s="11"/>
      <c r="AL23" s="11" t="e">
        <f t="shared" si="16"/>
        <v>#REF!</v>
      </c>
      <c r="AN23" s="11" t="e">
        <f t="shared" si="17"/>
        <v>#REF!</v>
      </c>
      <c r="AO23" s="11" t="e">
        <f t="shared" si="18"/>
        <v>#REF!</v>
      </c>
      <c r="AQ23" s="11" t="e">
        <f t="shared" si="19"/>
        <v>#REF!</v>
      </c>
      <c r="AS23" s="43" t="e">
        <f t="shared" si="20"/>
        <v>#REF!</v>
      </c>
      <c r="AT23" s="11" t="e">
        <f t="shared" si="21"/>
        <v>#REF!</v>
      </c>
      <c r="AV23" s="11" t="e">
        <f>'Share of £1bn'!$F$20*1000*$AO23/$AO$57</f>
        <v>#REF!</v>
      </c>
      <c r="AW23" s="11" t="e">
        <f>'Share of £1bn'!$F$27*1000*$AO23/$AO$57</f>
        <v>#REF!</v>
      </c>
      <c r="AX23" s="11" t="e">
        <f>'Share of £1bn'!$F$21*1000*$AO23/$AO$57</f>
        <v>#REF!</v>
      </c>
      <c r="AZ23" s="11" t="e">
        <f>'Share of £1bn'!$F$43*1000*AO23/$AO$57</f>
        <v>#REF!</v>
      </c>
      <c r="BA23" s="11" t="e">
        <f>'Share of £1bn'!$F$50*1000*$AO23/$AO$57</f>
        <v>#REF!</v>
      </c>
      <c r="BB23" s="11" t="e">
        <f>'Share of £1bn'!$F$44*1000*AO23/$AO$57</f>
        <v>#REF!</v>
      </c>
      <c r="BD23" s="11" t="e">
        <f>'Share of £1bn'!$F$67*1000*AO23/$AO$57</f>
        <v>#REF!</v>
      </c>
      <c r="BF23" s="11">
        <f>SUMIFS('20-11 M6 deficits'!$BO:$BO,'20-11 M6 deficits'!$C:$C,$C23)*1000</f>
        <v>0</v>
      </c>
      <c r="BH23" s="11" t="e">
        <f t="shared" si="22"/>
        <v>#REF!</v>
      </c>
      <c r="BI23" s="11" t="e">
        <f t="shared" si="23"/>
        <v>#REF!</v>
      </c>
      <c r="BJ23" s="11" t="e">
        <f t="shared" si="24"/>
        <v>#REF!</v>
      </c>
      <c r="BK23" s="11" t="e">
        <f t="shared" si="25"/>
        <v>#REF!</v>
      </c>
      <c r="BL23" s="11" t="e">
        <f t="shared" si="26"/>
        <v>#REF!</v>
      </c>
      <c r="BN23" s="11" t="e">
        <f t="shared" si="27"/>
        <v>#REF!</v>
      </c>
      <c r="BO23" s="11" t="e">
        <f t="shared" si="28"/>
        <v>#REF!</v>
      </c>
      <c r="BP23" s="11" t="e">
        <f t="shared" si="29"/>
        <v>#REF!</v>
      </c>
      <c r="BQ23" s="11" t="e">
        <f t="shared" si="30"/>
        <v>#REF!</v>
      </c>
      <c r="BR23" s="11" t="e">
        <f t="shared" si="31"/>
        <v>#REF!</v>
      </c>
      <c r="BT23" s="11" t="e">
        <f t="shared" si="32"/>
        <v>#REF!</v>
      </c>
      <c r="BU23" s="11" t="e">
        <f t="shared" si="33"/>
        <v>#REF!</v>
      </c>
      <c r="BV23" s="11" t="e">
        <f t="shared" si="34"/>
        <v>#REF!</v>
      </c>
      <c r="BW23" s="11" t="e">
        <f t="shared" si="35"/>
        <v>#REF!</v>
      </c>
      <c r="BX23" s="11" t="e">
        <f t="shared" si="36"/>
        <v>#REF!</v>
      </c>
      <c r="BZ23" s="11" t="e">
        <f t="shared" si="37"/>
        <v>#REF!</v>
      </c>
      <c r="CA23" s="11" t="e">
        <f t="shared" si="38"/>
        <v>#REF!</v>
      </c>
      <c r="CB23" s="11" t="e">
        <f t="shared" si="39"/>
        <v>#REF!</v>
      </c>
      <c r="CC23" s="11" t="e">
        <f t="shared" si="40"/>
        <v>#REF!</v>
      </c>
      <c r="CD23" s="11" t="e">
        <f t="shared" si="41"/>
        <v>#REF!</v>
      </c>
      <c r="CF23" s="11" t="e">
        <f t="shared" si="42"/>
        <v>#REF!</v>
      </c>
      <c r="CG23" s="11" t="e">
        <f t="shared" si="43"/>
        <v>#REF!</v>
      </c>
      <c r="CH23" s="11" t="e">
        <f t="shared" si="44"/>
        <v>#REF!</v>
      </c>
      <c r="CI23" s="11" t="e">
        <f t="shared" si="45"/>
        <v>#REF!</v>
      </c>
      <c r="CJ23" s="11" t="e">
        <f t="shared" si="46"/>
        <v>#REF!</v>
      </c>
      <c r="CM23" s="209">
        <f t="shared" si="47"/>
        <v>0</v>
      </c>
      <c r="CN23" s="209" t="e">
        <f t="shared" si="48"/>
        <v>#REF!</v>
      </c>
      <c r="CO23" s="209" t="e">
        <f t="shared" si="49"/>
        <v>#REF!</v>
      </c>
      <c r="CP23" s="209" t="e">
        <f t="shared" si="50"/>
        <v>#REF!</v>
      </c>
      <c r="CQ23" s="209" t="e">
        <f t="shared" si="51"/>
        <v>#REF!</v>
      </c>
    </row>
    <row r="24" spans="1:95" x14ac:dyDescent="0.25">
      <c r="A24" s="13" t="s">
        <v>58</v>
      </c>
      <c r="B24" s="14" t="s">
        <v>59</v>
      </c>
      <c r="C24" s="4" t="s">
        <v>62</v>
      </c>
      <c r="D24" s="4" t="s">
        <v>63</v>
      </c>
      <c r="E24" s="11">
        <f>SUMIFS('ICB Core Baseline 2024-25'!Q:Q,'ICB Core Baseline 2024-25'!C:C,C24)</f>
        <v>1520393.7039299591</v>
      </c>
      <c r="F24" s="43" t="e">
        <f>SUMIFS(#REF!,#REF!,C24)</f>
        <v>#REF!</v>
      </c>
      <c r="H24" s="43" t="e">
        <f>SUMIFS(#REF!,#REF!,C24)</f>
        <v>#REF!</v>
      </c>
      <c r="I24" s="43" t="e">
        <f t="shared" si="6"/>
        <v>#REF!</v>
      </c>
      <c r="J24" s="43" t="e">
        <f t="shared" si="7"/>
        <v>#REF!</v>
      </c>
      <c r="K24" s="11" t="e">
        <f t="shared" si="0"/>
        <v>#REF!</v>
      </c>
      <c r="L24" s="11" t="e">
        <f t="shared" si="1"/>
        <v>#REF!</v>
      </c>
      <c r="M24" s="43" t="e">
        <f>SUMIFS(#REF!,#REF!,C24)</f>
        <v>#REF!</v>
      </c>
      <c r="N24" s="11" t="e">
        <f t="shared" si="2"/>
        <v>#REF!</v>
      </c>
      <c r="O24" s="43" t="e">
        <f t="shared" si="8"/>
        <v>#REF!</v>
      </c>
      <c r="P24" s="11" t="e">
        <f t="shared" si="3"/>
        <v>#REF!</v>
      </c>
      <c r="Q24" s="11" t="e">
        <f t="shared" si="9"/>
        <v>#REF!</v>
      </c>
      <c r="R24" s="11" t="e">
        <f t="shared" si="4"/>
        <v>#REF!</v>
      </c>
      <c r="S24" s="11" t="e">
        <f>(SUMIFS(#REF!,#REF!,C24)/SUMIFS(#REF!,#REF!,C24))*1000</f>
        <v>#REF!</v>
      </c>
      <c r="T24" s="11" t="e">
        <f t="shared" si="10"/>
        <v>#REF!</v>
      </c>
      <c r="U24" s="11"/>
      <c r="V24" s="11" t="e">
        <f t="shared" si="11"/>
        <v>#REF!</v>
      </c>
      <c r="W24" s="11" t="e">
        <f t="shared" si="12"/>
        <v>#REF!</v>
      </c>
      <c r="X24" s="43" t="e">
        <f t="shared" si="13"/>
        <v>#REF!</v>
      </c>
      <c r="Y24" s="43" t="e">
        <f ca="1">OFFSET(#REF!,MATCH(C24,#REF!,0)+1,0)</f>
        <v>#REF!</v>
      </c>
      <c r="Z24" s="43" t="e">
        <f t="shared" ca="1" si="14"/>
        <v>#REF!</v>
      </c>
      <c r="AA24" s="43" t="e">
        <f t="shared" si="5"/>
        <v>#REF!</v>
      </c>
      <c r="AB24" s="11" t="e">
        <f>SUMIFS(#REF!,#REF!,C24)/(1+1.8%)*(1+1.8%+2.3%)</f>
        <v>#REF!</v>
      </c>
      <c r="AC24" s="11" t="e">
        <f t="shared" si="15"/>
        <v>#REF!</v>
      </c>
      <c r="AD24" s="64"/>
      <c r="AE24" s="11" t="e">
        <f>(SUMIFS(#REF!,#REF!,C24)/(1+1.8%))*(1+1.8%+2.3%)</f>
        <v>#REF!</v>
      </c>
      <c r="AF24" s="11" t="e">
        <f>-SUMIFS(#REF!,#REF!,C24)/1000</f>
        <v>#REF!</v>
      </c>
      <c r="AG24" s="11" t="e">
        <f>SUMIFS(#REF!,#REF!,C24)</f>
        <v>#REF!</v>
      </c>
      <c r="AH24" s="11" t="e">
        <f>SUMIFS(#REF!,#REF!,C24)</f>
        <v>#REF!</v>
      </c>
      <c r="AI24" s="11" t="e">
        <f>SUMIFS(#REF!,#REF!,C24)</f>
        <v>#REF!</v>
      </c>
      <c r="AJ24" s="11" t="e">
        <f>SUMIFS(#REF!,#REF!,C24)</f>
        <v>#REF!</v>
      </c>
      <c r="AK24" s="11"/>
      <c r="AL24" s="11" t="e">
        <f t="shared" si="16"/>
        <v>#REF!</v>
      </c>
      <c r="AN24" s="11" t="e">
        <f t="shared" si="17"/>
        <v>#REF!</v>
      </c>
      <c r="AO24" s="11" t="e">
        <f t="shared" si="18"/>
        <v>#REF!</v>
      </c>
      <c r="AQ24" s="11" t="e">
        <f t="shared" si="19"/>
        <v>#REF!</v>
      </c>
      <c r="AS24" s="43" t="e">
        <f t="shared" si="20"/>
        <v>#REF!</v>
      </c>
      <c r="AT24" s="11" t="e">
        <f t="shared" si="21"/>
        <v>#REF!</v>
      </c>
      <c r="AV24" s="11" t="e">
        <f>'Share of £1bn'!$F$20*1000*$AO24/$AO$57</f>
        <v>#REF!</v>
      </c>
      <c r="AW24" s="11" t="e">
        <f>'Share of £1bn'!$F$27*1000*$AO24/$AO$57</f>
        <v>#REF!</v>
      </c>
      <c r="AX24" s="11" t="e">
        <f>'Share of £1bn'!$F$21*1000*$AO24/$AO$57</f>
        <v>#REF!</v>
      </c>
      <c r="AZ24" s="11" t="e">
        <f>'Share of £1bn'!$F$43*1000*AO24/$AO$57</f>
        <v>#REF!</v>
      </c>
      <c r="BA24" s="11" t="e">
        <f>'Share of £1bn'!$F$50*1000*$AO24/$AO$57</f>
        <v>#REF!</v>
      </c>
      <c r="BB24" s="11" t="e">
        <f>'Share of £1bn'!$F$44*1000*AO24/$AO$57</f>
        <v>#REF!</v>
      </c>
      <c r="BD24" s="11" t="e">
        <f>'Share of £1bn'!$F$67*1000*AO24/$AO$57</f>
        <v>#REF!</v>
      </c>
      <c r="BF24" s="11">
        <f>SUMIFS('20-11 M6 deficits'!$BO:$BO,'20-11 M6 deficits'!$C:$C,$C24)*1000</f>
        <v>0</v>
      </c>
      <c r="BH24" s="11" t="e">
        <f t="shared" si="22"/>
        <v>#REF!</v>
      </c>
      <c r="BI24" s="11" t="e">
        <f t="shared" si="23"/>
        <v>#REF!</v>
      </c>
      <c r="BJ24" s="11" t="e">
        <f t="shared" si="24"/>
        <v>#REF!</v>
      </c>
      <c r="BK24" s="11" t="e">
        <f t="shared" si="25"/>
        <v>#REF!</v>
      </c>
      <c r="BL24" s="11" t="e">
        <f t="shared" si="26"/>
        <v>#REF!</v>
      </c>
      <c r="BN24" s="11" t="e">
        <f t="shared" si="27"/>
        <v>#REF!</v>
      </c>
      <c r="BO24" s="11" t="e">
        <f t="shared" si="28"/>
        <v>#REF!</v>
      </c>
      <c r="BP24" s="11" t="e">
        <f t="shared" si="29"/>
        <v>#REF!</v>
      </c>
      <c r="BQ24" s="11" t="e">
        <f t="shared" si="30"/>
        <v>#REF!</v>
      </c>
      <c r="BR24" s="11" t="e">
        <f t="shared" si="31"/>
        <v>#REF!</v>
      </c>
      <c r="BT24" s="11" t="e">
        <f t="shared" si="32"/>
        <v>#REF!</v>
      </c>
      <c r="BU24" s="11" t="e">
        <f t="shared" si="33"/>
        <v>#REF!</v>
      </c>
      <c r="BV24" s="11" t="e">
        <f t="shared" si="34"/>
        <v>#REF!</v>
      </c>
      <c r="BW24" s="11" t="e">
        <f t="shared" si="35"/>
        <v>#REF!</v>
      </c>
      <c r="BX24" s="11" t="e">
        <f t="shared" si="36"/>
        <v>#REF!</v>
      </c>
      <c r="BZ24" s="11" t="e">
        <f t="shared" si="37"/>
        <v>#REF!</v>
      </c>
      <c r="CA24" s="11" t="e">
        <f t="shared" si="38"/>
        <v>#REF!</v>
      </c>
      <c r="CB24" s="11" t="e">
        <f t="shared" si="39"/>
        <v>#REF!</v>
      </c>
      <c r="CC24" s="11" t="e">
        <f t="shared" si="40"/>
        <v>#REF!</v>
      </c>
      <c r="CD24" s="11" t="e">
        <f t="shared" si="41"/>
        <v>#REF!</v>
      </c>
      <c r="CF24" s="11" t="e">
        <f t="shared" si="42"/>
        <v>#REF!</v>
      </c>
      <c r="CG24" s="11" t="e">
        <f t="shared" si="43"/>
        <v>#REF!</v>
      </c>
      <c r="CH24" s="11" t="e">
        <f t="shared" si="44"/>
        <v>#REF!</v>
      </c>
      <c r="CI24" s="11" t="e">
        <f t="shared" si="45"/>
        <v>#REF!</v>
      </c>
      <c r="CJ24" s="11" t="e">
        <f t="shared" si="46"/>
        <v>#REF!</v>
      </c>
      <c r="CM24" s="209">
        <f t="shared" si="47"/>
        <v>0</v>
      </c>
      <c r="CN24" s="209" t="e">
        <f t="shared" si="48"/>
        <v>#REF!</v>
      </c>
      <c r="CO24" s="209" t="e">
        <f t="shared" si="49"/>
        <v>#REF!</v>
      </c>
      <c r="CP24" s="209" t="e">
        <f t="shared" si="50"/>
        <v>#REF!</v>
      </c>
      <c r="CQ24" s="209" t="e">
        <f t="shared" si="51"/>
        <v>#REF!</v>
      </c>
    </row>
    <row r="25" spans="1:95" x14ac:dyDescent="0.25">
      <c r="A25" s="13" t="s">
        <v>58</v>
      </c>
      <c r="B25" s="14" t="s">
        <v>59</v>
      </c>
      <c r="C25" s="4" t="s">
        <v>64</v>
      </c>
      <c r="D25" s="4" t="s">
        <v>65</v>
      </c>
      <c r="E25" s="11">
        <f>SUMIFS('ICB Core Baseline 2024-25'!Q:Q,'ICB Core Baseline 2024-25'!C:C,C25)</f>
        <v>2595751.7014513845</v>
      </c>
      <c r="F25" s="43" t="e">
        <f>SUMIFS(#REF!,#REF!,C25)</f>
        <v>#REF!</v>
      </c>
      <c r="H25" s="43" t="e">
        <f>SUMIFS(#REF!,#REF!,C25)</f>
        <v>#REF!</v>
      </c>
      <c r="I25" s="43" t="e">
        <f t="shared" si="6"/>
        <v>#REF!</v>
      </c>
      <c r="J25" s="43" t="e">
        <f t="shared" si="7"/>
        <v>#REF!</v>
      </c>
      <c r="K25" s="11" t="e">
        <f t="shared" si="0"/>
        <v>#REF!</v>
      </c>
      <c r="L25" s="11" t="e">
        <f t="shared" si="1"/>
        <v>#REF!</v>
      </c>
      <c r="M25" s="43" t="e">
        <f>SUMIFS(#REF!,#REF!,C25)</f>
        <v>#REF!</v>
      </c>
      <c r="N25" s="11" t="e">
        <f t="shared" si="2"/>
        <v>#REF!</v>
      </c>
      <c r="O25" s="43" t="e">
        <f t="shared" si="8"/>
        <v>#REF!</v>
      </c>
      <c r="P25" s="11" t="e">
        <f t="shared" si="3"/>
        <v>#REF!</v>
      </c>
      <c r="Q25" s="11" t="e">
        <f t="shared" si="9"/>
        <v>#REF!</v>
      </c>
      <c r="R25" s="11" t="e">
        <f t="shared" si="4"/>
        <v>#REF!</v>
      </c>
      <c r="S25" s="11" t="e">
        <f>(SUMIFS(#REF!,#REF!,C25)/SUMIFS(#REF!,#REF!,C25))*1000</f>
        <v>#REF!</v>
      </c>
      <c r="T25" s="11" t="e">
        <f t="shared" si="10"/>
        <v>#REF!</v>
      </c>
      <c r="U25" s="11"/>
      <c r="V25" s="11" t="e">
        <f t="shared" si="11"/>
        <v>#REF!</v>
      </c>
      <c r="W25" s="11" t="e">
        <f t="shared" si="12"/>
        <v>#REF!</v>
      </c>
      <c r="X25" s="43" t="e">
        <f t="shared" si="13"/>
        <v>#REF!</v>
      </c>
      <c r="Y25" s="43" t="e">
        <f ca="1">OFFSET(#REF!,MATCH(C25,#REF!,0)+1,0)</f>
        <v>#REF!</v>
      </c>
      <c r="Z25" s="43" t="e">
        <f t="shared" ca="1" si="14"/>
        <v>#REF!</v>
      </c>
      <c r="AA25" s="43" t="e">
        <f t="shared" si="5"/>
        <v>#REF!</v>
      </c>
      <c r="AB25" s="11" t="e">
        <f>SUMIFS(#REF!,#REF!,C25)/(1+1.8%)*(1+1.8%+2.3%)</f>
        <v>#REF!</v>
      </c>
      <c r="AC25" s="11" t="e">
        <f t="shared" si="15"/>
        <v>#REF!</v>
      </c>
      <c r="AD25" s="64"/>
      <c r="AE25" s="11" t="e">
        <f>(SUMIFS(#REF!,#REF!,C25)/(1+1.8%))*(1+1.8%+2.3%)</f>
        <v>#REF!</v>
      </c>
      <c r="AF25" s="11" t="e">
        <f>-SUMIFS(#REF!,#REF!,C25)/1000</f>
        <v>#REF!</v>
      </c>
      <c r="AG25" s="11" t="e">
        <f>SUMIFS(#REF!,#REF!,C25)</f>
        <v>#REF!</v>
      </c>
      <c r="AH25" s="11" t="e">
        <f>SUMIFS(#REF!,#REF!,C25)</f>
        <v>#REF!</v>
      </c>
      <c r="AI25" s="11" t="e">
        <f>SUMIFS(#REF!,#REF!,C25)</f>
        <v>#REF!</v>
      </c>
      <c r="AJ25" s="11" t="e">
        <f>SUMIFS(#REF!,#REF!,C25)</f>
        <v>#REF!</v>
      </c>
      <c r="AK25" s="11"/>
      <c r="AL25" s="11" t="e">
        <f t="shared" si="16"/>
        <v>#REF!</v>
      </c>
      <c r="AN25" s="11" t="e">
        <f t="shared" si="17"/>
        <v>#REF!</v>
      </c>
      <c r="AO25" s="11" t="e">
        <f t="shared" si="18"/>
        <v>#REF!</v>
      </c>
      <c r="AQ25" s="11" t="e">
        <f t="shared" si="19"/>
        <v>#REF!</v>
      </c>
      <c r="AS25" s="43" t="e">
        <f t="shared" si="20"/>
        <v>#REF!</v>
      </c>
      <c r="AT25" s="11" t="e">
        <f t="shared" si="21"/>
        <v>#REF!</v>
      </c>
      <c r="AV25" s="11" t="e">
        <f>'Share of £1bn'!$F$20*1000*$AO25/$AO$57</f>
        <v>#REF!</v>
      </c>
      <c r="AW25" s="11" t="e">
        <f>'Share of £1bn'!$F$27*1000*$AO25/$AO$57</f>
        <v>#REF!</v>
      </c>
      <c r="AX25" s="11" t="e">
        <f>'Share of £1bn'!$F$21*1000*$AO25/$AO$57</f>
        <v>#REF!</v>
      </c>
      <c r="AZ25" s="11" t="e">
        <f>'Share of £1bn'!$F$43*1000*AO25/$AO$57</f>
        <v>#REF!</v>
      </c>
      <c r="BA25" s="11" t="e">
        <f>'Share of £1bn'!$F$50*1000*$AO25/$AO$57</f>
        <v>#REF!</v>
      </c>
      <c r="BB25" s="11" t="e">
        <f>'Share of £1bn'!$F$44*1000*AO25/$AO$57</f>
        <v>#REF!</v>
      </c>
      <c r="BD25" s="11" t="e">
        <f>'Share of £1bn'!$F$67*1000*AO25/$AO$57</f>
        <v>#REF!</v>
      </c>
      <c r="BF25" s="11">
        <f>SUMIFS('20-11 M6 deficits'!$BO:$BO,'20-11 M6 deficits'!$C:$C,$C25)*1000</f>
        <v>0</v>
      </c>
      <c r="BH25" s="11" t="e">
        <f t="shared" si="22"/>
        <v>#REF!</v>
      </c>
      <c r="BI25" s="11" t="e">
        <f t="shared" si="23"/>
        <v>#REF!</v>
      </c>
      <c r="BJ25" s="11" t="e">
        <f t="shared" si="24"/>
        <v>#REF!</v>
      </c>
      <c r="BK25" s="11" t="e">
        <f t="shared" si="25"/>
        <v>#REF!</v>
      </c>
      <c r="BL25" s="11" t="e">
        <f t="shared" si="26"/>
        <v>#REF!</v>
      </c>
      <c r="BN25" s="11" t="e">
        <f t="shared" si="27"/>
        <v>#REF!</v>
      </c>
      <c r="BO25" s="11" t="e">
        <f t="shared" si="28"/>
        <v>#REF!</v>
      </c>
      <c r="BP25" s="11" t="e">
        <f t="shared" si="29"/>
        <v>#REF!</v>
      </c>
      <c r="BQ25" s="11" t="e">
        <f t="shared" si="30"/>
        <v>#REF!</v>
      </c>
      <c r="BR25" s="11" t="e">
        <f t="shared" si="31"/>
        <v>#REF!</v>
      </c>
      <c r="BT25" s="11" t="e">
        <f t="shared" si="32"/>
        <v>#REF!</v>
      </c>
      <c r="BU25" s="11" t="e">
        <f t="shared" si="33"/>
        <v>#REF!</v>
      </c>
      <c r="BV25" s="11" t="e">
        <f t="shared" si="34"/>
        <v>#REF!</v>
      </c>
      <c r="BW25" s="11" t="e">
        <f t="shared" si="35"/>
        <v>#REF!</v>
      </c>
      <c r="BX25" s="11" t="e">
        <f t="shared" si="36"/>
        <v>#REF!</v>
      </c>
      <c r="BZ25" s="11" t="e">
        <f t="shared" si="37"/>
        <v>#REF!</v>
      </c>
      <c r="CA25" s="11" t="e">
        <f t="shared" si="38"/>
        <v>#REF!</v>
      </c>
      <c r="CB25" s="11" t="e">
        <f t="shared" si="39"/>
        <v>#REF!</v>
      </c>
      <c r="CC25" s="11" t="e">
        <f t="shared" si="40"/>
        <v>#REF!</v>
      </c>
      <c r="CD25" s="11" t="e">
        <f t="shared" si="41"/>
        <v>#REF!</v>
      </c>
      <c r="CF25" s="11" t="e">
        <f t="shared" si="42"/>
        <v>#REF!</v>
      </c>
      <c r="CG25" s="11" t="e">
        <f t="shared" si="43"/>
        <v>#REF!</v>
      </c>
      <c r="CH25" s="11" t="e">
        <f t="shared" si="44"/>
        <v>#REF!</v>
      </c>
      <c r="CI25" s="11" t="e">
        <f t="shared" si="45"/>
        <v>#REF!</v>
      </c>
      <c r="CJ25" s="11" t="e">
        <f t="shared" si="46"/>
        <v>#REF!</v>
      </c>
      <c r="CM25" s="209">
        <f t="shared" si="47"/>
        <v>0</v>
      </c>
      <c r="CN25" s="209" t="e">
        <f t="shared" si="48"/>
        <v>#REF!</v>
      </c>
      <c r="CO25" s="209" t="e">
        <f t="shared" si="49"/>
        <v>#REF!</v>
      </c>
      <c r="CP25" s="209" t="e">
        <f t="shared" si="50"/>
        <v>#REF!</v>
      </c>
      <c r="CQ25" s="209" t="e">
        <f t="shared" si="51"/>
        <v>#REF!</v>
      </c>
    </row>
    <row r="26" spans="1:95" x14ac:dyDescent="0.25">
      <c r="A26" s="13" t="s">
        <v>58</v>
      </c>
      <c r="B26" s="14" t="s">
        <v>59</v>
      </c>
      <c r="C26" s="4" t="s">
        <v>66</v>
      </c>
      <c r="D26" s="4" t="s">
        <v>67</v>
      </c>
      <c r="E26" s="11">
        <f>SUMIFS('ICB Core Baseline 2024-25'!Q:Q,'ICB Core Baseline 2024-25'!C:C,C26)</f>
        <v>2107372.3351789187</v>
      </c>
      <c r="F26" s="43" t="e">
        <f>SUMIFS(#REF!,#REF!,C26)</f>
        <v>#REF!</v>
      </c>
      <c r="H26" s="43" t="e">
        <f>SUMIFS(#REF!,#REF!,C26)</f>
        <v>#REF!</v>
      </c>
      <c r="I26" s="43" t="e">
        <f t="shared" si="6"/>
        <v>#REF!</v>
      </c>
      <c r="J26" s="43" t="e">
        <f t="shared" si="7"/>
        <v>#REF!</v>
      </c>
      <c r="K26" s="11" t="e">
        <f t="shared" si="0"/>
        <v>#REF!</v>
      </c>
      <c r="L26" s="11" t="e">
        <f t="shared" si="1"/>
        <v>#REF!</v>
      </c>
      <c r="M26" s="43" t="e">
        <f>SUMIFS(#REF!,#REF!,C26)</f>
        <v>#REF!</v>
      </c>
      <c r="N26" s="11" t="e">
        <f t="shared" si="2"/>
        <v>#REF!</v>
      </c>
      <c r="O26" s="43" t="e">
        <f t="shared" si="8"/>
        <v>#REF!</v>
      </c>
      <c r="P26" s="11" t="e">
        <f t="shared" si="3"/>
        <v>#REF!</v>
      </c>
      <c r="Q26" s="11" t="e">
        <f t="shared" si="9"/>
        <v>#REF!</v>
      </c>
      <c r="R26" s="11" t="e">
        <f t="shared" si="4"/>
        <v>#REF!</v>
      </c>
      <c r="S26" s="11" t="e">
        <f>(SUMIFS(#REF!,#REF!,C26)/SUMIFS(#REF!,#REF!,C26))*1000</f>
        <v>#REF!</v>
      </c>
      <c r="T26" s="11" t="e">
        <f t="shared" si="10"/>
        <v>#REF!</v>
      </c>
      <c r="U26" s="11"/>
      <c r="V26" s="11" t="e">
        <f t="shared" si="11"/>
        <v>#REF!</v>
      </c>
      <c r="W26" s="11" t="e">
        <f t="shared" si="12"/>
        <v>#REF!</v>
      </c>
      <c r="X26" s="43" t="e">
        <f t="shared" si="13"/>
        <v>#REF!</v>
      </c>
      <c r="Y26" s="43" t="e">
        <f ca="1">OFFSET(#REF!,MATCH(C26,#REF!,0)+1,0)</f>
        <v>#REF!</v>
      </c>
      <c r="Z26" s="43" t="e">
        <f t="shared" ca="1" si="14"/>
        <v>#REF!</v>
      </c>
      <c r="AA26" s="43" t="e">
        <f t="shared" si="5"/>
        <v>#REF!</v>
      </c>
      <c r="AB26" s="11" t="e">
        <f>SUMIFS(#REF!,#REF!,C26)/(1+1.8%)*(1+1.8%+2.3%)</f>
        <v>#REF!</v>
      </c>
      <c r="AC26" s="11" t="e">
        <f t="shared" si="15"/>
        <v>#REF!</v>
      </c>
      <c r="AD26" s="64"/>
      <c r="AE26" s="11" t="e">
        <f>(SUMIFS(#REF!,#REF!,C26)/(1+1.8%))*(1+1.8%+2.3%)</f>
        <v>#REF!</v>
      </c>
      <c r="AF26" s="11" t="e">
        <f>-SUMIFS(#REF!,#REF!,C26)/1000</f>
        <v>#REF!</v>
      </c>
      <c r="AG26" s="11" t="e">
        <f>SUMIFS(#REF!,#REF!,C26)</f>
        <v>#REF!</v>
      </c>
      <c r="AH26" s="11" t="e">
        <f>SUMIFS(#REF!,#REF!,C26)</f>
        <v>#REF!</v>
      </c>
      <c r="AI26" s="11" t="e">
        <f>SUMIFS(#REF!,#REF!,C26)</f>
        <v>#REF!</v>
      </c>
      <c r="AJ26" s="11" t="e">
        <f>SUMIFS(#REF!,#REF!,C26)</f>
        <v>#REF!</v>
      </c>
      <c r="AK26" s="11"/>
      <c r="AL26" s="11" t="e">
        <f t="shared" si="16"/>
        <v>#REF!</v>
      </c>
      <c r="AN26" s="11" t="e">
        <f t="shared" si="17"/>
        <v>#REF!</v>
      </c>
      <c r="AO26" s="11" t="e">
        <f t="shared" si="18"/>
        <v>#REF!</v>
      </c>
      <c r="AQ26" s="11" t="e">
        <f t="shared" si="19"/>
        <v>#REF!</v>
      </c>
      <c r="AS26" s="43" t="e">
        <f t="shared" si="20"/>
        <v>#REF!</v>
      </c>
      <c r="AT26" s="11" t="e">
        <f t="shared" si="21"/>
        <v>#REF!</v>
      </c>
      <c r="AV26" s="11" t="e">
        <f>'Share of £1bn'!$F$20*1000*$AO26/$AO$57</f>
        <v>#REF!</v>
      </c>
      <c r="AW26" s="11" t="e">
        <f>'Share of £1bn'!$F$27*1000*$AO26/$AO$57</f>
        <v>#REF!</v>
      </c>
      <c r="AX26" s="11" t="e">
        <f>'Share of £1bn'!$F$21*1000*$AO26/$AO$57</f>
        <v>#REF!</v>
      </c>
      <c r="AZ26" s="11" t="e">
        <f>'Share of £1bn'!$F$43*1000*AO26/$AO$57</f>
        <v>#REF!</v>
      </c>
      <c r="BA26" s="11" t="e">
        <f>'Share of £1bn'!$F$50*1000*$AO26/$AO$57</f>
        <v>#REF!</v>
      </c>
      <c r="BB26" s="11" t="e">
        <f>'Share of £1bn'!$F$44*1000*AO26/$AO$57</f>
        <v>#REF!</v>
      </c>
      <c r="BD26" s="11" t="e">
        <f>'Share of £1bn'!$F$67*1000*AO26/$AO$57</f>
        <v>#REF!</v>
      </c>
      <c r="BF26" s="11">
        <f>SUMIFS('20-11 M6 deficits'!$BO:$BO,'20-11 M6 deficits'!$C:$C,$C26)*1000</f>
        <v>-40310.300445076602</v>
      </c>
      <c r="BH26" s="11" t="e">
        <f t="shared" si="22"/>
        <v>#REF!</v>
      </c>
      <c r="BI26" s="11" t="e">
        <f t="shared" si="23"/>
        <v>#REF!</v>
      </c>
      <c r="BJ26" s="11" t="e">
        <f t="shared" si="24"/>
        <v>#REF!</v>
      </c>
      <c r="BK26" s="11" t="e">
        <f t="shared" si="25"/>
        <v>#REF!</v>
      </c>
      <c r="BL26" s="11" t="e">
        <f t="shared" si="26"/>
        <v>#REF!</v>
      </c>
      <c r="BN26" s="11" t="e">
        <f t="shared" si="27"/>
        <v>#REF!</v>
      </c>
      <c r="BO26" s="11" t="e">
        <f t="shared" si="28"/>
        <v>#REF!</v>
      </c>
      <c r="BP26" s="11" t="e">
        <f t="shared" si="29"/>
        <v>#REF!</v>
      </c>
      <c r="BQ26" s="11" t="e">
        <f t="shared" si="30"/>
        <v>#REF!</v>
      </c>
      <c r="BR26" s="11" t="e">
        <f t="shared" si="31"/>
        <v>#REF!</v>
      </c>
      <c r="BT26" s="11" t="e">
        <f t="shared" si="32"/>
        <v>#REF!</v>
      </c>
      <c r="BU26" s="11" t="e">
        <f t="shared" si="33"/>
        <v>#REF!</v>
      </c>
      <c r="BV26" s="11" t="e">
        <f t="shared" si="34"/>
        <v>#REF!</v>
      </c>
      <c r="BW26" s="11" t="e">
        <f t="shared" si="35"/>
        <v>#REF!</v>
      </c>
      <c r="BX26" s="11" t="e">
        <f t="shared" si="36"/>
        <v>#REF!</v>
      </c>
      <c r="BZ26" s="11" t="e">
        <f t="shared" si="37"/>
        <v>#REF!</v>
      </c>
      <c r="CA26" s="11" t="e">
        <f t="shared" si="38"/>
        <v>#REF!</v>
      </c>
      <c r="CB26" s="11" t="e">
        <f t="shared" si="39"/>
        <v>#REF!</v>
      </c>
      <c r="CC26" s="11" t="e">
        <f t="shared" si="40"/>
        <v>#REF!</v>
      </c>
      <c r="CD26" s="11" t="e">
        <f t="shared" si="41"/>
        <v>#REF!</v>
      </c>
      <c r="CF26" s="11" t="e">
        <f t="shared" si="42"/>
        <v>#REF!</v>
      </c>
      <c r="CG26" s="11" t="e">
        <f t="shared" si="43"/>
        <v>#REF!</v>
      </c>
      <c r="CH26" s="11" t="e">
        <f t="shared" si="44"/>
        <v>#REF!</v>
      </c>
      <c r="CI26" s="11" t="e">
        <f t="shared" si="45"/>
        <v>#REF!</v>
      </c>
      <c r="CJ26" s="11" t="e">
        <f t="shared" si="46"/>
        <v>#REF!</v>
      </c>
      <c r="CM26" s="209">
        <f t="shared" si="47"/>
        <v>2.549917663750647E-2</v>
      </c>
      <c r="CN26" s="209" t="e">
        <f t="shared" si="48"/>
        <v>#REF!</v>
      </c>
      <c r="CO26" s="209" t="e">
        <f t="shared" si="49"/>
        <v>#REF!</v>
      </c>
      <c r="CP26" s="209" t="e">
        <f t="shared" si="50"/>
        <v>#REF!</v>
      </c>
      <c r="CQ26" s="209" t="e">
        <f t="shared" si="51"/>
        <v>#REF!</v>
      </c>
    </row>
    <row r="27" spans="1:95" x14ac:dyDescent="0.25">
      <c r="A27" s="13" t="s">
        <v>58</v>
      </c>
      <c r="B27" s="14" t="s">
        <v>59</v>
      </c>
      <c r="C27" s="4" t="s">
        <v>68</v>
      </c>
      <c r="D27" s="4" t="s">
        <v>69</v>
      </c>
      <c r="E27" s="11">
        <f>SUMIFS('ICB Core Baseline 2024-25'!Q:Q,'ICB Core Baseline 2024-25'!C:C,C27)</f>
        <v>1928859.6706777667</v>
      </c>
      <c r="F27" s="43" t="e">
        <f>SUMIFS(#REF!,#REF!,C27)</f>
        <v>#REF!</v>
      </c>
      <c r="H27" s="43" t="e">
        <f>SUMIFS(#REF!,#REF!,C27)</f>
        <v>#REF!</v>
      </c>
      <c r="I27" s="43" t="e">
        <f t="shared" si="6"/>
        <v>#REF!</v>
      </c>
      <c r="J27" s="43" t="e">
        <f t="shared" si="7"/>
        <v>#REF!</v>
      </c>
      <c r="K27" s="11" t="e">
        <f t="shared" si="0"/>
        <v>#REF!</v>
      </c>
      <c r="L27" s="11" t="e">
        <f t="shared" si="1"/>
        <v>#REF!</v>
      </c>
      <c r="M27" s="43" t="e">
        <f>SUMIFS(#REF!,#REF!,C27)</f>
        <v>#REF!</v>
      </c>
      <c r="N27" s="11" t="e">
        <f t="shared" si="2"/>
        <v>#REF!</v>
      </c>
      <c r="O27" s="43" t="e">
        <f t="shared" si="8"/>
        <v>#REF!</v>
      </c>
      <c r="P27" s="11" t="e">
        <f t="shared" si="3"/>
        <v>#REF!</v>
      </c>
      <c r="Q27" s="11" t="e">
        <f t="shared" si="9"/>
        <v>#REF!</v>
      </c>
      <c r="R27" s="11" t="e">
        <f t="shared" si="4"/>
        <v>#REF!</v>
      </c>
      <c r="S27" s="11" t="e">
        <f>(SUMIFS(#REF!,#REF!,C27)/SUMIFS(#REF!,#REF!,C27))*1000</f>
        <v>#REF!</v>
      </c>
      <c r="T27" s="11" t="e">
        <f t="shared" si="10"/>
        <v>#REF!</v>
      </c>
      <c r="U27" s="11"/>
      <c r="V27" s="11" t="e">
        <f t="shared" si="11"/>
        <v>#REF!</v>
      </c>
      <c r="W27" s="11" t="e">
        <f t="shared" si="12"/>
        <v>#REF!</v>
      </c>
      <c r="X27" s="43" t="e">
        <f t="shared" si="13"/>
        <v>#REF!</v>
      </c>
      <c r="Y27" s="43" t="e">
        <f ca="1">OFFSET(#REF!,MATCH(C27,#REF!,0)+1,0)</f>
        <v>#REF!</v>
      </c>
      <c r="Z27" s="43" t="e">
        <f t="shared" ca="1" si="14"/>
        <v>#REF!</v>
      </c>
      <c r="AA27" s="43" t="e">
        <f t="shared" si="5"/>
        <v>#REF!</v>
      </c>
      <c r="AB27" s="11" t="e">
        <f>SUMIFS(#REF!,#REF!,C27)/(1+1.8%)*(1+1.8%+2.3%)</f>
        <v>#REF!</v>
      </c>
      <c r="AC27" s="11" t="e">
        <f t="shared" si="15"/>
        <v>#REF!</v>
      </c>
      <c r="AD27" s="64"/>
      <c r="AE27" s="11" t="e">
        <f>(SUMIFS(#REF!,#REF!,C27)/(1+1.8%))*(1+1.8%+2.3%)</f>
        <v>#REF!</v>
      </c>
      <c r="AF27" s="11" t="e">
        <f>-SUMIFS(#REF!,#REF!,C27)/1000</f>
        <v>#REF!</v>
      </c>
      <c r="AG27" s="11" t="e">
        <f>SUMIFS(#REF!,#REF!,C27)</f>
        <v>#REF!</v>
      </c>
      <c r="AH27" s="11" t="e">
        <f>SUMIFS(#REF!,#REF!,C27)</f>
        <v>#REF!</v>
      </c>
      <c r="AI27" s="11" t="e">
        <f>SUMIFS(#REF!,#REF!,C27)</f>
        <v>#REF!</v>
      </c>
      <c r="AJ27" s="11" t="e">
        <f>SUMIFS(#REF!,#REF!,C27)</f>
        <v>#REF!</v>
      </c>
      <c r="AK27" s="11"/>
      <c r="AL27" s="11" t="e">
        <f t="shared" si="16"/>
        <v>#REF!</v>
      </c>
      <c r="AN27" s="11" t="e">
        <f t="shared" si="17"/>
        <v>#REF!</v>
      </c>
      <c r="AO27" s="11" t="e">
        <f t="shared" si="18"/>
        <v>#REF!</v>
      </c>
      <c r="AQ27" s="11" t="e">
        <f t="shared" si="19"/>
        <v>#REF!</v>
      </c>
      <c r="AS27" s="43" t="e">
        <f t="shared" si="20"/>
        <v>#REF!</v>
      </c>
      <c r="AT27" s="11" t="e">
        <f t="shared" si="21"/>
        <v>#REF!</v>
      </c>
      <c r="AV27" s="11" t="e">
        <f>'Share of £1bn'!$F$20*1000*$AO27/$AO$57</f>
        <v>#REF!</v>
      </c>
      <c r="AW27" s="11" t="e">
        <f>'Share of £1bn'!$F$27*1000*$AO27/$AO$57</f>
        <v>#REF!</v>
      </c>
      <c r="AX27" s="11" t="e">
        <f>'Share of £1bn'!$F$21*1000*$AO27/$AO$57</f>
        <v>#REF!</v>
      </c>
      <c r="AZ27" s="11" t="e">
        <f>'Share of £1bn'!$F$43*1000*AO27/$AO$57</f>
        <v>#REF!</v>
      </c>
      <c r="BA27" s="11" t="e">
        <f>'Share of £1bn'!$F$50*1000*$AO27/$AO$57</f>
        <v>#REF!</v>
      </c>
      <c r="BB27" s="11" t="e">
        <f>'Share of £1bn'!$F$44*1000*AO27/$AO$57</f>
        <v>#REF!</v>
      </c>
      <c r="BD27" s="11" t="e">
        <f>'Share of £1bn'!$F$67*1000*AO27/$AO$57</f>
        <v>#REF!</v>
      </c>
      <c r="BF27" s="11">
        <f>SUMIFS('20-11 M6 deficits'!$BO:$BO,'20-11 M6 deficits'!$C:$C,$C27)*1000</f>
        <v>-10000</v>
      </c>
      <c r="BH27" s="11" t="e">
        <f t="shared" si="22"/>
        <v>#REF!</v>
      </c>
      <c r="BI27" s="11" t="e">
        <f t="shared" si="23"/>
        <v>#REF!</v>
      </c>
      <c r="BJ27" s="11" t="e">
        <f t="shared" si="24"/>
        <v>#REF!</v>
      </c>
      <c r="BK27" s="11" t="e">
        <f t="shared" si="25"/>
        <v>#REF!</v>
      </c>
      <c r="BL27" s="11" t="e">
        <f t="shared" si="26"/>
        <v>#REF!</v>
      </c>
      <c r="BN27" s="11" t="e">
        <f t="shared" si="27"/>
        <v>#REF!</v>
      </c>
      <c r="BO27" s="11" t="e">
        <f t="shared" si="28"/>
        <v>#REF!</v>
      </c>
      <c r="BP27" s="11" t="e">
        <f t="shared" si="29"/>
        <v>#REF!</v>
      </c>
      <c r="BQ27" s="11" t="e">
        <f t="shared" si="30"/>
        <v>#REF!</v>
      </c>
      <c r="BR27" s="11" t="e">
        <f t="shared" si="31"/>
        <v>#REF!</v>
      </c>
      <c r="BT27" s="11" t="e">
        <f t="shared" si="32"/>
        <v>#REF!</v>
      </c>
      <c r="BU27" s="11" t="e">
        <f t="shared" si="33"/>
        <v>#REF!</v>
      </c>
      <c r="BV27" s="11" t="e">
        <f t="shared" si="34"/>
        <v>#REF!</v>
      </c>
      <c r="BW27" s="11" t="e">
        <f t="shared" si="35"/>
        <v>#REF!</v>
      </c>
      <c r="BX27" s="11" t="e">
        <f t="shared" si="36"/>
        <v>#REF!</v>
      </c>
      <c r="BZ27" s="11" t="e">
        <f t="shared" si="37"/>
        <v>#REF!</v>
      </c>
      <c r="CA27" s="11" t="e">
        <f t="shared" si="38"/>
        <v>#REF!</v>
      </c>
      <c r="CB27" s="11" t="e">
        <f t="shared" si="39"/>
        <v>#REF!</v>
      </c>
      <c r="CC27" s="11" t="e">
        <f t="shared" si="40"/>
        <v>#REF!</v>
      </c>
      <c r="CD27" s="11" t="e">
        <f t="shared" si="41"/>
        <v>#REF!</v>
      </c>
      <c r="CF27" s="11" t="e">
        <f t="shared" si="42"/>
        <v>#REF!</v>
      </c>
      <c r="CG27" s="11" t="e">
        <f t="shared" si="43"/>
        <v>#REF!</v>
      </c>
      <c r="CH27" s="11" t="e">
        <f t="shared" si="44"/>
        <v>#REF!</v>
      </c>
      <c r="CI27" s="11" t="e">
        <f t="shared" si="45"/>
        <v>#REF!</v>
      </c>
      <c r="CJ27" s="11" t="e">
        <f t="shared" si="46"/>
        <v>#REF!</v>
      </c>
      <c r="CM27" s="209">
        <f t="shared" si="47"/>
        <v>6.3257222982620754E-3</v>
      </c>
      <c r="CN27" s="209" t="e">
        <f t="shared" si="48"/>
        <v>#REF!</v>
      </c>
      <c r="CO27" s="209" t="e">
        <f t="shared" si="49"/>
        <v>#REF!</v>
      </c>
      <c r="CP27" s="209" t="e">
        <f t="shared" si="50"/>
        <v>#REF!</v>
      </c>
      <c r="CQ27" s="209" t="e">
        <f t="shared" si="51"/>
        <v>#REF!</v>
      </c>
    </row>
    <row r="28" spans="1:95" x14ac:dyDescent="0.25">
      <c r="A28" s="15" t="s">
        <v>58</v>
      </c>
      <c r="B28" s="16" t="s">
        <v>59</v>
      </c>
      <c r="C28" s="17" t="s">
        <v>70</v>
      </c>
      <c r="D28" s="17" t="s">
        <v>71</v>
      </c>
      <c r="E28" s="18">
        <f>SUMIFS('ICB Core Baseline 2024-25'!Q:Q,'ICB Core Baseline 2024-25'!C:C,C28)</f>
        <v>1765011.2948444334</v>
      </c>
      <c r="F28" s="44" t="e">
        <f>SUMIFS(#REF!,#REF!,C28)</f>
        <v>#REF!</v>
      </c>
      <c r="H28" s="44" t="e">
        <f>SUMIFS(#REF!,#REF!,C28)</f>
        <v>#REF!</v>
      </c>
      <c r="I28" s="44" t="e">
        <f t="shared" si="6"/>
        <v>#REF!</v>
      </c>
      <c r="J28" s="44" t="e">
        <f t="shared" si="7"/>
        <v>#REF!</v>
      </c>
      <c r="K28" s="18" t="e">
        <f t="shared" si="0"/>
        <v>#REF!</v>
      </c>
      <c r="L28" s="18" t="e">
        <f t="shared" si="1"/>
        <v>#REF!</v>
      </c>
      <c r="M28" s="44" t="e">
        <f>SUMIFS(#REF!,#REF!,C28)</f>
        <v>#REF!</v>
      </c>
      <c r="N28" s="18" t="e">
        <f t="shared" si="2"/>
        <v>#REF!</v>
      </c>
      <c r="O28" s="44" t="e">
        <f t="shared" si="8"/>
        <v>#REF!</v>
      </c>
      <c r="P28" s="18" t="e">
        <f t="shared" si="3"/>
        <v>#REF!</v>
      </c>
      <c r="Q28" s="18" t="e">
        <f t="shared" si="9"/>
        <v>#REF!</v>
      </c>
      <c r="R28" s="18" t="e">
        <f t="shared" si="4"/>
        <v>#REF!</v>
      </c>
      <c r="S28" s="18" t="e">
        <f>(SUMIFS(#REF!,#REF!,C28)/SUMIFS(#REF!,#REF!,C28))*1000</f>
        <v>#REF!</v>
      </c>
      <c r="T28" s="18" t="e">
        <f t="shared" si="10"/>
        <v>#REF!</v>
      </c>
      <c r="U28" s="18"/>
      <c r="V28" s="18" t="e">
        <f t="shared" si="11"/>
        <v>#REF!</v>
      </c>
      <c r="W28" s="18" t="e">
        <f t="shared" si="12"/>
        <v>#REF!</v>
      </c>
      <c r="X28" s="44" t="e">
        <f t="shared" si="13"/>
        <v>#REF!</v>
      </c>
      <c r="Y28" s="44" t="e">
        <f ca="1">OFFSET(#REF!,MATCH(C28,#REF!,0)+1,0)</f>
        <v>#REF!</v>
      </c>
      <c r="Z28" s="44" t="e">
        <f t="shared" ca="1" si="14"/>
        <v>#REF!</v>
      </c>
      <c r="AA28" s="44" t="e">
        <f t="shared" si="5"/>
        <v>#REF!</v>
      </c>
      <c r="AB28" s="18" t="e">
        <f>SUMIFS(#REF!,#REF!,C28)/(1+1.8%)*(1+1.8%+2.3%)</f>
        <v>#REF!</v>
      </c>
      <c r="AC28" s="18" t="e">
        <f t="shared" si="15"/>
        <v>#REF!</v>
      </c>
      <c r="AD28" s="65"/>
      <c r="AE28" s="18" t="e">
        <f>(SUMIFS(#REF!,#REF!,C28)/(1+1.8%))*(1+1.8%+2.3%)</f>
        <v>#REF!</v>
      </c>
      <c r="AF28" s="18" t="e">
        <f>-SUMIFS(#REF!,#REF!,C28)/1000</f>
        <v>#REF!</v>
      </c>
      <c r="AG28" s="18" t="e">
        <f>SUMIFS(#REF!,#REF!,C28)</f>
        <v>#REF!</v>
      </c>
      <c r="AH28" s="18" t="e">
        <f>SUMIFS(#REF!,#REF!,C28)</f>
        <v>#REF!</v>
      </c>
      <c r="AI28" s="18" t="e">
        <f>SUMIFS(#REF!,#REF!,C28)</f>
        <v>#REF!</v>
      </c>
      <c r="AJ28" s="18" t="e">
        <f>SUMIFS(#REF!,#REF!,C28)</f>
        <v>#REF!</v>
      </c>
      <c r="AK28" s="18"/>
      <c r="AL28" s="18" t="e">
        <f t="shared" si="16"/>
        <v>#REF!</v>
      </c>
      <c r="AN28" s="18" t="e">
        <f t="shared" si="17"/>
        <v>#REF!</v>
      </c>
      <c r="AO28" s="18" t="e">
        <f t="shared" si="18"/>
        <v>#REF!</v>
      </c>
      <c r="AQ28" s="18" t="e">
        <f t="shared" si="19"/>
        <v>#REF!</v>
      </c>
      <c r="AS28" s="44" t="e">
        <f t="shared" si="20"/>
        <v>#REF!</v>
      </c>
      <c r="AT28" s="18" t="e">
        <f t="shared" si="21"/>
        <v>#REF!</v>
      </c>
      <c r="AV28" s="18" t="e">
        <f>'Share of £1bn'!$F$20*1000*$AO28/$AO$57</f>
        <v>#REF!</v>
      </c>
      <c r="AW28" s="18" t="e">
        <f>'Share of £1bn'!$F$27*1000*$AO28/$AO$57</f>
        <v>#REF!</v>
      </c>
      <c r="AX28" s="18" t="e">
        <f>'Share of £1bn'!$F$21*1000*$AO28/$AO$57</f>
        <v>#REF!</v>
      </c>
      <c r="AZ28" s="18" t="e">
        <f>'Share of £1bn'!$F$43*1000*AO28/$AO$57</f>
        <v>#REF!</v>
      </c>
      <c r="BA28" s="18" t="e">
        <f>'Share of £1bn'!$F$50*1000*$AO28/$AO$57</f>
        <v>#REF!</v>
      </c>
      <c r="BB28" s="18" t="e">
        <f>'Share of £1bn'!$F$44*1000*AO28/$AO$57</f>
        <v>#REF!</v>
      </c>
      <c r="BD28" s="18" t="e">
        <f>'Share of £1bn'!$F$67*1000*AO28/$AO$57</f>
        <v>#REF!</v>
      </c>
      <c r="BF28" s="11">
        <f>SUMIFS('20-11 M6 deficits'!$BO:$BO,'20-11 M6 deficits'!$C:$C,$C28)*1000</f>
        <v>0</v>
      </c>
      <c r="BH28" s="18" t="e">
        <f t="shared" si="22"/>
        <v>#REF!</v>
      </c>
      <c r="BI28" s="18" t="e">
        <f t="shared" si="23"/>
        <v>#REF!</v>
      </c>
      <c r="BJ28" s="18" t="e">
        <f t="shared" si="24"/>
        <v>#REF!</v>
      </c>
      <c r="BK28" s="18" t="e">
        <f t="shared" si="25"/>
        <v>#REF!</v>
      </c>
      <c r="BL28" s="18" t="e">
        <f t="shared" si="26"/>
        <v>#REF!</v>
      </c>
      <c r="BN28" s="18" t="e">
        <f t="shared" si="27"/>
        <v>#REF!</v>
      </c>
      <c r="BO28" s="18" t="e">
        <f t="shared" si="28"/>
        <v>#REF!</v>
      </c>
      <c r="BP28" s="18" t="e">
        <f t="shared" si="29"/>
        <v>#REF!</v>
      </c>
      <c r="BQ28" s="18" t="e">
        <f t="shared" si="30"/>
        <v>#REF!</v>
      </c>
      <c r="BR28" s="18" t="e">
        <f t="shared" si="31"/>
        <v>#REF!</v>
      </c>
      <c r="BT28" s="18" t="e">
        <f t="shared" si="32"/>
        <v>#REF!</v>
      </c>
      <c r="BU28" s="18" t="e">
        <f t="shared" si="33"/>
        <v>#REF!</v>
      </c>
      <c r="BV28" s="18" t="e">
        <f t="shared" si="34"/>
        <v>#REF!</v>
      </c>
      <c r="BW28" s="18" t="e">
        <f t="shared" si="35"/>
        <v>#REF!</v>
      </c>
      <c r="BX28" s="18" t="e">
        <f t="shared" si="36"/>
        <v>#REF!</v>
      </c>
      <c r="BZ28" s="18" t="e">
        <f t="shared" si="37"/>
        <v>#REF!</v>
      </c>
      <c r="CA28" s="18" t="e">
        <f t="shared" si="38"/>
        <v>#REF!</v>
      </c>
      <c r="CB28" s="18" t="e">
        <f t="shared" si="39"/>
        <v>#REF!</v>
      </c>
      <c r="CC28" s="18" t="e">
        <f t="shared" si="40"/>
        <v>#REF!</v>
      </c>
      <c r="CD28" s="18" t="e">
        <f t="shared" si="41"/>
        <v>#REF!</v>
      </c>
      <c r="CF28" s="18" t="e">
        <f t="shared" si="42"/>
        <v>#REF!</v>
      </c>
      <c r="CG28" s="18" t="e">
        <f t="shared" si="43"/>
        <v>#REF!</v>
      </c>
      <c r="CH28" s="18" t="e">
        <f t="shared" si="44"/>
        <v>#REF!</v>
      </c>
      <c r="CI28" s="18" t="e">
        <f t="shared" si="45"/>
        <v>#REF!</v>
      </c>
      <c r="CJ28" s="18" t="e">
        <f t="shared" si="46"/>
        <v>#REF!</v>
      </c>
      <c r="CM28" s="209">
        <f t="shared" si="47"/>
        <v>0</v>
      </c>
      <c r="CN28" s="209" t="e">
        <f t="shared" si="48"/>
        <v>#REF!</v>
      </c>
      <c r="CO28" s="209" t="e">
        <f t="shared" si="49"/>
        <v>#REF!</v>
      </c>
      <c r="CP28" s="209" t="e">
        <f t="shared" si="50"/>
        <v>#REF!</v>
      </c>
      <c r="CQ28" s="209" t="e">
        <f t="shared" si="51"/>
        <v>#REF!</v>
      </c>
    </row>
    <row r="29" spans="1:95" x14ac:dyDescent="0.25">
      <c r="A29" s="10" t="s">
        <v>72</v>
      </c>
      <c r="B29" s="4" t="s">
        <v>73</v>
      </c>
      <c r="C29" s="4" t="s">
        <v>74</v>
      </c>
      <c r="D29" s="4" t="s">
        <v>75</v>
      </c>
      <c r="E29" s="11">
        <f>SUMIFS('ICB Core Baseline 2024-25'!Q:Q,'ICB Core Baseline 2024-25'!C:C,C29)</f>
        <v>2837571.0307440353</v>
      </c>
      <c r="F29" s="43" t="e">
        <f>SUMIFS(#REF!,#REF!,C29)</f>
        <v>#REF!</v>
      </c>
      <c r="H29" s="43" t="e">
        <f>SUMIFS(#REF!,#REF!,C29)</f>
        <v>#REF!</v>
      </c>
      <c r="I29" s="43" t="e">
        <f t="shared" si="6"/>
        <v>#REF!</v>
      </c>
      <c r="J29" s="43" t="e">
        <f t="shared" si="7"/>
        <v>#REF!</v>
      </c>
      <c r="K29" s="11" t="e">
        <f t="shared" si="0"/>
        <v>#REF!</v>
      </c>
      <c r="L29" s="11" t="e">
        <f t="shared" si="1"/>
        <v>#REF!</v>
      </c>
      <c r="M29" s="43" t="e">
        <f>SUMIFS(#REF!,#REF!,C29)</f>
        <v>#REF!</v>
      </c>
      <c r="N29" s="11" t="e">
        <f t="shared" si="2"/>
        <v>#REF!</v>
      </c>
      <c r="O29" s="43" t="e">
        <f t="shared" si="8"/>
        <v>#REF!</v>
      </c>
      <c r="P29" s="11" t="e">
        <f t="shared" si="3"/>
        <v>#REF!</v>
      </c>
      <c r="Q29" s="11" t="e">
        <f t="shared" si="9"/>
        <v>#REF!</v>
      </c>
      <c r="R29" s="11" t="e">
        <f t="shared" si="4"/>
        <v>#REF!</v>
      </c>
      <c r="S29" s="11" t="e">
        <f>(SUMIFS(#REF!,#REF!,C29)/SUMIFS(#REF!,#REF!,C29))*1000</f>
        <v>#REF!</v>
      </c>
      <c r="T29" s="11" t="e">
        <f t="shared" si="10"/>
        <v>#REF!</v>
      </c>
      <c r="U29" s="11"/>
      <c r="V29" s="11" t="e">
        <f t="shared" si="11"/>
        <v>#REF!</v>
      </c>
      <c r="W29" s="11" t="e">
        <f t="shared" si="12"/>
        <v>#REF!</v>
      </c>
      <c r="X29" s="43" t="e">
        <f t="shared" si="13"/>
        <v>#REF!</v>
      </c>
      <c r="Y29" s="43" t="e">
        <f ca="1">OFFSET(#REF!,MATCH(C29,#REF!,0)+1,0)</f>
        <v>#REF!</v>
      </c>
      <c r="Z29" s="43" t="e">
        <f t="shared" ca="1" si="14"/>
        <v>#REF!</v>
      </c>
      <c r="AA29" s="43" t="e">
        <f t="shared" si="5"/>
        <v>#REF!</v>
      </c>
      <c r="AB29" s="11" t="e">
        <f>SUMIFS(#REF!,#REF!,C29)/(1+1.8%)*(1+1.8%+2.3%)</f>
        <v>#REF!</v>
      </c>
      <c r="AC29" s="11" t="e">
        <f t="shared" si="15"/>
        <v>#REF!</v>
      </c>
      <c r="AD29" s="64"/>
      <c r="AE29" s="11" t="e">
        <f>(SUMIFS(#REF!,#REF!,C29)/(1+1.8%))*(1+1.8%+2.3%)</f>
        <v>#REF!</v>
      </c>
      <c r="AF29" s="11" t="e">
        <f>-SUMIFS(#REF!,#REF!,C29)/1000</f>
        <v>#REF!</v>
      </c>
      <c r="AG29" s="11" t="e">
        <f>SUMIFS(#REF!,#REF!,C29)</f>
        <v>#REF!</v>
      </c>
      <c r="AH29" s="11" t="e">
        <f>SUMIFS(#REF!,#REF!,C29)</f>
        <v>#REF!</v>
      </c>
      <c r="AI29" s="11" t="e">
        <f>SUMIFS(#REF!,#REF!,C29)</f>
        <v>#REF!</v>
      </c>
      <c r="AJ29" s="11" t="e">
        <f>SUMIFS(#REF!,#REF!,C29)</f>
        <v>#REF!</v>
      </c>
      <c r="AK29" s="11"/>
      <c r="AL29" s="11" t="e">
        <f t="shared" si="16"/>
        <v>#REF!</v>
      </c>
      <c r="AN29" s="11" t="e">
        <f t="shared" si="17"/>
        <v>#REF!</v>
      </c>
      <c r="AO29" s="11" t="e">
        <f t="shared" si="18"/>
        <v>#REF!</v>
      </c>
      <c r="AQ29" s="11" t="e">
        <f t="shared" si="19"/>
        <v>#REF!</v>
      </c>
      <c r="AS29" s="43" t="e">
        <f t="shared" si="20"/>
        <v>#REF!</v>
      </c>
      <c r="AT29" s="11" t="e">
        <f t="shared" si="21"/>
        <v>#REF!</v>
      </c>
      <c r="AV29" s="11" t="e">
        <f>'Share of £1bn'!$F$20*1000*$AO29/$AO$57</f>
        <v>#REF!</v>
      </c>
      <c r="AW29" s="11" t="e">
        <f>'Share of £1bn'!$F$27*1000*$AO29/$AO$57</f>
        <v>#REF!</v>
      </c>
      <c r="AX29" s="11" t="e">
        <f>'Share of £1bn'!$F$21*1000*$AO29/$AO$57</f>
        <v>#REF!</v>
      </c>
      <c r="AZ29" s="11" t="e">
        <f>'Share of £1bn'!$F$43*1000*AO29/$AO$57</f>
        <v>#REF!</v>
      </c>
      <c r="BA29" s="11" t="e">
        <f>'Share of £1bn'!$F$50*1000*$AO29/$AO$57</f>
        <v>#REF!</v>
      </c>
      <c r="BB29" s="11" t="e">
        <f>'Share of £1bn'!$F$44*1000*AO29/$AO$57</f>
        <v>#REF!</v>
      </c>
      <c r="BD29" s="11" t="e">
        <f>'Share of £1bn'!$F$67*1000*AO29/$AO$57</f>
        <v>#REF!</v>
      </c>
      <c r="BF29" s="11">
        <f>SUMIFS('20-11 M6 deficits'!$BO:$BO,'20-11 M6 deficits'!$C:$C,$C29)*1000</f>
        <v>0</v>
      </c>
      <c r="BH29" s="11" t="e">
        <f t="shared" si="22"/>
        <v>#REF!</v>
      </c>
      <c r="BI29" s="11" t="e">
        <f t="shared" si="23"/>
        <v>#REF!</v>
      </c>
      <c r="BJ29" s="11" t="e">
        <f t="shared" si="24"/>
        <v>#REF!</v>
      </c>
      <c r="BK29" s="11" t="e">
        <f t="shared" si="25"/>
        <v>#REF!</v>
      </c>
      <c r="BL29" s="11" t="e">
        <f t="shared" si="26"/>
        <v>#REF!</v>
      </c>
      <c r="BN29" s="11" t="e">
        <f t="shared" si="27"/>
        <v>#REF!</v>
      </c>
      <c r="BO29" s="11" t="e">
        <f t="shared" si="28"/>
        <v>#REF!</v>
      </c>
      <c r="BP29" s="11" t="e">
        <f t="shared" si="29"/>
        <v>#REF!</v>
      </c>
      <c r="BQ29" s="11" t="e">
        <f t="shared" si="30"/>
        <v>#REF!</v>
      </c>
      <c r="BR29" s="11" t="e">
        <f t="shared" si="31"/>
        <v>#REF!</v>
      </c>
      <c r="BT29" s="11" t="e">
        <f t="shared" si="32"/>
        <v>#REF!</v>
      </c>
      <c r="BU29" s="11" t="e">
        <f t="shared" si="33"/>
        <v>#REF!</v>
      </c>
      <c r="BV29" s="11" t="e">
        <f t="shared" si="34"/>
        <v>#REF!</v>
      </c>
      <c r="BW29" s="11" t="e">
        <f t="shared" si="35"/>
        <v>#REF!</v>
      </c>
      <c r="BX29" s="11" t="e">
        <f t="shared" si="36"/>
        <v>#REF!</v>
      </c>
      <c r="BZ29" s="11" t="e">
        <f t="shared" si="37"/>
        <v>#REF!</v>
      </c>
      <c r="CA29" s="11" t="e">
        <f t="shared" si="38"/>
        <v>#REF!</v>
      </c>
      <c r="CB29" s="11" t="e">
        <f t="shared" si="39"/>
        <v>#REF!</v>
      </c>
      <c r="CC29" s="11" t="e">
        <f t="shared" si="40"/>
        <v>#REF!</v>
      </c>
      <c r="CD29" s="11" t="e">
        <f t="shared" si="41"/>
        <v>#REF!</v>
      </c>
      <c r="CF29" s="11" t="e">
        <f t="shared" si="42"/>
        <v>#REF!</v>
      </c>
      <c r="CG29" s="11" t="e">
        <f t="shared" si="43"/>
        <v>#REF!</v>
      </c>
      <c r="CH29" s="11" t="e">
        <f t="shared" si="44"/>
        <v>#REF!</v>
      </c>
      <c r="CI29" s="11" t="e">
        <f t="shared" si="45"/>
        <v>#REF!</v>
      </c>
      <c r="CJ29" s="11" t="e">
        <f t="shared" si="46"/>
        <v>#REF!</v>
      </c>
      <c r="CM29" s="209">
        <f t="shared" si="47"/>
        <v>0</v>
      </c>
      <c r="CN29" s="209" t="e">
        <f t="shared" si="48"/>
        <v>#REF!</v>
      </c>
      <c r="CO29" s="209" t="e">
        <f t="shared" si="49"/>
        <v>#REF!</v>
      </c>
      <c r="CP29" s="209" t="e">
        <f t="shared" si="50"/>
        <v>#REF!</v>
      </c>
      <c r="CQ29" s="209" t="e">
        <f t="shared" si="51"/>
        <v>#REF!</v>
      </c>
    </row>
    <row r="30" spans="1:95" x14ac:dyDescent="0.25">
      <c r="A30" s="13" t="s">
        <v>72</v>
      </c>
      <c r="B30" s="14" t="s">
        <v>73</v>
      </c>
      <c r="C30" s="4" t="s">
        <v>76</v>
      </c>
      <c r="D30" s="4" t="s">
        <v>77</v>
      </c>
      <c r="E30" s="11">
        <f>SUMIFS('ICB Core Baseline 2024-25'!Q:Q,'ICB Core Baseline 2024-25'!C:C,C30)</f>
        <v>3671431.3138210168</v>
      </c>
      <c r="F30" s="43" t="e">
        <f>SUMIFS(#REF!,#REF!,C30)</f>
        <v>#REF!</v>
      </c>
      <c r="H30" s="43" t="e">
        <f>SUMIFS(#REF!,#REF!,C30)</f>
        <v>#REF!</v>
      </c>
      <c r="I30" s="43" t="e">
        <f t="shared" si="6"/>
        <v>#REF!</v>
      </c>
      <c r="J30" s="43" t="e">
        <f t="shared" si="7"/>
        <v>#REF!</v>
      </c>
      <c r="K30" s="11" t="e">
        <f t="shared" si="0"/>
        <v>#REF!</v>
      </c>
      <c r="L30" s="11" t="e">
        <f t="shared" si="1"/>
        <v>#REF!</v>
      </c>
      <c r="M30" s="43" t="e">
        <f>SUMIFS(#REF!,#REF!,C30)</f>
        <v>#REF!</v>
      </c>
      <c r="N30" s="11" t="e">
        <f t="shared" si="2"/>
        <v>#REF!</v>
      </c>
      <c r="O30" s="43" t="e">
        <f t="shared" si="8"/>
        <v>#REF!</v>
      </c>
      <c r="P30" s="11" t="e">
        <f t="shared" si="3"/>
        <v>#REF!</v>
      </c>
      <c r="Q30" s="11" t="e">
        <f t="shared" si="9"/>
        <v>#REF!</v>
      </c>
      <c r="R30" s="11" t="e">
        <f t="shared" si="4"/>
        <v>#REF!</v>
      </c>
      <c r="S30" s="11" t="e">
        <f>(SUMIFS(#REF!,#REF!,C30)/SUMIFS(#REF!,#REF!,C30))*1000</f>
        <v>#REF!</v>
      </c>
      <c r="T30" s="11" t="e">
        <f t="shared" si="10"/>
        <v>#REF!</v>
      </c>
      <c r="U30" s="11"/>
      <c r="V30" s="11" t="e">
        <f t="shared" si="11"/>
        <v>#REF!</v>
      </c>
      <c r="W30" s="11" t="e">
        <f t="shared" si="12"/>
        <v>#REF!</v>
      </c>
      <c r="X30" s="43" t="e">
        <f t="shared" si="13"/>
        <v>#REF!</v>
      </c>
      <c r="Y30" s="43" t="e">
        <f ca="1">OFFSET(#REF!,MATCH(C30,#REF!,0)+1,0)</f>
        <v>#REF!</v>
      </c>
      <c r="Z30" s="43" t="e">
        <f t="shared" ca="1" si="14"/>
        <v>#REF!</v>
      </c>
      <c r="AA30" s="43" t="e">
        <f t="shared" si="5"/>
        <v>#REF!</v>
      </c>
      <c r="AB30" s="11" t="e">
        <f>SUMIFS(#REF!,#REF!,C30)/(1+1.8%)*(1+1.8%+2.3%)</f>
        <v>#REF!</v>
      </c>
      <c r="AC30" s="11" t="e">
        <f t="shared" si="15"/>
        <v>#REF!</v>
      </c>
      <c r="AD30" s="64"/>
      <c r="AE30" s="11" t="e">
        <f>(SUMIFS(#REF!,#REF!,C30)/(1+1.8%))*(1+1.8%+2.3%)</f>
        <v>#REF!</v>
      </c>
      <c r="AF30" s="11" t="e">
        <f>-SUMIFS(#REF!,#REF!,C30)/1000</f>
        <v>#REF!</v>
      </c>
      <c r="AG30" s="11" t="e">
        <f>SUMIFS(#REF!,#REF!,C30)</f>
        <v>#REF!</v>
      </c>
      <c r="AH30" s="11" t="e">
        <f>SUMIFS(#REF!,#REF!,C30)</f>
        <v>#REF!</v>
      </c>
      <c r="AI30" s="11" t="e">
        <f>SUMIFS(#REF!,#REF!,C30)</f>
        <v>#REF!</v>
      </c>
      <c r="AJ30" s="11" t="e">
        <f>SUMIFS(#REF!,#REF!,C30)</f>
        <v>#REF!</v>
      </c>
      <c r="AK30" s="11"/>
      <c r="AL30" s="11" t="e">
        <f t="shared" si="16"/>
        <v>#REF!</v>
      </c>
      <c r="AN30" s="11" t="e">
        <f t="shared" si="17"/>
        <v>#REF!</v>
      </c>
      <c r="AO30" s="11" t="e">
        <f t="shared" si="18"/>
        <v>#REF!</v>
      </c>
      <c r="AQ30" s="11" t="e">
        <f t="shared" si="19"/>
        <v>#REF!</v>
      </c>
      <c r="AS30" s="43" t="e">
        <f t="shared" si="20"/>
        <v>#REF!</v>
      </c>
      <c r="AT30" s="11" t="e">
        <f t="shared" si="21"/>
        <v>#REF!</v>
      </c>
      <c r="AV30" s="11" t="e">
        <f>'Share of £1bn'!$F$20*1000*$AO30/$AO$57</f>
        <v>#REF!</v>
      </c>
      <c r="AW30" s="11" t="e">
        <f>'Share of £1bn'!$F$27*1000*$AO30/$AO$57</f>
        <v>#REF!</v>
      </c>
      <c r="AX30" s="11" t="e">
        <f>'Share of £1bn'!$F$21*1000*$AO30/$AO$57</f>
        <v>#REF!</v>
      </c>
      <c r="AZ30" s="11" t="e">
        <f>'Share of £1bn'!$F$43*1000*AO30/$AO$57</f>
        <v>#REF!</v>
      </c>
      <c r="BA30" s="11" t="e">
        <f>'Share of £1bn'!$F$50*1000*$AO30/$AO$57</f>
        <v>#REF!</v>
      </c>
      <c r="BB30" s="11" t="e">
        <f>'Share of £1bn'!$F$44*1000*AO30/$AO$57</f>
        <v>#REF!</v>
      </c>
      <c r="BD30" s="11" t="e">
        <f>'Share of £1bn'!$F$67*1000*AO30/$AO$57</f>
        <v>#REF!</v>
      </c>
      <c r="BF30" s="11">
        <f>SUMIFS('20-11 M6 deficits'!$BO:$BO,'20-11 M6 deficits'!$C:$C,$C30)*1000</f>
        <v>-25000</v>
      </c>
      <c r="BH30" s="11" t="e">
        <f t="shared" si="22"/>
        <v>#REF!</v>
      </c>
      <c r="BI30" s="11" t="e">
        <f t="shared" si="23"/>
        <v>#REF!</v>
      </c>
      <c r="BJ30" s="11" t="e">
        <f t="shared" si="24"/>
        <v>#REF!</v>
      </c>
      <c r="BK30" s="11" t="e">
        <f t="shared" si="25"/>
        <v>#REF!</v>
      </c>
      <c r="BL30" s="11" t="e">
        <f t="shared" si="26"/>
        <v>#REF!</v>
      </c>
      <c r="BN30" s="11" t="e">
        <f t="shared" si="27"/>
        <v>#REF!</v>
      </c>
      <c r="BO30" s="11" t="e">
        <f t="shared" si="28"/>
        <v>#REF!</v>
      </c>
      <c r="BP30" s="11" t="e">
        <f t="shared" si="29"/>
        <v>#REF!</v>
      </c>
      <c r="BQ30" s="11" t="e">
        <f t="shared" si="30"/>
        <v>#REF!</v>
      </c>
      <c r="BR30" s="11" t="e">
        <f t="shared" si="31"/>
        <v>#REF!</v>
      </c>
      <c r="BT30" s="11" t="e">
        <f t="shared" si="32"/>
        <v>#REF!</v>
      </c>
      <c r="BU30" s="11" t="e">
        <f t="shared" si="33"/>
        <v>#REF!</v>
      </c>
      <c r="BV30" s="11" t="e">
        <f t="shared" si="34"/>
        <v>#REF!</v>
      </c>
      <c r="BW30" s="11" t="e">
        <f t="shared" si="35"/>
        <v>#REF!</v>
      </c>
      <c r="BX30" s="11" t="e">
        <f t="shared" si="36"/>
        <v>#REF!</v>
      </c>
      <c r="BZ30" s="11" t="e">
        <f t="shared" si="37"/>
        <v>#REF!</v>
      </c>
      <c r="CA30" s="11" t="e">
        <f t="shared" si="38"/>
        <v>#REF!</v>
      </c>
      <c r="CB30" s="11" t="e">
        <f t="shared" si="39"/>
        <v>#REF!</v>
      </c>
      <c r="CC30" s="11" t="e">
        <f t="shared" si="40"/>
        <v>#REF!</v>
      </c>
      <c r="CD30" s="11" t="e">
        <f t="shared" si="41"/>
        <v>#REF!</v>
      </c>
      <c r="CF30" s="11" t="e">
        <f t="shared" si="42"/>
        <v>#REF!</v>
      </c>
      <c r="CG30" s="11" t="e">
        <f t="shared" si="43"/>
        <v>#REF!</v>
      </c>
      <c r="CH30" s="11" t="e">
        <f t="shared" si="44"/>
        <v>#REF!</v>
      </c>
      <c r="CI30" s="11" t="e">
        <f t="shared" si="45"/>
        <v>#REF!</v>
      </c>
      <c r="CJ30" s="11" t="e">
        <f t="shared" si="46"/>
        <v>#REF!</v>
      </c>
      <c r="CM30" s="209">
        <f t="shared" si="47"/>
        <v>1.5814305745655188E-2</v>
      </c>
      <c r="CN30" s="209" t="e">
        <f t="shared" si="48"/>
        <v>#REF!</v>
      </c>
      <c r="CO30" s="209" t="e">
        <f t="shared" si="49"/>
        <v>#REF!</v>
      </c>
      <c r="CP30" s="209" t="e">
        <f t="shared" si="50"/>
        <v>#REF!</v>
      </c>
      <c r="CQ30" s="209" t="e">
        <f t="shared" si="51"/>
        <v>#REF!</v>
      </c>
    </row>
    <row r="31" spans="1:95" x14ac:dyDescent="0.25">
      <c r="A31" s="13" t="s">
        <v>72</v>
      </c>
      <c r="B31" s="14" t="s">
        <v>73</v>
      </c>
      <c r="C31" s="4" t="s">
        <v>78</v>
      </c>
      <c r="D31" s="4" t="s">
        <v>79</v>
      </c>
      <c r="E31" s="11">
        <f>SUMIFS('ICB Core Baseline 2024-25'!Q:Q,'ICB Core Baseline 2024-25'!C:C,C31)</f>
        <v>4091956.0059199715</v>
      </c>
      <c r="F31" s="43" t="e">
        <f>SUMIFS(#REF!,#REF!,C31)</f>
        <v>#REF!</v>
      </c>
      <c r="H31" s="43" t="e">
        <f>SUMIFS(#REF!,#REF!,C31)</f>
        <v>#REF!</v>
      </c>
      <c r="I31" s="43" t="e">
        <f t="shared" si="6"/>
        <v>#REF!</v>
      </c>
      <c r="J31" s="43" t="e">
        <f t="shared" si="7"/>
        <v>#REF!</v>
      </c>
      <c r="K31" s="11" t="e">
        <f t="shared" si="0"/>
        <v>#REF!</v>
      </c>
      <c r="L31" s="11" t="e">
        <f t="shared" si="1"/>
        <v>#REF!</v>
      </c>
      <c r="M31" s="43" t="e">
        <f>SUMIFS(#REF!,#REF!,C31)</f>
        <v>#REF!</v>
      </c>
      <c r="N31" s="11" t="e">
        <f t="shared" si="2"/>
        <v>#REF!</v>
      </c>
      <c r="O31" s="43" t="e">
        <f t="shared" si="8"/>
        <v>#REF!</v>
      </c>
      <c r="P31" s="11" t="e">
        <f t="shared" si="3"/>
        <v>#REF!</v>
      </c>
      <c r="Q31" s="11" t="e">
        <f t="shared" si="9"/>
        <v>#REF!</v>
      </c>
      <c r="R31" s="11" t="e">
        <f t="shared" si="4"/>
        <v>#REF!</v>
      </c>
      <c r="S31" s="11" t="e">
        <f>(SUMIFS(#REF!,#REF!,C31)/SUMIFS(#REF!,#REF!,C31))*1000</f>
        <v>#REF!</v>
      </c>
      <c r="T31" s="11" t="e">
        <f t="shared" si="10"/>
        <v>#REF!</v>
      </c>
      <c r="U31" s="11"/>
      <c r="V31" s="11" t="e">
        <f t="shared" si="11"/>
        <v>#REF!</v>
      </c>
      <c r="W31" s="11" t="e">
        <f t="shared" si="12"/>
        <v>#REF!</v>
      </c>
      <c r="X31" s="43" t="e">
        <f t="shared" si="13"/>
        <v>#REF!</v>
      </c>
      <c r="Y31" s="43" t="e">
        <f ca="1">OFFSET(#REF!,MATCH(C31,#REF!,0)+1,0)</f>
        <v>#REF!</v>
      </c>
      <c r="Z31" s="43" t="e">
        <f t="shared" ca="1" si="14"/>
        <v>#REF!</v>
      </c>
      <c r="AA31" s="43" t="e">
        <f t="shared" si="5"/>
        <v>#REF!</v>
      </c>
      <c r="AB31" s="11" t="e">
        <f>SUMIFS(#REF!,#REF!,C31)/(1+1.8%)*(1+1.8%+2.3%)</f>
        <v>#REF!</v>
      </c>
      <c r="AC31" s="11" t="e">
        <f t="shared" si="15"/>
        <v>#REF!</v>
      </c>
      <c r="AD31" s="64"/>
      <c r="AE31" s="11" t="e">
        <f>(SUMIFS(#REF!,#REF!,C31)/(1+1.8%))*(1+1.8%+2.3%)</f>
        <v>#REF!</v>
      </c>
      <c r="AF31" s="11" t="e">
        <f>-SUMIFS(#REF!,#REF!,C31)/1000</f>
        <v>#REF!</v>
      </c>
      <c r="AG31" s="11" t="e">
        <f>SUMIFS(#REF!,#REF!,C31)</f>
        <v>#REF!</v>
      </c>
      <c r="AH31" s="11" t="e">
        <f>SUMIFS(#REF!,#REF!,C31)</f>
        <v>#REF!</v>
      </c>
      <c r="AI31" s="11" t="e">
        <f>SUMIFS(#REF!,#REF!,C31)</f>
        <v>#REF!</v>
      </c>
      <c r="AJ31" s="11" t="e">
        <f>SUMIFS(#REF!,#REF!,C31)</f>
        <v>#REF!</v>
      </c>
      <c r="AK31" s="11"/>
      <c r="AL31" s="11" t="e">
        <f t="shared" si="16"/>
        <v>#REF!</v>
      </c>
      <c r="AN31" s="11" t="e">
        <f t="shared" si="17"/>
        <v>#REF!</v>
      </c>
      <c r="AO31" s="11" t="e">
        <f t="shared" si="18"/>
        <v>#REF!</v>
      </c>
      <c r="AQ31" s="11" t="e">
        <f t="shared" si="19"/>
        <v>#REF!</v>
      </c>
      <c r="AS31" s="43" t="e">
        <f t="shared" si="20"/>
        <v>#REF!</v>
      </c>
      <c r="AT31" s="11" t="e">
        <f t="shared" si="21"/>
        <v>#REF!</v>
      </c>
      <c r="AV31" s="11" t="e">
        <f>'Share of £1bn'!$F$20*1000*$AO31/$AO$57</f>
        <v>#REF!</v>
      </c>
      <c r="AW31" s="11" t="e">
        <f>'Share of £1bn'!$F$27*1000*$AO31/$AO$57</f>
        <v>#REF!</v>
      </c>
      <c r="AX31" s="11" t="e">
        <f>'Share of £1bn'!$F$21*1000*$AO31/$AO$57</f>
        <v>#REF!</v>
      </c>
      <c r="AZ31" s="11" t="e">
        <f>'Share of £1bn'!$F$43*1000*AO31/$AO$57</f>
        <v>#REF!</v>
      </c>
      <c r="BA31" s="11" t="e">
        <f>'Share of £1bn'!$F$50*1000*$AO31/$AO$57</f>
        <v>#REF!</v>
      </c>
      <c r="BB31" s="11" t="e">
        <f>'Share of £1bn'!$F$44*1000*AO31/$AO$57</f>
        <v>#REF!</v>
      </c>
      <c r="BD31" s="11" t="e">
        <f>'Share of £1bn'!$F$67*1000*AO31/$AO$57</f>
        <v>#REF!</v>
      </c>
      <c r="BF31" s="11">
        <f>SUMIFS('20-11 M6 deficits'!$BO:$BO,'20-11 M6 deficits'!$C:$C,$C31)*1000</f>
        <v>0</v>
      </c>
      <c r="BH31" s="11" t="e">
        <f t="shared" si="22"/>
        <v>#REF!</v>
      </c>
      <c r="BI31" s="11" t="e">
        <f t="shared" si="23"/>
        <v>#REF!</v>
      </c>
      <c r="BJ31" s="11" t="e">
        <f t="shared" si="24"/>
        <v>#REF!</v>
      </c>
      <c r="BK31" s="11" t="e">
        <f t="shared" si="25"/>
        <v>#REF!</v>
      </c>
      <c r="BL31" s="11" t="e">
        <f t="shared" si="26"/>
        <v>#REF!</v>
      </c>
      <c r="BN31" s="11" t="e">
        <f t="shared" si="27"/>
        <v>#REF!</v>
      </c>
      <c r="BO31" s="11" t="e">
        <f t="shared" si="28"/>
        <v>#REF!</v>
      </c>
      <c r="BP31" s="11" t="e">
        <f t="shared" si="29"/>
        <v>#REF!</v>
      </c>
      <c r="BQ31" s="11" t="e">
        <f t="shared" si="30"/>
        <v>#REF!</v>
      </c>
      <c r="BR31" s="11" t="e">
        <f t="shared" si="31"/>
        <v>#REF!</v>
      </c>
      <c r="BT31" s="11" t="e">
        <f t="shared" si="32"/>
        <v>#REF!</v>
      </c>
      <c r="BU31" s="11" t="e">
        <f t="shared" si="33"/>
        <v>#REF!</v>
      </c>
      <c r="BV31" s="11" t="e">
        <f t="shared" si="34"/>
        <v>#REF!</v>
      </c>
      <c r="BW31" s="11" t="e">
        <f t="shared" si="35"/>
        <v>#REF!</v>
      </c>
      <c r="BX31" s="11" t="e">
        <f t="shared" si="36"/>
        <v>#REF!</v>
      </c>
      <c r="BZ31" s="11" t="e">
        <f t="shared" si="37"/>
        <v>#REF!</v>
      </c>
      <c r="CA31" s="11" t="e">
        <f t="shared" si="38"/>
        <v>#REF!</v>
      </c>
      <c r="CB31" s="11" t="e">
        <f t="shared" si="39"/>
        <v>#REF!</v>
      </c>
      <c r="CC31" s="11" t="e">
        <f t="shared" si="40"/>
        <v>#REF!</v>
      </c>
      <c r="CD31" s="11" t="e">
        <f t="shared" si="41"/>
        <v>#REF!</v>
      </c>
      <c r="CF31" s="11" t="e">
        <f t="shared" si="42"/>
        <v>#REF!</v>
      </c>
      <c r="CG31" s="11" t="e">
        <f t="shared" si="43"/>
        <v>#REF!</v>
      </c>
      <c r="CH31" s="11" t="e">
        <f t="shared" si="44"/>
        <v>#REF!</v>
      </c>
      <c r="CI31" s="11" t="e">
        <f t="shared" si="45"/>
        <v>#REF!</v>
      </c>
      <c r="CJ31" s="11" t="e">
        <f t="shared" si="46"/>
        <v>#REF!</v>
      </c>
      <c r="CM31" s="209">
        <f t="shared" si="47"/>
        <v>0</v>
      </c>
      <c r="CN31" s="209" t="e">
        <f t="shared" si="48"/>
        <v>#REF!</v>
      </c>
      <c r="CO31" s="209" t="e">
        <f t="shared" si="49"/>
        <v>#REF!</v>
      </c>
      <c r="CP31" s="209" t="e">
        <f t="shared" si="50"/>
        <v>#REF!</v>
      </c>
      <c r="CQ31" s="209" t="e">
        <f t="shared" si="51"/>
        <v>#REF!</v>
      </c>
    </row>
    <row r="32" spans="1:95" x14ac:dyDescent="0.25">
      <c r="A32" s="13" t="s">
        <v>72</v>
      </c>
      <c r="B32" s="14" t="s">
        <v>73</v>
      </c>
      <c r="C32" s="4" t="s">
        <v>80</v>
      </c>
      <c r="D32" s="4" t="s">
        <v>81</v>
      </c>
      <c r="E32" s="11">
        <f>SUMIFS('ICB Core Baseline 2024-25'!Q:Q,'ICB Core Baseline 2024-25'!C:C,C32)</f>
        <v>3546989.4042566177</v>
      </c>
      <c r="F32" s="43" t="e">
        <f>SUMIFS(#REF!,#REF!,C32)</f>
        <v>#REF!</v>
      </c>
      <c r="H32" s="43" t="e">
        <f>SUMIFS(#REF!,#REF!,C32)</f>
        <v>#REF!</v>
      </c>
      <c r="I32" s="43" t="e">
        <f t="shared" si="6"/>
        <v>#REF!</v>
      </c>
      <c r="J32" s="43" t="e">
        <f t="shared" si="7"/>
        <v>#REF!</v>
      </c>
      <c r="K32" s="11" t="e">
        <f t="shared" si="0"/>
        <v>#REF!</v>
      </c>
      <c r="L32" s="11" t="e">
        <f t="shared" si="1"/>
        <v>#REF!</v>
      </c>
      <c r="M32" s="43" t="e">
        <f>SUMIFS(#REF!,#REF!,C32)</f>
        <v>#REF!</v>
      </c>
      <c r="N32" s="11" t="e">
        <f t="shared" si="2"/>
        <v>#REF!</v>
      </c>
      <c r="O32" s="43" t="e">
        <f t="shared" si="8"/>
        <v>#REF!</v>
      </c>
      <c r="P32" s="11" t="e">
        <f t="shared" si="3"/>
        <v>#REF!</v>
      </c>
      <c r="Q32" s="11" t="e">
        <f t="shared" si="9"/>
        <v>#REF!</v>
      </c>
      <c r="R32" s="11" t="e">
        <f t="shared" si="4"/>
        <v>#REF!</v>
      </c>
      <c r="S32" s="11" t="e">
        <f>(SUMIFS(#REF!,#REF!,C32)/SUMIFS(#REF!,#REF!,C32))*1000</f>
        <v>#REF!</v>
      </c>
      <c r="T32" s="11" t="e">
        <f t="shared" si="10"/>
        <v>#REF!</v>
      </c>
      <c r="U32" s="11"/>
      <c r="V32" s="11" t="e">
        <f t="shared" si="11"/>
        <v>#REF!</v>
      </c>
      <c r="W32" s="11" t="e">
        <f t="shared" si="12"/>
        <v>#REF!</v>
      </c>
      <c r="X32" s="43" t="e">
        <f t="shared" si="13"/>
        <v>#REF!</v>
      </c>
      <c r="Y32" s="43" t="e">
        <f ca="1">OFFSET(#REF!,MATCH(C32,#REF!,0)+1,0)</f>
        <v>#REF!</v>
      </c>
      <c r="Z32" s="43" t="e">
        <f t="shared" ca="1" si="14"/>
        <v>#REF!</v>
      </c>
      <c r="AA32" s="43" t="e">
        <f t="shared" si="5"/>
        <v>#REF!</v>
      </c>
      <c r="AB32" s="11" t="e">
        <f>SUMIFS(#REF!,#REF!,C32)/(1+1.8%)*(1+1.8%+2.3%)</f>
        <v>#REF!</v>
      </c>
      <c r="AC32" s="11" t="e">
        <f t="shared" si="15"/>
        <v>#REF!</v>
      </c>
      <c r="AD32" s="64"/>
      <c r="AE32" s="11" t="e">
        <f>(SUMIFS(#REF!,#REF!,C32)/(1+1.8%))*(1+1.8%+2.3%)</f>
        <v>#REF!</v>
      </c>
      <c r="AF32" s="11" t="e">
        <f>-SUMIFS(#REF!,#REF!,C32)/1000</f>
        <v>#REF!</v>
      </c>
      <c r="AG32" s="11" t="e">
        <f>SUMIFS(#REF!,#REF!,C32)</f>
        <v>#REF!</v>
      </c>
      <c r="AH32" s="11" t="e">
        <f>SUMIFS(#REF!,#REF!,C32)</f>
        <v>#REF!</v>
      </c>
      <c r="AI32" s="11" t="e">
        <f>SUMIFS(#REF!,#REF!,C32)</f>
        <v>#REF!</v>
      </c>
      <c r="AJ32" s="11" t="e">
        <f>SUMIFS(#REF!,#REF!,C32)</f>
        <v>#REF!</v>
      </c>
      <c r="AK32" s="11"/>
      <c r="AL32" s="11" t="e">
        <f t="shared" si="16"/>
        <v>#REF!</v>
      </c>
      <c r="AN32" s="11" t="e">
        <f t="shared" si="17"/>
        <v>#REF!</v>
      </c>
      <c r="AO32" s="11" t="e">
        <f t="shared" si="18"/>
        <v>#REF!</v>
      </c>
      <c r="AQ32" s="11" t="e">
        <f t="shared" si="19"/>
        <v>#REF!</v>
      </c>
      <c r="AS32" s="43" t="e">
        <f t="shared" si="20"/>
        <v>#REF!</v>
      </c>
      <c r="AT32" s="11" t="e">
        <f t="shared" si="21"/>
        <v>#REF!</v>
      </c>
      <c r="AV32" s="11" t="e">
        <f>'Share of £1bn'!$F$20*1000*$AO32/$AO$57</f>
        <v>#REF!</v>
      </c>
      <c r="AW32" s="11" t="e">
        <f>'Share of £1bn'!$F$27*1000*$AO32/$AO$57</f>
        <v>#REF!</v>
      </c>
      <c r="AX32" s="11" t="e">
        <f>'Share of £1bn'!$F$21*1000*$AO32/$AO$57</f>
        <v>#REF!</v>
      </c>
      <c r="AZ32" s="11" t="e">
        <f>'Share of £1bn'!$F$43*1000*AO32/$AO$57</f>
        <v>#REF!</v>
      </c>
      <c r="BA32" s="11" t="e">
        <f>'Share of £1bn'!$F$50*1000*$AO32/$AO$57</f>
        <v>#REF!</v>
      </c>
      <c r="BB32" s="11" t="e">
        <f>'Share of £1bn'!$F$44*1000*AO32/$AO$57</f>
        <v>#REF!</v>
      </c>
      <c r="BD32" s="11" t="e">
        <f>'Share of £1bn'!$F$67*1000*AO32/$AO$57</f>
        <v>#REF!</v>
      </c>
      <c r="BF32" s="11">
        <f>SUMIFS('20-11 M6 deficits'!$BO:$BO,'20-11 M6 deficits'!$C:$C,$C32)*1000</f>
        <v>0</v>
      </c>
      <c r="BH32" s="11" t="e">
        <f t="shared" si="22"/>
        <v>#REF!</v>
      </c>
      <c r="BI32" s="11" t="e">
        <f t="shared" si="23"/>
        <v>#REF!</v>
      </c>
      <c r="BJ32" s="11" t="e">
        <f t="shared" si="24"/>
        <v>#REF!</v>
      </c>
      <c r="BK32" s="11" t="e">
        <f t="shared" si="25"/>
        <v>#REF!</v>
      </c>
      <c r="BL32" s="11" t="e">
        <f t="shared" si="26"/>
        <v>#REF!</v>
      </c>
      <c r="BN32" s="11" t="e">
        <f t="shared" si="27"/>
        <v>#REF!</v>
      </c>
      <c r="BO32" s="11" t="e">
        <f t="shared" si="28"/>
        <v>#REF!</v>
      </c>
      <c r="BP32" s="11" t="e">
        <f t="shared" si="29"/>
        <v>#REF!</v>
      </c>
      <c r="BQ32" s="11" t="e">
        <f t="shared" si="30"/>
        <v>#REF!</v>
      </c>
      <c r="BR32" s="11" t="e">
        <f t="shared" si="31"/>
        <v>#REF!</v>
      </c>
      <c r="BT32" s="11" t="e">
        <f t="shared" si="32"/>
        <v>#REF!</v>
      </c>
      <c r="BU32" s="11" t="e">
        <f t="shared" si="33"/>
        <v>#REF!</v>
      </c>
      <c r="BV32" s="11" t="e">
        <f t="shared" si="34"/>
        <v>#REF!</v>
      </c>
      <c r="BW32" s="11" t="e">
        <f t="shared" si="35"/>
        <v>#REF!</v>
      </c>
      <c r="BX32" s="11" t="e">
        <f t="shared" si="36"/>
        <v>#REF!</v>
      </c>
      <c r="BZ32" s="11" t="e">
        <f t="shared" si="37"/>
        <v>#REF!</v>
      </c>
      <c r="CA32" s="11" t="e">
        <f t="shared" si="38"/>
        <v>#REF!</v>
      </c>
      <c r="CB32" s="11" t="e">
        <f t="shared" si="39"/>
        <v>#REF!</v>
      </c>
      <c r="CC32" s="11" t="e">
        <f t="shared" si="40"/>
        <v>#REF!</v>
      </c>
      <c r="CD32" s="11" t="e">
        <f t="shared" si="41"/>
        <v>#REF!</v>
      </c>
      <c r="CF32" s="11" t="e">
        <f t="shared" si="42"/>
        <v>#REF!</v>
      </c>
      <c r="CG32" s="11" t="e">
        <f t="shared" si="43"/>
        <v>#REF!</v>
      </c>
      <c r="CH32" s="11" t="e">
        <f t="shared" si="44"/>
        <v>#REF!</v>
      </c>
      <c r="CI32" s="11" t="e">
        <f t="shared" si="45"/>
        <v>#REF!</v>
      </c>
      <c r="CJ32" s="11" t="e">
        <f t="shared" si="46"/>
        <v>#REF!</v>
      </c>
      <c r="CM32" s="209">
        <f t="shared" si="47"/>
        <v>0</v>
      </c>
      <c r="CN32" s="209" t="e">
        <f t="shared" si="48"/>
        <v>#REF!</v>
      </c>
      <c r="CO32" s="209" t="e">
        <f t="shared" si="49"/>
        <v>#REF!</v>
      </c>
      <c r="CP32" s="209" t="e">
        <f t="shared" si="50"/>
        <v>#REF!</v>
      </c>
      <c r="CQ32" s="209" t="e">
        <f t="shared" si="51"/>
        <v>#REF!</v>
      </c>
    </row>
    <row r="33" spans="1:95" x14ac:dyDescent="0.25">
      <c r="A33" s="15" t="s">
        <v>72</v>
      </c>
      <c r="B33" s="16" t="s">
        <v>73</v>
      </c>
      <c r="C33" s="17" t="s">
        <v>82</v>
      </c>
      <c r="D33" s="17" t="s">
        <v>83</v>
      </c>
      <c r="E33" s="18">
        <f>SUMIFS('ICB Core Baseline 2024-25'!Q:Q,'ICB Core Baseline 2024-25'!C:C,C33)</f>
        <v>2648722.1990535683</v>
      </c>
      <c r="F33" s="44" t="e">
        <f>SUMIFS(#REF!,#REF!,C33)</f>
        <v>#REF!</v>
      </c>
      <c r="H33" s="44" t="e">
        <f>SUMIFS(#REF!,#REF!,C33)</f>
        <v>#REF!</v>
      </c>
      <c r="I33" s="44" t="e">
        <f t="shared" si="6"/>
        <v>#REF!</v>
      </c>
      <c r="J33" s="44" t="e">
        <f t="shared" si="7"/>
        <v>#REF!</v>
      </c>
      <c r="K33" s="18" t="e">
        <f t="shared" si="0"/>
        <v>#REF!</v>
      </c>
      <c r="L33" s="18" t="e">
        <f t="shared" si="1"/>
        <v>#REF!</v>
      </c>
      <c r="M33" s="44" t="e">
        <f>SUMIFS(#REF!,#REF!,C33)</f>
        <v>#REF!</v>
      </c>
      <c r="N33" s="18" t="e">
        <f t="shared" si="2"/>
        <v>#REF!</v>
      </c>
      <c r="O33" s="44" t="e">
        <f t="shared" si="8"/>
        <v>#REF!</v>
      </c>
      <c r="P33" s="18" t="e">
        <f t="shared" si="3"/>
        <v>#REF!</v>
      </c>
      <c r="Q33" s="18" t="e">
        <f t="shared" si="9"/>
        <v>#REF!</v>
      </c>
      <c r="R33" s="18" t="e">
        <f t="shared" si="4"/>
        <v>#REF!</v>
      </c>
      <c r="S33" s="18" t="e">
        <f>(SUMIFS(#REF!,#REF!,C33)/SUMIFS(#REF!,#REF!,C33))*1000</f>
        <v>#REF!</v>
      </c>
      <c r="T33" s="18" t="e">
        <f t="shared" si="10"/>
        <v>#REF!</v>
      </c>
      <c r="U33" s="18"/>
      <c r="V33" s="18" t="e">
        <f t="shared" si="11"/>
        <v>#REF!</v>
      </c>
      <c r="W33" s="18" t="e">
        <f t="shared" si="12"/>
        <v>#REF!</v>
      </c>
      <c r="X33" s="44" t="e">
        <f t="shared" si="13"/>
        <v>#REF!</v>
      </c>
      <c r="Y33" s="44" t="e">
        <f ca="1">OFFSET(#REF!,MATCH(C33,#REF!,0)+1,0)</f>
        <v>#REF!</v>
      </c>
      <c r="Z33" s="44" t="e">
        <f t="shared" ca="1" si="14"/>
        <v>#REF!</v>
      </c>
      <c r="AA33" s="44" t="e">
        <f t="shared" si="5"/>
        <v>#REF!</v>
      </c>
      <c r="AB33" s="18" t="e">
        <f>SUMIFS(#REF!,#REF!,C33)/(1+1.8%)*(1+1.8%+2.3%)</f>
        <v>#REF!</v>
      </c>
      <c r="AC33" s="18" t="e">
        <f t="shared" si="15"/>
        <v>#REF!</v>
      </c>
      <c r="AD33" s="65"/>
      <c r="AE33" s="18" t="e">
        <f>(SUMIFS(#REF!,#REF!,C33)/(1+1.8%))*(1+1.8%+2.3%)</f>
        <v>#REF!</v>
      </c>
      <c r="AF33" s="18" t="e">
        <f>-SUMIFS(#REF!,#REF!,C33)/1000</f>
        <v>#REF!</v>
      </c>
      <c r="AG33" s="18" t="e">
        <f>SUMIFS(#REF!,#REF!,C33)</f>
        <v>#REF!</v>
      </c>
      <c r="AH33" s="18" t="e">
        <f>SUMIFS(#REF!,#REF!,C33)</f>
        <v>#REF!</v>
      </c>
      <c r="AI33" s="18" t="e">
        <f>SUMIFS(#REF!,#REF!,C33)</f>
        <v>#REF!</v>
      </c>
      <c r="AJ33" s="18" t="e">
        <f>SUMIFS(#REF!,#REF!,C33)</f>
        <v>#REF!</v>
      </c>
      <c r="AK33" s="18"/>
      <c r="AL33" s="18" t="e">
        <f t="shared" si="16"/>
        <v>#REF!</v>
      </c>
      <c r="AN33" s="18" t="e">
        <f t="shared" si="17"/>
        <v>#REF!</v>
      </c>
      <c r="AO33" s="18" t="e">
        <f t="shared" si="18"/>
        <v>#REF!</v>
      </c>
      <c r="AQ33" s="18" t="e">
        <f t="shared" si="19"/>
        <v>#REF!</v>
      </c>
      <c r="AS33" s="44" t="e">
        <f t="shared" si="20"/>
        <v>#REF!</v>
      </c>
      <c r="AT33" s="18" t="e">
        <f t="shared" si="21"/>
        <v>#REF!</v>
      </c>
      <c r="AV33" s="18" t="e">
        <f>'Share of £1bn'!$F$20*1000*$AO33/$AO$57</f>
        <v>#REF!</v>
      </c>
      <c r="AW33" s="18" t="e">
        <f>'Share of £1bn'!$F$27*1000*$AO33/$AO$57</f>
        <v>#REF!</v>
      </c>
      <c r="AX33" s="18" t="e">
        <f>'Share of £1bn'!$F$21*1000*$AO33/$AO$57</f>
        <v>#REF!</v>
      </c>
      <c r="AZ33" s="18" t="e">
        <f>'Share of £1bn'!$F$43*1000*AO33/$AO$57</f>
        <v>#REF!</v>
      </c>
      <c r="BA33" s="18" t="e">
        <f>'Share of £1bn'!$F$50*1000*$AO33/$AO$57</f>
        <v>#REF!</v>
      </c>
      <c r="BB33" s="18" t="e">
        <f>'Share of £1bn'!$F$44*1000*AO33/$AO$57</f>
        <v>#REF!</v>
      </c>
      <c r="BD33" s="18" t="e">
        <f>'Share of £1bn'!$F$67*1000*AO33/$AO$57</f>
        <v>#REF!</v>
      </c>
      <c r="BF33" s="11">
        <f>SUMIFS('20-11 M6 deficits'!$BO:$BO,'20-11 M6 deficits'!$C:$C,$C33)*1000</f>
        <v>-81600</v>
      </c>
      <c r="BH33" s="18" t="e">
        <f t="shared" si="22"/>
        <v>#REF!</v>
      </c>
      <c r="BI33" s="18" t="e">
        <f t="shared" si="23"/>
        <v>#REF!</v>
      </c>
      <c r="BJ33" s="18" t="e">
        <f t="shared" si="24"/>
        <v>#REF!</v>
      </c>
      <c r="BK33" s="18" t="e">
        <f t="shared" si="25"/>
        <v>#REF!</v>
      </c>
      <c r="BL33" s="18" t="e">
        <f t="shared" si="26"/>
        <v>#REF!</v>
      </c>
      <c r="BN33" s="18" t="e">
        <f t="shared" si="27"/>
        <v>#REF!</v>
      </c>
      <c r="BO33" s="18" t="e">
        <f t="shared" si="28"/>
        <v>#REF!</v>
      </c>
      <c r="BP33" s="18" t="e">
        <f t="shared" si="29"/>
        <v>#REF!</v>
      </c>
      <c r="BQ33" s="18" t="e">
        <f t="shared" si="30"/>
        <v>#REF!</v>
      </c>
      <c r="BR33" s="18" t="e">
        <f t="shared" si="31"/>
        <v>#REF!</v>
      </c>
      <c r="BT33" s="18" t="e">
        <f t="shared" si="32"/>
        <v>#REF!</v>
      </c>
      <c r="BU33" s="18" t="e">
        <f t="shared" si="33"/>
        <v>#REF!</v>
      </c>
      <c r="BV33" s="18" t="e">
        <f t="shared" si="34"/>
        <v>#REF!</v>
      </c>
      <c r="BW33" s="18" t="e">
        <f t="shared" si="35"/>
        <v>#REF!</v>
      </c>
      <c r="BX33" s="18" t="e">
        <f t="shared" si="36"/>
        <v>#REF!</v>
      </c>
      <c r="BZ33" s="18" t="e">
        <f t="shared" si="37"/>
        <v>#REF!</v>
      </c>
      <c r="CA33" s="18" t="e">
        <f t="shared" si="38"/>
        <v>#REF!</v>
      </c>
      <c r="CB33" s="18" t="e">
        <f t="shared" si="39"/>
        <v>#REF!</v>
      </c>
      <c r="CC33" s="18" t="e">
        <f t="shared" si="40"/>
        <v>#REF!</v>
      </c>
      <c r="CD33" s="18" t="e">
        <f t="shared" si="41"/>
        <v>#REF!</v>
      </c>
      <c r="CF33" s="18" t="e">
        <f t="shared" si="42"/>
        <v>#REF!</v>
      </c>
      <c r="CG33" s="18" t="e">
        <f t="shared" si="43"/>
        <v>#REF!</v>
      </c>
      <c r="CH33" s="18" t="e">
        <f t="shared" si="44"/>
        <v>#REF!</v>
      </c>
      <c r="CI33" s="18" t="e">
        <f t="shared" si="45"/>
        <v>#REF!</v>
      </c>
      <c r="CJ33" s="18" t="e">
        <f t="shared" si="46"/>
        <v>#REF!</v>
      </c>
      <c r="CM33" s="209">
        <f t="shared" si="47"/>
        <v>5.1617893953818536E-2</v>
      </c>
      <c r="CN33" s="209" t="e">
        <f t="shared" si="48"/>
        <v>#REF!</v>
      </c>
      <c r="CO33" s="209" t="e">
        <f t="shared" si="49"/>
        <v>#REF!</v>
      </c>
      <c r="CP33" s="209" t="e">
        <f t="shared" si="50"/>
        <v>#REF!</v>
      </c>
      <c r="CQ33" s="209" t="e">
        <f t="shared" si="51"/>
        <v>#REF!</v>
      </c>
    </row>
    <row r="34" spans="1:95" x14ac:dyDescent="0.25">
      <c r="A34" s="10" t="s">
        <v>84</v>
      </c>
      <c r="B34" s="4" t="s">
        <v>85</v>
      </c>
      <c r="C34" s="4" t="s">
        <v>86</v>
      </c>
      <c r="D34" s="4" t="s">
        <v>87</v>
      </c>
      <c r="E34" s="11">
        <f>SUMIFS('ICB Core Baseline 2024-25'!Q:Q,'ICB Core Baseline 2024-25'!C:C,C34)</f>
        <v>2769520.4685177435</v>
      </c>
      <c r="F34" s="43" t="e">
        <f>SUMIFS(#REF!,#REF!,C34)</f>
        <v>#REF!</v>
      </c>
      <c r="H34" s="43" t="e">
        <f>SUMIFS(#REF!,#REF!,C34)</f>
        <v>#REF!</v>
      </c>
      <c r="I34" s="43" t="e">
        <f t="shared" si="6"/>
        <v>#REF!</v>
      </c>
      <c r="J34" s="43" t="e">
        <f t="shared" si="7"/>
        <v>#REF!</v>
      </c>
      <c r="K34" s="11" t="e">
        <f t="shared" si="0"/>
        <v>#REF!</v>
      </c>
      <c r="L34" s="11" t="e">
        <f t="shared" si="1"/>
        <v>#REF!</v>
      </c>
      <c r="M34" s="43" t="e">
        <f>SUMIFS(#REF!,#REF!,C34)</f>
        <v>#REF!</v>
      </c>
      <c r="N34" s="11" t="e">
        <f t="shared" si="2"/>
        <v>#REF!</v>
      </c>
      <c r="O34" s="43" t="e">
        <f t="shared" si="8"/>
        <v>#REF!</v>
      </c>
      <c r="P34" s="11" t="e">
        <f t="shared" si="3"/>
        <v>#REF!</v>
      </c>
      <c r="Q34" s="11" t="e">
        <f t="shared" si="9"/>
        <v>#REF!</v>
      </c>
      <c r="R34" s="11" t="e">
        <f t="shared" si="4"/>
        <v>#REF!</v>
      </c>
      <c r="S34" s="11" t="e">
        <f>(SUMIFS(#REF!,#REF!,C34)/SUMIFS(#REF!,#REF!,C34))*1000</f>
        <v>#REF!</v>
      </c>
      <c r="T34" s="11" t="e">
        <f t="shared" si="10"/>
        <v>#REF!</v>
      </c>
      <c r="U34" s="11"/>
      <c r="V34" s="11" t="e">
        <f t="shared" si="11"/>
        <v>#REF!</v>
      </c>
      <c r="W34" s="11" t="e">
        <f t="shared" si="12"/>
        <v>#REF!</v>
      </c>
      <c r="X34" s="43" t="e">
        <f t="shared" si="13"/>
        <v>#REF!</v>
      </c>
      <c r="Y34" s="43" t="e">
        <f ca="1">OFFSET(#REF!,MATCH(C34,#REF!,0)+1,0)</f>
        <v>#REF!</v>
      </c>
      <c r="Z34" s="43" t="e">
        <f t="shared" ca="1" si="14"/>
        <v>#REF!</v>
      </c>
      <c r="AA34" s="43" t="e">
        <f t="shared" si="5"/>
        <v>#REF!</v>
      </c>
      <c r="AB34" s="11" t="e">
        <f>SUMIFS(#REF!,#REF!,C34)/(1+1.8%)*(1+1.8%+2.3%)</f>
        <v>#REF!</v>
      </c>
      <c r="AC34" s="11" t="e">
        <f t="shared" si="15"/>
        <v>#REF!</v>
      </c>
      <c r="AD34" s="64"/>
      <c r="AE34" s="11" t="e">
        <f>(SUMIFS(#REF!,#REF!,C34)/(1+1.8%))*(1+1.8%+2.3%)</f>
        <v>#REF!</v>
      </c>
      <c r="AF34" s="11" t="e">
        <f>-SUMIFS(#REF!,#REF!,C34)/1000</f>
        <v>#REF!</v>
      </c>
      <c r="AG34" s="11" t="e">
        <f>SUMIFS(#REF!,#REF!,C34)</f>
        <v>#REF!</v>
      </c>
      <c r="AH34" s="11" t="e">
        <f>SUMIFS(#REF!,#REF!,C34)</f>
        <v>#REF!</v>
      </c>
      <c r="AI34" s="11" t="e">
        <f>SUMIFS(#REF!,#REF!,C34)</f>
        <v>#REF!</v>
      </c>
      <c r="AJ34" s="11" t="e">
        <f>SUMIFS(#REF!,#REF!,C34)</f>
        <v>#REF!</v>
      </c>
      <c r="AK34" s="11"/>
      <c r="AL34" s="11" t="e">
        <f t="shared" si="16"/>
        <v>#REF!</v>
      </c>
      <c r="AN34" s="11" t="e">
        <f t="shared" si="17"/>
        <v>#REF!</v>
      </c>
      <c r="AO34" s="11" t="e">
        <f t="shared" si="18"/>
        <v>#REF!</v>
      </c>
      <c r="AQ34" s="11" t="e">
        <f t="shared" si="19"/>
        <v>#REF!</v>
      </c>
      <c r="AS34" s="43" t="e">
        <f t="shared" si="20"/>
        <v>#REF!</v>
      </c>
      <c r="AT34" s="11" t="e">
        <f t="shared" si="21"/>
        <v>#REF!</v>
      </c>
      <c r="AV34" s="11" t="e">
        <f>'Share of £1bn'!$F$20*1000*$AO34/$AO$57</f>
        <v>#REF!</v>
      </c>
      <c r="AW34" s="11" t="e">
        <f>'Share of £1bn'!$F$27*1000*$AO34/$AO$57</f>
        <v>#REF!</v>
      </c>
      <c r="AX34" s="11" t="e">
        <f>'Share of £1bn'!$F$21*1000*$AO34/$AO$57</f>
        <v>#REF!</v>
      </c>
      <c r="AZ34" s="11" t="e">
        <f>'Share of £1bn'!$F$43*1000*AO34/$AO$57</f>
        <v>#REF!</v>
      </c>
      <c r="BA34" s="11" t="e">
        <f>'Share of £1bn'!$F$50*1000*$AO34/$AO$57</f>
        <v>#REF!</v>
      </c>
      <c r="BB34" s="11" t="e">
        <f>'Share of £1bn'!$F$44*1000*AO34/$AO$57</f>
        <v>#REF!</v>
      </c>
      <c r="BD34" s="11" t="e">
        <f>'Share of £1bn'!$F$67*1000*AO34/$AO$57</f>
        <v>#REF!</v>
      </c>
      <c r="BF34" s="11">
        <f>SUMIFS('20-11 M6 deficits'!$BO:$BO,'20-11 M6 deficits'!$C:$C,$C34)*1000</f>
        <v>-20400</v>
      </c>
      <c r="BH34" s="11" t="e">
        <f t="shared" si="22"/>
        <v>#REF!</v>
      </c>
      <c r="BI34" s="11" t="e">
        <f t="shared" si="23"/>
        <v>#REF!</v>
      </c>
      <c r="BJ34" s="11" t="e">
        <f t="shared" si="24"/>
        <v>#REF!</v>
      </c>
      <c r="BK34" s="11" t="e">
        <f t="shared" si="25"/>
        <v>#REF!</v>
      </c>
      <c r="BL34" s="11" t="e">
        <f t="shared" si="26"/>
        <v>#REF!</v>
      </c>
      <c r="BN34" s="11" t="e">
        <f t="shared" si="27"/>
        <v>#REF!</v>
      </c>
      <c r="BO34" s="11" t="e">
        <f t="shared" si="28"/>
        <v>#REF!</v>
      </c>
      <c r="BP34" s="11" t="e">
        <f t="shared" si="29"/>
        <v>#REF!</v>
      </c>
      <c r="BQ34" s="11" t="e">
        <f t="shared" si="30"/>
        <v>#REF!</v>
      </c>
      <c r="BR34" s="11" t="e">
        <f t="shared" si="31"/>
        <v>#REF!</v>
      </c>
      <c r="BT34" s="11" t="e">
        <f t="shared" si="32"/>
        <v>#REF!</v>
      </c>
      <c r="BU34" s="11" t="e">
        <f t="shared" si="33"/>
        <v>#REF!</v>
      </c>
      <c r="BV34" s="11" t="e">
        <f t="shared" si="34"/>
        <v>#REF!</v>
      </c>
      <c r="BW34" s="11" t="e">
        <f t="shared" si="35"/>
        <v>#REF!</v>
      </c>
      <c r="BX34" s="11" t="e">
        <f t="shared" si="36"/>
        <v>#REF!</v>
      </c>
      <c r="BZ34" s="11" t="e">
        <f t="shared" si="37"/>
        <v>#REF!</v>
      </c>
      <c r="CA34" s="11" t="e">
        <f t="shared" si="38"/>
        <v>#REF!</v>
      </c>
      <c r="CB34" s="11" t="e">
        <f t="shared" si="39"/>
        <v>#REF!</v>
      </c>
      <c r="CC34" s="11" t="e">
        <f t="shared" si="40"/>
        <v>#REF!</v>
      </c>
      <c r="CD34" s="11" t="e">
        <f t="shared" si="41"/>
        <v>#REF!</v>
      </c>
      <c r="CF34" s="11" t="e">
        <f t="shared" si="42"/>
        <v>#REF!</v>
      </c>
      <c r="CG34" s="11" t="e">
        <f t="shared" si="43"/>
        <v>#REF!</v>
      </c>
      <c r="CH34" s="11" t="e">
        <f t="shared" si="44"/>
        <v>#REF!</v>
      </c>
      <c r="CI34" s="11" t="e">
        <f t="shared" si="45"/>
        <v>#REF!</v>
      </c>
      <c r="CJ34" s="11" t="e">
        <f t="shared" si="46"/>
        <v>#REF!</v>
      </c>
      <c r="CM34" s="209">
        <f t="shared" si="47"/>
        <v>1.2904473488454634E-2</v>
      </c>
      <c r="CN34" s="209" t="e">
        <f t="shared" si="48"/>
        <v>#REF!</v>
      </c>
      <c r="CO34" s="209" t="e">
        <f t="shared" si="49"/>
        <v>#REF!</v>
      </c>
      <c r="CP34" s="209" t="e">
        <f t="shared" si="50"/>
        <v>#REF!</v>
      </c>
      <c r="CQ34" s="209" t="e">
        <f t="shared" si="51"/>
        <v>#REF!</v>
      </c>
    </row>
    <row r="35" spans="1:95" x14ac:dyDescent="0.25">
      <c r="A35" s="13" t="s">
        <v>84</v>
      </c>
      <c r="B35" s="14" t="s">
        <v>85</v>
      </c>
      <c r="C35" s="4" t="s">
        <v>88</v>
      </c>
      <c r="D35" s="4" t="s">
        <v>89</v>
      </c>
      <c r="E35" s="11">
        <f>SUMIFS('ICB Core Baseline 2024-25'!Q:Q,'ICB Core Baseline 2024-25'!C:C,C35)</f>
        <v>1227431.9215465274</v>
      </c>
      <c r="F35" s="43" t="e">
        <f>SUMIFS(#REF!,#REF!,C35)</f>
        <v>#REF!</v>
      </c>
      <c r="H35" s="43" t="e">
        <f>SUMIFS(#REF!,#REF!,C35)</f>
        <v>#REF!</v>
      </c>
      <c r="I35" s="43" t="e">
        <f t="shared" si="6"/>
        <v>#REF!</v>
      </c>
      <c r="J35" s="43" t="e">
        <f t="shared" si="7"/>
        <v>#REF!</v>
      </c>
      <c r="K35" s="11" t="e">
        <f t="shared" si="0"/>
        <v>#REF!</v>
      </c>
      <c r="L35" s="11" t="e">
        <f t="shared" si="1"/>
        <v>#REF!</v>
      </c>
      <c r="M35" s="43" t="e">
        <f>SUMIFS(#REF!,#REF!,C35)</f>
        <v>#REF!</v>
      </c>
      <c r="N35" s="11" t="e">
        <f t="shared" si="2"/>
        <v>#REF!</v>
      </c>
      <c r="O35" s="43" t="e">
        <f t="shared" si="8"/>
        <v>#REF!</v>
      </c>
      <c r="P35" s="11" t="e">
        <f t="shared" si="3"/>
        <v>#REF!</v>
      </c>
      <c r="Q35" s="11" t="e">
        <f t="shared" si="9"/>
        <v>#REF!</v>
      </c>
      <c r="R35" s="11" t="e">
        <f t="shared" si="4"/>
        <v>#REF!</v>
      </c>
      <c r="S35" s="11" t="e">
        <f>(SUMIFS(#REF!,#REF!,C35)/SUMIFS(#REF!,#REF!,C35))*1000</f>
        <v>#REF!</v>
      </c>
      <c r="T35" s="11" t="e">
        <f t="shared" si="10"/>
        <v>#REF!</v>
      </c>
      <c r="U35" s="11"/>
      <c r="V35" s="11" t="e">
        <f t="shared" si="11"/>
        <v>#REF!</v>
      </c>
      <c r="W35" s="11" t="e">
        <f t="shared" si="12"/>
        <v>#REF!</v>
      </c>
      <c r="X35" s="43" t="e">
        <f t="shared" si="13"/>
        <v>#REF!</v>
      </c>
      <c r="Y35" s="43" t="e">
        <f ca="1">OFFSET(#REF!,MATCH(C35,#REF!,0)+1,0)</f>
        <v>#REF!</v>
      </c>
      <c r="Z35" s="43" t="e">
        <f t="shared" ca="1" si="14"/>
        <v>#REF!</v>
      </c>
      <c r="AA35" s="43" t="e">
        <f t="shared" si="5"/>
        <v>#REF!</v>
      </c>
      <c r="AB35" s="11" t="e">
        <f>SUMIFS(#REF!,#REF!,C35)/(1+1.8%)*(1+1.8%+2.3%)</f>
        <v>#REF!</v>
      </c>
      <c r="AC35" s="11" t="e">
        <f t="shared" si="15"/>
        <v>#REF!</v>
      </c>
      <c r="AD35" s="64"/>
      <c r="AE35" s="11" t="e">
        <f>(SUMIFS(#REF!,#REF!,C35)/(1+1.8%))*(1+1.8%+2.3%)</f>
        <v>#REF!</v>
      </c>
      <c r="AF35" s="11" t="e">
        <f>-SUMIFS(#REF!,#REF!,C35)/1000</f>
        <v>#REF!</v>
      </c>
      <c r="AG35" s="11" t="e">
        <f>SUMIFS(#REF!,#REF!,C35)</f>
        <v>#REF!</v>
      </c>
      <c r="AH35" s="11" t="e">
        <f>SUMIFS(#REF!,#REF!,C35)</f>
        <v>#REF!</v>
      </c>
      <c r="AI35" s="11" t="e">
        <f>SUMIFS(#REF!,#REF!,C35)</f>
        <v>#REF!</v>
      </c>
      <c r="AJ35" s="11" t="e">
        <f>SUMIFS(#REF!,#REF!,C35)</f>
        <v>#REF!</v>
      </c>
      <c r="AK35" s="11"/>
      <c r="AL35" s="11" t="e">
        <f t="shared" si="16"/>
        <v>#REF!</v>
      </c>
      <c r="AN35" s="11" t="e">
        <f t="shared" si="17"/>
        <v>#REF!</v>
      </c>
      <c r="AO35" s="11" t="e">
        <f t="shared" si="18"/>
        <v>#REF!</v>
      </c>
      <c r="AQ35" s="11" t="e">
        <f t="shared" si="19"/>
        <v>#REF!</v>
      </c>
      <c r="AS35" s="43" t="e">
        <f t="shared" si="20"/>
        <v>#REF!</v>
      </c>
      <c r="AT35" s="11" t="e">
        <f t="shared" si="21"/>
        <v>#REF!</v>
      </c>
      <c r="AV35" s="11" t="e">
        <f>'Share of £1bn'!$F$20*1000*$AO35/$AO$57</f>
        <v>#REF!</v>
      </c>
      <c r="AW35" s="11" t="e">
        <f>'Share of £1bn'!$F$27*1000*$AO35/$AO$57</f>
        <v>#REF!</v>
      </c>
      <c r="AX35" s="11" t="e">
        <f>'Share of £1bn'!$F$21*1000*$AO35/$AO$57</f>
        <v>#REF!</v>
      </c>
      <c r="AZ35" s="11" t="e">
        <f>'Share of £1bn'!$F$43*1000*AO35/$AO$57</f>
        <v>#REF!</v>
      </c>
      <c r="BA35" s="11" t="e">
        <f>'Share of £1bn'!$F$50*1000*$AO35/$AO$57</f>
        <v>#REF!</v>
      </c>
      <c r="BB35" s="11" t="e">
        <f>'Share of £1bn'!$F$44*1000*AO35/$AO$57</f>
        <v>#REF!</v>
      </c>
      <c r="BD35" s="11" t="e">
        <f>'Share of £1bn'!$F$67*1000*AO35/$AO$57</f>
        <v>#REF!</v>
      </c>
      <c r="BF35" s="11">
        <f>SUMIFS('20-11 M6 deficits'!$BO:$BO,'20-11 M6 deficits'!$C:$C,$C35)*1000</f>
        <v>-10000</v>
      </c>
      <c r="BH35" s="11" t="e">
        <f t="shared" si="22"/>
        <v>#REF!</v>
      </c>
      <c r="BI35" s="11" t="e">
        <f t="shared" si="23"/>
        <v>#REF!</v>
      </c>
      <c r="BJ35" s="11" t="e">
        <f t="shared" si="24"/>
        <v>#REF!</v>
      </c>
      <c r="BK35" s="11" t="e">
        <f t="shared" si="25"/>
        <v>#REF!</v>
      </c>
      <c r="BL35" s="11" t="e">
        <f t="shared" si="26"/>
        <v>#REF!</v>
      </c>
      <c r="BN35" s="11" t="e">
        <f t="shared" si="27"/>
        <v>#REF!</v>
      </c>
      <c r="BO35" s="11" t="e">
        <f t="shared" si="28"/>
        <v>#REF!</v>
      </c>
      <c r="BP35" s="11" t="e">
        <f t="shared" si="29"/>
        <v>#REF!</v>
      </c>
      <c r="BQ35" s="11" t="e">
        <f t="shared" si="30"/>
        <v>#REF!</v>
      </c>
      <c r="BR35" s="11" t="e">
        <f t="shared" si="31"/>
        <v>#REF!</v>
      </c>
      <c r="BT35" s="11" t="e">
        <f t="shared" si="32"/>
        <v>#REF!</v>
      </c>
      <c r="BU35" s="11" t="e">
        <f t="shared" si="33"/>
        <v>#REF!</v>
      </c>
      <c r="BV35" s="11" t="e">
        <f t="shared" si="34"/>
        <v>#REF!</v>
      </c>
      <c r="BW35" s="11" t="e">
        <f t="shared" si="35"/>
        <v>#REF!</v>
      </c>
      <c r="BX35" s="11" t="e">
        <f t="shared" si="36"/>
        <v>#REF!</v>
      </c>
      <c r="BZ35" s="11" t="e">
        <f t="shared" si="37"/>
        <v>#REF!</v>
      </c>
      <c r="CA35" s="11" t="e">
        <f t="shared" si="38"/>
        <v>#REF!</v>
      </c>
      <c r="CB35" s="11" t="e">
        <f t="shared" si="39"/>
        <v>#REF!</v>
      </c>
      <c r="CC35" s="11" t="e">
        <f t="shared" si="40"/>
        <v>#REF!</v>
      </c>
      <c r="CD35" s="11" t="e">
        <f t="shared" si="41"/>
        <v>#REF!</v>
      </c>
      <c r="CF35" s="11" t="e">
        <f t="shared" si="42"/>
        <v>#REF!</v>
      </c>
      <c r="CG35" s="11" t="e">
        <f t="shared" si="43"/>
        <v>#REF!</v>
      </c>
      <c r="CH35" s="11" t="e">
        <f t="shared" si="44"/>
        <v>#REF!</v>
      </c>
      <c r="CI35" s="11" t="e">
        <f t="shared" si="45"/>
        <v>#REF!</v>
      </c>
      <c r="CJ35" s="11" t="e">
        <f t="shared" si="46"/>
        <v>#REF!</v>
      </c>
      <c r="CM35" s="209">
        <f t="shared" si="47"/>
        <v>6.3257222982620754E-3</v>
      </c>
      <c r="CN35" s="209" t="e">
        <f t="shared" si="48"/>
        <v>#REF!</v>
      </c>
      <c r="CO35" s="209" t="e">
        <f t="shared" si="49"/>
        <v>#REF!</v>
      </c>
      <c r="CP35" s="209" t="e">
        <f t="shared" si="50"/>
        <v>#REF!</v>
      </c>
      <c r="CQ35" s="209" t="e">
        <f t="shared" si="51"/>
        <v>#REF!</v>
      </c>
    </row>
    <row r="36" spans="1:95" x14ac:dyDescent="0.25">
      <c r="A36" s="13" t="s">
        <v>84</v>
      </c>
      <c r="B36" s="14" t="s">
        <v>85</v>
      </c>
      <c r="C36" s="4" t="s">
        <v>90</v>
      </c>
      <c r="D36" s="4" t="s">
        <v>91</v>
      </c>
      <c r="E36" s="11">
        <f>SUMIFS('ICB Core Baseline 2024-25'!Q:Q,'ICB Core Baseline 2024-25'!C:C,C36)</f>
        <v>3206852.1433185297</v>
      </c>
      <c r="F36" s="43" t="e">
        <f>SUMIFS(#REF!,#REF!,C36)</f>
        <v>#REF!</v>
      </c>
      <c r="H36" s="43" t="e">
        <f>SUMIFS(#REF!,#REF!,C36)</f>
        <v>#REF!</v>
      </c>
      <c r="I36" s="43" t="e">
        <f t="shared" si="6"/>
        <v>#REF!</v>
      </c>
      <c r="J36" s="43" t="e">
        <f t="shared" si="7"/>
        <v>#REF!</v>
      </c>
      <c r="K36" s="11" t="e">
        <f t="shared" si="0"/>
        <v>#REF!</v>
      </c>
      <c r="L36" s="11" t="e">
        <f t="shared" si="1"/>
        <v>#REF!</v>
      </c>
      <c r="M36" s="43" t="e">
        <f>SUMIFS(#REF!,#REF!,C36)</f>
        <v>#REF!</v>
      </c>
      <c r="N36" s="11" t="e">
        <f t="shared" si="2"/>
        <v>#REF!</v>
      </c>
      <c r="O36" s="43" t="e">
        <f t="shared" si="8"/>
        <v>#REF!</v>
      </c>
      <c r="P36" s="11" t="e">
        <f t="shared" si="3"/>
        <v>#REF!</v>
      </c>
      <c r="Q36" s="11" t="e">
        <f t="shared" si="9"/>
        <v>#REF!</v>
      </c>
      <c r="R36" s="11" t="e">
        <f t="shared" si="4"/>
        <v>#REF!</v>
      </c>
      <c r="S36" s="11" t="e">
        <f>(SUMIFS(#REF!,#REF!,C36)/SUMIFS(#REF!,#REF!,C36))*1000</f>
        <v>#REF!</v>
      </c>
      <c r="T36" s="11" t="e">
        <f t="shared" si="10"/>
        <v>#REF!</v>
      </c>
      <c r="U36" s="11"/>
      <c r="V36" s="11" t="e">
        <f t="shared" si="11"/>
        <v>#REF!</v>
      </c>
      <c r="W36" s="11" t="e">
        <f t="shared" si="12"/>
        <v>#REF!</v>
      </c>
      <c r="X36" s="43" t="e">
        <f t="shared" si="13"/>
        <v>#REF!</v>
      </c>
      <c r="Y36" s="43" t="e">
        <f ca="1">OFFSET(#REF!,MATCH(C36,#REF!,0)+1,0)</f>
        <v>#REF!</v>
      </c>
      <c r="Z36" s="43" t="e">
        <f t="shared" ca="1" si="14"/>
        <v>#REF!</v>
      </c>
      <c r="AA36" s="43" t="e">
        <f t="shared" si="5"/>
        <v>#REF!</v>
      </c>
      <c r="AB36" s="11" t="e">
        <f>SUMIFS(#REF!,#REF!,C36)/(1+1.8%)*(1+1.8%+2.3%)</f>
        <v>#REF!</v>
      </c>
      <c r="AC36" s="11" t="e">
        <f t="shared" si="15"/>
        <v>#REF!</v>
      </c>
      <c r="AD36" s="64"/>
      <c r="AE36" s="11" t="e">
        <f>(SUMIFS(#REF!,#REF!,C36)/(1+1.8%))*(1+1.8%+2.3%)</f>
        <v>#REF!</v>
      </c>
      <c r="AF36" s="11" t="e">
        <f>-SUMIFS(#REF!,#REF!,C36)/1000</f>
        <v>#REF!</v>
      </c>
      <c r="AG36" s="11" t="e">
        <f>SUMIFS(#REF!,#REF!,C36)</f>
        <v>#REF!</v>
      </c>
      <c r="AH36" s="11" t="e">
        <f>SUMIFS(#REF!,#REF!,C36)</f>
        <v>#REF!</v>
      </c>
      <c r="AI36" s="11" t="e">
        <f>SUMIFS(#REF!,#REF!,C36)</f>
        <v>#REF!</v>
      </c>
      <c r="AJ36" s="11" t="e">
        <f>SUMIFS(#REF!,#REF!,C36)</f>
        <v>#REF!</v>
      </c>
      <c r="AK36" s="11"/>
      <c r="AL36" s="11" t="e">
        <f t="shared" si="16"/>
        <v>#REF!</v>
      </c>
      <c r="AN36" s="11" t="e">
        <f t="shared" si="17"/>
        <v>#REF!</v>
      </c>
      <c r="AO36" s="11" t="e">
        <f t="shared" si="18"/>
        <v>#REF!</v>
      </c>
      <c r="AQ36" s="11" t="e">
        <f t="shared" si="19"/>
        <v>#REF!</v>
      </c>
      <c r="AS36" s="43" t="e">
        <f t="shared" si="20"/>
        <v>#REF!</v>
      </c>
      <c r="AT36" s="11" t="e">
        <f t="shared" si="21"/>
        <v>#REF!</v>
      </c>
      <c r="AV36" s="11" t="e">
        <f>'Share of £1bn'!$F$20*1000*$AO36/$AO$57</f>
        <v>#REF!</v>
      </c>
      <c r="AW36" s="11" t="e">
        <f>'Share of £1bn'!$F$27*1000*$AO36/$AO$57</f>
        <v>#REF!</v>
      </c>
      <c r="AX36" s="11" t="e">
        <f>'Share of £1bn'!$F$21*1000*$AO36/$AO$57</f>
        <v>#REF!</v>
      </c>
      <c r="AZ36" s="11" t="e">
        <f>'Share of £1bn'!$F$43*1000*AO36/$AO$57</f>
        <v>#REF!</v>
      </c>
      <c r="BA36" s="11" t="e">
        <f>'Share of £1bn'!$F$50*1000*$AO36/$AO$57</f>
        <v>#REF!</v>
      </c>
      <c r="BB36" s="11" t="e">
        <f>'Share of £1bn'!$F$44*1000*AO36/$AO$57</f>
        <v>#REF!</v>
      </c>
      <c r="BD36" s="11" t="e">
        <f>'Share of £1bn'!$F$67*1000*AO36/$AO$57</f>
        <v>#REF!</v>
      </c>
      <c r="BF36" s="11">
        <f>SUMIFS('20-11 M6 deficits'!$BO:$BO,'20-11 M6 deficits'!$C:$C,$C36)*1000</f>
        <v>-130000</v>
      </c>
      <c r="BH36" s="11" t="e">
        <f t="shared" si="22"/>
        <v>#REF!</v>
      </c>
      <c r="BI36" s="11" t="e">
        <f t="shared" si="23"/>
        <v>#REF!</v>
      </c>
      <c r="BJ36" s="11" t="e">
        <f t="shared" si="24"/>
        <v>#REF!</v>
      </c>
      <c r="BK36" s="11" t="e">
        <f t="shared" si="25"/>
        <v>#REF!</v>
      </c>
      <c r="BL36" s="11" t="e">
        <f t="shared" si="26"/>
        <v>#REF!</v>
      </c>
      <c r="BN36" s="11" t="e">
        <f t="shared" si="27"/>
        <v>#REF!</v>
      </c>
      <c r="BO36" s="11" t="e">
        <f t="shared" si="28"/>
        <v>#REF!</v>
      </c>
      <c r="BP36" s="11" t="e">
        <f t="shared" si="29"/>
        <v>#REF!</v>
      </c>
      <c r="BQ36" s="11" t="e">
        <f t="shared" si="30"/>
        <v>#REF!</v>
      </c>
      <c r="BR36" s="11" t="e">
        <f t="shared" si="31"/>
        <v>#REF!</v>
      </c>
      <c r="BT36" s="11" t="e">
        <f t="shared" si="32"/>
        <v>#REF!</v>
      </c>
      <c r="BU36" s="11" t="e">
        <f t="shared" si="33"/>
        <v>#REF!</v>
      </c>
      <c r="BV36" s="11" t="e">
        <f t="shared" si="34"/>
        <v>#REF!</v>
      </c>
      <c r="BW36" s="11" t="e">
        <f t="shared" si="35"/>
        <v>#REF!</v>
      </c>
      <c r="BX36" s="11" t="e">
        <f t="shared" si="36"/>
        <v>#REF!</v>
      </c>
      <c r="BZ36" s="11" t="e">
        <f t="shared" si="37"/>
        <v>#REF!</v>
      </c>
      <c r="CA36" s="11" t="e">
        <f t="shared" si="38"/>
        <v>#REF!</v>
      </c>
      <c r="CB36" s="11" t="e">
        <f t="shared" si="39"/>
        <v>#REF!</v>
      </c>
      <c r="CC36" s="11" t="e">
        <f t="shared" si="40"/>
        <v>#REF!</v>
      </c>
      <c r="CD36" s="11" t="e">
        <f t="shared" si="41"/>
        <v>#REF!</v>
      </c>
      <c r="CF36" s="11" t="e">
        <f t="shared" si="42"/>
        <v>#REF!</v>
      </c>
      <c r="CG36" s="11" t="e">
        <f t="shared" si="43"/>
        <v>#REF!</v>
      </c>
      <c r="CH36" s="11" t="e">
        <f t="shared" si="44"/>
        <v>#REF!</v>
      </c>
      <c r="CI36" s="11" t="e">
        <f t="shared" si="45"/>
        <v>#REF!</v>
      </c>
      <c r="CJ36" s="11" t="e">
        <f t="shared" si="46"/>
        <v>#REF!</v>
      </c>
      <c r="CM36" s="209">
        <f t="shared" si="47"/>
        <v>8.2234389877406971E-2</v>
      </c>
      <c r="CN36" s="209" t="e">
        <f t="shared" si="48"/>
        <v>#REF!</v>
      </c>
      <c r="CO36" s="209" t="e">
        <f t="shared" si="49"/>
        <v>#REF!</v>
      </c>
      <c r="CP36" s="209" t="e">
        <f t="shared" si="50"/>
        <v>#REF!</v>
      </c>
      <c r="CQ36" s="209" t="e">
        <f t="shared" si="51"/>
        <v>#REF!</v>
      </c>
    </row>
    <row r="37" spans="1:95" x14ac:dyDescent="0.25">
      <c r="A37" s="13" t="s">
        <v>84</v>
      </c>
      <c r="B37" s="14" t="s">
        <v>85</v>
      </c>
      <c r="C37" s="4" t="s">
        <v>92</v>
      </c>
      <c r="D37" s="4" t="s">
        <v>93</v>
      </c>
      <c r="E37" s="11">
        <f>SUMIFS('ICB Core Baseline 2024-25'!Q:Q,'ICB Core Baseline 2024-25'!C:C,C37)</f>
        <v>3320649.430494213</v>
      </c>
      <c r="F37" s="43" t="e">
        <f>SUMIFS(#REF!,#REF!,C37)</f>
        <v>#REF!</v>
      </c>
      <c r="H37" s="43" t="e">
        <f>SUMIFS(#REF!,#REF!,C37)</f>
        <v>#REF!</v>
      </c>
      <c r="I37" s="43" t="e">
        <f t="shared" si="6"/>
        <v>#REF!</v>
      </c>
      <c r="J37" s="43" t="e">
        <f t="shared" si="7"/>
        <v>#REF!</v>
      </c>
      <c r="K37" s="11" t="e">
        <f t="shared" si="0"/>
        <v>#REF!</v>
      </c>
      <c r="L37" s="11" t="e">
        <f t="shared" si="1"/>
        <v>#REF!</v>
      </c>
      <c r="M37" s="43" t="e">
        <f>SUMIFS(#REF!,#REF!,C37)</f>
        <v>#REF!</v>
      </c>
      <c r="N37" s="11" t="e">
        <f t="shared" si="2"/>
        <v>#REF!</v>
      </c>
      <c r="O37" s="43" t="e">
        <f t="shared" si="8"/>
        <v>#REF!</v>
      </c>
      <c r="P37" s="11" t="e">
        <f t="shared" si="3"/>
        <v>#REF!</v>
      </c>
      <c r="Q37" s="11" t="e">
        <f t="shared" si="9"/>
        <v>#REF!</v>
      </c>
      <c r="R37" s="11" t="e">
        <f t="shared" si="4"/>
        <v>#REF!</v>
      </c>
      <c r="S37" s="11" t="e">
        <f>(SUMIFS(#REF!,#REF!,C37)/SUMIFS(#REF!,#REF!,C37))*1000</f>
        <v>#REF!</v>
      </c>
      <c r="T37" s="11" t="e">
        <f t="shared" si="10"/>
        <v>#REF!</v>
      </c>
      <c r="U37" s="11"/>
      <c r="V37" s="11" t="e">
        <f t="shared" si="11"/>
        <v>#REF!</v>
      </c>
      <c r="W37" s="11" t="e">
        <f t="shared" si="12"/>
        <v>#REF!</v>
      </c>
      <c r="X37" s="43" t="e">
        <f t="shared" si="13"/>
        <v>#REF!</v>
      </c>
      <c r="Y37" s="43" t="e">
        <f ca="1">OFFSET(#REF!,MATCH(C37,#REF!,0)+1,0)</f>
        <v>#REF!</v>
      </c>
      <c r="Z37" s="43" t="e">
        <f t="shared" ca="1" si="14"/>
        <v>#REF!</v>
      </c>
      <c r="AA37" s="43" t="e">
        <f t="shared" si="5"/>
        <v>#REF!</v>
      </c>
      <c r="AB37" s="11" t="e">
        <f>SUMIFS(#REF!,#REF!,C37)/(1+1.8%)*(1+1.8%+2.3%)</f>
        <v>#REF!</v>
      </c>
      <c r="AC37" s="11" t="e">
        <f t="shared" si="15"/>
        <v>#REF!</v>
      </c>
      <c r="AD37" s="64"/>
      <c r="AE37" s="11" t="e">
        <f>(SUMIFS(#REF!,#REF!,C37)/(1+1.8%))*(1+1.8%+2.3%)</f>
        <v>#REF!</v>
      </c>
      <c r="AF37" s="11" t="e">
        <f>-SUMIFS(#REF!,#REF!,C37)/1000</f>
        <v>#REF!</v>
      </c>
      <c r="AG37" s="11" t="e">
        <f>SUMIFS(#REF!,#REF!,C37)</f>
        <v>#REF!</v>
      </c>
      <c r="AH37" s="11" t="e">
        <f>SUMIFS(#REF!,#REF!,C37)</f>
        <v>#REF!</v>
      </c>
      <c r="AI37" s="11" t="e">
        <f>SUMIFS(#REF!,#REF!,C37)</f>
        <v>#REF!</v>
      </c>
      <c r="AJ37" s="11" t="e">
        <f>SUMIFS(#REF!,#REF!,C37)</f>
        <v>#REF!</v>
      </c>
      <c r="AK37" s="11"/>
      <c r="AL37" s="11" t="e">
        <f t="shared" si="16"/>
        <v>#REF!</v>
      </c>
      <c r="AN37" s="11" t="e">
        <f t="shared" si="17"/>
        <v>#REF!</v>
      </c>
      <c r="AO37" s="11" t="e">
        <f t="shared" si="18"/>
        <v>#REF!</v>
      </c>
      <c r="AQ37" s="11" t="e">
        <f t="shared" si="19"/>
        <v>#REF!</v>
      </c>
      <c r="AS37" s="43" t="e">
        <f t="shared" si="20"/>
        <v>#REF!</v>
      </c>
      <c r="AT37" s="11" t="e">
        <f t="shared" si="21"/>
        <v>#REF!</v>
      </c>
      <c r="AV37" s="11" t="e">
        <f>'Share of £1bn'!$F$20*1000*$AO37/$AO$57</f>
        <v>#REF!</v>
      </c>
      <c r="AW37" s="11" t="e">
        <f>'Share of £1bn'!$F$27*1000*$AO37/$AO$57</f>
        <v>#REF!</v>
      </c>
      <c r="AX37" s="11" t="e">
        <f>'Share of £1bn'!$F$21*1000*$AO37/$AO$57</f>
        <v>#REF!</v>
      </c>
      <c r="AZ37" s="11" t="e">
        <f>'Share of £1bn'!$F$43*1000*AO37/$AO$57</f>
        <v>#REF!</v>
      </c>
      <c r="BA37" s="11" t="e">
        <f>'Share of £1bn'!$F$50*1000*$AO37/$AO$57</f>
        <v>#REF!</v>
      </c>
      <c r="BB37" s="11" t="e">
        <f>'Share of £1bn'!$F$44*1000*AO37/$AO$57</f>
        <v>#REF!</v>
      </c>
      <c r="BD37" s="11" t="e">
        <f>'Share of £1bn'!$F$67*1000*AO37/$AO$57</f>
        <v>#REF!</v>
      </c>
      <c r="BF37" s="11">
        <f>SUMIFS('20-11 M6 deficits'!$BO:$BO,'20-11 M6 deficits'!$C:$C,$C37)*1000</f>
        <v>-100000</v>
      </c>
      <c r="BH37" s="11" t="e">
        <f t="shared" si="22"/>
        <v>#REF!</v>
      </c>
      <c r="BI37" s="11" t="e">
        <f t="shared" si="23"/>
        <v>#REF!</v>
      </c>
      <c r="BJ37" s="11" t="e">
        <f t="shared" si="24"/>
        <v>#REF!</v>
      </c>
      <c r="BK37" s="11" t="e">
        <f t="shared" si="25"/>
        <v>#REF!</v>
      </c>
      <c r="BL37" s="11" t="e">
        <f t="shared" si="26"/>
        <v>#REF!</v>
      </c>
      <c r="BN37" s="11" t="e">
        <f t="shared" si="27"/>
        <v>#REF!</v>
      </c>
      <c r="BO37" s="11" t="e">
        <f t="shared" si="28"/>
        <v>#REF!</v>
      </c>
      <c r="BP37" s="11" t="e">
        <f t="shared" si="29"/>
        <v>#REF!</v>
      </c>
      <c r="BQ37" s="11" t="e">
        <f t="shared" si="30"/>
        <v>#REF!</v>
      </c>
      <c r="BR37" s="11" t="e">
        <f t="shared" si="31"/>
        <v>#REF!</v>
      </c>
      <c r="BT37" s="11" t="e">
        <f t="shared" si="32"/>
        <v>#REF!</v>
      </c>
      <c r="BU37" s="11" t="e">
        <f t="shared" si="33"/>
        <v>#REF!</v>
      </c>
      <c r="BV37" s="11" t="e">
        <f t="shared" si="34"/>
        <v>#REF!</v>
      </c>
      <c r="BW37" s="11" t="e">
        <f t="shared" si="35"/>
        <v>#REF!</v>
      </c>
      <c r="BX37" s="11" t="e">
        <f t="shared" si="36"/>
        <v>#REF!</v>
      </c>
      <c r="BZ37" s="11" t="e">
        <f t="shared" si="37"/>
        <v>#REF!</v>
      </c>
      <c r="CA37" s="11" t="e">
        <f t="shared" si="38"/>
        <v>#REF!</v>
      </c>
      <c r="CB37" s="11" t="e">
        <f t="shared" si="39"/>
        <v>#REF!</v>
      </c>
      <c r="CC37" s="11" t="e">
        <f t="shared" si="40"/>
        <v>#REF!</v>
      </c>
      <c r="CD37" s="11" t="e">
        <f t="shared" si="41"/>
        <v>#REF!</v>
      </c>
      <c r="CF37" s="11" t="e">
        <f t="shared" si="42"/>
        <v>#REF!</v>
      </c>
      <c r="CG37" s="11" t="e">
        <f t="shared" si="43"/>
        <v>#REF!</v>
      </c>
      <c r="CH37" s="11" t="e">
        <f t="shared" si="44"/>
        <v>#REF!</v>
      </c>
      <c r="CI37" s="11" t="e">
        <f t="shared" si="45"/>
        <v>#REF!</v>
      </c>
      <c r="CJ37" s="11" t="e">
        <f t="shared" si="46"/>
        <v>#REF!</v>
      </c>
      <c r="CM37" s="209">
        <f t="shared" si="47"/>
        <v>6.325722298262075E-2</v>
      </c>
      <c r="CN37" s="209" t="e">
        <f t="shared" si="48"/>
        <v>#REF!</v>
      </c>
      <c r="CO37" s="209" t="e">
        <f t="shared" si="49"/>
        <v>#REF!</v>
      </c>
      <c r="CP37" s="209" t="e">
        <f t="shared" si="50"/>
        <v>#REF!</v>
      </c>
      <c r="CQ37" s="209" t="e">
        <f t="shared" si="51"/>
        <v>#REF!</v>
      </c>
    </row>
    <row r="38" spans="1:95" x14ac:dyDescent="0.25">
      <c r="A38" s="13" t="s">
        <v>84</v>
      </c>
      <c r="B38" s="14" t="s">
        <v>85</v>
      </c>
      <c r="C38" s="4" t="s">
        <v>94</v>
      </c>
      <c r="D38" s="4" t="s">
        <v>95</v>
      </c>
      <c r="E38" s="11">
        <f>SUMIFS('ICB Core Baseline 2024-25'!Q:Q,'ICB Core Baseline 2024-25'!C:C,C38)</f>
        <v>1831234.3662092758</v>
      </c>
      <c r="F38" s="43" t="e">
        <f>SUMIFS(#REF!,#REF!,C38)</f>
        <v>#REF!</v>
      </c>
      <c r="H38" s="43" t="e">
        <f>SUMIFS(#REF!,#REF!,C38)</f>
        <v>#REF!</v>
      </c>
      <c r="I38" s="43" t="e">
        <f t="shared" si="6"/>
        <v>#REF!</v>
      </c>
      <c r="J38" s="43" t="e">
        <f t="shared" si="7"/>
        <v>#REF!</v>
      </c>
      <c r="K38" s="11" t="e">
        <f t="shared" si="0"/>
        <v>#REF!</v>
      </c>
      <c r="L38" s="11" t="e">
        <f t="shared" si="1"/>
        <v>#REF!</v>
      </c>
      <c r="M38" s="43" t="e">
        <f>SUMIFS(#REF!,#REF!,C38)</f>
        <v>#REF!</v>
      </c>
      <c r="N38" s="11" t="e">
        <f t="shared" si="2"/>
        <v>#REF!</v>
      </c>
      <c r="O38" s="43" t="e">
        <f t="shared" si="8"/>
        <v>#REF!</v>
      </c>
      <c r="P38" s="11" t="e">
        <f t="shared" si="3"/>
        <v>#REF!</v>
      </c>
      <c r="Q38" s="11" t="e">
        <f t="shared" si="9"/>
        <v>#REF!</v>
      </c>
      <c r="R38" s="11" t="e">
        <f t="shared" si="4"/>
        <v>#REF!</v>
      </c>
      <c r="S38" s="11" t="e">
        <f>(SUMIFS(#REF!,#REF!,C38)/SUMIFS(#REF!,#REF!,C38))*1000</f>
        <v>#REF!</v>
      </c>
      <c r="T38" s="11" t="e">
        <f t="shared" si="10"/>
        <v>#REF!</v>
      </c>
      <c r="U38" s="11"/>
      <c r="V38" s="11" t="e">
        <f t="shared" si="11"/>
        <v>#REF!</v>
      </c>
      <c r="W38" s="11" t="e">
        <f t="shared" si="12"/>
        <v>#REF!</v>
      </c>
      <c r="X38" s="43" t="e">
        <f t="shared" si="13"/>
        <v>#REF!</v>
      </c>
      <c r="Y38" s="43" t="e">
        <f ca="1">OFFSET(#REF!,MATCH(C38,#REF!,0)+1,0)</f>
        <v>#REF!</v>
      </c>
      <c r="Z38" s="43" t="e">
        <f t="shared" ca="1" si="14"/>
        <v>#REF!</v>
      </c>
      <c r="AA38" s="43" t="e">
        <f t="shared" si="5"/>
        <v>#REF!</v>
      </c>
      <c r="AB38" s="11" t="e">
        <f>SUMIFS(#REF!,#REF!,C38)/(1+1.8%)*(1+1.8%+2.3%)</f>
        <v>#REF!</v>
      </c>
      <c r="AC38" s="11" t="e">
        <f t="shared" si="15"/>
        <v>#REF!</v>
      </c>
      <c r="AD38" s="64"/>
      <c r="AE38" s="11" t="e">
        <f>(SUMIFS(#REF!,#REF!,C38)/(1+1.8%))*(1+1.8%+2.3%)</f>
        <v>#REF!</v>
      </c>
      <c r="AF38" s="11" t="e">
        <f>-SUMIFS(#REF!,#REF!,C38)/1000</f>
        <v>#REF!</v>
      </c>
      <c r="AG38" s="11" t="e">
        <f>SUMIFS(#REF!,#REF!,C38)</f>
        <v>#REF!</v>
      </c>
      <c r="AH38" s="11" t="e">
        <f>SUMIFS(#REF!,#REF!,C38)</f>
        <v>#REF!</v>
      </c>
      <c r="AI38" s="11" t="e">
        <f>SUMIFS(#REF!,#REF!,C38)</f>
        <v>#REF!</v>
      </c>
      <c r="AJ38" s="11" t="e">
        <f>SUMIFS(#REF!,#REF!,C38)</f>
        <v>#REF!</v>
      </c>
      <c r="AK38" s="11"/>
      <c r="AL38" s="11" t="e">
        <f t="shared" si="16"/>
        <v>#REF!</v>
      </c>
      <c r="AN38" s="11" t="e">
        <f t="shared" si="17"/>
        <v>#REF!</v>
      </c>
      <c r="AO38" s="11" t="e">
        <f t="shared" si="18"/>
        <v>#REF!</v>
      </c>
      <c r="AQ38" s="11" t="e">
        <f t="shared" si="19"/>
        <v>#REF!</v>
      </c>
      <c r="AS38" s="43" t="e">
        <f t="shared" si="20"/>
        <v>#REF!</v>
      </c>
      <c r="AT38" s="11" t="e">
        <f t="shared" si="21"/>
        <v>#REF!</v>
      </c>
      <c r="AV38" s="11" t="e">
        <f>'Share of £1bn'!$F$20*1000*$AO38/$AO$57</f>
        <v>#REF!</v>
      </c>
      <c r="AW38" s="11" t="e">
        <f>'Share of £1bn'!$F$27*1000*$AO38/$AO$57</f>
        <v>#REF!</v>
      </c>
      <c r="AX38" s="11" t="e">
        <f>'Share of £1bn'!$F$21*1000*$AO38/$AO$57</f>
        <v>#REF!</v>
      </c>
      <c r="AZ38" s="11" t="e">
        <f>'Share of £1bn'!$F$43*1000*AO38/$AO$57</f>
        <v>#REF!</v>
      </c>
      <c r="BA38" s="11" t="e">
        <f>'Share of £1bn'!$F$50*1000*$AO38/$AO$57</f>
        <v>#REF!</v>
      </c>
      <c r="BB38" s="11" t="e">
        <f>'Share of £1bn'!$F$44*1000*AO38/$AO$57</f>
        <v>#REF!</v>
      </c>
      <c r="BD38" s="11" t="e">
        <f>'Share of £1bn'!$F$67*1000*AO38/$AO$57</f>
        <v>#REF!</v>
      </c>
      <c r="BF38" s="11">
        <f>SUMIFS('20-11 M6 deficits'!$BO:$BO,'20-11 M6 deficits'!$C:$C,$C38)*1000</f>
        <v>0</v>
      </c>
      <c r="BH38" s="11" t="e">
        <f t="shared" si="22"/>
        <v>#REF!</v>
      </c>
      <c r="BI38" s="11" t="e">
        <f t="shared" si="23"/>
        <v>#REF!</v>
      </c>
      <c r="BJ38" s="11" t="e">
        <f t="shared" si="24"/>
        <v>#REF!</v>
      </c>
      <c r="BK38" s="11" t="e">
        <f t="shared" si="25"/>
        <v>#REF!</v>
      </c>
      <c r="BL38" s="11" t="e">
        <f t="shared" si="26"/>
        <v>#REF!</v>
      </c>
      <c r="BN38" s="11" t="e">
        <f t="shared" si="27"/>
        <v>#REF!</v>
      </c>
      <c r="BO38" s="11" t="e">
        <f t="shared" si="28"/>
        <v>#REF!</v>
      </c>
      <c r="BP38" s="11" t="e">
        <f t="shared" si="29"/>
        <v>#REF!</v>
      </c>
      <c r="BQ38" s="11" t="e">
        <f t="shared" si="30"/>
        <v>#REF!</v>
      </c>
      <c r="BR38" s="11" t="e">
        <f t="shared" si="31"/>
        <v>#REF!</v>
      </c>
      <c r="BT38" s="11" t="e">
        <f t="shared" si="32"/>
        <v>#REF!</v>
      </c>
      <c r="BU38" s="11" t="e">
        <f t="shared" si="33"/>
        <v>#REF!</v>
      </c>
      <c r="BV38" s="11" t="e">
        <f t="shared" si="34"/>
        <v>#REF!</v>
      </c>
      <c r="BW38" s="11" t="e">
        <f t="shared" si="35"/>
        <v>#REF!</v>
      </c>
      <c r="BX38" s="11" t="e">
        <f t="shared" si="36"/>
        <v>#REF!</v>
      </c>
      <c r="BZ38" s="11" t="e">
        <f t="shared" si="37"/>
        <v>#REF!</v>
      </c>
      <c r="CA38" s="11" t="e">
        <f t="shared" si="38"/>
        <v>#REF!</v>
      </c>
      <c r="CB38" s="11" t="e">
        <f t="shared" si="39"/>
        <v>#REF!</v>
      </c>
      <c r="CC38" s="11" t="e">
        <f t="shared" si="40"/>
        <v>#REF!</v>
      </c>
      <c r="CD38" s="11" t="e">
        <f t="shared" si="41"/>
        <v>#REF!</v>
      </c>
      <c r="CF38" s="11" t="e">
        <f t="shared" si="42"/>
        <v>#REF!</v>
      </c>
      <c r="CG38" s="11" t="e">
        <f t="shared" si="43"/>
        <v>#REF!</v>
      </c>
      <c r="CH38" s="11" t="e">
        <f t="shared" si="44"/>
        <v>#REF!</v>
      </c>
      <c r="CI38" s="11" t="e">
        <f t="shared" si="45"/>
        <v>#REF!</v>
      </c>
      <c r="CJ38" s="11" t="e">
        <f t="shared" si="46"/>
        <v>#REF!</v>
      </c>
      <c r="CM38" s="209">
        <f t="shared" si="47"/>
        <v>0</v>
      </c>
      <c r="CN38" s="209" t="e">
        <f t="shared" si="48"/>
        <v>#REF!</v>
      </c>
      <c r="CO38" s="209" t="e">
        <f t="shared" si="49"/>
        <v>#REF!</v>
      </c>
      <c r="CP38" s="209" t="e">
        <f t="shared" si="50"/>
        <v>#REF!</v>
      </c>
      <c r="CQ38" s="209" t="e">
        <f t="shared" si="51"/>
        <v>#REF!</v>
      </c>
    </row>
    <row r="39" spans="1:95" x14ac:dyDescent="0.25">
      <c r="A39" s="15" t="s">
        <v>84</v>
      </c>
      <c r="B39" s="16" t="s">
        <v>85</v>
      </c>
      <c r="C39" s="17" t="s">
        <v>96</v>
      </c>
      <c r="D39" s="17" t="s">
        <v>97</v>
      </c>
      <c r="E39" s="18">
        <f>SUMIFS('ICB Core Baseline 2024-25'!Q:Q,'ICB Core Baseline 2024-25'!C:C,C39)</f>
        <v>3226653.8255152423</v>
      </c>
      <c r="F39" s="44" t="e">
        <f>SUMIFS(#REF!,#REF!,C39)</f>
        <v>#REF!</v>
      </c>
      <c r="H39" s="44" t="e">
        <f>SUMIFS(#REF!,#REF!,C39)</f>
        <v>#REF!</v>
      </c>
      <c r="I39" s="44" t="e">
        <f t="shared" si="6"/>
        <v>#REF!</v>
      </c>
      <c r="J39" s="44" t="e">
        <f t="shared" si="7"/>
        <v>#REF!</v>
      </c>
      <c r="K39" s="18" t="e">
        <f t="shared" si="0"/>
        <v>#REF!</v>
      </c>
      <c r="L39" s="18" t="e">
        <f t="shared" si="1"/>
        <v>#REF!</v>
      </c>
      <c r="M39" s="44" t="e">
        <f>SUMIFS(#REF!,#REF!,C39)</f>
        <v>#REF!</v>
      </c>
      <c r="N39" s="18" t="e">
        <f t="shared" si="2"/>
        <v>#REF!</v>
      </c>
      <c r="O39" s="44" t="e">
        <f t="shared" si="8"/>
        <v>#REF!</v>
      </c>
      <c r="P39" s="18" t="e">
        <f t="shared" si="3"/>
        <v>#REF!</v>
      </c>
      <c r="Q39" s="18" t="e">
        <f t="shared" si="9"/>
        <v>#REF!</v>
      </c>
      <c r="R39" s="18" t="e">
        <f t="shared" si="4"/>
        <v>#REF!</v>
      </c>
      <c r="S39" s="18" t="e">
        <f>(SUMIFS(#REF!,#REF!,C39)/SUMIFS(#REF!,#REF!,C39))*1000</f>
        <v>#REF!</v>
      </c>
      <c r="T39" s="18" t="e">
        <f t="shared" si="10"/>
        <v>#REF!</v>
      </c>
      <c r="U39" s="18"/>
      <c r="V39" s="18" t="e">
        <f t="shared" si="11"/>
        <v>#REF!</v>
      </c>
      <c r="W39" s="18" t="e">
        <f t="shared" si="12"/>
        <v>#REF!</v>
      </c>
      <c r="X39" s="44" t="e">
        <f t="shared" si="13"/>
        <v>#REF!</v>
      </c>
      <c r="Y39" s="44" t="e">
        <f ca="1">OFFSET(#REF!,MATCH(C39,#REF!,0)+1,0)</f>
        <v>#REF!</v>
      </c>
      <c r="Z39" s="44" t="e">
        <f t="shared" ca="1" si="14"/>
        <v>#REF!</v>
      </c>
      <c r="AA39" s="44" t="e">
        <f t="shared" si="5"/>
        <v>#REF!</v>
      </c>
      <c r="AB39" s="18" t="e">
        <f>SUMIFS(#REF!,#REF!,C39)/(1+1.8%)*(1+1.8%+2.3%)</f>
        <v>#REF!</v>
      </c>
      <c r="AC39" s="18" t="e">
        <f t="shared" si="15"/>
        <v>#REF!</v>
      </c>
      <c r="AD39" s="65"/>
      <c r="AE39" s="18" t="e">
        <f>(SUMIFS(#REF!,#REF!,C39)/(1+1.8%))*(1+1.8%+2.3%)</f>
        <v>#REF!</v>
      </c>
      <c r="AF39" s="18" t="e">
        <f>-SUMIFS(#REF!,#REF!,C39)/1000</f>
        <v>#REF!</v>
      </c>
      <c r="AG39" s="18" t="e">
        <f>SUMIFS(#REF!,#REF!,C39)</f>
        <v>#REF!</v>
      </c>
      <c r="AH39" s="18" t="e">
        <f>SUMIFS(#REF!,#REF!,C39)</f>
        <v>#REF!</v>
      </c>
      <c r="AI39" s="18" t="e">
        <f>SUMIFS(#REF!,#REF!,C39)</f>
        <v>#REF!</v>
      </c>
      <c r="AJ39" s="18" t="e">
        <f>SUMIFS(#REF!,#REF!,C39)</f>
        <v>#REF!</v>
      </c>
      <c r="AK39" s="18"/>
      <c r="AL39" s="18" t="e">
        <f t="shared" si="16"/>
        <v>#REF!</v>
      </c>
      <c r="AN39" s="18" t="e">
        <f t="shared" si="17"/>
        <v>#REF!</v>
      </c>
      <c r="AO39" s="18" t="e">
        <f t="shared" si="18"/>
        <v>#REF!</v>
      </c>
      <c r="AQ39" s="18" t="e">
        <f t="shared" si="19"/>
        <v>#REF!</v>
      </c>
      <c r="AS39" s="44" t="e">
        <f t="shared" si="20"/>
        <v>#REF!</v>
      </c>
      <c r="AT39" s="18" t="e">
        <f t="shared" si="21"/>
        <v>#REF!</v>
      </c>
      <c r="AV39" s="18" t="e">
        <f>'Share of £1bn'!$F$20*1000*$AO39/$AO$57</f>
        <v>#REF!</v>
      </c>
      <c r="AW39" s="18" t="e">
        <f>'Share of £1bn'!$F$27*1000*$AO39/$AO$57</f>
        <v>#REF!</v>
      </c>
      <c r="AX39" s="18" t="e">
        <f>'Share of £1bn'!$F$21*1000*$AO39/$AO$57</f>
        <v>#REF!</v>
      </c>
      <c r="AZ39" s="18" t="e">
        <f>'Share of £1bn'!$F$43*1000*AO39/$AO$57</f>
        <v>#REF!</v>
      </c>
      <c r="BA39" s="18" t="e">
        <f>'Share of £1bn'!$F$50*1000*$AO39/$AO$57</f>
        <v>#REF!</v>
      </c>
      <c r="BB39" s="18" t="e">
        <f>'Share of £1bn'!$F$44*1000*AO39/$AO$57</f>
        <v>#REF!</v>
      </c>
      <c r="BD39" s="18" t="e">
        <f>'Share of £1bn'!$F$67*1000*AO39/$AO$57</f>
        <v>#REF!</v>
      </c>
      <c r="BF39" s="11">
        <f>SUMIFS('20-11 M6 deficits'!$BO:$BO,'20-11 M6 deficits'!$C:$C,$C39)*1000</f>
        <v>-40000</v>
      </c>
      <c r="BH39" s="18" t="e">
        <f t="shared" si="22"/>
        <v>#REF!</v>
      </c>
      <c r="BI39" s="18" t="e">
        <f t="shared" si="23"/>
        <v>#REF!</v>
      </c>
      <c r="BJ39" s="18" t="e">
        <f t="shared" si="24"/>
        <v>#REF!</v>
      </c>
      <c r="BK39" s="18" t="e">
        <f t="shared" si="25"/>
        <v>#REF!</v>
      </c>
      <c r="BL39" s="18" t="e">
        <f t="shared" si="26"/>
        <v>#REF!</v>
      </c>
      <c r="BN39" s="18" t="e">
        <f t="shared" si="27"/>
        <v>#REF!</v>
      </c>
      <c r="BO39" s="18" t="e">
        <f t="shared" si="28"/>
        <v>#REF!</v>
      </c>
      <c r="BP39" s="18" t="e">
        <f t="shared" si="29"/>
        <v>#REF!</v>
      </c>
      <c r="BQ39" s="18" t="e">
        <f t="shared" si="30"/>
        <v>#REF!</v>
      </c>
      <c r="BR39" s="18" t="e">
        <f t="shared" si="31"/>
        <v>#REF!</v>
      </c>
      <c r="BT39" s="18" t="e">
        <f t="shared" si="32"/>
        <v>#REF!</v>
      </c>
      <c r="BU39" s="18" t="e">
        <f t="shared" si="33"/>
        <v>#REF!</v>
      </c>
      <c r="BV39" s="18" t="e">
        <f t="shared" si="34"/>
        <v>#REF!</v>
      </c>
      <c r="BW39" s="18" t="e">
        <f t="shared" si="35"/>
        <v>#REF!</v>
      </c>
      <c r="BX39" s="18" t="e">
        <f t="shared" si="36"/>
        <v>#REF!</v>
      </c>
      <c r="BZ39" s="18" t="e">
        <f t="shared" si="37"/>
        <v>#REF!</v>
      </c>
      <c r="CA39" s="18" t="e">
        <f t="shared" si="38"/>
        <v>#REF!</v>
      </c>
      <c r="CB39" s="18" t="e">
        <f t="shared" si="39"/>
        <v>#REF!</v>
      </c>
      <c r="CC39" s="18" t="e">
        <f t="shared" si="40"/>
        <v>#REF!</v>
      </c>
      <c r="CD39" s="18" t="e">
        <f t="shared" si="41"/>
        <v>#REF!</v>
      </c>
      <c r="CF39" s="18" t="e">
        <f t="shared" si="42"/>
        <v>#REF!</v>
      </c>
      <c r="CG39" s="18" t="e">
        <f t="shared" si="43"/>
        <v>#REF!</v>
      </c>
      <c r="CH39" s="18" t="e">
        <f t="shared" si="44"/>
        <v>#REF!</v>
      </c>
      <c r="CI39" s="18" t="e">
        <f t="shared" si="45"/>
        <v>#REF!</v>
      </c>
      <c r="CJ39" s="18" t="e">
        <f t="shared" si="46"/>
        <v>#REF!</v>
      </c>
      <c r="CM39" s="209">
        <f t="shared" si="47"/>
        <v>2.5302889193048302E-2</v>
      </c>
      <c r="CN39" s="209" t="e">
        <f t="shared" si="48"/>
        <v>#REF!</v>
      </c>
      <c r="CO39" s="209" t="e">
        <f t="shared" si="49"/>
        <v>#REF!</v>
      </c>
      <c r="CP39" s="209" t="e">
        <f t="shared" si="50"/>
        <v>#REF!</v>
      </c>
      <c r="CQ39" s="209" t="e">
        <f t="shared" si="51"/>
        <v>#REF!</v>
      </c>
    </row>
    <row r="40" spans="1:95" x14ac:dyDescent="0.25">
      <c r="A40" s="10" t="s">
        <v>98</v>
      </c>
      <c r="B40" s="4" t="s">
        <v>99</v>
      </c>
      <c r="C40" s="4" t="s">
        <v>100</v>
      </c>
      <c r="D40" s="4" t="s">
        <v>101</v>
      </c>
      <c r="E40" s="11">
        <f>SUMIFS('ICB Core Baseline 2024-25'!Q:Q,'ICB Core Baseline 2024-25'!C:C,C40)</f>
        <v>1531973.7598892734</v>
      </c>
      <c r="F40" s="43" t="e">
        <f>SUMIFS(#REF!,#REF!,C40)</f>
        <v>#REF!</v>
      </c>
      <c r="H40" s="43" t="e">
        <f>SUMIFS(#REF!,#REF!,C40)</f>
        <v>#REF!</v>
      </c>
      <c r="I40" s="43" t="e">
        <f t="shared" si="6"/>
        <v>#REF!</v>
      </c>
      <c r="J40" s="43" t="e">
        <f t="shared" si="7"/>
        <v>#REF!</v>
      </c>
      <c r="K40" s="11" t="e">
        <f t="shared" si="0"/>
        <v>#REF!</v>
      </c>
      <c r="L40" s="11" t="e">
        <f t="shared" si="1"/>
        <v>#REF!</v>
      </c>
      <c r="M40" s="43" t="e">
        <f>SUMIFS(#REF!,#REF!,C40)</f>
        <v>#REF!</v>
      </c>
      <c r="N40" s="11" t="e">
        <f t="shared" si="2"/>
        <v>#REF!</v>
      </c>
      <c r="O40" s="43" t="e">
        <f t="shared" si="8"/>
        <v>#REF!</v>
      </c>
      <c r="P40" s="11" t="e">
        <f t="shared" si="3"/>
        <v>#REF!</v>
      </c>
      <c r="Q40" s="11" t="e">
        <f t="shared" si="9"/>
        <v>#REF!</v>
      </c>
      <c r="R40" s="11" t="e">
        <f t="shared" si="4"/>
        <v>#REF!</v>
      </c>
      <c r="S40" s="11" t="e">
        <f>(SUMIFS(#REF!,#REF!,C40)/SUMIFS(#REF!,#REF!,C40))*1000</f>
        <v>#REF!</v>
      </c>
      <c r="T40" s="11" t="e">
        <f t="shared" si="10"/>
        <v>#REF!</v>
      </c>
      <c r="U40" s="11"/>
      <c r="V40" s="11" t="e">
        <f t="shared" si="11"/>
        <v>#REF!</v>
      </c>
      <c r="W40" s="11" t="e">
        <f t="shared" si="12"/>
        <v>#REF!</v>
      </c>
      <c r="X40" s="43" t="e">
        <f t="shared" si="13"/>
        <v>#REF!</v>
      </c>
      <c r="Y40" s="43" t="e">
        <f ca="1">OFFSET(#REF!,MATCH(C40,#REF!,0)+1,0)</f>
        <v>#REF!</v>
      </c>
      <c r="Z40" s="43" t="e">
        <f t="shared" ca="1" si="14"/>
        <v>#REF!</v>
      </c>
      <c r="AA40" s="43" t="e">
        <f t="shared" si="5"/>
        <v>#REF!</v>
      </c>
      <c r="AB40" s="11" t="e">
        <f>SUMIFS(#REF!,#REF!,C40)/(1+1.8%)*(1+1.8%+2.3%)</f>
        <v>#REF!</v>
      </c>
      <c r="AC40" s="11" t="e">
        <f t="shared" si="15"/>
        <v>#REF!</v>
      </c>
      <c r="AD40" s="64"/>
      <c r="AE40" s="11" t="e">
        <f>(SUMIFS(#REF!,#REF!,C40)/(1+1.8%))*(1+1.8%+2.3%)</f>
        <v>#REF!</v>
      </c>
      <c r="AF40" s="11" t="e">
        <f>-SUMIFS(#REF!,#REF!,C40)/1000</f>
        <v>#REF!</v>
      </c>
      <c r="AG40" s="11" t="e">
        <f>SUMIFS(#REF!,#REF!,C40)</f>
        <v>#REF!</v>
      </c>
      <c r="AH40" s="11" t="e">
        <f>SUMIFS(#REF!,#REF!,C40)</f>
        <v>#REF!</v>
      </c>
      <c r="AI40" s="11" t="e">
        <f>SUMIFS(#REF!,#REF!,C40)</f>
        <v>#REF!</v>
      </c>
      <c r="AJ40" s="11" t="e">
        <f>SUMIFS(#REF!,#REF!,C40)</f>
        <v>#REF!</v>
      </c>
      <c r="AK40" s="11"/>
      <c r="AL40" s="11" t="e">
        <f t="shared" si="16"/>
        <v>#REF!</v>
      </c>
      <c r="AN40" s="11" t="e">
        <f t="shared" si="17"/>
        <v>#REF!</v>
      </c>
      <c r="AO40" s="11" t="e">
        <f t="shared" si="18"/>
        <v>#REF!</v>
      </c>
      <c r="AQ40" s="11" t="e">
        <f t="shared" si="19"/>
        <v>#REF!</v>
      </c>
      <c r="AS40" s="43" t="e">
        <f t="shared" si="20"/>
        <v>#REF!</v>
      </c>
      <c r="AT40" s="11" t="e">
        <f t="shared" si="21"/>
        <v>#REF!</v>
      </c>
      <c r="AV40" s="11" t="e">
        <f>'Share of £1bn'!$F$20*1000*$AO40/$AO$57</f>
        <v>#REF!</v>
      </c>
      <c r="AW40" s="11" t="e">
        <f>'Share of £1bn'!$F$27*1000*$AO40/$AO$57</f>
        <v>#REF!</v>
      </c>
      <c r="AX40" s="11" t="e">
        <f>'Share of £1bn'!$F$21*1000*$AO40/$AO$57</f>
        <v>#REF!</v>
      </c>
      <c r="AZ40" s="11" t="e">
        <f>'Share of £1bn'!$F$43*1000*AO40/$AO$57</f>
        <v>#REF!</v>
      </c>
      <c r="BA40" s="11" t="e">
        <f>'Share of £1bn'!$F$50*1000*$AO40/$AO$57</f>
        <v>#REF!</v>
      </c>
      <c r="BB40" s="11" t="e">
        <f>'Share of £1bn'!$F$44*1000*AO40/$AO$57</f>
        <v>#REF!</v>
      </c>
      <c r="BD40" s="11" t="e">
        <f>'Share of £1bn'!$F$67*1000*AO40/$AO$57</f>
        <v>#REF!</v>
      </c>
      <c r="BF40" s="11">
        <f>SUMIFS('20-11 M6 deficits'!$BO:$BO,'20-11 M6 deficits'!$C:$C,$C40)*1000</f>
        <v>-10000</v>
      </c>
      <c r="BH40" s="11" t="e">
        <f t="shared" si="22"/>
        <v>#REF!</v>
      </c>
      <c r="BI40" s="11" t="e">
        <f t="shared" si="23"/>
        <v>#REF!</v>
      </c>
      <c r="BJ40" s="11" t="e">
        <f t="shared" si="24"/>
        <v>#REF!</v>
      </c>
      <c r="BK40" s="11" t="e">
        <f t="shared" si="25"/>
        <v>#REF!</v>
      </c>
      <c r="BL40" s="11" t="e">
        <f t="shared" si="26"/>
        <v>#REF!</v>
      </c>
      <c r="BN40" s="11" t="e">
        <f t="shared" si="27"/>
        <v>#REF!</v>
      </c>
      <c r="BO40" s="11" t="e">
        <f t="shared" si="28"/>
        <v>#REF!</v>
      </c>
      <c r="BP40" s="11" t="e">
        <f t="shared" si="29"/>
        <v>#REF!</v>
      </c>
      <c r="BQ40" s="11" t="e">
        <f t="shared" si="30"/>
        <v>#REF!</v>
      </c>
      <c r="BR40" s="11" t="e">
        <f t="shared" si="31"/>
        <v>#REF!</v>
      </c>
      <c r="BT40" s="11" t="e">
        <f t="shared" si="32"/>
        <v>#REF!</v>
      </c>
      <c r="BU40" s="11" t="e">
        <f t="shared" si="33"/>
        <v>#REF!</v>
      </c>
      <c r="BV40" s="11" t="e">
        <f t="shared" si="34"/>
        <v>#REF!</v>
      </c>
      <c r="BW40" s="11" t="e">
        <f t="shared" si="35"/>
        <v>#REF!</v>
      </c>
      <c r="BX40" s="11" t="e">
        <f t="shared" si="36"/>
        <v>#REF!</v>
      </c>
      <c r="BZ40" s="11" t="e">
        <f t="shared" si="37"/>
        <v>#REF!</v>
      </c>
      <c r="CA40" s="11" t="e">
        <f t="shared" si="38"/>
        <v>#REF!</v>
      </c>
      <c r="CB40" s="11" t="e">
        <f t="shared" si="39"/>
        <v>#REF!</v>
      </c>
      <c r="CC40" s="11" t="e">
        <f t="shared" si="40"/>
        <v>#REF!</v>
      </c>
      <c r="CD40" s="11" t="e">
        <f t="shared" si="41"/>
        <v>#REF!</v>
      </c>
      <c r="CF40" s="11" t="e">
        <f t="shared" si="42"/>
        <v>#REF!</v>
      </c>
      <c r="CG40" s="11" t="e">
        <f t="shared" si="43"/>
        <v>#REF!</v>
      </c>
      <c r="CH40" s="11" t="e">
        <f t="shared" si="44"/>
        <v>#REF!</v>
      </c>
      <c r="CI40" s="11" t="e">
        <f t="shared" si="45"/>
        <v>#REF!</v>
      </c>
      <c r="CJ40" s="11" t="e">
        <f t="shared" si="46"/>
        <v>#REF!</v>
      </c>
      <c r="CM40" s="209">
        <f t="shared" si="47"/>
        <v>6.3257222982620754E-3</v>
      </c>
      <c r="CN40" s="209" t="e">
        <f t="shared" si="48"/>
        <v>#REF!</v>
      </c>
      <c r="CO40" s="209" t="e">
        <f t="shared" si="49"/>
        <v>#REF!</v>
      </c>
      <c r="CP40" s="209" t="e">
        <f t="shared" si="50"/>
        <v>#REF!</v>
      </c>
      <c r="CQ40" s="209" t="e">
        <f t="shared" si="51"/>
        <v>#REF!</v>
      </c>
    </row>
    <row r="41" spans="1:95" x14ac:dyDescent="0.25">
      <c r="A41" s="13" t="s">
        <v>98</v>
      </c>
      <c r="B41" s="14" t="s">
        <v>99</v>
      </c>
      <c r="C41" s="4" t="s">
        <v>102</v>
      </c>
      <c r="D41" s="4" t="s">
        <v>103</v>
      </c>
      <c r="E41" s="11">
        <f>SUMIFS('ICB Core Baseline 2024-25'!Q:Q,'ICB Core Baseline 2024-25'!C:C,C41)</f>
        <v>1696336.7513857663</v>
      </c>
      <c r="F41" s="43" t="e">
        <f>SUMIFS(#REF!,#REF!,C41)</f>
        <v>#REF!</v>
      </c>
      <c r="H41" s="43" t="e">
        <f>SUMIFS(#REF!,#REF!,C41)</f>
        <v>#REF!</v>
      </c>
      <c r="I41" s="43" t="e">
        <f t="shared" si="6"/>
        <v>#REF!</v>
      </c>
      <c r="J41" s="43" t="e">
        <f t="shared" si="7"/>
        <v>#REF!</v>
      </c>
      <c r="K41" s="11" t="e">
        <f t="shared" si="0"/>
        <v>#REF!</v>
      </c>
      <c r="L41" s="11" t="e">
        <f t="shared" si="1"/>
        <v>#REF!</v>
      </c>
      <c r="M41" s="43" t="e">
        <f>SUMIFS(#REF!,#REF!,C41)</f>
        <v>#REF!</v>
      </c>
      <c r="N41" s="11" t="e">
        <f t="shared" si="2"/>
        <v>#REF!</v>
      </c>
      <c r="O41" s="43" t="e">
        <f t="shared" si="8"/>
        <v>#REF!</v>
      </c>
      <c r="P41" s="11" t="e">
        <f t="shared" si="3"/>
        <v>#REF!</v>
      </c>
      <c r="Q41" s="11" t="e">
        <f t="shared" si="9"/>
        <v>#REF!</v>
      </c>
      <c r="R41" s="11" t="e">
        <f t="shared" si="4"/>
        <v>#REF!</v>
      </c>
      <c r="S41" s="11" t="e">
        <f>(SUMIFS(#REF!,#REF!,C41)/SUMIFS(#REF!,#REF!,C41))*1000</f>
        <v>#REF!</v>
      </c>
      <c r="T41" s="11" t="e">
        <f t="shared" si="10"/>
        <v>#REF!</v>
      </c>
      <c r="U41" s="11"/>
      <c r="V41" s="11" t="e">
        <f t="shared" si="11"/>
        <v>#REF!</v>
      </c>
      <c r="W41" s="11" t="e">
        <f t="shared" si="12"/>
        <v>#REF!</v>
      </c>
      <c r="X41" s="43" t="e">
        <f t="shared" si="13"/>
        <v>#REF!</v>
      </c>
      <c r="Y41" s="43" t="e">
        <f ca="1">OFFSET(#REF!,MATCH(C41,#REF!,0)+1,0)</f>
        <v>#REF!</v>
      </c>
      <c r="Z41" s="43" t="e">
        <f t="shared" ca="1" si="14"/>
        <v>#REF!</v>
      </c>
      <c r="AA41" s="43" t="e">
        <f t="shared" si="5"/>
        <v>#REF!</v>
      </c>
      <c r="AB41" s="11" t="e">
        <f>SUMIFS(#REF!,#REF!,C41)/(1+1.8%)*(1+1.8%+2.3%)</f>
        <v>#REF!</v>
      </c>
      <c r="AC41" s="11" t="e">
        <f t="shared" si="15"/>
        <v>#REF!</v>
      </c>
      <c r="AD41" s="64"/>
      <c r="AE41" s="11" t="e">
        <f>(SUMIFS(#REF!,#REF!,C41)/(1+1.8%))*(1+1.8%+2.3%)</f>
        <v>#REF!</v>
      </c>
      <c r="AF41" s="11" t="e">
        <f>-SUMIFS(#REF!,#REF!,C41)/1000</f>
        <v>#REF!</v>
      </c>
      <c r="AG41" s="11" t="e">
        <f>SUMIFS(#REF!,#REF!,C41)</f>
        <v>#REF!</v>
      </c>
      <c r="AH41" s="11" t="e">
        <f>SUMIFS(#REF!,#REF!,C41)</f>
        <v>#REF!</v>
      </c>
      <c r="AI41" s="11" t="e">
        <f>SUMIFS(#REF!,#REF!,C41)</f>
        <v>#REF!</v>
      </c>
      <c r="AJ41" s="11" t="e">
        <f>SUMIFS(#REF!,#REF!,C41)</f>
        <v>#REF!</v>
      </c>
      <c r="AK41" s="11"/>
      <c r="AL41" s="11" t="e">
        <f t="shared" si="16"/>
        <v>#REF!</v>
      </c>
      <c r="AN41" s="11" t="e">
        <f t="shared" si="17"/>
        <v>#REF!</v>
      </c>
      <c r="AO41" s="11" t="e">
        <f t="shared" si="18"/>
        <v>#REF!</v>
      </c>
      <c r="AQ41" s="11" t="e">
        <f t="shared" si="19"/>
        <v>#REF!</v>
      </c>
      <c r="AS41" s="43" t="e">
        <f t="shared" si="20"/>
        <v>#REF!</v>
      </c>
      <c r="AT41" s="11" t="e">
        <f t="shared" si="21"/>
        <v>#REF!</v>
      </c>
      <c r="AV41" s="11" t="e">
        <f>'Share of £1bn'!$F$20*1000*$AO41/$AO$57</f>
        <v>#REF!</v>
      </c>
      <c r="AW41" s="11" t="e">
        <f>'Share of £1bn'!$F$27*1000*$AO41/$AO$57</f>
        <v>#REF!</v>
      </c>
      <c r="AX41" s="11" t="e">
        <f>'Share of £1bn'!$F$21*1000*$AO41/$AO$57</f>
        <v>#REF!</v>
      </c>
      <c r="AZ41" s="11" t="e">
        <f>'Share of £1bn'!$F$43*1000*AO41/$AO$57</f>
        <v>#REF!</v>
      </c>
      <c r="BA41" s="11" t="e">
        <f>'Share of £1bn'!$F$50*1000*$AO41/$AO$57</f>
        <v>#REF!</v>
      </c>
      <c r="BB41" s="11" t="e">
        <f>'Share of £1bn'!$F$44*1000*AO41/$AO$57</f>
        <v>#REF!</v>
      </c>
      <c r="BD41" s="11" t="e">
        <f>'Share of £1bn'!$F$67*1000*AO41/$AO$57</f>
        <v>#REF!</v>
      </c>
      <c r="BF41" s="11">
        <f>SUMIFS('20-11 M6 deficits'!$BO:$BO,'20-11 M6 deficits'!$C:$C,$C41)*1000</f>
        <v>0</v>
      </c>
      <c r="BH41" s="11" t="e">
        <f t="shared" si="22"/>
        <v>#REF!</v>
      </c>
      <c r="BI41" s="11" t="e">
        <f t="shared" si="23"/>
        <v>#REF!</v>
      </c>
      <c r="BJ41" s="11" t="e">
        <f t="shared" si="24"/>
        <v>#REF!</v>
      </c>
      <c r="BK41" s="11" t="e">
        <f t="shared" si="25"/>
        <v>#REF!</v>
      </c>
      <c r="BL41" s="11" t="e">
        <f t="shared" si="26"/>
        <v>#REF!</v>
      </c>
      <c r="BN41" s="11" t="e">
        <f t="shared" si="27"/>
        <v>#REF!</v>
      </c>
      <c r="BO41" s="11" t="e">
        <f t="shared" si="28"/>
        <v>#REF!</v>
      </c>
      <c r="BP41" s="11" t="e">
        <f t="shared" si="29"/>
        <v>#REF!</v>
      </c>
      <c r="BQ41" s="11" t="e">
        <f t="shared" si="30"/>
        <v>#REF!</v>
      </c>
      <c r="BR41" s="11" t="e">
        <f t="shared" si="31"/>
        <v>#REF!</v>
      </c>
      <c r="BT41" s="11" t="e">
        <f t="shared" si="32"/>
        <v>#REF!</v>
      </c>
      <c r="BU41" s="11" t="e">
        <f t="shared" si="33"/>
        <v>#REF!</v>
      </c>
      <c r="BV41" s="11" t="e">
        <f t="shared" si="34"/>
        <v>#REF!</v>
      </c>
      <c r="BW41" s="11" t="e">
        <f t="shared" si="35"/>
        <v>#REF!</v>
      </c>
      <c r="BX41" s="11" t="e">
        <f t="shared" si="36"/>
        <v>#REF!</v>
      </c>
      <c r="BZ41" s="11" t="e">
        <f t="shared" si="37"/>
        <v>#REF!</v>
      </c>
      <c r="CA41" s="11" t="e">
        <f t="shared" si="38"/>
        <v>#REF!</v>
      </c>
      <c r="CB41" s="11" t="e">
        <f t="shared" si="39"/>
        <v>#REF!</v>
      </c>
      <c r="CC41" s="11" t="e">
        <f t="shared" si="40"/>
        <v>#REF!</v>
      </c>
      <c r="CD41" s="11" t="e">
        <f t="shared" si="41"/>
        <v>#REF!</v>
      </c>
      <c r="CF41" s="11" t="e">
        <f t="shared" si="42"/>
        <v>#REF!</v>
      </c>
      <c r="CG41" s="11" t="e">
        <f t="shared" si="43"/>
        <v>#REF!</v>
      </c>
      <c r="CH41" s="11" t="e">
        <f t="shared" si="44"/>
        <v>#REF!</v>
      </c>
      <c r="CI41" s="11" t="e">
        <f t="shared" si="45"/>
        <v>#REF!</v>
      </c>
      <c r="CJ41" s="11" t="e">
        <f t="shared" si="46"/>
        <v>#REF!</v>
      </c>
      <c r="CM41" s="209">
        <f t="shared" si="47"/>
        <v>0</v>
      </c>
      <c r="CN41" s="209" t="e">
        <f t="shared" si="48"/>
        <v>#REF!</v>
      </c>
      <c r="CO41" s="209" t="e">
        <f t="shared" si="49"/>
        <v>#REF!</v>
      </c>
      <c r="CP41" s="209" t="e">
        <f t="shared" si="50"/>
        <v>#REF!</v>
      </c>
      <c r="CQ41" s="209" t="e">
        <f t="shared" si="51"/>
        <v>#REF!</v>
      </c>
    </row>
    <row r="42" spans="1:95" x14ac:dyDescent="0.25">
      <c r="A42" s="13" t="s">
        <v>98</v>
      </c>
      <c r="B42" s="14" t="s">
        <v>99</v>
      </c>
      <c r="C42" s="4" t="s">
        <v>104</v>
      </c>
      <c r="D42" s="4" t="s">
        <v>105</v>
      </c>
      <c r="E42" s="11">
        <f>SUMIFS('ICB Core Baseline 2024-25'!Q:Q,'ICB Core Baseline 2024-25'!C:C,C42)</f>
        <v>1099576.1345820946</v>
      </c>
      <c r="F42" s="43" t="e">
        <f>SUMIFS(#REF!,#REF!,C42)</f>
        <v>#REF!</v>
      </c>
      <c r="H42" s="43" t="e">
        <f>SUMIFS(#REF!,#REF!,C42)</f>
        <v>#REF!</v>
      </c>
      <c r="I42" s="43" t="e">
        <f t="shared" si="6"/>
        <v>#REF!</v>
      </c>
      <c r="J42" s="43" t="e">
        <f t="shared" si="7"/>
        <v>#REF!</v>
      </c>
      <c r="K42" s="11" t="e">
        <f t="shared" si="0"/>
        <v>#REF!</v>
      </c>
      <c r="L42" s="11" t="e">
        <f t="shared" si="1"/>
        <v>#REF!</v>
      </c>
      <c r="M42" s="43" t="e">
        <f>SUMIFS(#REF!,#REF!,C42)</f>
        <v>#REF!</v>
      </c>
      <c r="N42" s="11" t="e">
        <f t="shared" si="2"/>
        <v>#REF!</v>
      </c>
      <c r="O42" s="43" t="e">
        <f t="shared" si="8"/>
        <v>#REF!</v>
      </c>
      <c r="P42" s="11" t="e">
        <f t="shared" si="3"/>
        <v>#REF!</v>
      </c>
      <c r="Q42" s="11" t="e">
        <f t="shared" si="9"/>
        <v>#REF!</v>
      </c>
      <c r="R42" s="11" t="e">
        <f t="shared" si="4"/>
        <v>#REF!</v>
      </c>
      <c r="S42" s="11" t="e">
        <f>(SUMIFS(#REF!,#REF!,C42)/SUMIFS(#REF!,#REF!,C42))*1000</f>
        <v>#REF!</v>
      </c>
      <c r="T42" s="11" t="e">
        <f t="shared" si="10"/>
        <v>#REF!</v>
      </c>
      <c r="U42" s="11"/>
      <c r="V42" s="11" t="e">
        <f t="shared" si="11"/>
        <v>#REF!</v>
      </c>
      <c r="W42" s="11" t="e">
        <f t="shared" si="12"/>
        <v>#REF!</v>
      </c>
      <c r="X42" s="43" t="e">
        <f t="shared" si="13"/>
        <v>#REF!</v>
      </c>
      <c r="Y42" s="43" t="e">
        <f ca="1">OFFSET(#REF!,MATCH(C42,#REF!,0)+1,0)</f>
        <v>#REF!</v>
      </c>
      <c r="Z42" s="43" t="e">
        <f t="shared" ca="1" si="14"/>
        <v>#REF!</v>
      </c>
      <c r="AA42" s="43" t="e">
        <f t="shared" si="5"/>
        <v>#REF!</v>
      </c>
      <c r="AB42" s="11" t="e">
        <f>SUMIFS(#REF!,#REF!,C42)/(1+1.8%)*(1+1.8%+2.3%)</f>
        <v>#REF!</v>
      </c>
      <c r="AC42" s="11" t="e">
        <f t="shared" si="15"/>
        <v>#REF!</v>
      </c>
      <c r="AD42" s="64"/>
      <c r="AE42" s="11" t="e">
        <f>(SUMIFS(#REF!,#REF!,C42)/(1+1.8%))*(1+1.8%+2.3%)</f>
        <v>#REF!</v>
      </c>
      <c r="AF42" s="11" t="e">
        <f>-SUMIFS(#REF!,#REF!,C42)/1000</f>
        <v>#REF!</v>
      </c>
      <c r="AG42" s="11" t="e">
        <f>SUMIFS(#REF!,#REF!,C42)</f>
        <v>#REF!</v>
      </c>
      <c r="AH42" s="11" t="e">
        <f>SUMIFS(#REF!,#REF!,C42)</f>
        <v>#REF!</v>
      </c>
      <c r="AI42" s="11" t="e">
        <f>SUMIFS(#REF!,#REF!,C42)</f>
        <v>#REF!</v>
      </c>
      <c r="AJ42" s="11" t="e">
        <f>SUMIFS(#REF!,#REF!,C42)</f>
        <v>#REF!</v>
      </c>
      <c r="AK42" s="11"/>
      <c r="AL42" s="11" t="e">
        <f t="shared" si="16"/>
        <v>#REF!</v>
      </c>
      <c r="AN42" s="11" t="e">
        <f t="shared" si="17"/>
        <v>#REF!</v>
      </c>
      <c r="AO42" s="11" t="e">
        <f t="shared" si="18"/>
        <v>#REF!</v>
      </c>
      <c r="AQ42" s="11" t="e">
        <f t="shared" si="19"/>
        <v>#REF!</v>
      </c>
      <c r="AS42" s="43" t="e">
        <f t="shared" si="20"/>
        <v>#REF!</v>
      </c>
      <c r="AT42" s="11" t="e">
        <f t="shared" si="21"/>
        <v>#REF!</v>
      </c>
      <c r="AV42" s="11" t="e">
        <f>'Share of £1bn'!$F$20*1000*$AO42/$AO$57</f>
        <v>#REF!</v>
      </c>
      <c r="AW42" s="11" t="e">
        <f>'Share of £1bn'!$F$27*1000*$AO42/$AO$57</f>
        <v>#REF!</v>
      </c>
      <c r="AX42" s="11" t="e">
        <f>'Share of £1bn'!$F$21*1000*$AO42/$AO$57</f>
        <v>#REF!</v>
      </c>
      <c r="AZ42" s="11" t="e">
        <f>'Share of £1bn'!$F$43*1000*AO42/$AO$57</f>
        <v>#REF!</v>
      </c>
      <c r="BA42" s="11" t="e">
        <f>'Share of £1bn'!$F$50*1000*$AO42/$AO$57</f>
        <v>#REF!</v>
      </c>
      <c r="BB42" s="11" t="e">
        <f>'Share of £1bn'!$F$44*1000*AO42/$AO$57</f>
        <v>#REF!</v>
      </c>
      <c r="BD42" s="11" t="e">
        <f>'Share of £1bn'!$F$67*1000*AO42/$AO$57</f>
        <v>#REF!</v>
      </c>
      <c r="BF42" s="11">
        <f>SUMIFS('20-11 M6 deficits'!$BO:$BO,'20-11 M6 deficits'!$C:$C,$C42)*1000</f>
        <v>0</v>
      </c>
      <c r="BH42" s="11" t="e">
        <f t="shared" si="22"/>
        <v>#REF!</v>
      </c>
      <c r="BI42" s="11" t="e">
        <f t="shared" si="23"/>
        <v>#REF!</v>
      </c>
      <c r="BJ42" s="11" t="e">
        <f t="shared" si="24"/>
        <v>#REF!</v>
      </c>
      <c r="BK42" s="11" t="e">
        <f t="shared" si="25"/>
        <v>#REF!</v>
      </c>
      <c r="BL42" s="11" t="e">
        <f t="shared" si="26"/>
        <v>#REF!</v>
      </c>
      <c r="BN42" s="11" t="e">
        <f t="shared" si="27"/>
        <v>#REF!</v>
      </c>
      <c r="BO42" s="11" t="e">
        <f t="shared" si="28"/>
        <v>#REF!</v>
      </c>
      <c r="BP42" s="11" t="e">
        <f t="shared" si="29"/>
        <v>#REF!</v>
      </c>
      <c r="BQ42" s="11" t="e">
        <f t="shared" si="30"/>
        <v>#REF!</v>
      </c>
      <c r="BR42" s="11" t="e">
        <f t="shared" si="31"/>
        <v>#REF!</v>
      </c>
      <c r="BT42" s="11" t="e">
        <f t="shared" si="32"/>
        <v>#REF!</v>
      </c>
      <c r="BU42" s="11" t="e">
        <f t="shared" si="33"/>
        <v>#REF!</v>
      </c>
      <c r="BV42" s="11" t="e">
        <f t="shared" si="34"/>
        <v>#REF!</v>
      </c>
      <c r="BW42" s="11" t="e">
        <f t="shared" si="35"/>
        <v>#REF!</v>
      </c>
      <c r="BX42" s="11" t="e">
        <f t="shared" si="36"/>
        <v>#REF!</v>
      </c>
      <c r="BZ42" s="11" t="e">
        <f t="shared" si="37"/>
        <v>#REF!</v>
      </c>
      <c r="CA42" s="11" t="e">
        <f t="shared" si="38"/>
        <v>#REF!</v>
      </c>
      <c r="CB42" s="11" t="e">
        <f t="shared" si="39"/>
        <v>#REF!</v>
      </c>
      <c r="CC42" s="11" t="e">
        <f t="shared" si="40"/>
        <v>#REF!</v>
      </c>
      <c r="CD42" s="11" t="e">
        <f t="shared" si="41"/>
        <v>#REF!</v>
      </c>
      <c r="CF42" s="11" t="e">
        <f t="shared" si="42"/>
        <v>#REF!</v>
      </c>
      <c r="CG42" s="11" t="e">
        <f t="shared" si="43"/>
        <v>#REF!</v>
      </c>
      <c r="CH42" s="11" t="e">
        <f t="shared" si="44"/>
        <v>#REF!</v>
      </c>
      <c r="CI42" s="11" t="e">
        <f t="shared" si="45"/>
        <v>#REF!</v>
      </c>
      <c r="CJ42" s="11" t="e">
        <f t="shared" si="46"/>
        <v>#REF!</v>
      </c>
      <c r="CM42" s="209">
        <f t="shared" si="47"/>
        <v>0</v>
      </c>
      <c r="CN42" s="209" t="e">
        <f t="shared" si="48"/>
        <v>#REF!</v>
      </c>
      <c r="CO42" s="209" t="e">
        <f t="shared" si="49"/>
        <v>#REF!</v>
      </c>
      <c r="CP42" s="209" t="e">
        <f t="shared" si="50"/>
        <v>#REF!</v>
      </c>
      <c r="CQ42" s="209" t="e">
        <f t="shared" si="51"/>
        <v>#REF!</v>
      </c>
    </row>
    <row r="43" spans="1:95" x14ac:dyDescent="0.25">
      <c r="A43" s="13" t="s">
        <v>98</v>
      </c>
      <c r="B43" s="14" t="s">
        <v>99</v>
      </c>
      <c r="C43" s="4" t="s">
        <v>106</v>
      </c>
      <c r="D43" s="4" t="s">
        <v>107</v>
      </c>
      <c r="E43" s="11">
        <f>SUMIFS('ICB Core Baseline 2024-25'!Q:Q,'ICB Core Baseline 2024-25'!C:C,C43)</f>
        <v>2261976.4170612651</v>
      </c>
      <c r="F43" s="43" t="e">
        <f>SUMIFS(#REF!,#REF!,C43)</f>
        <v>#REF!</v>
      </c>
      <c r="H43" s="43" t="e">
        <f>SUMIFS(#REF!,#REF!,C43)</f>
        <v>#REF!</v>
      </c>
      <c r="I43" s="43" t="e">
        <f t="shared" si="6"/>
        <v>#REF!</v>
      </c>
      <c r="J43" s="43" t="e">
        <f t="shared" si="7"/>
        <v>#REF!</v>
      </c>
      <c r="K43" s="11" t="e">
        <f t="shared" si="0"/>
        <v>#REF!</v>
      </c>
      <c r="L43" s="11" t="e">
        <f t="shared" si="1"/>
        <v>#REF!</v>
      </c>
      <c r="M43" s="43" t="e">
        <f>SUMIFS(#REF!,#REF!,C43)</f>
        <v>#REF!</v>
      </c>
      <c r="N43" s="11" t="e">
        <f t="shared" si="2"/>
        <v>#REF!</v>
      </c>
      <c r="O43" s="43" t="e">
        <f t="shared" si="8"/>
        <v>#REF!</v>
      </c>
      <c r="P43" s="11" t="e">
        <f t="shared" si="3"/>
        <v>#REF!</v>
      </c>
      <c r="Q43" s="11" t="e">
        <f t="shared" si="9"/>
        <v>#REF!</v>
      </c>
      <c r="R43" s="11" t="e">
        <f t="shared" si="4"/>
        <v>#REF!</v>
      </c>
      <c r="S43" s="11" t="e">
        <f>(SUMIFS(#REF!,#REF!,C43)/SUMIFS(#REF!,#REF!,C43))*1000</f>
        <v>#REF!</v>
      </c>
      <c r="T43" s="11" t="e">
        <f t="shared" si="10"/>
        <v>#REF!</v>
      </c>
      <c r="U43" s="11"/>
      <c r="V43" s="11" t="e">
        <f t="shared" si="11"/>
        <v>#REF!</v>
      </c>
      <c r="W43" s="11" t="e">
        <f t="shared" si="12"/>
        <v>#REF!</v>
      </c>
      <c r="X43" s="43" t="e">
        <f t="shared" si="13"/>
        <v>#REF!</v>
      </c>
      <c r="Y43" s="43" t="e">
        <f ca="1">OFFSET(#REF!,MATCH(C43,#REF!,0)+1,0)</f>
        <v>#REF!</v>
      </c>
      <c r="Z43" s="43" t="e">
        <f t="shared" ca="1" si="14"/>
        <v>#REF!</v>
      </c>
      <c r="AA43" s="43" t="e">
        <f t="shared" si="5"/>
        <v>#REF!</v>
      </c>
      <c r="AB43" s="11" t="e">
        <f>SUMIFS(#REF!,#REF!,C43)/(1+1.8%)*(1+1.8%+2.3%)</f>
        <v>#REF!</v>
      </c>
      <c r="AC43" s="11" t="e">
        <f t="shared" si="15"/>
        <v>#REF!</v>
      </c>
      <c r="AD43" s="64"/>
      <c r="AE43" s="11" t="e">
        <f>(SUMIFS(#REF!,#REF!,C43)/(1+1.8%))*(1+1.8%+2.3%)</f>
        <v>#REF!</v>
      </c>
      <c r="AF43" s="11" t="e">
        <f>-SUMIFS(#REF!,#REF!,C43)/1000</f>
        <v>#REF!</v>
      </c>
      <c r="AG43" s="11" t="e">
        <f>SUMIFS(#REF!,#REF!,C43)</f>
        <v>#REF!</v>
      </c>
      <c r="AH43" s="11" t="e">
        <f>SUMIFS(#REF!,#REF!,C43)</f>
        <v>#REF!</v>
      </c>
      <c r="AI43" s="11" t="e">
        <f>SUMIFS(#REF!,#REF!,C43)</f>
        <v>#REF!</v>
      </c>
      <c r="AJ43" s="11" t="e">
        <f>SUMIFS(#REF!,#REF!,C43)</f>
        <v>#REF!</v>
      </c>
      <c r="AK43" s="11"/>
      <c r="AL43" s="11" t="e">
        <f t="shared" si="16"/>
        <v>#REF!</v>
      </c>
      <c r="AN43" s="11" t="e">
        <f t="shared" si="17"/>
        <v>#REF!</v>
      </c>
      <c r="AO43" s="11" t="e">
        <f t="shared" si="18"/>
        <v>#REF!</v>
      </c>
      <c r="AQ43" s="11" t="e">
        <f t="shared" si="19"/>
        <v>#REF!</v>
      </c>
      <c r="AS43" s="43" t="e">
        <f t="shared" si="20"/>
        <v>#REF!</v>
      </c>
      <c r="AT43" s="11" t="e">
        <f t="shared" si="21"/>
        <v>#REF!</v>
      </c>
      <c r="AV43" s="11" t="e">
        <f>'Share of £1bn'!$F$20*1000*$AO43/$AO$57</f>
        <v>#REF!</v>
      </c>
      <c r="AW43" s="11" t="e">
        <f>'Share of £1bn'!$F$27*1000*$AO43/$AO$57</f>
        <v>#REF!</v>
      </c>
      <c r="AX43" s="11" t="e">
        <f>'Share of £1bn'!$F$21*1000*$AO43/$AO$57</f>
        <v>#REF!</v>
      </c>
      <c r="AZ43" s="11" t="e">
        <f>'Share of £1bn'!$F$43*1000*AO43/$AO$57</f>
        <v>#REF!</v>
      </c>
      <c r="BA43" s="11" t="e">
        <f>'Share of £1bn'!$F$50*1000*$AO43/$AO$57</f>
        <v>#REF!</v>
      </c>
      <c r="BB43" s="11" t="e">
        <f>'Share of £1bn'!$F$44*1000*AO43/$AO$57</f>
        <v>#REF!</v>
      </c>
      <c r="BD43" s="11" t="e">
        <f>'Share of £1bn'!$F$67*1000*AO43/$AO$57</f>
        <v>#REF!</v>
      </c>
      <c r="BF43" s="11">
        <f>SUMIFS('20-11 M6 deficits'!$BO:$BO,'20-11 M6 deficits'!$C:$C,$C43)*1000</f>
        <v>-70000</v>
      </c>
      <c r="BH43" s="11" t="e">
        <f t="shared" si="22"/>
        <v>#REF!</v>
      </c>
      <c r="BI43" s="11" t="e">
        <f t="shared" si="23"/>
        <v>#REF!</v>
      </c>
      <c r="BJ43" s="11" t="e">
        <f t="shared" si="24"/>
        <v>#REF!</v>
      </c>
      <c r="BK43" s="11" t="e">
        <f t="shared" si="25"/>
        <v>#REF!</v>
      </c>
      <c r="BL43" s="11" t="e">
        <f t="shared" si="26"/>
        <v>#REF!</v>
      </c>
      <c r="BN43" s="11" t="e">
        <f t="shared" si="27"/>
        <v>#REF!</v>
      </c>
      <c r="BO43" s="11" t="e">
        <f t="shared" si="28"/>
        <v>#REF!</v>
      </c>
      <c r="BP43" s="11" t="e">
        <f t="shared" si="29"/>
        <v>#REF!</v>
      </c>
      <c r="BQ43" s="11" t="e">
        <f t="shared" si="30"/>
        <v>#REF!</v>
      </c>
      <c r="BR43" s="11" t="e">
        <f t="shared" si="31"/>
        <v>#REF!</v>
      </c>
      <c r="BT43" s="11" t="e">
        <f t="shared" si="32"/>
        <v>#REF!</v>
      </c>
      <c r="BU43" s="11" t="e">
        <f t="shared" si="33"/>
        <v>#REF!</v>
      </c>
      <c r="BV43" s="11" t="e">
        <f t="shared" si="34"/>
        <v>#REF!</v>
      </c>
      <c r="BW43" s="11" t="e">
        <f t="shared" si="35"/>
        <v>#REF!</v>
      </c>
      <c r="BX43" s="11" t="e">
        <f t="shared" si="36"/>
        <v>#REF!</v>
      </c>
      <c r="BZ43" s="11" t="e">
        <f t="shared" si="37"/>
        <v>#REF!</v>
      </c>
      <c r="CA43" s="11" t="e">
        <f t="shared" si="38"/>
        <v>#REF!</v>
      </c>
      <c r="CB43" s="11" t="e">
        <f t="shared" si="39"/>
        <v>#REF!</v>
      </c>
      <c r="CC43" s="11" t="e">
        <f t="shared" si="40"/>
        <v>#REF!</v>
      </c>
      <c r="CD43" s="11" t="e">
        <f t="shared" si="41"/>
        <v>#REF!</v>
      </c>
      <c r="CF43" s="11" t="e">
        <f t="shared" si="42"/>
        <v>#REF!</v>
      </c>
      <c r="CG43" s="11" t="e">
        <f t="shared" si="43"/>
        <v>#REF!</v>
      </c>
      <c r="CH43" s="11" t="e">
        <f t="shared" si="44"/>
        <v>#REF!</v>
      </c>
      <c r="CI43" s="11" t="e">
        <f t="shared" si="45"/>
        <v>#REF!</v>
      </c>
      <c r="CJ43" s="11" t="e">
        <f t="shared" si="46"/>
        <v>#REF!</v>
      </c>
      <c r="CM43" s="209">
        <f t="shared" si="47"/>
        <v>4.4280056087834523E-2</v>
      </c>
      <c r="CN43" s="209" t="e">
        <f t="shared" si="48"/>
        <v>#REF!</v>
      </c>
      <c r="CO43" s="209" t="e">
        <f t="shared" si="49"/>
        <v>#REF!</v>
      </c>
      <c r="CP43" s="209" t="e">
        <f t="shared" si="50"/>
        <v>#REF!</v>
      </c>
      <c r="CQ43" s="209" t="e">
        <f t="shared" si="51"/>
        <v>#REF!</v>
      </c>
    </row>
    <row r="44" spans="1:95" x14ac:dyDescent="0.25">
      <c r="A44" s="13" t="s">
        <v>98</v>
      </c>
      <c r="B44" s="14" t="s">
        <v>99</v>
      </c>
      <c r="C44" s="4" t="s">
        <v>108</v>
      </c>
      <c r="D44" s="4" t="s">
        <v>109</v>
      </c>
      <c r="E44" s="11">
        <f>SUMIFS('ICB Core Baseline 2024-25'!Q:Q,'ICB Core Baseline 2024-25'!C:C,C44)</f>
        <v>1451965.4129123772</v>
      </c>
      <c r="F44" s="43" t="e">
        <f>SUMIFS(#REF!,#REF!,C44)</f>
        <v>#REF!</v>
      </c>
      <c r="H44" s="43" t="e">
        <f>SUMIFS(#REF!,#REF!,C44)</f>
        <v>#REF!</v>
      </c>
      <c r="I44" s="43" t="e">
        <f t="shared" si="6"/>
        <v>#REF!</v>
      </c>
      <c r="J44" s="43" t="e">
        <f t="shared" si="7"/>
        <v>#REF!</v>
      </c>
      <c r="K44" s="11" t="e">
        <f t="shared" si="0"/>
        <v>#REF!</v>
      </c>
      <c r="L44" s="11" t="e">
        <f t="shared" si="1"/>
        <v>#REF!</v>
      </c>
      <c r="M44" s="43" t="e">
        <f>SUMIFS(#REF!,#REF!,C44)</f>
        <v>#REF!</v>
      </c>
      <c r="N44" s="11" t="e">
        <f t="shared" si="2"/>
        <v>#REF!</v>
      </c>
      <c r="O44" s="43" t="e">
        <f t="shared" si="8"/>
        <v>#REF!</v>
      </c>
      <c r="P44" s="11" t="e">
        <f t="shared" si="3"/>
        <v>#REF!</v>
      </c>
      <c r="Q44" s="11" t="e">
        <f t="shared" si="9"/>
        <v>#REF!</v>
      </c>
      <c r="R44" s="11" t="e">
        <f t="shared" si="4"/>
        <v>#REF!</v>
      </c>
      <c r="S44" s="11" t="e">
        <f>(SUMIFS(#REF!,#REF!,C44)/SUMIFS(#REF!,#REF!,C44))*1000</f>
        <v>#REF!</v>
      </c>
      <c r="T44" s="11" t="e">
        <f t="shared" si="10"/>
        <v>#REF!</v>
      </c>
      <c r="U44" s="11"/>
      <c r="V44" s="11" t="e">
        <f t="shared" si="11"/>
        <v>#REF!</v>
      </c>
      <c r="W44" s="11" t="e">
        <f t="shared" si="12"/>
        <v>#REF!</v>
      </c>
      <c r="X44" s="43" t="e">
        <f t="shared" si="13"/>
        <v>#REF!</v>
      </c>
      <c r="Y44" s="43" t="e">
        <f ca="1">OFFSET(#REF!,MATCH(C44,#REF!,0)+1,0)</f>
        <v>#REF!</v>
      </c>
      <c r="Z44" s="43" t="e">
        <f t="shared" ca="1" si="14"/>
        <v>#REF!</v>
      </c>
      <c r="AA44" s="43" t="e">
        <f t="shared" si="5"/>
        <v>#REF!</v>
      </c>
      <c r="AB44" s="11" t="e">
        <f>SUMIFS(#REF!,#REF!,C44)/(1+1.8%)*(1+1.8%+2.3%)</f>
        <v>#REF!</v>
      </c>
      <c r="AC44" s="11" t="e">
        <f t="shared" si="15"/>
        <v>#REF!</v>
      </c>
      <c r="AD44" s="64"/>
      <c r="AE44" s="11" t="e">
        <f>(SUMIFS(#REF!,#REF!,C44)/(1+1.8%))*(1+1.8%+2.3%)</f>
        <v>#REF!</v>
      </c>
      <c r="AF44" s="11" t="e">
        <f>-SUMIFS(#REF!,#REF!,C44)/1000</f>
        <v>#REF!</v>
      </c>
      <c r="AG44" s="11" t="e">
        <f>SUMIFS(#REF!,#REF!,C44)</f>
        <v>#REF!</v>
      </c>
      <c r="AH44" s="11" t="e">
        <f>SUMIFS(#REF!,#REF!,C44)</f>
        <v>#REF!</v>
      </c>
      <c r="AI44" s="11" t="e">
        <f>SUMIFS(#REF!,#REF!,C44)</f>
        <v>#REF!</v>
      </c>
      <c r="AJ44" s="11" t="e">
        <f>SUMIFS(#REF!,#REF!,C44)</f>
        <v>#REF!</v>
      </c>
      <c r="AK44" s="11"/>
      <c r="AL44" s="11" t="e">
        <f t="shared" si="16"/>
        <v>#REF!</v>
      </c>
      <c r="AN44" s="11" t="e">
        <f t="shared" si="17"/>
        <v>#REF!</v>
      </c>
      <c r="AO44" s="11" t="e">
        <f t="shared" si="18"/>
        <v>#REF!</v>
      </c>
      <c r="AQ44" s="11" t="e">
        <f t="shared" si="19"/>
        <v>#REF!</v>
      </c>
      <c r="AS44" s="43" t="e">
        <f t="shared" si="20"/>
        <v>#REF!</v>
      </c>
      <c r="AT44" s="11" t="e">
        <f t="shared" si="21"/>
        <v>#REF!</v>
      </c>
      <c r="AV44" s="11" t="e">
        <f>'Share of £1bn'!$F$20*1000*$AO44/$AO$57</f>
        <v>#REF!</v>
      </c>
      <c r="AW44" s="11" t="e">
        <f>'Share of £1bn'!$F$27*1000*$AO44/$AO$57</f>
        <v>#REF!</v>
      </c>
      <c r="AX44" s="11" t="e">
        <f>'Share of £1bn'!$F$21*1000*$AO44/$AO$57</f>
        <v>#REF!</v>
      </c>
      <c r="AZ44" s="11" t="e">
        <f>'Share of £1bn'!$F$43*1000*AO44/$AO$57</f>
        <v>#REF!</v>
      </c>
      <c r="BA44" s="11" t="e">
        <f>'Share of £1bn'!$F$50*1000*$AO44/$AO$57</f>
        <v>#REF!</v>
      </c>
      <c r="BB44" s="11" t="e">
        <f>'Share of £1bn'!$F$44*1000*AO44/$AO$57</f>
        <v>#REF!</v>
      </c>
      <c r="BD44" s="11" t="e">
        <f>'Share of £1bn'!$F$67*1000*AO44/$AO$57</f>
        <v>#REF!</v>
      </c>
      <c r="BF44" s="11">
        <f>SUMIFS('20-11 M6 deficits'!$BO:$BO,'20-11 M6 deficits'!$C:$C,$C44)*1000</f>
        <v>-20000</v>
      </c>
      <c r="BH44" s="11" t="e">
        <f t="shared" si="22"/>
        <v>#REF!</v>
      </c>
      <c r="BI44" s="11" t="e">
        <f t="shared" si="23"/>
        <v>#REF!</v>
      </c>
      <c r="BJ44" s="11" t="e">
        <f t="shared" si="24"/>
        <v>#REF!</v>
      </c>
      <c r="BK44" s="11" t="e">
        <f t="shared" si="25"/>
        <v>#REF!</v>
      </c>
      <c r="BL44" s="11" t="e">
        <f t="shared" si="26"/>
        <v>#REF!</v>
      </c>
      <c r="BN44" s="11" t="e">
        <f t="shared" si="27"/>
        <v>#REF!</v>
      </c>
      <c r="BO44" s="11" t="e">
        <f t="shared" si="28"/>
        <v>#REF!</v>
      </c>
      <c r="BP44" s="11" t="e">
        <f t="shared" si="29"/>
        <v>#REF!</v>
      </c>
      <c r="BQ44" s="11" t="e">
        <f t="shared" si="30"/>
        <v>#REF!</v>
      </c>
      <c r="BR44" s="11" t="e">
        <f t="shared" si="31"/>
        <v>#REF!</v>
      </c>
      <c r="BT44" s="11" t="e">
        <f t="shared" si="32"/>
        <v>#REF!</v>
      </c>
      <c r="BU44" s="11" t="e">
        <f t="shared" si="33"/>
        <v>#REF!</v>
      </c>
      <c r="BV44" s="11" t="e">
        <f t="shared" si="34"/>
        <v>#REF!</v>
      </c>
      <c r="BW44" s="11" t="e">
        <f t="shared" si="35"/>
        <v>#REF!</v>
      </c>
      <c r="BX44" s="11" t="e">
        <f t="shared" si="36"/>
        <v>#REF!</v>
      </c>
      <c r="BZ44" s="11" t="e">
        <f t="shared" si="37"/>
        <v>#REF!</v>
      </c>
      <c r="CA44" s="11" t="e">
        <f t="shared" si="38"/>
        <v>#REF!</v>
      </c>
      <c r="CB44" s="11" t="e">
        <f t="shared" si="39"/>
        <v>#REF!</v>
      </c>
      <c r="CC44" s="11" t="e">
        <f t="shared" si="40"/>
        <v>#REF!</v>
      </c>
      <c r="CD44" s="11" t="e">
        <f t="shared" si="41"/>
        <v>#REF!</v>
      </c>
      <c r="CF44" s="11" t="e">
        <f t="shared" si="42"/>
        <v>#REF!</v>
      </c>
      <c r="CG44" s="11" t="e">
        <f t="shared" si="43"/>
        <v>#REF!</v>
      </c>
      <c r="CH44" s="11" t="e">
        <f t="shared" si="44"/>
        <v>#REF!</v>
      </c>
      <c r="CI44" s="11" t="e">
        <f t="shared" si="45"/>
        <v>#REF!</v>
      </c>
      <c r="CJ44" s="11" t="e">
        <f t="shared" si="46"/>
        <v>#REF!</v>
      </c>
      <c r="CM44" s="209">
        <f t="shared" si="47"/>
        <v>1.2651444596524151E-2</v>
      </c>
      <c r="CN44" s="209" t="e">
        <f t="shared" si="48"/>
        <v>#REF!</v>
      </c>
      <c r="CO44" s="209" t="e">
        <f t="shared" si="49"/>
        <v>#REF!</v>
      </c>
      <c r="CP44" s="209" t="e">
        <f t="shared" si="50"/>
        <v>#REF!</v>
      </c>
      <c r="CQ44" s="209" t="e">
        <f t="shared" si="51"/>
        <v>#REF!</v>
      </c>
    </row>
    <row r="45" spans="1:95" x14ac:dyDescent="0.25">
      <c r="A45" s="13" t="s">
        <v>98</v>
      </c>
      <c r="B45" s="14" t="s">
        <v>99</v>
      </c>
      <c r="C45" s="4" t="s">
        <v>110</v>
      </c>
      <c r="D45" s="4" t="s">
        <v>111</v>
      </c>
      <c r="E45" s="11">
        <f>SUMIFS('ICB Core Baseline 2024-25'!Q:Q,'ICB Core Baseline 2024-25'!C:C,C45)</f>
        <v>1065172.6958849912</v>
      </c>
      <c r="F45" s="43" t="e">
        <f>SUMIFS(#REF!,#REF!,C45)</f>
        <v>#REF!</v>
      </c>
      <c r="H45" s="43" t="e">
        <f>SUMIFS(#REF!,#REF!,C45)</f>
        <v>#REF!</v>
      </c>
      <c r="I45" s="43" t="e">
        <f t="shared" si="6"/>
        <v>#REF!</v>
      </c>
      <c r="J45" s="43" t="e">
        <f t="shared" si="7"/>
        <v>#REF!</v>
      </c>
      <c r="K45" s="11" t="e">
        <f t="shared" si="0"/>
        <v>#REF!</v>
      </c>
      <c r="L45" s="11" t="e">
        <f t="shared" si="1"/>
        <v>#REF!</v>
      </c>
      <c r="M45" s="43" t="e">
        <f>SUMIFS(#REF!,#REF!,C45)</f>
        <v>#REF!</v>
      </c>
      <c r="N45" s="11" t="e">
        <f t="shared" si="2"/>
        <v>#REF!</v>
      </c>
      <c r="O45" s="43" t="e">
        <f t="shared" si="8"/>
        <v>#REF!</v>
      </c>
      <c r="P45" s="11" t="e">
        <f t="shared" si="3"/>
        <v>#REF!</v>
      </c>
      <c r="Q45" s="11" t="e">
        <f t="shared" si="9"/>
        <v>#REF!</v>
      </c>
      <c r="R45" s="11" t="e">
        <f t="shared" si="4"/>
        <v>#REF!</v>
      </c>
      <c r="S45" s="11" t="e">
        <f>(SUMIFS(#REF!,#REF!,C45)/SUMIFS(#REF!,#REF!,C45))*1000</f>
        <v>#REF!</v>
      </c>
      <c r="T45" s="11" t="e">
        <f t="shared" si="10"/>
        <v>#REF!</v>
      </c>
      <c r="U45" s="11"/>
      <c r="V45" s="11" t="e">
        <f t="shared" si="11"/>
        <v>#REF!</v>
      </c>
      <c r="W45" s="11" t="e">
        <f t="shared" si="12"/>
        <v>#REF!</v>
      </c>
      <c r="X45" s="43" t="e">
        <f t="shared" si="13"/>
        <v>#REF!</v>
      </c>
      <c r="Y45" s="43" t="e">
        <f ca="1">OFFSET(#REF!,MATCH(C45,#REF!,0)+1,0)</f>
        <v>#REF!</v>
      </c>
      <c r="Z45" s="43" t="e">
        <f t="shared" ca="1" si="14"/>
        <v>#REF!</v>
      </c>
      <c r="AA45" s="43" t="e">
        <f t="shared" si="5"/>
        <v>#REF!</v>
      </c>
      <c r="AB45" s="11" t="e">
        <f>SUMIFS(#REF!,#REF!,C45)/(1+1.8%)*(1+1.8%+2.3%)</f>
        <v>#REF!</v>
      </c>
      <c r="AC45" s="11" t="e">
        <f t="shared" si="15"/>
        <v>#REF!</v>
      </c>
      <c r="AD45" s="64"/>
      <c r="AE45" s="11" t="e">
        <f>(SUMIFS(#REF!,#REF!,C45)/(1+1.8%))*(1+1.8%+2.3%)</f>
        <v>#REF!</v>
      </c>
      <c r="AF45" s="11" t="e">
        <f>-SUMIFS(#REF!,#REF!,C45)/1000</f>
        <v>#REF!</v>
      </c>
      <c r="AG45" s="11" t="e">
        <f>SUMIFS(#REF!,#REF!,C45)</f>
        <v>#REF!</v>
      </c>
      <c r="AH45" s="11" t="e">
        <f>SUMIFS(#REF!,#REF!,C45)</f>
        <v>#REF!</v>
      </c>
      <c r="AI45" s="11" t="e">
        <f>SUMIFS(#REF!,#REF!,C45)</f>
        <v>#REF!</v>
      </c>
      <c r="AJ45" s="11" t="e">
        <f>SUMIFS(#REF!,#REF!,C45)</f>
        <v>#REF!</v>
      </c>
      <c r="AK45" s="11"/>
      <c r="AL45" s="11" t="e">
        <f t="shared" si="16"/>
        <v>#REF!</v>
      </c>
      <c r="AN45" s="11" t="e">
        <f t="shared" si="17"/>
        <v>#REF!</v>
      </c>
      <c r="AO45" s="11" t="e">
        <f t="shared" si="18"/>
        <v>#REF!</v>
      </c>
      <c r="AQ45" s="11" t="e">
        <f t="shared" si="19"/>
        <v>#REF!</v>
      </c>
      <c r="AS45" s="43" t="e">
        <f t="shared" si="20"/>
        <v>#REF!</v>
      </c>
      <c r="AT45" s="11" t="e">
        <f t="shared" si="21"/>
        <v>#REF!</v>
      </c>
      <c r="AV45" s="11" t="e">
        <f>'Share of £1bn'!$F$20*1000*$AO45/$AO$57</f>
        <v>#REF!</v>
      </c>
      <c r="AW45" s="11" t="e">
        <f>'Share of £1bn'!$F$27*1000*$AO45/$AO$57</f>
        <v>#REF!</v>
      </c>
      <c r="AX45" s="11" t="e">
        <f>'Share of £1bn'!$F$21*1000*$AO45/$AO$57</f>
        <v>#REF!</v>
      </c>
      <c r="AZ45" s="11" t="e">
        <f>'Share of £1bn'!$F$43*1000*AO45/$AO$57</f>
        <v>#REF!</v>
      </c>
      <c r="BA45" s="11" t="e">
        <f>'Share of £1bn'!$F$50*1000*$AO45/$AO$57</f>
        <v>#REF!</v>
      </c>
      <c r="BB45" s="11" t="e">
        <f>'Share of £1bn'!$F$44*1000*AO45/$AO$57</f>
        <v>#REF!</v>
      </c>
      <c r="BD45" s="11" t="e">
        <f>'Share of £1bn'!$F$67*1000*AO45/$AO$57</f>
        <v>#REF!</v>
      </c>
      <c r="BF45" s="11">
        <f>SUMIFS('20-11 M6 deficits'!$BO:$BO,'20-11 M6 deficits'!$C:$C,$C45)*1000</f>
        <v>0</v>
      </c>
      <c r="BH45" s="11" t="e">
        <f t="shared" si="22"/>
        <v>#REF!</v>
      </c>
      <c r="BI45" s="11" t="e">
        <f t="shared" si="23"/>
        <v>#REF!</v>
      </c>
      <c r="BJ45" s="11" t="e">
        <f t="shared" si="24"/>
        <v>#REF!</v>
      </c>
      <c r="BK45" s="11" t="e">
        <f t="shared" si="25"/>
        <v>#REF!</v>
      </c>
      <c r="BL45" s="11" t="e">
        <f t="shared" si="26"/>
        <v>#REF!</v>
      </c>
      <c r="BN45" s="11" t="e">
        <f t="shared" si="27"/>
        <v>#REF!</v>
      </c>
      <c r="BO45" s="11" t="e">
        <f t="shared" si="28"/>
        <v>#REF!</v>
      </c>
      <c r="BP45" s="11" t="e">
        <f t="shared" si="29"/>
        <v>#REF!</v>
      </c>
      <c r="BQ45" s="11" t="e">
        <f t="shared" si="30"/>
        <v>#REF!</v>
      </c>
      <c r="BR45" s="11" t="e">
        <f t="shared" si="31"/>
        <v>#REF!</v>
      </c>
      <c r="BT45" s="11" t="e">
        <f t="shared" si="32"/>
        <v>#REF!</v>
      </c>
      <c r="BU45" s="11" t="e">
        <f t="shared" si="33"/>
        <v>#REF!</v>
      </c>
      <c r="BV45" s="11" t="e">
        <f t="shared" si="34"/>
        <v>#REF!</v>
      </c>
      <c r="BW45" s="11" t="e">
        <f t="shared" si="35"/>
        <v>#REF!</v>
      </c>
      <c r="BX45" s="11" t="e">
        <f t="shared" si="36"/>
        <v>#REF!</v>
      </c>
      <c r="BZ45" s="11" t="e">
        <f t="shared" si="37"/>
        <v>#REF!</v>
      </c>
      <c r="CA45" s="11" t="e">
        <f t="shared" si="38"/>
        <v>#REF!</v>
      </c>
      <c r="CB45" s="11" t="e">
        <f t="shared" si="39"/>
        <v>#REF!</v>
      </c>
      <c r="CC45" s="11" t="e">
        <f t="shared" si="40"/>
        <v>#REF!</v>
      </c>
      <c r="CD45" s="11" t="e">
        <f t="shared" si="41"/>
        <v>#REF!</v>
      </c>
      <c r="CF45" s="11" t="e">
        <f t="shared" si="42"/>
        <v>#REF!</v>
      </c>
      <c r="CG45" s="11" t="e">
        <f t="shared" si="43"/>
        <v>#REF!</v>
      </c>
      <c r="CH45" s="11" t="e">
        <f t="shared" si="44"/>
        <v>#REF!</v>
      </c>
      <c r="CI45" s="11" t="e">
        <f t="shared" si="45"/>
        <v>#REF!</v>
      </c>
      <c r="CJ45" s="11" t="e">
        <f t="shared" si="46"/>
        <v>#REF!</v>
      </c>
      <c r="CM45" s="209">
        <f t="shared" si="47"/>
        <v>0</v>
      </c>
      <c r="CN45" s="209" t="e">
        <f t="shared" si="48"/>
        <v>#REF!</v>
      </c>
      <c r="CO45" s="209" t="e">
        <f t="shared" si="49"/>
        <v>#REF!</v>
      </c>
      <c r="CP45" s="209" t="e">
        <f t="shared" si="50"/>
        <v>#REF!</v>
      </c>
      <c r="CQ45" s="209" t="e">
        <f t="shared" si="51"/>
        <v>#REF!</v>
      </c>
    </row>
    <row r="46" spans="1:95" x14ac:dyDescent="0.25">
      <c r="A46" s="13" t="s">
        <v>98</v>
      </c>
      <c r="B46" s="14" t="s">
        <v>99</v>
      </c>
      <c r="C46" s="4" t="s">
        <v>112</v>
      </c>
      <c r="D46" s="4" t="s">
        <v>113</v>
      </c>
      <c r="E46" s="11">
        <f>SUMIFS('ICB Core Baseline 2024-25'!Q:Q,'ICB Core Baseline 2024-25'!C:C,C46)</f>
        <v>1058710.3515852729</v>
      </c>
      <c r="F46" s="43" t="e">
        <f>SUMIFS(#REF!,#REF!,C46)</f>
        <v>#REF!</v>
      </c>
      <c r="H46" s="43" t="e">
        <f>SUMIFS(#REF!,#REF!,C46)</f>
        <v>#REF!</v>
      </c>
      <c r="I46" s="43" t="e">
        <f t="shared" si="6"/>
        <v>#REF!</v>
      </c>
      <c r="J46" s="43" t="e">
        <f t="shared" si="7"/>
        <v>#REF!</v>
      </c>
      <c r="K46" s="11" t="e">
        <f t="shared" si="0"/>
        <v>#REF!</v>
      </c>
      <c r="L46" s="11" t="e">
        <f t="shared" si="1"/>
        <v>#REF!</v>
      </c>
      <c r="M46" s="43" t="e">
        <f>SUMIFS(#REF!,#REF!,C46)</f>
        <v>#REF!</v>
      </c>
      <c r="N46" s="11" t="e">
        <f t="shared" si="2"/>
        <v>#REF!</v>
      </c>
      <c r="O46" s="43" t="e">
        <f t="shared" si="8"/>
        <v>#REF!</v>
      </c>
      <c r="P46" s="11" t="e">
        <f t="shared" si="3"/>
        <v>#REF!</v>
      </c>
      <c r="Q46" s="11" t="e">
        <f t="shared" si="9"/>
        <v>#REF!</v>
      </c>
      <c r="R46" s="11" t="e">
        <f t="shared" si="4"/>
        <v>#REF!</v>
      </c>
      <c r="S46" s="11" t="e">
        <f>(SUMIFS(#REF!,#REF!,C46)/SUMIFS(#REF!,#REF!,C46))*1000</f>
        <v>#REF!</v>
      </c>
      <c r="T46" s="11" t="e">
        <f t="shared" si="10"/>
        <v>#REF!</v>
      </c>
      <c r="U46" s="11"/>
      <c r="V46" s="11" t="e">
        <f t="shared" si="11"/>
        <v>#REF!</v>
      </c>
      <c r="W46" s="11" t="e">
        <f t="shared" si="12"/>
        <v>#REF!</v>
      </c>
      <c r="X46" s="43" t="e">
        <f t="shared" si="13"/>
        <v>#REF!</v>
      </c>
      <c r="Y46" s="43" t="e">
        <f ca="1">OFFSET(#REF!,MATCH(C46,#REF!,0)+1,0)</f>
        <v>#REF!</v>
      </c>
      <c r="Z46" s="43" t="e">
        <f t="shared" ca="1" si="14"/>
        <v>#REF!</v>
      </c>
      <c r="AA46" s="43" t="e">
        <f t="shared" si="5"/>
        <v>#REF!</v>
      </c>
      <c r="AB46" s="11" t="e">
        <f>SUMIFS(#REF!,#REF!,C46)/(1+1.8%)*(1+1.8%+2.3%)</f>
        <v>#REF!</v>
      </c>
      <c r="AC46" s="11" t="e">
        <f t="shared" si="15"/>
        <v>#REF!</v>
      </c>
      <c r="AD46" s="64"/>
      <c r="AE46" s="11" t="e">
        <f>(SUMIFS(#REF!,#REF!,C46)/(1+1.8%))*(1+1.8%+2.3%)</f>
        <v>#REF!</v>
      </c>
      <c r="AF46" s="11" t="e">
        <f>-SUMIFS(#REF!,#REF!,C46)/1000</f>
        <v>#REF!</v>
      </c>
      <c r="AG46" s="11" t="e">
        <f>SUMIFS(#REF!,#REF!,C46)</f>
        <v>#REF!</v>
      </c>
      <c r="AH46" s="11" t="e">
        <f>SUMIFS(#REF!,#REF!,C46)</f>
        <v>#REF!</v>
      </c>
      <c r="AI46" s="11" t="e">
        <f>SUMIFS(#REF!,#REF!,C46)</f>
        <v>#REF!</v>
      </c>
      <c r="AJ46" s="11" t="e">
        <f>SUMIFS(#REF!,#REF!,C46)</f>
        <v>#REF!</v>
      </c>
      <c r="AK46" s="11"/>
      <c r="AL46" s="11" t="e">
        <f t="shared" si="16"/>
        <v>#REF!</v>
      </c>
      <c r="AN46" s="11" t="e">
        <f t="shared" si="17"/>
        <v>#REF!</v>
      </c>
      <c r="AO46" s="11" t="e">
        <f t="shared" si="18"/>
        <v>#REF!</v>
      </c>
      <c r="AQ46" s="11" t="e">
        <f t="shared" si="19"/>
        <v>#REF!</v>
      </c>
      <c r="AS46" s="43" t="e">
        <f t="shared" si="20"/>
        <v>#REF!</v>
      </c>
      <c r="AT46" s="11" t="e">
        <f t="shared" si="21"/>
        <v>#REF!</v>
      </c>
      <c r="AV46" s="11" t="e">
        <f>'Share of £1bn'!$F$20*1000*$AO46/$AO$57</f>
        <v>#REF!</v>
      </c>
      <c r="AW46" s="11" t="e">
        <f>'Share of £1bn'!$F$27*1000*$AO46/$AO$57</f>
        <v>#REF!</v>
      </c>
      <c r="AX46" s="11" t="e">
        <f>'Share of £1bn'!$F$21*1000*$AO46/$AO$57</f>
        <v>#REF!</v>
      </c>
      <c r="AZ46" s="11" t="e">
        <f>'Share of £1bn'!$F$43*1000*AO46/$AO$57</f>
        <v>#REF!</v>
      </c>
      <c r="BA46" s="11" t="e">
        <f>'Share of £1bn'!$F$50*1000*$AO46/$AO$57</f>
        <v>#REF!</v>
      </c>
      <c r="BB46" s="11" t="e">
        <f>'Share of £1bn'!$F$44*1000*AO46/$AO$57</f>
        <v>#REF!</v>
      </c>
      <c r="BD46" s="11" t="e">
        <f>'Share of £1bn'!$F$67*1000*AO46/$AO$57</f>
        <v>#REF!</v>
      </c>
      <c r="BF46" s="11">
        <f>SUMIFS('20-11 M6 deficits'!$BO:$BO,'20-11 M6 deficits'!$C:$C,$C46)*1000</f>
        <v>0</v>
      </c>
      <c r="BH46" s="11" t="e">
        <f t="shared" si="22"/>
        <v>#REF!</v>
      </c>
      <c r="BI46" s="11" t="e">
        <f t="shared" si="23"/>
        <v>#REF!</v>
      </c>
      <c r="BJ46" s="11" t="e">
        <f t="shared" si="24"/>
        <v>#REF!</v>
      </c>
      <c r="BK46" s="11" t="e">
        <f t="shared" si="25"/>
        <v>#REF!</v>
      </c>
      <c r="BL46" s="11" t="e">
        <f t="shared" si="26"/>
        <v>#REF!</v>
      </c>
      <c r="BN46" s="11" t="e">
        <f t="shared" si="27"/>
        <v>#REF!</v>
      </c>
      <c r="BO46" s="11" t="e">
        <f t="shared" si="28"/>
        <v>#REF!</v>
      </c>
      <c r="BP46" s="11" t="e">
        <f t="shared" si="29"/>
        <v>#REF!</v>
      </c>
      <c r="BQ46" s="11" t="e">
        <f t="shared" si="30"/>
        <v>#REF!</v>
      </c>
      <c r="BR46" s="11" t="e">
        <f t="shared" si="31"/>
        <v>#REF!</v>
      </c>
      <c r="BT46" s="11" t="e">
        <f t="shared" si="32"/>
        <v>#REF!</v>
      </c>
      <c r="BU46" s="11" t="e">
        <f t="shared" si="33"/>
        <v>#REF!</v>
      </c>
      <c r="BV46" s="11" t="e">
        <f t="shared" si="34"/>
        <v>#REF!</v>
      </c>
      <c r="BW46" s="11" t="e">
        <f t="shared" si="35"/>
        <v>#REF!</v>
      </c>
      <c r="BX46" s="11" t="e">
        <f t="shared" si="36"/>
        <v>#REF!</v>
      </c>
      <c r="BZ46" s="11" t="e">
        <f t="shared" si="37"/>
        <v>#REF!</v>
      </c>
      <c r="CA46" s="11" t="e">
        <f t="shared" si="38"/>
        <v>#REF!</v>
      </c>
      <c r="CB46" s="11" t="e">
        <f t="shared" si="39"/>
        <v>#REF!</v>
      </c>
      <c r="CC46" s="11" t="e">
        <f t="shared" si="40"/>
        <v>#REF!</v>
      </c>
      <c r="CD46" s="11" t="e">
        <f t="shared" si="41"/>
        <v>#REF!</v>
      </c>
      <c r="CF46" s="11" t="e">
        <f t="shared" si="42"/>
        <v>#REF!</v>
      </c>
      <c r="CG46" s="11" t="e">
        <f t="shared" si="43"/>
        <v>#REF!</v>
      </c>
      <c r="CH46" s="11" t="e">
        <f t="shared" si="44"/>
        <v>#REF!</v>
      </c>
      <c r="CI46" s="11" t="e">
        <f t="shared" si="45"/>
        <v>#REF!</v>
      </c>
      <c r="CJ46" s="11" t="e">
        <f t="shared" si="46"/>
        <v>#REF!</v>
      </c>
      <c r="CM46" s="209">
        <f t="shared" si="47"/>
        <v>0</v>
      </c>
      <c r="CN46" s="209" t="e">
        <f t="shared" si="48"/>
        <v>#REF!</v>
      </c>
      <c r="CO46" s="209" t="e">
        <f t="shared" si="49"/>
        <v>#REF!</v>
      </c>
      <c r="CP46" s="209" t="e">
        <f t="shared" si="50"/>
        <v>#REF!</v>
      </c>
      <c r="CQ46" s="209" t="e">
        <f t="shared" si="51"/>
        <v>#REF!</v>
      </c>
    </row>
    <row r="47" spans="1:95" x14ac:dyDescent="0.25">
      <c r="A47" s="4"/>
      <c r="B47" s="4"/>
      <c r="C47" s="4"/>
      <c r="D47" s="4"/>
      <c r="AD47" s="63"/>
    </row>
    <row r="48" spans="1:95" x14ac:dyDescent="0.25">
      <c r="A48" s="4"/>
      <c r="B48" s="4"/>
      <c r="C48" s="4"/>
      <c r="D48" s="4"/>
      <c r="AD48" s="63"/>
    </row>
    <row r="49" spans="1:95" ht="114.75" x14ac:dyDescent="0.25">
      <c r="A49" s="4"/>
      <c r="B49" s="5" t="s">
        <v>114</v>
      </c>
      <c r="C49" s="5" t="s">
        <v>13</v>
      </c>
      <c r="D49" s="5" t="s">
        <v>14</v>
      </c>
      <c r="E49" s="27" t="s">
        <v>142</v>
      </c>
      <c r="F49" s="42" t="s">
        <v>146</v>
      </c>
      <c r="G49" s="36" t="s">
        <v>147</v>
      </c>
      <c r="H49" s="42" t="s">
        <v>127</v>
      </c>
      <c r="I49" s="42" t="s">
        <v>381</v>
      </c>
      <c r="J49" s="47" t="s">
        <v>128</v>
      </c>
      <c r="K49" s="47" t="s">
        <v>355</v>
      </c>
      <c r="L49" s="47" t="s">
        <v>356</v>
      </c>
      <c r="M49" s="42" t="s">
        <v>131</v>
      </c>
      <c r="N49" s="47" t="s">
        <v>357</v>
      </c>
      <c r="O49" s="47" t="s">
        <v>358</v>
      </c>
      <c r="P49" s="47" t="s">
        <v>359</v>
      </c>
      <c r="Q49" s="47" t="s">
        <v>355</v>
      </c>
      <c r="R49" s="47" t="s">
        <v>148</v>
      </c>
      <c r="S49" s="59" t="s">
        <v>149</v>
      </c>
      <c r="T49" s="59" t="s">
        <v>150</v>
      </c>
      <c r="U49" s="47" t="s">
        <v>361</v>
      </c>
      <c r="V49" s="59"/>
      <c r="W49" s="59"/>
      <c r="X49" s="42" t="s">
        <v>364</v>
      </c>
      <c r="Y49" s="42"/>
      <c r="Z49" s="42"/>
      <c r="AA49" s="42" t="s">
        <v>151</v>
      </c>
      <c r="AB49" s="27" t="s">
        <v>152</v>
      </c>
      <c r="AC49" s="27" t="s">
        <v>153</v>
      </c>
      <c r="AD49" s="62" t="s">
        <v>154</v>
      </c>
      <c r="AE49" s="47" t="s">
        <v>155</v>
      </c>
      <c r="AF49" s="47" t="s">
        <v>382</v>
      </c>
      <c r="AG49" s="47" t="s">
        <v>156</v>
      </c>
      <c r="AH49" s="47" t="s">
        <v>5</v>
      </c>
      <c r="AI49" s="59" t="s">
        <v>6</v>
      </c>
      <c r="AJ49" s="59" t="s">
        <v>157</v>
      </c>
      <c r="AK49" s="59" t="s">
        <v>158</v>
      </c>
      <c r="AL49" s="27" t="s">
        <v>383</v>
      </c>
      <c r="AN49" s="59" t="str">
        <f>AN3</f>
        <v>Changing base growth</v>
      </c>
      <c r="AO49" s="59" t="str">
        <f>AO3</f>
        <v>Impact of changing base growth (scaled up to £500m)</v>
      </c>
      <c r="AQ49" s="59" t="str">
        <f>AQ3</f>
        <v>Capacity</v>
      </c>
      <c r="AS49" s="59" t="s">
        <v>358</v>
      </c>
      <c r="AT49" s="59" t="str">
        <f>AT3</f>
        <v>Impact of changing convergence</v>
      </c>
      <c r="AV49" s="59" t="str">
        <f>AV3</f>
        <v>Base growth 1 - GDP Deflator (ICB Core)</v>
      </c>
      <c r="AW49" s="59" t="str">
        <f>AW3</f>
        <v>Base growth 1 - GDP Deflator (Other streams) - purely notional</v>
      </c>
      <c r="AX49" s="59" t="str">
        <f>AX3</f>
        <v>Base growth 1 - GDP Deflator (ICB Core leakage)</v>
      </c>
      <c r="AZ49" s="59" t="str">
        <f>AZ3</f>
        <v>Base growth 2 - UEC (ICB Core)</v>
      </c>
      <c r="BA49" s="59" t="str">
        <f>BA3</f>
        <v>Base growth 2 - UEC (Other streams) - purely notional</v>
      </c>
      <c r="BB49" s="59" t="str">
        <f>BB3</f>
        <v>Base growth 2 - UEC (ICB Core Leakage)</v>
      </c>
      <c r="BD49" s="59" t="str">
        <f>BD3</f>
        <v>Base growth 3 - Prescribing/CHC</v>
      </c>
      <c r="BF49" s="59" t="str">
        <f>BF3</f>
        <v>Deficits</v>
      </c>
      <c r="BH49" s="59" t="str">
        <f>BH3</f>
        <v>Base growth 1 - GDP Deflator (ICB Core leakage)</v>
      </c>
      <c r="BI49" s="59" t="str">
        <f>BI3</f>
        <v>New</v>
      </c>
      <c r="BJ49" s="59" t="str">
        <f>BJ3</f>
        <v>Good</v>
      </c>
      <c r="BK49" s="59" t="str">
        <f>BK3</f>
        <v>Good</v>
      </c>
      <c r="BL49" s="59" t="str">
        <f>BL3</f>
        <v>Bad</v>
      </c>
      <c r="BN49" s="59" t="str">
        <f>BN3</f>
        <v>Base growth 2 - UEC (ICB Core)</v>
      </c>
      <c r="BO49" s="59" t="str">
        <f>BO3</f>
        <v>New</v>
      </c>
      <c r="BP49" s="59" t="str">
        <f>BP3</f>
        <v>Good</v>
      </c>
      <c r="BQ49" s="59" t="str">
        <f>BQ3</f>
        <v>Good</v>
      </c>
      <c r="BR49" s="59" t="str">
        <f>BR3</f>
        <v>Bad</v>
      </c>
      <c r="BT49" s="59" t="str">
        <f>BT3</f>
        <v>Base growth 3 - Prescribing/CHC</v>
      </c>
      <c r="BU49" s="59" t="str">
        <f>BU3</f>
        <v>New</v>
      </c>
      <c r="BV49" s="59" t="str">
        <f>BV3</f>
        <v>Good</v>
      </c>
      <c r="BW49" s="59" t="str">
        <f>BW3</f>
        <v>Good</v>
      </c>
      <c r="BX49" s="59" t="str">
        <f>BX3</f>
        <v>Bad</v>
      </c>
      <c r="BZ49" s="59" t="str">
        <f>BZ3</f>
        <v>Convergence</v>
      </c>
      <c r="CA49" s="59" t="str">
        <f>CA3</f>
        <v>New</v>
      </c>
      <c r="CB49" s="59" t="str">
        <f>CB3</f>
        <v>Good</v>
      </c>
      <c r="CC49" s="59" t="str">
        <f>CC3</f>
        <v>Good</v>
      </c>
      <c r="CD49" s="59" t="str">
        <f>CD3</f>
        <v>Bad</v>
      </c>
      <c r="CF49" s="59" t="str">
        <f>CF3</f>
        <v>Capacity</v>
      </c>
      <c r="CG49" s="59" t="str">
        <f>CG3</f>
        <v>New</v>
      </c>
      <c r="CH49" s="59" t="str">
        <f>CH3</f>
        <v>Good</v>
      </c>
      <c r="CI49" s="59" t="str">
        <f>CI3</f>
        <v>Good</v>
      </c>
      <c r="CJ49" s="59" t="str">
        <f>CJ3</f>
        <v>Bad</v>
      </c>
    </row>
    <row r="50" spans="1:95" x14ac:dyDescent="0.25">
      <c r="A50" s="4"/>
      <c r="B50" s="21">
        <v>1</v>
      </c>
      <c r="C50" s="22" t="s">
        <v>17</v>
      </c>
      <c r="D50" s="22" t="s">
        <v>18</v>
      </c>
      <c r="E50" s="23">
        <f>SUMIFS(E$5:E$46,$A$5:$A$46,$C50)</f>
        <v>16103414.606958285</v>
      </c>
      <c r="F50" s="45" t="e">
        <f>SUMIFS(#REF!,#REF!,C50)</f>
        <v>#REF!</v>
      </c>
      <c r="H50" s="45" t="e" cm="1">
        <f t="array" ref="H50">SUMPRODUCT((H$5:H$46)*($E$5:$E$46)*($A$5:$A$46=$C50))/SUMPRODUCT(($E$5:$E$46)*($A$5:$A$46=$C50))</f>
        <v>#REF!</v>
      </c>
      <c r="I50" s="45" t="e" cm="1">
        <f t="array" ref="I50">SUMPRODUCT((I$5:I$46)*($E$5:$E$46)*($A$5:$A$46=$C50))/SUMPRODUCT(($E$5:$E$46)*($A$5:$A$46=$C50))</f>
        <v>#REF!</v>
      </c>
      <c r="J50" s="45" t="e" cm="1">
        <f t="array" ref="J50">SUMPRODUCT((J$5:J$46)*($E$5:$E$46)*($A$5:$A$46=$C50))/SUMPRODUCT(($E$5:$E$46)*($A$5:$A$46=$C50))</f>
        <v>#REF!</v>
      </c>
      <c r="K50" s="23" t="e">
        <f t="shared" ref="K50:L56" si="52">SUMIFS(K$5:K$46,$A$5:$A$46,$C50)</f>
        <v>#REF!</v>
      </c>
      <c r="L50" s="23" t="e">
        <f t="shared" si="52"/>
        <v>#REF!</v>
      </c>
      <c r="M50" s="45" t="e">
        <f>SUMIFS(#REF!,#REF!,C50)</f>
        <v>#REF!</v>
      </c>
      <c r="N50" s="23" t="e">
        <f t="shared" ref="N50:N56" si="53">SUMIFS(N$5:N$46,$A$5:$A$46,$C50)</f>
        <v>#REF!</v>
      </c>
      <c r="O50" s="45" t="e" cm="1">
        <f t="array" ref="O50">SUMPRODUCT((O$5:O$46)*($L$5:$L$46)*($A$5:$A$46=$C50))/SUMPRODUCT(($L$5:$L$46)*($A$5:$A$46=$C50))</f>
        <v>#REF!</v>
      </c>
      <c r="P50" s="23" t="e">
        <f t="shared" ref="P50:AQ56" si="54">SUMIFS(P$5:P$46,$A$5:$A$46,$C50)</f>
        <v>#REF!</v>
      </c>
      <c r="Q50" s="23" t="e">
        <f t="shared" si="54"/>
        <v>#REF!</v>
      </c>
      <c r="R50" s="23" t="e">
        <f t="shared" si="54"/>
        <v>#REF!</v>
      </c>
      <c r="S50" s="23" t="e">
        <f t="shared" si="54"/>
        <v>#REF!</v>
      </c>
      <c r="T50" s="23" t="e">
        <f t="shared" ref="T50:T57" si="55">(R50/S50)*1000</f>
        <v>#REF!</v>
      </c>
      <c r="U50" s="23"/>
      <c r="V50" s="23" t="e">
        <f t="shared" si="54"/>
        <v>#REF!</v>
      </c>
      <c r="W50" s="23" t="e">
        <f t="shared" si="54"/>
        <v>#REF!</v>
      </c>
      <c r="X50" s="45"/>
      <c r="Y50" s="45"/>
      <c r="Z50" s="45"/>
      <c r="AA50" s="45" t="e">
        <f t="shared" ref="AA50:AA57" si="56">R50/E50-1</f>
        <v>#REF!</v>
      </c>
      <c r="AB50" s="23" t="e">
        <f t="shared" si="54"/>
        <v>#REF!</v>
      </c>
      <c r="AC50" s="23" t="e">
        <f t="shared" si="54"/>
        <v>#REF!</v>
      </c>
      <c r="AD50" s="66"/>
      <c r="AE50" s="23" t="e">
        <f t="shared" si="54"/>
        <v>#REF!</v>
      </c>
      <c r="AF50" s="23" t="e">
        <f t="shared" si="54"/>
        <v>#REF!</v>
      </c>
      <c r="AG50" s="23" t="e">
        <f t="shared" si="54"/>
        <v>#REF!</v>
      </c>
      <c r="AH50" s="23" t="e">
        <f t="shared" si="54"/>
        <v>#REF!</v>
      </c>
      <c r="AI50" s="23" t="e">
        <f t="shared" si="54"/>
        <v>#REF!</v>
      </c>
      <c r="AJ50" s="23" t="e">
        <f t="shared" si="54"/>
        <v>#REF!</v>
      </c>
      <c r="AK50" s="23">
        <f t="shared" si="54"/>
        <v>0</v>
      </c>
      <c r="AL50" s="23" t="e">
        <f t="shared" si="54"/>
        <v>#REF!</v>
      </c>
      <c r="AN50" s="23" t="e">
        <f t="shared" si="54"/>
        <v>#REF!</v>
      </c>
      <c r="AO50" s="23" t="e">
        <f t="shared" si="54"/>
        <v>#REF!</v>
      </c>
      <c r="AQ50" s="23" t="e">
        <f t="shared" si="54"/>
        <v>#REF!</v>
      </c>
      <c r="AS50" s="45" t="e" cm="1">
        <f t="array" ref="AS50">SUMPRODUCT((AS$5:AS$46)*($L$5:$L$46)*($A$5:$A$46=$C50))/SUMPRODUCT(($L$5:$L$46)*($A$5:$A$46=$C50))</f>
        <v>#REF!</v>
      </c>
      <c r="AT50" s="23" t="e">
        <f t="shared" ref="AT50:BI56" si="57">SUMIFS(AT$5:AT$46,$A$5:$A$46,$C50)</f>
        <v>#REF!</v>
      </c>
      <c r="AV50" s="23" t="e">
        <f t="shared" si="57"/>
        <v>#REF!</v>
      </c>
      <c r="AW50" s="23" t="e">
        <f t="shared" si="57"/>
        <v>#REF!</v>
      </c>
      <c r="AX50" s="23" t="e">
        <f t="shared" si="57"/>
        <v>#REF!</v>
      </c>
      <c r="AZ50" s="23" t="e">
        <f t="shared" si="57"/>
        <v>#REF!</v>
      </c>
      <c r="BA50" s="23" t="e">
        <f t="shared" si="57"/>
        <v>#REF!</v>
      </c>
      <c r="BB50" s="23" t="e">
        <f t="shared" si="57"/>
        <v>#REF!</v>
      </c>
      <c r="BD50" s="23" t="e">
        <f t="shared" si="57"/>
        <v>#REF!</v>
      </c>
      <c r="BF50" s="23">
        <f t="shared" si="57"/>
        <v>-105017.77082265612</v>
      </c>
      <c r="BH50" s="23" t="e">
        <f t="shared" si="57"/>
        <v>#REF!</v>
      </c>
      <c r="BI50" s="23" t="e">
        <f t="shared" si="57"/>
        <v>#REF!</v>
      </c>
      <c r="BJ50" s="23" t="e">
        <f t="shared" ref="BJ50:BL56" si="58">SUMIFS(BJ$5:BJ$46,$A$5:$A$46,$C50)</f>
        <v>#REF!</v>
      </c>
      <c r="BK50" s="23" t="e">
        <f t="shared" si="58"/>
        <v>#REF!</v>
      </c>
      <c r="BL50" s="23" t="e">
        <f t="shared" si="58"/>
        <v>#REF!</v>
      </c>
      <c r="BN50" s="23" t="e">
        <f t="shared" ref="BN50:CC56" si="59">SUMIFS(BN$5:BN$46,$A$5:$A$46,$C50)</f>
        <v>#REF!</v>
      </c>
      <c r="BO50" s="23" t="e">
        <f t="shared" si="59"/>
        <v>#REF!</v>
      </c>
      <c r="BP50" s="23" t="e">
        <f t="shared" si="59"/>
        <v>#REF!</v>
      </c>
      <c r="BQ50" s="23" t="e">
        <f t="shared" si="59"/>
        <v>#REF!</v>
      </c>
      <c r="BR50" s="23" t="e">
        <f t="shared" si="59"/>
        <v>#REF!</v>
      </c>
      <c r="BT50" s="23" t="e">
        <f t="shared" si="59"/>
        <v>#REF!</v>
      </c>
      <c r="BU50" s="23" t="e">
        <f t="shared" si="59"/>
        <v>#REF!</v>
      </c>
      <c r="BV50" s="23" t="e">
        <f t="shared" si="59"/>
        <v>#REF!</v>
      </c>
      <c r="BW50" s="23" t="e">
        <f t="shared" si="59"/>
        <v>#REF!</v>
      </c>
      <c r="BX50" s="23" t="e">
        <f t="shared" si="59"/>
        <v>#REF!</v>
      </c>
      <c r="BZ50" s="23" t="e">
        <f t="shared" si="59"/>
        <v>#REF!</v>
      </c>
      <c r="CA50" s="23" t="e">
        <f t="shared" si="59"/>
        <v>#REF!</v>
      </c>
      <c r="CB50" s="23" t="e">
        <f t="shared" si="59"/>
        <v>#REF!</v>
      </c>
      <c r="CC50" s="23" t="e">
        <f t="shared" si="59"/>
        <v>#REF!</v>
      </c>
      <c r="CD50" s="23" t="e">
        <f t="shared" ref="CD50:CD56" si="60">SUMIFS(CD$5:CD$46,$A$5:$A$46,$C50)</f>
        <v>#REF!</v>
      </c>
      <c r="CF50" s="23" t="e">
        <f t="shared" ref="CF50:CJ56" si="61">SUMIFS(CF$5:CF$46,$A$5:$A$46,$C50)</f>
        <v>#REF!</v>
      </c>
      <c r="CG50" s="23" t="e">
        <f t="shared" si="61"/>
        <v>#REF!</v>
      </c>
      <c r="CH50" s="23" t="e">
        <f t="shared" si="61"/>
        <v>#REF!</v>
      </c>
      <c r="CI50" s="23" t="e">
        <f t="shared" si="61"/>
        <v>#REF!</v>
      </c>
      <c r="CJ50" s="23" t="e">
        <f t="shared" si="61"/>
        <v>#REF!</v>
      </c>
      <c r="CM50" s="209">
        <f>SUMIFS(BF$5:BF$46,BF$5:BF$46,"&lt;0",$A$5:$A$46,$C50)/$BF$59</f>
        <v>6.6431325460665214E-2</v>
      </c>
      <c r="CN50" s="209" t="e">
        <f t="shared" ref="CN50:CN56" si="62">R50/$R$57</f>
        <v>#REF!</v>
      </c>
      <c r="CO50" s="209" t="e">
        <f t="shared" ref="CO50:CO56" si="63">AO50/$AO$57</f>
        <v>#REF!</v>
      </c>
      <c r="CP50" s="209" t="e">
        <f t="shared" ref="CP50:CP56" si="64">BZ50/$BZ$57</f>
        <v>#REF!</v>
      </c>
      <c r="CQ50" s="209" t="e">
        <f t="shared" ref="CQ50:CQ56" si="65">CF50/$CF$57</f>
        <v>#REF!</v>
      </c>
    </row>
    <row r="51" spans="1:95" x14ac:dyDescent="0.25">
      <c r="A51" s="4"/>
      <c r="B51" s="21">
        <v>2</v>
      </c>
      <c r="C51" s="22" t="s">
        <v>27</v>
      </c>
      <c r="D51" s="22" t="s">
        <v>28</v>
      </c>
      <c r="E51" s="23">
        <f t="shared" ref="E51:E56" si="66">SUMIFS(E$5:E$46,$A$5:$A$46,$C51)</f>
        <v>14450049.427944031</v>
      </c>
      <c r="F51" s="45" t="e">
        <f>SUMIFS(#REF!,#REF!,C51)</f>
        <v>#REF!</v>
      </c>
      <c r="H51" s="45" t="e" cm="1">
        <f t="array" ref="H51">SUMPRODUCT((H$5:H$46)*($E$5:$E$46)*($A$5:$A$46=$C51))/SUMPRODUCT(($E$5:$E$46)*($A$5:$A$46=$C51))</f>
        <v>#REF!</v>
      </c>
      <c r="I51" s="45" t="e" cm="1">
        <f t="array" ref="I51">SUMPRODUCT((I$5:I$46)*($E$5:$E$46)*($A$5:$A$46=$C51))/SUMPRODUCT(($E$5:$E$46)*($A$5:$A$46=$C51))</f>
        <v>#REF!</v>
      </c>
      <c r="J51" s="45" t="e" cm="1">
        <f t="array" ref="J51">SUMPRODUCT((J$5:J$46)*($E$5:$E$46)*($A$5:$A$46=$C51))/SUMPRODUCT(($E$5:$E$46)*($A$5:$A$46=$C51))</f>
        <v>#REF!</v>
      </c>
      <c r="K51" s="23" t="e">
        <f t="shared" si="52"/>
        <v>#REF!</v>
      </c>
      <c r="L51" s="23" t="e">
        <f t="shared" si="52"/>
        <v>#REF!</v>
      </c>
      <c r="M51" s="45" t="e">
        <f>SUMIFS(#REF!,#REF!,C51)</f>
        <v>#REF!</v>
      </c>
      <c r="N51" s="23" t="e">
        <f t="shared" si="53"/>
        <v>#REF!</v>
      </c>
      <c r="O51" s="45" t="e" cm="1">
        <f t="array" ref="O51">SUMPRODUCT((O$5:O$46)*($L$5:$L$46)*($A$5:$A$46=$C51))/SUMPRODUCT(($L$5:$L$46)*($A$5:$A$46=$C51))</f>
        <v>#REF!</v>
      </c>
      <c r="P51" s="23" t="e">
        <f t="shared" si="54"/>
        <v>#REF!</v>
      </c>
      <c r="Q51" s="23" t="e">
        <f t="shared" si="54"/>
        <v>#REF!</v>
      </c>
      <c r="R51" s="23" t="e">
        <f t="shared" si="54"/>
        <v>#REF!</v>
      </c>
      <c r="S51" s="23" t="e">
        <f t="shared" si="54"/>
        <v>#REF!</v>
      </c>
      <c r="T51" s="23" t="e">
        <f t="shared" si="55"/>
        <v>#REF!</v>
      </c>
      <c r="U51" s="23"/>
      <c r="V51" s="23" t="e">
        <f t="shared" si="54"/>
        <v>#REF!</v>
      </c>
      <c r="W51" s="23" t="e">
        <f t="shared" si="54"/>
        <v>#REF!</v>
      </c>
      <c r="X51" s="45"/>
      <c r="Y51" s="45"/>
      <c r="Z51" s="45"/>
      <c r="AA51" s="45" t="e">
        <f t="shared" si="56"/>
        <v>#REF!</v>
      </c>
      <c r="AB51" s="23" t="e">
        <f t="shared" si="54"/>
        <v>#REF!</v>
      </c>
      <c r="AC51" s="23" t="e">
        <f t="shared" si="54"/>
        <v>#REF!</v>
      </c>
      <c r="AD51" s="66"/>
      <c r="AE51" s="23" t="e">
        <f t="shared" si="54"/>
        <v>#REF!</v>
      </c>
      <c r="AF51" s="23" t="e">
        <f t="shared" si="54"/>
        <v>#REF!</v>
      </c>
      <c r="AG51" s="23" t="e">
        <f t="shared" si="54"/>
        <v>#REF!</v>
      </c>
      <c r="AH51" s="23" t="e">
        <f t="shared" si="54"/>
        <v>#REF!</v>
      </c>
      <c r="AI51" s="23" t="e">
        <f t="shared" si="54"/>
        <v>#REF!</v>
      </c>
      <c r="AJ51" s="23" t="e">
        <f t="shared" si="54"/>
        <v>#REF!</v>
      </c>
      <c r="AK51" s="23">
        <f t="shared" si="54"/>
        <v>0</v>
      </c>
      <c r="AL51" s="23" t="e">
        <f t="shared" si="54"/>
        <v>#REF!</v>
      </c>
      <c r="AN51" s="23" t="e">
        <f t="shared" si="54"/>
        <v>#REF!</v>
      </c>
      <c r="AO51" s="23" t="e">
        <f t="shared" si="54"/>
        <v>#REF!</v>
      </c>
      <c r="AQ51" s="23" t="e">
        <f t="shared" si="54"/>
        <v>#REF!</v>
      </c>
      <c r="AS51" s="45" t="e" cm="1">
        <f t="array" ref="AS51">SUMPRODUCT((AS$5:AS$46)*($L$5:$L$46)*($A$5:$A$46=$C51))/SUMPRODUCT(($L$5:$L$46)*($A$5:$A$46=$C51))</f>
        <v>#REF!</v>
      </c>
      <c r="AT51" s="23" t="e">
        <f t="shared" si="57"/>
        <v>#REF!</v>
      </c>
      <c r="AV51" s="23" t="e">
        <f t="shared" si="57"/>
        <v>#REF!</v>
      </c>
      <c r="AW51" s="23" t="e">
        <f t="shared" si="57"/>
        <v>#REF!</v>
      </c>
      <c r="AX51" s="23" t="e">
        <f t="shared" si="57"/>
        <v>#REF!</v>
      </c>
      <c r="AZ51" s="23" t="e">
        <f t="shared" si="57"/>
        <v>#REF!</v>
      </c>
      <c r="BA51" s="23" t="e">
        <f t="shared" si="57"/>
        <v>#REF!</v>
      </c>
      <c r="BB51" s="23" t="e">
        <f t="shared" si="57"/>
        <v>#REF!</v>
      </c>
      <c r="BD51" s="23" t="e">
        <f t="shared" si="57"/>
        <v>#REF!</v>
      </c>
      <c r="BF51" s="23">
        <f t="shared" si="57"/>
        <v>-421165.06055570475</v>
      </c>
      <c r="BH51" s="23" t="e">
        <f t="shared" si="57"/>
        <v>#REF!</v>
      </c>
      <c r="BI51" s="23" t="e">
        <f t="shared" si="57"/>
        <v>#REF!</v>
      </c>
      <c r="BJ51" s="23" t="e">
        <f t="shared" si="58"/>
        <v>#REF!</v>
      </c>
      <c r="BK51" s="23" t="e">
        <f t="shared" si="58"/>
        <v>#REF!</v>
      </c>
      <c r="BL51" s="23" t="e">
        <f t="shared" si="58"/>
        <v>#REF!</v>
      </c>
      <c r="BN51" s="23" t="e">
        <f t="shared" si="59"/>
        <v>#REF!</v>
      </c>
      <c r="BO51" s="23" t="e">
        <f t="shared" si="59"/>
        <v>#REF!</v>
      </c>
      <c r="BP51" s="23" t="e">
        <f t="shared" si="59"/>
        <v>#REF!</v>
      </c>
      <c r="BQ51" s="23" t="e">
        <f t="shared" si="59"/>
        <v>#REF!</v>
      </c>
      <c r="BR51" s="23" t="e">
        <f t="shared" si="59"/>
        <v>#REF!</v>
      </c>
      <c r="BT51" s="23" t="e">
        <f t="shared" si="59"/>
        <v>#REF!</v>
      </c>
      <c r="BU51" s="23" t="e">
        <f t="shared" si="59"/>
        <v>#REF!</v>
      </c>
      <c r="BV51" s="23" t="e">
        <f t="shared" si="59"/>
        <v>#REF!</v>
      </c>
      <c r="BW51" s="23" t="e">
        <f t="shared" si="59"/>
        <v>#REF!</v>
      </c>
      <c r="BX51" s="23" t="e">
        <f t="shared" si="59"/>
        <v>#REF!</v>
      </c>
      <c r="BZ51" s="23" t="e">
        <f t="shared" si="59"/>
        <v>#REF!</v>
      </c>
      <c r="CA51" s="23" t="e">
        <f t="shared" si="59"/>
        <v>#REF!</v>
      </c>
      <c r="CB51" s="23" t="e">
        <f t="shared" si="59"/>
        <v>#REF!</v>
      </c>
      <c r="CC51" s="23" t="e">
        <f t="shared" si="59"/>
        <v>#REF!</v>
      </c>
      <c r="CD51" s="23" t="e">
        <f t="shared" si="60"/>
        <v>#REF!</v>
      </c>
      <c r="CF51" s="23" t="e">
        <f t="shared" si="61"/>
        <v>#REF!</v>
      </c>
      <c r="CG51" s="23" t="e">
        <f t="shared" si="61"/>
        <v>#REF!</v>
      </c>
      <c r="CH51" s="23" t="e">
        <f t="shared" si="61"/>
        <v>#REF!</v>
      </c>
      <c r="CI51" s="23" t="e">
        <f t="shared" si="61"/>
        <v>#REF!</v>
      </c>
      <c r="CJ51" s="23" t="e">
        <f t="shared" si="61"/>
        <v>#REF!</v>
      </c>
      <c r="CM51" s="209">
        <f t="shared" ref="CM51:CM56" si="67">SUMIFS(BF$5:BF$46,BF$5:BF$46,"&lt;0",$A$5:$A$46,$C51)/$BF$59</f>
        <v>0.26641732148061187</v>
      </c>
      <c r="CN51" s="209" t="e">
        <f t="shared" si="62"/>
        <v>#REF!</v>
      </c>
      <c r="CO51" s="209" t="e">
        <f t="shared" si="63"/>
        <v>#REF!</v>
      </c>
      <c r="CP51" s="209" t="e">
        <f t="shared" si="64"/>
        <v>#REF!</v>
      </c>
      <c r="CQ51" s="209" t="e">
        <f t="shared" si="65"/>
        <v>#REF!</v>
      </c>
    </row>
    <row r="52" spans="1:95" x14ac:dyDescent="0.25">
      <c r="A52" s="4"/>
      <c r="B52" s="21">
        <v>3</v>
      </c>
      <c r="C52" s="22" t="s">
        <v>34</v>
      </c>
      <c r="D52" s="22" t="s">
        <v>35</v>
      </c>
      <c r="E52" s="23">
        <f t="shared" si="66"/>
        <v>19536186.067950472</v>
      </c>
      <c r="F52" s="45" t="e">
        <f>SUMIFS(#REF!,#REF!,C52)</f>
        <v>#REF!</v>
      </c>
      <c r="H52" s="45" t="e" cm="1">
        <f t="array" ref="H52">SUMPRODUCT((H$5:H$46)*($E$5:$E$46)*($A$5:$A$46=$C52))/SUMPRODUCT(($E$5:$E$46)*($A$5:$A$46=$C52))</f>
        <v>#REF!</v>
      </c>
      <c r="I52" s="45" t="e" cm="1">
        <f t="array" ref="I52">SUMPRODUCT((I$5:I$46)*($E$5:$E$46)*($A$5:$A$46=$C52))/SUMPRODUCT(($E$5:$E$46)*($A$5:$A$46=$C52))</f>
        <v>#REF!</v>
      </c>
      <c r="J52" s="45" t="e" cm="1">
        <f t="array" ref="J52">SUMPRODUCT((J$5:J$46)*($E$5:$E$46)*($A$5:$A$46=$C52))/SUMPRODUCT(($E$5:$E$46)*($A$5:$A$46=$C52))</f>
        <v>#REF!</v>
      </c>
      <c r="K52" s="23" t="e">
        <f t="shared" si="52"/>
        <v>#REF!</v>
      </c>
      <c r="L52" s="23" t="e">
        <f t="shared" si="52"/>
        <v>#REF!</v>
      </c>
      <c r="M52" s="45" t="e">
        <f>SUMIFS(#REF!,#REF!,C52)</f>
        <v>#REF!</v>
      </c>
      <c r="N52" s="23" t="e">
        <f t="shared" si="53"/>
        <v>#REF!</v>
      </c>
      <c r="O52" s="45" t="e" cm="1">
        <f t="array" ref="O52">SUMPRODUCT((O$5:O$46)*($L$5:$L$46)*($A$5:$A$46=$C52))/SUMPRODUCT(($L$5:$L$46)*($A$5:$A$46=$C52))</f>
        <v>#REF!</v>
      </c>
      <c r="P52" s="23" t="e">
        <f t="shared" si="54"/>
        <v>#REF!</v>
      </c>
      <c r="Q52" s="23" t="e">
        <f t="shared" si="54"/>
        <v>#REF!</v>
      </c>
      <c r="R52" s="23" t="e">
        <f t="shared" si="54"/>
        <v>#REF!</v>
      </c>
      <c r="S52" s="23" t="e">
        <f t="shared" si="54"/>
        <v>#REF!</v>
      </c>
      <c r="T52" s="23" t="e">
        <f t="shared" si="55"/>
        <v>#REF!</v>
      </c>
      <c r="U52" s="23"/>
      <c r="V52" s="23" t="e">
        <f t="shared" si="54"/>
        <v>#REF!</v>
      </c>
      <c r="W52" s="23" t="e">
        <f t="shared" si="54"/>
        <v>#REF!</v>
      </c>
      <c r="X52" s="45"/>
      <c r="Y52" s="45"/>
      <c r="Z52" s="45"/>
      <c r="AA52" s="45" t="e">
        <f t="shared" si="56"/>
        <v>#REF!</v>
      </c>
      <c r="AB52" s="23" t="e">
        <f t="shared" si="54"/>
        <v>#REF!</v>
      </c>
      <c r="AC52" s="23" t="e">
        <f t="shared" si="54"/>
        <v>#REF!</v>
      </c>
      <c r="AD52" s="66"/>
      <c r="AE52" s="23" t="e">
        <f t="shared" si="54"/>
        <v>#REF!</v>
      </c>
      <c r="AF52" s="23" t="e">
        <f t="shared" si="54"/>
        <v>#REF!</v>
      </c>
      <c r="AG52" s="23" t="e">
        <f t="shared" si="54"/>
        <v>#REF!</v>
      </c>
      <c r="AH52" s="23" t="e">
        <f t="shared" si="54"/>
        <v>#REF!</v>
      </c>
      <c r="AI52" s="23" t="e">
        <f t="shared" si="54"/>
        <v>#REF!</v>
      </c>
      <c r="AJ52" s="23" t="e">
        <f t="shared" si="54"/>
        <v>#REF!</v>
      </c>
      <c r="AK52" s="23">
        <f t="shared" si="54"/>
        <v>0</v>
      </c>
      <c r="AL52" s="23" t="e">
        <f t="shared" si="54"/>
        <v>#REF!</v>
      </c>
      <c r="AN52" s="23" t="e">
        <f t="shared" si="54"/>
        <v>#REF!</v>
      </c>
      <c r="AO52" s="23" t="e">
        <f t="shared" si="54"/>
        <v>#REF!</v>
      </c>
      <c r="AQ52" s="23" t="e">
        <f t="shared" si="54"/>
        <v>#REF!</v>
      </c>
      <c r="AS52" s="45" t="e" cm="1">
        <f t="array" ref="AS52">SUMPRODUCT((AS$5:AS$46)*($L$5:$L$46)*($A$5:$A$46=$C52))/SUMPRODUCT(($L$5:$L$46)*($A$5:$A$46=$C52))</f>
        <v>#REF!</v>
      </c>
      <c r="AT52" s="23" t="e">
        <f t="shared" si="57"/>
        <v>#REF!</v>
      </c>
      <c r="AV52" s="23" t="e">
        <f t="shared" si="57"/>
        <v>#REF!</v>
      </c>
      <c r="AW52" s="23" t="e">
        <f t="shared" si="57"/>
        <v>#REF!</v>
      </c>
      <c r="AX52" s="23" t="e">
        <f t="shared" si="57"/>
        <v>#REF!</v>
      </c>
      <c r="AZ52" s="23" t="e">
        <f t="shared" si="57"/>
        <v>#REF!</v>
      </c>
      <c r="BA52" s="23" t="e">
        <f t="shared" si="57"/>
        <v>#REF!</v>
      </c>
      <c r="BB52" s="23" t="e">
        <f t="shared" si="57"/>
        <v>#REF!</v>
      </c>
      <c r="BD52" s="23" t="e">
        <f t="shared" si="57"/>
        <v>#REF!</v>
      </c>
      <c r="BF52" s="23">
        <f t="shared" si="57"/>
        <v>-497354.00760084507</v>
      </c>
      <c r="BH52" s="23" t="e">
        <f t="shared" si="57"/>
        <v>#REF!</v>
      </c>
      <c r="BI52" s="23" t="e">
        <f t="shared" si="57"/>
        <v>#REF!</v>
      </c>
      <c r="BJ52" s="23" t="e">
        <f t="shared" si="58"/>
        <v>#REF!</v>
      </c>
      <c r="BK52" s="23" t="e">
        <f t="shared" si="58"/>
        <v>#REF!</v>
      </c>
      <c r="BL52" s="23" t="e">
        <f t="shared" si="58"/>
        <v>#REF!</v>
      </c>
      <c r="BN52" s="23" t="e">
        <f t="shared" si="59"/>
        <v>#REF!</v>
      </c>
      <c r="BO52" s="23" t="e">
        <f t="shared" si="59"/>
        <v>#REF!</v>
      </c>
      <c r="BP52" s="23" t="e">
        <f t="shared" si="59"/>
        <v>#REF!</v>
      </c>
      <c r="BQ52" s="23" t="e">
        <f t="shared" si="59"/>
        <v>#REF!</v>
      </c>
      <c r="BR52" s="23" t="e">
        <f t="shared" si="59"/>
        <v>#REF!</v>
      </c>
      <c r="BT52" s="23" t="e">
        <f t="shared" si="59"/>
        <v>#REF!</v>
      </c>
      <c r="BU52" s="23" t="e">
        <f t="shared" si="59"/>
        <v>#REF!</v>
      </c>
      <c r="BV52" s="23" t="e">
        <f t="shared" si="59"/>
        <v>#REF!</v>
      </c>
      <c r="BW52" s="23" t="e">
        <f t="shared" si="59"/>
        <v>#REF!</v>
      </c>
      <c r="BX52" s="23" t="e">
        <f t="shared" si="59"/>
        <v>#REF!</v>
      </c>
      <c r="BZ52" s="23" t="e">
        <f t="shared" si="59"/>
        <v>#REF!</v>
      </c>
      <c r="CA52" s="23" t="e">
        <f t="shared" si="59"/>
        <v>#REF!</v>
      </c>
      <c r="CB52" s="23" t="e">
        <f t="shared" si="59"/>
        <v>#REF!</v>
      </c>
      <c r="CC52" s="23" t="e">
        <f t="shared" si="59"/>
        <v>#REF!</v>
      </c>
      <c r="CD52" s="23" t="e">
        <f t="shared" si="60"/>
        <v>#REF!</v>
      </c>
      <c r="CF52" s="23" t="e">
        <f t="shared" si="61"/>
        <v>#REF!</v>
      </c>
      <c r="CG52" s="23" t="e">
        <f t="shared" si="61"/>
        <v>#REF!</v>
      </c>
      <c r="CH52" s="23" t="e">
        <f t="shared" si="61"/>
        <v>#REF!</v>
      </c>
      <c r="CI52" s="23" t="e">
        <f t="shared" si="61"/>
        <v>#REF!</v>
      </c>
      <c r="CJ52" s="23" t="e">
        <f t="shared" si="61"/>
        <v>#REF!</v>
      </c>
      <c r="CM52" s="209">
        <f t="shared" si="67"/>
        <v>0.31461233360106711</v>
      </c>
      <c r="CN52" s="209" t="e">
        <f t="shared" si="62"/>
        <v>#REF!</v>
      </c>
      <c r="CO52" s="209" t="e">
        <f t="shared" si="63"/>
        <v>#REF!</v>
      </c>
      <c r="CP52" s="209" t="e">
        <f t="shared" si="64"/>
        <v>#REF!</v>
      </c>
      <c r="CQ52" s="209" t="e">
        <f t="shared" si="65"/>
        <v>#REF!</v>
      </c>
    </row>
    <row r="53" spans="1:95" x14ac:dyDescent="0.25">
      <c r="A53" s="4"/>
      <c r="B53" s="21">
        <v>4</v>
      </c>
      <c r="C53" s="22" t="s">
        <v>58</v>
      </c>
      <c r="D53" s="22" t="s">
        <v>59</v>
      </c>
      <c r="E53" s="23">
        <f t="shared" si="66"/>
        <v>11559699.774078418</v>
      </c>
      <c r="F53" s="45" t="e">
        <f>SUMIFS(#REF!,#REF!,C53)</f>
        <v>#REF!</v>
      </c>
      <c r="H53" s="45" t="e" cm="1">
        <f t="array" ref="H53">SUMPRODUCT((H$5:H$46)*($E$5:$E$46)*($A$5:$A$46=$C53))/SUMPRODUCT(($E$5:$E$46)*($A$5:$A$46=$C53))</f>
        <v>#REF!</v>
      </c>
      <c r="I53" s="45" t="e" cm="1">
        <f t="array" ref="I53">SUMPRODUCT((I$5:I$46)*($E$5:$E$46)*($A$5:$A$46=$C53))/SUMPRODUCT(($E$5:$E$46)*($A$5:$A$46=$C53))</f>
        <v>#REF!</v>
      </c>
      <c r="J53" s="45" t="e" cm="1">
        <f t="array" ref="J53">SUMPRODUCT((J$5:J$46)*($E$5:$E$46)*($A$5:$A$46=$C53))/SUMPRODUCT(($E$5:$E$46)*($A$5:$A$46=$C53))</f>
        <v>#REF!</v>
      </c>
      <c r="K53" s="23" t="e">
        <f t="shared" si="52"/>
        <v>#REF!</v>
      </c>
      <c r="L53" s="23" t="e">
        <f t="shared" si="52"/>
        <v>#REF!</v>
      </c>
      <c r="M53" s="45" t="e">
        <f>SUMIFS(#REF!,#REF!,C53)</f>
        <v>#REF!</v>
      </c>
      <c r="N53" s="23" t="e">
        <f t="shared" si="53"/>
        <v>#REF!</v>
      </c>
      <c r="O53" s="45" t="e" cm="1">
        <f t="array" ref="O53">SUMPRODUCT((O$5:O$46)*($L$5:$L$46)*($A$5:$A$46=$C53))/SUMPRODUCT(($L$5:$L$46)*($A$5:$A$46=$C53))</f>
        <v>#REF!</v>
      </c>
      <c r="P53" s="23" t="e">
        <f t="shared" si="54"/>
        <v>#REF!</v>
      </c>
      <c r="Q53" s="23" t="e">
        <f t="shared" si="54"/>
        <v>#REF!</v>
      </c>
      <c r="R53" s="23" t="e">
        <f t="shared" si="54"/>
        <v>#REF!</v>
      </c>
      <c r="S53" s="23" t="e">
        <f t="shared" si="54"/>
        <v>#REF!</v>
      </c>
      <c r="T53" s="23" t="e">
        <f t="shared" si="55"/>
        <v>#REF!</v>
      </c>
      <c r="U53" s="23"/>
      <c r="V53" s="23" t="e">
        <f t="shared" si="54"/>
        <v>#REF!</v>
      </c>
      <c r="W53" s="23" t="e">
        <f t="shared" si="54"/>
        <v>#REF!</v>
      </c>
      <c r="X53" s="45"/>
      <c r="Y53" s="45"/>
      <c r="Z53" s="45"/>
      <c r="AA53" s="45" t="e">
        <f t="shared" si="56"/>
        <v>#REF!</v>
      </c>
      <c r="AB53" s="23" t="e">
        <f t="shared" si="54"/>
        <v>#REF!</v>
      </c>
      <c r="AC53" s="23" t="e">
        <f t="shared" si="54"/>
        <v>#REF!</v>
      </c>
      <c r="AD53" s="66"/>
      <c r="AE53" s="23" t="e">
        <f t="shared" si="54"/>
        <v>#REF!</v>
      </c>
      <c r="AF53" s="23" t="e">
        <f t="shared" si="54"/>
        <v>#REF!</v>
      </c>
      <c r="AG53" s="23" t="e">
        <f t="shared" si="54"/>
        <v>#REF!</v>
      </c>
      <c r="AH53" s="23" t="e">
        <f t="shared" si="54"/>
        <v>#REF!</v>
      </c>
      <c r="AI53" s="23" t="e">
        <f t="shared" si="54"/>
        <v>#REF!</v>
      </c>
      <c r="AJ53" s="23" t="e">
        <f t="shared" si="54"/>
        <v>#REF!</v>
      </c>
      <c r="AK53" s="23">
        <f t="shared" si="54"/>
        <v>0</v>
      </c>
      <c r="AL53" s="23" t="e">
        <f t="shared" si="54"/>
        <v>#REF!</v>
      </c>
      <c r="AN53" s="23" t="e">
        <f t="shared" si="54"/>
        <v>#REF!</v>
      </c>
      <c r="AO53" s="23" t="e">
        <f t="shared" si="54"/>
        <v>#REF!</v>
      </c>
      <c r="AQ53" s="23" t="e">
        <f t="shared" si="54"/>
        <v>#REF!</v>
      </c>
      <c r="AS53" s="45" t="e" cm="1">
        <f t="array" ref="AS53">SUMPRODUCT((AS$5:AS$46)*($L$5:$L$46)*($A$5:$A$46=$C53))/SUMPRODUCT(($L$5:$L$46)*($A$5:$A$46=$C53))</f>
        <v>#REF!</v>
      </c>
      <c r="AT53" s="23" t="e">
        <f t="shared" si="57"/>
        <v>#REF!</v>
      </c>
      <c r="AV53" s="23" t="e">
        <f t="shared" si="57"/>
        <v>#REF!</v>
      </c>
      <c r="AW53" s="23" t="e">
        <f t="shared" si="57"/>
        <v>#REF!</v>
      </c>
      <c r="AX53" s="23" t="e">
        <f t="shared" si="57"/>
        <v>#REF!</v>
      </c>
      <c r="AZ53" s="23" t="e">
        <f t="shared" si="57"/>
        <v>#REF!</v>
      </c>
      <c r="BA53" s="23" t="e">
        <f t="shared" si="57"/>
        <v>#REF!</v>
      </c>
      <c r="BB53" s="23" t="e">
        <f t="shared" si="57"/>
        <v>#REF!</v>
      </c>
      <c r="BD53" s="23" t="e">
        <f t="shared" si="57"/>
        <v>#REF!</v>
      </c>
      <c r="BF53" s="23">
        <f t="shared" si="57"/>
        <v>-50310.300445076602</v>
      </c>
      <c r="BH53" s="23" t="e">
        <f t="shared" si="57"/>
        <v>#REF!</v>
      </c>
      <c r="BI53" s="23" t="e">
        <f t="shared" si="57"/>
        <v>#REF!</v>
      </c>
      <c r="BJ53" s="23" t="e">
        <f t="shared" si="58"/>
        <v>#REF!</v>
      </c>
      <c r="BK53" s="23" t="e">
        <f t="shared" si="58"/>
        <v>#REF!</v>
      </c>
      <c r="BL53" s="23" t="e">
        <f t="shared" si="58"/>
        <v>#REF!</v>
      </c>
      <c r="BN53" s="23" t="e">
        <f t="shared" si="59"/>
        <v>#REF!</v>
      </c>
      <c r="BO53" s="23" t="e">
        <f t="shared" si="59"/>
        <v>#REF!</v>
      </c>
      <c r="BP53" s="23" t="e">
        <f t="shared" si="59"/>
        <v>#REF!</v>
      </c>
      <c r="BQ53" s="23" t="e">
        <f t="shared" si="59"/>
        <v>#REF!</v>
      </c>
      <c r="BR53" s="23" t="e">
        <f t="shared" si="59"/>
        <v>#REF!</v>
      </c>
      <c r="BT53" s="23" t="e">
        <f t="shared" si="59"/>
        <v>#REF!</v>
      </c>
      <c r="BU53" s="23" t="e">
        <f t="shared" si="59"/>
        <v>#REF!</v>
      </c>
      <c r="BV53" s="23" t="e">
        <f t="shared" si="59"/>
        <v>#REF!</v>
      </c>
      <c r="BW53" s="23" t="e">
        <f t="shared" si="59"/>
        <v>#REF!</v>
      </c>
      <c r="BX53" s="23" t="e">
        <f t="shared" si="59"/>
        <v>#REF!</v>
      </c>
      <c r="BZ53" s="23" t="e">
        <f t="shared" si="59"/>
        <v>#REF!</v>
      </c>
      <c r="CA53" s="23" t="e">
        <f t="shared" si="59"/>
        <v>#REF!</v>
      </c>
      <c r="CB53" s="23" t="e">
        <f t="shared" si="59"/>
        <v>#REF!</v>
      </c>
      <c r="CC53" s="23" t="e">
        <f t="shared" si="59"/>
        <v>#REF!</v>
      </c>
      <c r="CD53" s="23" t="e">
        <f t="shared" si="60"/>
        <v>#REF!</v>
      </c>
      <c r="CF53" s="23" t="e">
        <f t="shared" si="61"/>
        <v>#REF!</v>
      </c>
      <c r="CG53" s="23" t="e">
        <f t="shared" si="61"/>
        <v>#REF!</v>
      </c>
      <c r="CH53" s="23" t="e">
        <f t="shared" si="61"/>
        <v>#REF!</v>
      </c>
      <c r="CI53" s="23" t="e">
        <f t="shared" si="61"/>
        <v>#REF!</v>
      </c>
      <c r="CJ53" s="23" t="e">
        <f t="shared" si="61"/>
        <v>#REF!</v>
      </c>
      <c r="CM53" s="209">
        <f t="shared" si="67"/>
        <v>3.1824898935768543E-2</v>
      </c>
      <c r="CN53" s="209" t="e">
        <f t="shared" si="62"/>
        <v>#REF!</v>
      </c>
      <c r="CO53" s="209" t="e">
        <f t="shared" si="63"/>
        <v>#REF!</v>
      </c>
      <c r="CP53" s="209" t="e">
        <f t="shared" si="64"/>
        <v>#REF!</v>
      </c>
      <c r="CQ53" s="209" t="e">
        <f t="shared" si="65"/>
        <v>#REF!</v>
      </c>
    </row>
    <row r="54" spans="1:95" x14ac:dyDescent="0.25">
      <c r="A54" s="4"/>
      <c r="B54" s="21">
        <v>5</v>
      </c>
      <c r="C54" s="22" t="s">
        <v>72</v>
      </c>
      <c r="D54" s="22" t="s">
        <v>73</v>
      </c>
      <c r="E54" s="23">
        <f t="shared" si="66"/>
        <v>16796669.95379521</v>
      </c>
      <c r="F54" s="45" t="e">
        <f>SUMIFS(#REF!,#REF!,C54)</f>
        <v>#REF!</v>
      </c>
      <c r="H54" s="45" t="e" cm="1">
        <f t="array" ref="H54">SUMPRODUCT((H$5:H$46)*($E$5:$E$46)*($A$5:$A$46=$C54))/SUMPRODUCT(($E$5:$E$46)*($A$5:$A$46=$C54))</f>
        <v>#REF!</v>
      </c>
      <c r="I54" s="45" t="e" cm="1">
        <f t="array" ref="I54">SUMPRODUCT((I$5:I$46)*($E$5:$E$46)*($A$5:$A$46=$C54))/SUMPRODUCT(($E$5:$E$46)*($A$5:$A$46=$C54))</f>
        <v>#REF!</v>
      </c>
      <c r="J54" s="45" t="e" cm="1">
        <f t="array" ref="J54">SUMPRODUCT((J$5:J$46)*($E$5:$E$46)*($A$5:$A$46=$C54))/SUMPRODUCT(($E$5:$E$46)*($A$5:$A$46=$C54))</f>
        <v>#REF!</v>
      </c>
      <c r="K54" s="23" t="e">
        <f t="shared" si="52"/>
        <v>#REF!</v>
      </c>
      <c r="L54" s="23" t="e">
        <f t="shared" si="52"/>
        <v>#REF!</v>
      </c>
      <c r="M54" s="45" t="e">
        <f>SUMIFS(#REF!,#REF!,C54)</f>
        <v>#REF!</v>
      </c>
      <c r="N54" s="23" t="e">
        <f t="shared" si="53"/>
        <v>#REF!</v>
      </c>
      <c r="O54" s="45" t="e" cm="1">
        <f t="array" ref="O54">SUMPRODUCT((O$5:O$46)*($L$5:$L$46)*($A$5:$A$46=$C54))/SUMPRODUCT(($L$5:$L$46)*($A$5:$A$46=$C54))</f>
        <v>#REF!</v>
      </c>
      <c r="P54" s="23" t="e">
        <f t="shared" si="54"/>
        <v>#REF!</v>
      </c>
      <c r="Q54" s="23" t="e">
        <f t="shared" si="54"/>
        <v>#REF!</v>
      </c>
      <c r="R54" s="23" t="e">
        <f t="shared" si="54"/>
        <v>#REF!</v>
      </c>
      <c r="S54" s="23" t="e">
        <f t="shared" si="54"/>
        <v>#REF!</v>
      </c>
      <c r="T54" s="23" t="e">
        <f t="shared" si="55"/>
        <v>#REF!</v>
      </c>
      <c r="U54" s="23"/>
      <c r="V54" s="23" t="e">
        <f t="shared" si="54"/>
        <v>#REF!</v>
      </c>
      <c r="W54" s="23" t="e">
        <f t="shared" si="54"/>
        <v>#REF!</v>
      </c>
      <c r="X54" s="45"/>
      <c r="Y54" s="45"/>
      <c r="Z54" s="45"/>
      <c r="AA54" s="45" t="e">
        <f t="shared" si="56"/>
        <v>#REF!</v>
      </c>
      <c r="AB54" s="23" t="e">
        <f t="shared" si="54"/>
        <v>#REF!</v>
      </c>
      <c r="AC54" s="23" t="e">
        <f t="shared" si="54"/>
        <v>#REF!</v>
      </c>
      <c r="AD54" s="66"/>
      <c r="AE54" s="23" t="e">
        <f t="shared" si="54"/>
        <v>#REF!</v>
      </c>
      <c r="AF54" s="23" t="e">
        <f t="shared" si="54"/>
        <v>#REF!</v>
      </c>
      <c r="AG54" s="23" t="e">
        <f t="shared" si="54"/>
        <v>#REF!</v>
      </c>
      <c r="AH54" s="23" t="e">
        <f t="shared" si="54"/>
        <v>#REF!</v>
      </c>
      <c r="AI54" s="23" t="e">
        <f t="shared" si="54"/>
        <v>#REF!</v>
      </c>
      <c r="AJ54" s="23" t="e">
        <f t="shared" si="54"/>
        <v>#REF!</v>
      </c>
      <c r="AK54" s="23">
        <f t="shared" si="54"/>
        <v>0</v>
      </c>
      <c r="AL54" s="23" t="e">
        <f t="shared" si="54"/>
        <v>#REF!</v>
      </c>
      <c r="AN54" s="23" t="e">
        <f t="shared" si="54"/>
        <v>#REF!</v>
      </c>
      <c r="AO54" s="23" t="e">
        <f t="shared" si="54"/>
        <v>#REF!</v>
      </c>
      <c r="AQ54" s="23" t="e">
        <f t="shared" si="54"/>
        <v>#REF!</v>
      </c>
      <c r="AS54" s="45" t="e" cm="1">
        <f t="array" ref="AS54">SUMPRODUCT((AS$5:AS$46)*($L$5:$L$46)*($A$5:$A$46=$C54))/SUMPRODUCT(($L$5:$L$46)*($A$5:$A$46=$C54))</f>
        <v>#REF!</v>
      </c>
      <c r="AT54" s="23" t="e">
        <f t="shared" si="57"/>
        <v>#REF!</v>
      </c>
      <c r="AV54" s="23" t="e">
        <f t="shared" si="57"/>
        <v>#REF!</v>
      </c>
      <c r="AW54" s="23" t="e">
        <f t="shared" si="57"/>
        <v>#REF!</v>
      </c>
      <c r="AX54" s="23" t="e">
        <f t="shared" si="57"/>
        <v>#REF!</v>
      </c>
      <c r="AZ54" s="23" t="e">
        <f t="shared" si="57"/>
        <v>#REF!</v>
      </c>
      <c r="BA54" s="23" t="e">
        <f t="shared" si="57"/>
        <v>#REF!</v>
      </c>
      <c r="BB54" s="23" t="e">
        <f t="shared" si="57"/>
        <v>#REF!</v>
      </c>
      <c r="BD54" s="23" t="e">
        <f t="shared" si="57"/>
        <v>#REF!</v>
      </c>
      <c r="BF54" s="23">
        <f t="shared" si="57"/>
        <v>-106600</v>
      </c>
      <c r="BH54" s="23" t="e">
        <f t="shared" si="57"/>
        <v>#REF!</v>
      </c>
      <c r="BI54" s="23" t="e">
        <f t="shared" si="57"/>
        <v>#REF!</v>
      </c>
      <c r="BJ54" s="23" t="e">
        <f t="shared" si="58"/>
        <v>#REF!</v>
      </c>
      <c r="BK54" s="23" t="e">
        <f t="shared" si="58"/>
        <v>#REF!</v>
      </c>
      <c r="BL54" s="23" t="e">
        <f t="shared" si="58"/>
        <v>#REF!</v>
      </c>
      <c r="BN54" s="23" t="e">
        <f t="shared" si="59"/>
        <v>#REF!</v>
      </c>
      <c r="BO54" s="23" t="e">
        <f t="shared" si="59"/>
        <v>#REF!</v>
      </c>
      <c r="BP54" s="23" t="e">
        <f t="shared" si="59"/>
        <v>#REF!</v>
      </c>
      <c r="BQ54" s="23" t="e">
        <f t="shared" si="59"/>
        <v>#REF!</v>
      </c>
      <c r="BR54" s="23" t="e">
        <f t="shared" si="59"/>
        <v>#REF!</v>
      </c>
      <c r="BT54" s="23" t="e">
        <f t="shared" si="59"/>
        <v>#REF!</v>
      </c>
      <c r="BU54" s="23" t="e">
        <f t="shared" si="59"/>
        <v>#REF!</v>
      </c>
      <c r="BV54" s="23" t="e">
        <f t="shared" si="59"/>
        <v>#REF!</v>
      </c>
      <c r="BW54" s="23" t="e">
        <f t="shared" si="59"/>
        <v>#REF!</v>
      </c>
      <c r="BX54" s="23" t="e">
        <f t="shared" si="59"/>
        <v>#REF!</v>
      </c>
      <c r="BZ54" s="23" t="e">
        <f t="shared" si="59"/>
        <v>#REF!</v>
      </c>
      <c r="CA54" s="23" t="e">
        <f t="shared" si="59"/>
        <v>#REF!</v>
      </c>
      <c r="CB54" s="23" t="e">
        <f t="shared" si="59"/>
        <v>#REF!</v>
      </c>
      <c r="CC54" s="23" t="e">
        <f t="shared" si="59"/>
        <v>#REF!</v>
      </c>
      <c r="CD54" s="23" t="e">
        <f t="shared" si="60"/>
        <v>#REF!</v>
      </c>
      <c r="CF54" s="23" t="e">
        <f t="shared" si="61"/>
        <v>#REF!</v>
      </c>
      <c r="CG54" s="23" t="e">
        <f t="shared" si="61"/>
        <v>#REF!</v>
      </c>
      <c r="CH54" s="23" t="e">
        <f t="shared" si="61"/>
        <v>#REF!</v>
      </c>
      <c r="CI54" s="23" t="e">
        <f t="shared" si="61"/>
        <v>#REF!</v>
      </c>
      <c r="CJ54" s="23" t="e">
        <f t="shared" si="61"/>
        <v>#REF!</v>
      </c>
      <c r="CM54" s="209">
        <f t="shared" si="67"/>
        <v>6.7432199699473727E-2</v>
      </c>
      <c r="CN54" s="209" t="e">
        <f t="shared" si="62"/>
        <v>#REF!</v>
      </c>
      <c r="CO54" s="209" t="e">
        <f t="shared" si="63"/>
        <v>#REF!</v>
      </c>
      <c r="CP54" s="209" t="e">
        <f t="shared" si="64"/>
        <v>#REF!</v>
      </c>
      <c r="CQ54" s="209" t="e">
        <f t="shared" si="65"/>
        <v>#REF!</v>
      </c>
    </row>
    <row r="55" spans="1:95" x14ac:dyDescent="0.25">
      <c r="A55" s="4"/>
      <c r="B55" s="21">
        <v>6</v>
      </c>
      <c r="C55" s="22" t="s">
        <v>84</v>
      </c>
      <c r="D55" s="22" t="s">
        <v>85</v>
      </c>
      <c r="E55" s="23">
        <f t="shared" si="66"/>
        <v>15582342.155601533</v>
      </c>
      <c r="F55" s="45" t="e">
        <f>SUMIFS(#REF!,#REF!,C55)</f>
        <v>#REF!</v>
      </c>
      <c r="H55" s="45" t="e" cm="1">
        <f t="array" ref="H55">SUMPRODUCT((H$5:H$46)*($E$5:$E$46)*($A$5:$A$46=$C55))/SUMPRODUCT(($E$5:$E$46)*($A$5:$A$46=$C55))</f>
        <v>#REF!</v>
      </c>
      <c r="I55" s="45" t="e" cm="1">
        <f t="array" ref="I55">SUMPRODUCT((I$5:I$46)*($E$5:$E$46)*($A$5:$A$46=$C55))/SUMPRODUCT(($E$5:$E$46)*($A$5:$A$46=$C55))</f>
        <v>#REF!</v>
      </c>
      <c r="J55" s="45" t="e" cm="1">
        <f t="array" ref="J55">SUMPRODUCT((J$5:J$46)*($E$5:$E$46)*($A$5:$A$46=$C55))/SUMPRODUCT(($E$5:$E$46)*($A$5:$A$46=$C55))</f>
        <v>#REF!</v>
      </c>
      <c r="K55" s="23" t="e">
        <f t="shared" si="52"/>
        <v>#REF!</v>
      </c>
      <c r="L55" s="23" t="e">
        <f t="shared" si="52"/>
        <v>#REF!</v>
      </c>
      <c r="M55" s="45" t="e">
        <f>SUMIFS(#REF!,#REF!,C55)</f>
        <v>#REF!</v>
      </c>
      <c r="N55" s="23" t="e">
        <f t="shared" si="53"/>
        <v>#REF!</v>
      </c>
      <c r="O55" s="45" t="e" cm="1">
        <f t="array" ref="O55">SUMPRODUCT((O$5:O$46)*($L$5:$L$46)*($A$5:$A$46=$C55))/SUMPRODUCT(($L$5:$L$46)*($A$5:$A$46=$C55))</f>
        <v>#REF!</v>
      </c>
      <c r="P55" s="23" t="e">
        <f t="shared" si="54"/>
        <v>#REF!</v>
      </c>
      <c r="Q55" s="23" t="e">
        <f t="shared" si="54"/>
        <v>#REF!</v>
      </c>
      <c r="R55" s="23" t="e">
        <f t="shared" si="54"/>
        <v>#REF!</v>
      </c>
      <c r="S55" s="23" t="e">
        <f t="shared" si="54"/>
        <v>#REF!</v>
      </c>
      <c r="T55" s="23" t="e">
        <f t="shared" si="55"/>
        <v>#REF!</v>
      </c>
      <c r="U55" s="23"/>
      <c r="V55" s="23" t="e">
        <f t="shared" si="54"/>
        <v>#REF!</v>
      </c>
      <c r="W55" s="23" t="e">
        <f t="shared" si="54"/>
        <v>#REF!</v>
      </c>
      <c r="X55" s="45"/>
      <c r="Y55" s="45"/>
      <c r="Z55" s="45"/>
      <c r="AA55" s="45" t="e">
        <f t="shared" si="56"/>
        <v>#REF!</v>
      </c>
      <c r="AB55" s="23" t="e">
        <f t="shared" si="54"/>
        <v>#REF!</v>
      </c>
      <c r="AC55" s="23" t="e">
        <f t="shared" si="54"/>
        <v>#REF!</v>
      </c>
      <c r="AD55" s="66"/>
      <c r="AE55" s="23" t="e">
        <f t="shared" si="54"/>
        <v>#REF!</v>
      </c>
      <c r="AF55" s="23" t="e">
        <f t="shared" si="54"/>
        <v>#REF!</v>
      </c>
      <c r="AG55" s="23" t="e">
        <f t="shared" si="54"/>
        <v>#REF!</v>
      </c>
      <c r="AH55" s="23" t="e">
        <f t="shared" si="54"/>
        <v>#REF!</v>
      </c>
      <c r="AI55" s="23" t="e">
        <f t="shared" si="54"/>
        <v>#REF!</v>
      </c>
      <c r="AJ55" s="23" t="e">
        <f t="shared" si="54"/>
        <v>#REF!</v>
      </c>
      <c r="AK55" s="23">
        <f t="shared" si="54"/>
        <v>0</v>
      </c>
      <c r="AL55" s="23" t="e">
        <f t="shared" si="54"/>
        <v>#REF!</v>
      </c>
      <c r="AN55" s="23" t="e">
        <f t="shared" si="54"/>
        <v>#REF!</v>
      </c>
      <c r="AO55" s="23" t="e">
        <f t="shared" si="54"/>
        <v>#REF!</v>
      </c>
      <c r="AQ55" s="23" t="e">
        <f t="shared" si="54"/>
        <v>#REF!</v>
      </c>
      <c r="AS55" s="45" t="e" cm="1">
        <f t="array" ref="AS55">SUMPRODUCT((AS$5:AS$46)*($L$5:$L$46)*($A$5:$A$46=$C55))/SUMPRODUCT(($L$5:$L$46)*($A$5:$A$46=$C55))</f>
        <v>#REF!</v>
      </c>
      <c r="AT55" s="23" t="e">
        <f t="shared" si="57"/>
        <v>#REF!</v>
      </c>
      <c r="AV55" s="23" t="e">
        <f t="shared" si="57"/>
        <v>#REF!</v>
      </c>
      <c r="AW55" s="23" t="e">
        <f t="shared" si="57"/>
        <v>#REF!</v>
      </c>
      <c r="AX55" s="23" t="e">
        <f t="shared" si="57"/>
        <v>#REF!</v>
      </c>
      <c r="AZ55" s="23" t="e">
        <f t="shared" si="57"/>
        <v>#REF!</v>
      </c>
      <c r="BA55" s="23" t="e">
        <f t="shared" si="57"/>
        <v>#REF!</v>
      </c>
      <c r="BB55" s="23" t="e">
        <f t="shared" si="57"/>
        <v>#REF!</v>
      </c>
      <c r="BD55" s="23" t="e">
        <f t="shared" si="57"/>
        <v>#REF!</v>
      </c>
      <c r="BF55" s="23">
        <f t="shared" si="57"/>
        <v>-300400</v>
      </c>
      <c r="BH55" s="23" t="e">
        <f t="shared" si="57"/>
        <v>#REF!</v>
      </c>
      <c r="BI55" s="23" t="e">
        <f t="shared" si="57"/>
        <v>#REF!</v>
      </c>
      <c r="BJ55" s="23" t="e">
        <f t="shared" si="58"/>
        <v>#REF!</v>
      </c>
      <c r="BK55" s="23" t="e">
        <f t="shared" si="58"/>
        <v>#REF!</v>
      </c>
      <c r="BL55" s="23" t="e">
        <f t="shared" si="58"/>
        <v>#REF!</v>
      </c>
      <c r="BN55" s="23" t="e">
        <f t="shared" si="59"/>
        <v>#REF!</v>
      </c>
      <c r="BO55" s="23" t="e">
        <f t="shared" si="59"/>
        <v>#REF!</v>
      </c>
      <c r="BP55" s="23" t="e">
        <f t="shared" si="59"/>
        <v>#REF!</v>
      </c>
      <c r="BQ55" s="23" t="e">
        <f t="shared" si="59"/>
        <v>#REF!</v>
      </c>
      <c r="BR55" s="23" t="e">
        <f t="shared" si="59"/>
        <v>#REF!</v>
      </c>
      <c r="BT55" s="23" t="e">
        <f t="shared" si="59"/>
        <v>#REF!</v>
      </c>
      <c r="BU55" s="23" t="e">
        <f t="shared" si="59"/>
        <v>#REF!</v>
      </c>
      <c r="BV55" s="23" t="e">
        <f t="shared" si="59"/>
        <v>#REF!</v>
      </c>
      <c r="BW55" s="23" t="e">
        <f t="shared" si="59"/>
        <v>#REF!</v>
      </c>
      <c r="BX55" s="23" t="e">
        <f t="shared" si="59"/>
        <v>#REF!</v>
      </c>
      <c r="BZ55" s="23" t="e">
        <f t="shared" si="59"/>
        <v>#REF!</v>
      </c>
      <c r="CA55" s="23" t="e">
        <f t="shared" si="59"/>
        <v>#REF!</v>
      </c>
      <c r="CB55" s="23" t="e">
        <f t="shared" si="59"/>
        <v>#REF!</v>
      </c>
      <c r="CC55" s="23" t="e">
        <f t="shared" si="59"/>
        <v>#REF!</v>
      </c>
      <c r="CD55" s="23" t="e">
        <f t="shared" si="60"/>
        <v>#REF!</v>
      </c>
      <c r="CF55" s="23" t="e">
        <f t="shared" si="61"/>
        <v>#REF!</v>
      </c>
      <c r="CG55" s="23" t="e">
        <f t="shared" si="61"/>
        <v>#REF!</v>
      </c>
      <c r="CH55" s="23" t="e">
        <f t="shared" si="61"/>
        <v>#REF!</v>
      </c>
      <c r="CI55" s="23" t="e">
        <f t="shared" si="61"/>
        <v>#REF!</v>
      </c>
      <c r="CJ55" s="23" t="e">
        <f t="shared" si="61"/>
        <v>#REF!</v>
      </c>
      <c r="CM55" s="209">
        <f t="shared" si="67"/>
        <v>0.19002469783979273</v>
      </c>
      <c r="CN55" s="209" t="e">
        <f t="shared" si="62"/>
        <v>#REF!</v>
      </c>
      <c r="CO55" s="209" t="e">
        <f t="shared" si="63"/>
        <v>#REF!</v>
      </c>
      <c r="CP55" s="209" t="e">
        <f t="shared" si="64"/>
        <v>#REF!</v>
      </c>
      <c r="CQ55" s="209" t="e">
        <f t="shared" si="65"/>
        <v>#REF!</v>
      </c>
    </row>
    <row r="56" spans="1:95" x14ac:dyDescent="0.25">
      <c r="A56" s="4"/>
      <c r="B56" s="21">
        <v>7</v>
      </c>
      <c r="C56" s="22" t="s">
        <v>98</v>
      </c>
      <c r="D56" s="22" t="s">
        <v>99</v>
      </c>
      <c r="E56" s="23">
        <f t="shared" si="66"/>
        <v>10165711.523301041</v>
      </c>
      <c r="F56" s="45" t="e">
        <f>SUMIFS(#REF!,#REF!,C56)</f>
        <v>#REF!</v>
      </c>
      <c r="H56" s="45" t="e" cm="1">
        <f t="array" ref="H56">SUMPRODUCT((H$5:H$46)*($E$5:$E$46)*($A$5:$A$46=$C56))/SUMPRODUCT(($E$5:$E$46)*($A$5:$A$46=$C56))</f>
        <v>#REF!</v>
      </c>
      <c r="I56" s="45" t="e" cm="1">
        <f t="array" ref="I56">SUMPRODUCT((I$5:I$46)*($E$5:$E$46)*($A$5:$A$46=$C56))/SUMPRODUCT(($E$5:$E$46)*($A$5:$A$46=$C56))</f>
        <v>#REF!</v>
      </c>
      <c r="J56" s="45" t="e" cm="1">
        <f t="array" ref="J56">SUMPRODUCT((J$5:J$46)*($E$5:$E$46)*($A$5:$A$46=$C56))/SUMPRODUCT(($E$5:$E$46)*($A$5:$A$46=$C56))</f>
        <v>#REF!</v>
      </c>
      <c r="K56" s="23" t="e">
        <f t="shared" si="52"/>
        <v>#REF!</v>
      </c>
      <c r="L56" s="23" t="e">
        <f t="shared" si="52"/>
        <v>#REF!</v>
      </c>
      <c r="M56" s="45" t="e">
        <f>SUMIFS(#REF!,#REF!,C56)</f>
        <v>#REF!</v>
      </c>
      <c r="N56" s="23" t="e">
        <f t="shared" si="53"/>
        <v>#REF!</v>
      </c>
      <c r="O56" s="45" t="e" cm="1">
        <f t="array" ref="O56">SUMPRODUCT((O$5:O$46)*($L$5:$L$46)*($A$5:$A$46=$C56))/SUMPRODUCT(($L$5:$L$46)*($A$5:$A$46=$C56))</f>
        <v>#REF!</v>
      </c>
      <c r="P56" s="23" t="e">
        <f t="shared" si="54"/>
        <v>#REF!</v>
      </c>
      <c r="Q56" s="23" t="e">
        <f t="shared" si="54"/>
        <v>#REF!</v>
      </c>
      <c r="R56" s="23" t="e">
        <f t="shared" si="54"/>
        <v>#REF!</v>
      </c>
      <c r="S56" s="23" t="e">
        <f t="shared" si="54"/>
        <v>#REF!</v>
      </c>
      <c r="T56" s="23" t="e">
        <f t="shared" si="55"/>
        <v>#REF!</v>
      </c>
      <c r="U56" s="23"/>
      <c r="V56" s="23" t="e">
        <f t="shared" si="54"/>
        <v>#REF!</v>
      </c>
      <c r="W56" s="23" t="e">
        <f t="shared" si="54"/>
        <v>#REF!</v>
      </c>
      <c r="X56" s="45"/>
      <c r="Y56" s="45"/>
      <c r="Z56" s="45"/>
      <c r="AA56" s="45" t="e">
        <f t="shared" si="56"/>
        <v>#REF!</v>
      </c>
      <c r="AB56" s="23" t="e">
        <f t="shared" si="54"/>
        <v>#REF!</v>
      </c>
      <c r="AC56" s="23" t="e">
        <f t="shared" si="54"/>
        <v>#REF!</v>
      </c>
      <c r="AD56" s="66"/>
      <c r="AE56" s="23" t="e">
        <f t="shared" si="54"/>
        <v>#REF!</v>
      </c>
      <c r="AF56" s="23" t="e">
        <f t="shared" si="54"/>
        <v>#REF!</v>
      </c>
      <c r="AG56" s="23" t="e">
        <f t="shared" si="54"/>
        <v>#REF!</v>
      </c>
      <c r="AH56" s="23" t="e">
        <f t="shared" si="54"/>
        <v>#REF!</v>
      </c>
      <c r="AI56" s="23" t="e">
        <f t="shared" si="54"/>
        <v>#REF!</v>
      </c>
      <c r="AJ56" s="23" t="e">
        <f t="shared" si="54"/>
        <v>#REF!</v>
      </c>
      <c r="AK56" s="23">
        <f t="shared" si="54"/>
        <v>0</v>
      </c>
      <c r="AL56" s="23" t="e">
        <f t="shared" si="54"/>
        <v>#REF!</v>
      </c>
      <c r="AN56" s="23" t="e">
        <f t="shared" si="54"/>
        <v>#REF!</v>
      </c>
      <c r="AO56" s="23" t="e">
        <f t="shared" si="54"/>
        <v>#REF!</v>
      </c>
      <c r="AQ56" s="23" t="e">
        <f t="shared" si="54"/>
        <v>#REF!</v>
      </c>
      <c r="AS56" s="45" t="e" cm="1">
        <f t="array" ref="AS56">SUMPRODUCT((AS$5:AS$46)*($L$5:$L$46)*($A$5:$A$46=$C56))/SUMPRODUCT(($L$5:$L$46)*($A$5:$A$46=$C56))</f>
        <v>#REF!</v>
      </c>
      <c r="AT56" s="23" t="e">
        <f t="shared" si="57"/>
        <v>#REF!</v>
      </c>
      <c r="AV56" s="23" t="e">
        <f t="shared" si="57"/>
        <v>#REF!</v>
      </c>
      <c r="AW56" s="23" t="e">
        <f t="shared" si="57"/>
        <v>#REF!</v>
      </c>
      <c r="AX56" s="23" t="e">
        <f t="shared" si="57"/>
        <v>#REF!</v>
      </c>
      <c r="AZ56" s="23" t="e">
        <f t="shared" si="57"/>
        <v>#REF!</v>
      </c>
      <c r="BA56" s="23" t="e">
        <f t="shared" si="57"/>
        <v>#REF!</v>
      </c>
      <c r="BB56" s="23" t="e">
        <f t="shared" si="57"/>
        <v>#REF!</v>
      </c>
      <c r="BD56" s="23" t="e">
        <f t="shared" si="57"/>
        <v>#REF!</v>
      </c>
      <c r="BF56" s="23">
        <f t="shared" si="57"/>
        <v>-100000</v>
      </c>
      <c r="BH56" s="23" t="e">
        <f t="shared" si="57"/>
        <v>#REF!</v>
      </c>
      <c r="BI56" s="23" t="e">
        <f t="shared" si="57"/>
        <v>#REF!</v>
      </c>
      <c r="BJ56" s="23" t="e">
        <f t="shared" si="58"/>
        <v>#REF!</v>
      </c>
      <c r="BK56" s="23" t="e">
        <f t="shared" si="58"/>
        <v>#REF!</v>
      </c>
      <c r="BL56" s="23" t="e">
        <f t="shared" si="58"/>
        <v>#REF!</v>
      </c>
      <c r="BN56" s="23" t="e">
        <f t="shared" si="59"/>
        <v>#REF!</v>
      </c>
      <c r="BO56" s="23" t="e">
        <f t="shared" si="59"/>
        <v>#REF!</v>
      </c>
      <c r="BP56" s="23" t="e">
        <f t="shared" si="59"/>
        <v>#REF!</v>
      </c>
      <c r="BQ56" s="23" t="e">
        <f t="shared" si="59"/>
        <v>#REF!</v>
      </c>
      <c r="BR56" s="23" t="e">
        <f t="shared" si="59"/>
        <v>#REF!</v>
      </c>
      <c r="BT56" s="23" t="e">
        <f t="shared" si="59"/>
        <v>#REF!</v>
      </c>
      <c r="BU56" s="23" t="e">
        <f t="shared" si="59"/>
        <v>#REF!</v>
      </c>
      <c r="BV56" s="23" t="e">
        <f t="shared" si="59"/>
        <v>#REF!</v>
      </c>
      <c r="BW56" s="23" t="e">
        <f t="shared" si="59"/>
        <v>#REF!</v>
      </c>
      <c r="BX56" s="23" t="e">
        <f t="shared" si="59"/>
        <v>#REF!</v>
      </c>
      <c r="BZ56" s="23" t="e">
        <f t="shared" si="59"/>
        <v>#REF!</v>
      </c>
      <c r="CA56" s="23" t="e">
        <f t="shared" si="59"/>
        <v>#REF!</v>
      </c>
      <c r="CB56" s="23" t="e">
        <f t="shared" si="59"/>
        <v>#REF!</v>
      </c>
      <c r="CC56" s="23" t="e">
        <f t="shared" si="59"/>
        <v>#REF!</v>
      </c>
      <c r="CD56" s="23" t="e">
        <f t="shared" si="60"/>
        <v>#REF!</v>
      </c>
      <c r="CF56" s="23" t="e">
        <f t="shared" si="61"/>
        <v>#REF!</v>
      </c>
      <c r="CG56" s="23" t="e">
        <f t="shared" si="61"/>
        <v>#REF!</v>
      </c>
      <c r="CH56" s="23" t="e">
        <f t="shared" si="61"/>
        <v>#REF!</v>
      </c>
      <c r="CI56" s="23" t="e">
        <f t="shared" si="61"/>
        <v>#REF!</v>
      </c>
      <c r="CJ56" s="23" t="e">
        <f t="shared" si="61"/>
        <v>#REF!</v>
      </c>
      <c r="CM56" s="209">
        <f t="shared" si="67"/>
        <v>6.325722298262075E-2</v>
      </c>
      <c r="CN56" s="209" t="e">
        <f t="shared" si="62"/>
        <v>#REF!</v>
      </c>
      <c r="CO56" s="209" t="e">
        <f t="shared" si="63"/>
        <v>#REF!</v>
      </c>
      <c r="CP56" s="209" t="e">
        <f t="shared" si="64"/>
        <v>#REF!</v>
      </c>
      <c r="CQ56" s="209" t="e">
        <f t="shared" si="65"/>
        <v>#REF!</v>
      </c>
    </row>
    <row r="57" spans="1:95" x14ac:dyDescent="0.25">
      <c r="A57" s="22"/>
      <c r="B57" s="37"/>
      <c r="C57" s="38" t="s">
        <v>115</v>
      </c>
      <c r="D57" s="38" t="s">
        <v>116</v>
      </c>
      <c r="E57" s="33">
        <f>SUM(E50:E56)</f>
        <v>104194073.50962898</v>
      </c>
      <c r="F57" s="46" t="e">
        <f>SUMIFS(#REF!,#REF!,C57)</f>
        <v>#REF!</v>
      </c>
      <c r="H57" s="46" t="e">
        <f>SUMPRODUCT(H5:H46,E5:E46)/E57</f>
        <v>#REF!</v>
      </c>
      <c r="I57" s="46" t="e">
        <f t="shared" ref="I57" si="68">H57-$H$57</f>
        <v>#REF!</v>
      </c>
      <c r="J57" s="46" t="e">
        <f>$J$2+I57</f>
        <v>#REF!</v>
      </c>
      <c r="K57" s="33" t="e">
        <f>SUM(K50:K56)</f>
        <v>#REF!</v>
      </c>
      <c r="L57" s="33" t="e">
        <f>SUM(L50:L56)</f>
        <v>#REF!</v>
      </c>
      <c r="M57" s="46" t="e">
        <f>SUMIFS(#REF!,#REF!,C57)</f>
        <v>#REF!</v>
      </c>
      <c r="N57" s="33" t="e">
        <f t="shared" ref="N57:Q57" si="69">SUM(N50:N56)</f>
        <v>#REF!</v>
      </c>
      <c r="O57" s="46" t="e">
        <f>P57/L57</f>
        <v>#REF!</v>
      </c>
      <c r="P57" s="33" t="e">
        <f t="shared" si="69"/>
        <v>#REF!</v>
      </c>
      <c r="Q57" s="33" t="e">
        <f t="shared" si="69"/>
        <v>#REF!</v>
      </c>
      <c r="R57" s="33" t="e">
        <f t="shared" ref="R57:S57" si="70">SUM(R50:R56)</f>
        <v>#REF!</v>
      </c>
      <c r="S57" s="33" t="e">
        <f t="shared" si="70"/>
        <v>#REF!</v>
      </c>
      <c r="T57" s="33" t="e">
        <f t="shared" si="55"/>
        <v>#REF!</v>
      </c>
      <c r="U57" s="33"/>
      <c r="V57" s="33" t="e">
        <f t="shared" ref="V57:W57" si="71">SUM(V50:V56)</f>
        <v>#REF!</v>
      </c>
      <c r="W57" s="33" t="e">
        <f t="shared" si="71"/>
        <v>#REF!</v>
      </c>
      <c r="X57" s="46"/>
      <c r="Y57" s="46"/>
      <c r="Z57" s="46"/>
      <c r="AA57" s="46" t="e">
        <f t="shared" si="56"/>
        <v>#REF!</v>
      </c>
      <c r="AB57" s="33" t="e">
        <f t="shared" ref="AB57:AC57" si="72">SUM(AB50:AB56)</f>
        <v>#REF!</v>
      </c>
      <c r="AC57" s="33" t="e">
        <f t="shared" si="72"/>
        <v>#REF!</v>
      </c>
      <c r="AD57" s="67"/>
      <c r="AE57" s="33" t="e">
        <f t="shared" ref="AE57:AQ57" si="73">SUM(AE50:AE56)</f>
        <v>#REF!</v>
      </c>
      <c r="AF57" s="33" t="e">
        <f t="shared" si="73"/>
        <v>#REF!</v>
      </c>
      <c r="AG57" s="33" t="e">
        <f t="shared" si="73"/>
        <v>#REF!</v>
      </c>
      <c r="AH57" s="33" t="e">
        <f t="shared" si="73"/>
        <v>#REF!</v>
      </c>
      <c r="AI57" s="33" t="e">
        <f t="shared" si="73"/>
        <v>#REF!</v>
      </c>
      <c r="AJ57" s="33" t="e">
        <f t="shared" si="73"/>
        <v>#REF!</v>
      </c>
      <c r="AK57" s="33">
        <f t="shared" si="73"/>
        <v>0</v>
      </c>
      <c r="AL57" s="33" t="e">
        <f t="shared" si="73"/>
        <v>#REF!</v>
      </c>
      <c r="AN57" s="33" t="e">
        <f t="shared" si="73"/>
        <v>#REF!</v>
      </c>
      <c r="AO57" s="33" t="e">
        <f t="shared" si="73"/>
        <v>#REF!</v>
      </c>
      <c r="AQ57" s="33" t="e">
        <f t="shared" si="73"/>
        <v>#REF!</v>
      </c>
      <c r="AS57" s="46" t="e" cm="1">
        <f t="array" ref="AS57">SUMPRODUCT((AS$5:AS$46)*($L$5:$L$46))/SUMPRODUCT(($L$5:$L$46))</f>
        <v>#REF!</v>
      </c>
      <c r="AT57" s="33" t="e">
        <f t="shared" ref="AT57:AX57" si="74">SUM(AT50:AT56)</f>
        <v>#REF!</v>
      </c>
      <c r="AV57" s="33" t="e">
        <f t="shared" si="74"/>
        <v>#REF!</v>
      </c>
      <c r="AW57" s="33" t="e">
        <f t="shared" si="74"/>
        <v>#REF!</v>
      </c>
      <c r="AX57" s="33" t="e">
        <f t="shared" si="74"/>
        <v>#REF!</v>
      </c>
      <c r="AZ57" s="33" t="e">
        <f t="shared" ref="AZ57:BB57" si="75">SUM(AZ50:AZ56)</f>
        <v>#REF!</v>
      </c>
      <c r="BA57" s="33" t="e">
        <f t="shared" si="75"/>
        <v>#REF!</v>
      </c>
      <c r="BB57" s="33" t="e">
        <f t="shared" si="75"/>
        <v>#REF!</v>
      </c>
      <c r="BD57" s="33" t="e">
        <f t="shared" ref="BD57:BF57" si="76">SUM(BD50:BD56)</f>
        <v>#REF!</v>
      </c>
      <c r="BF57" s="33">
        <f t="shared" si="76"/>
        <v>-1580847.1394242826</v>
      </c>
      <c r="BH57" s="33" t="e">
        <f t="shared" ref="BH57:BL57" si="77">SUM(BH50:BH56)</f>
        <v>#REF!</v>
      </c>
      <c r="BI57" s="33" t="e">
        <f t="shared" si="77"/>
        <v>#REF!</v>
      </c>
      <c r="BJ57" s="33" t="e">
        <f t="shared" si="77"/>
        <v>#REF!</v>
      </c>
      <c r="BK57" s="33" t="e">
        <f t="shared" si="77"/>
        <v>#REF!</v>
      </c>
      <c r="BL57" s="33" t="e">
        <f t="shared" si="77"/>
        <v>#REF!</v>
      </c>
      <c r="BN57" s="33" t="e">
        <f t="shared" ref="BN57:BR57" si="78">SUM(BN50:BN56)</f>
        <v>#REF!</v>
      </c>
      <c r="BO57" s="33" t="e">
        <f t="shared" si="78"/>
        <v>#REF!</v>
      </c>
      <c r="BP57" s="33" t="e">
        <f t="shared" si="78"/>
        <v>#REF!</v>
      </c>
      <c r="BQ57" s="33" t="e">
        <f t="shared" si="78"/>
        <v>#REF!</v>
      </c>
      <c r="BR57" s="33" t="e">
        <f t="shared" si="78"/>
        <v>#REF!</v>
      </c>
      <c r="BT57" s="33" t="e">
        <f t="shared" ref="BT57:BX57" si="79">SUM(BT50:BT56)</f>
        <v>#REF!</v>
      </c>
      <c r="BU57" s="33" t="e">
        <f t="shared" si="79"/>
        <v>#REF!</v>
      </c>
      <c r="BV57" s="33" t="e">
        <f t="shared" si="79"/>
        <v>#REF!</v>
      </c>
      <c r="BW57" s="33" t="e">
        <f t="shared" si="79"/>
        <v>#REF!</v>
      </c>
      <c r="BX57" s="33" t="e">
        <f t="shared" si="79"/>
        <v>#REF!</v>
      </c>
      <c r="BZ57" s="33" t="e">
        <f t="shared" ref="BZ57:CD57" si="80">SUM(BZ50:BZ56)</f>
        <v>#REF!</v>
      </c>
      <c r="CA57" s="33" t="e">
        <f t="shared" si="80"/>
        <v>#REF!</v>
      </c>
      <c r="CB57" s="33" t="e">
        <f t="shared" si="80"/>
        <v>#REF!</v>
      </c>
      <c r="CC57" s="33" t="e">
        <f t="shared" si="80"/>
        <v>#REF!</v>
      </c>
      <c r="CD57" s="33" t="e">
        <f t="shared" si="80"/>
        <v>#REF!</v>
      </c>
      <c r="CF57" s="33" t="e">
        <f t="shared" ref="CF57:CJ57" si="81">SUM(CF50:CF56)</f>
        <v>#REF!</v>
      </c>
      <c r="CG57" s="33" t="e">
        <f t="shared" si="81"/>
        <v>#REF!</v>
      </c>
      <c r="CH57" s="33" t="e">
        <f t="shared" si="81"/>
        <v>#REF!</v>
      </c>
      <c r="CI57" s="33" t="e">
        <f t="shared" si="81"/>
        <v>#REF!</v>
      </c>
      <c r="CJ57" s="33" t="e">
        <f t="shared" si="81"/>
        <v>#REF!</v>
      </c>
    </row>
    <row r="59" spans="1:95" x14ac:dyDescent="0.25">
      <c r="D59" s="22" t="s">
        <v>252</v>
      </c>
      <c r="E59" s="58" t="e">
        <f>E57-#REF!</f>
        <v>#REF!</v>
      </c>
      <c r="L59" s="58" t="e">
        <f>L57-E57</f>
        <v>#REF!</v>
      </c>
      <c r="N59" s="60"/>
      <c r="O59" s="41" t="e">
        <f>O57-M57</f>
        <v>#REF!</v>
      </c>
      <c r="AB59" s="58" t="e">
        <f>AB57-#REF!</f>
        <v>#REF!</v>
      </c>
      <c r="AC59" s="33" t="e">
        <f>AC57-#REF!</f>
        <v>#REF!</v>
      </c>
      <c r="AE59" s="58" t="e">
        <f>AE57-#REF!</f>
        <v>#REF!</v>
      </c>
      <c r="AH59" s="58" t="e">
        <f>AH57-#REF!</f>
        <v>#REF!</v>
      </c>
      <c r="AI59" s="58"/>
      <c r="AJ59" s="58"/>
      <c r="AK59" s="58"/>
      <c r="AN59" s="58"/>
      <c r="AO59" s="58"/>
      <c r="AQ59" s="58"/>
      <c r="AT59" s="58"/>
      <c r="AV59" s="58"/>
      <c r="AW59" s="58"/>
      <c r="AX59" s="58"/>
      <c r="AZ59" s="58"/>
      <c r="BA59" s="58"/>
      <c r="BB59" s="58"/>
      <c r="BD59" s="58"/>
      <c r="BF59" s="58">
        <f>SUMIFS(BF$5:BF$46,BF$5:BF$46,"&lt;0")</f>
        <v>-1580847.1394242826</v>
      </c>
      <c r="BH59" s="58"/>
      <c r="BI59" s="58">
        <f>SUMIFS(BI$5:BI$46,BI$5:BI$46,"&lt;0")</f>
        <v>0</v>
      </c>
      <c r="BJ59" s="58"/>
      <c r="BK59" s="58"/>
      <c r="BL59" s="58"/>
      <c r="BN59" s="58"/>
      <c r="BO59" s="58">
        <f>SUMIFS(BO$5:BO$46,BO$5:BO$46,"&lt;0")</f>
        <v>0</v>
      </c>
      <c r="BP59" s="58"/>
      <c r="BQ59" s="58"/>
      <c r="BR59" s="58"/>
      <c r="BT59" s="58"/>
      <c r="BU59" s="58">
        <f>SUMIFS(BU$5:BU$46,BU$5:BU$46,"&lt;0")</f>
        <v>0</v>
      </c>
      <c r="BV59" s="58"/>
      <c r="BW59" s="58"/>
      <c r="BX59" s="58"/>
      <c r="BZ59" s="58"/>
      <c r="CA59" s="58">
        <f>SUMIFS(CA$5:CA$46,CA$5:CA$46,"&lt;0")</f>
        <v>0</v>
      </c>
      <c r="CB59" s="58"/>
      <c r="CC59" s="58"/>
      <c r="CD59" s="58"/>
      <c r="CF59" s="58"/>
      <c r="CG59" s="58">
        <f>SUMIFS(CG$5:CG$46,CG$5:CG$46,"&lt;0")</f>
        <v>0</v>
      </c>
      <c r="CH59" s="58"/>
      <c r="CI59" s="58"/>
      <c r="CJ59" s="58"/>
    </row>
    <row r="60" spans="1:95" x14ac:dyDescent="0.25">
      <c r="D60" s="22" t="s">
        <v>384</v>
      </c>
      <c r="H60" s="48"/>
      <c r="N60" s="60"/>
      <c r="O60" s="48" t="e">
        <f>Q57/O59*0.1%</f>
        <v>#REF!</v>
      </c>
      <c r="R60" s="58" t="e">
        <f>R57-#REF!</f>
        <v>#REF!</v>
      </c>
      <c r="S60" s="58"/>
      <c r="T60" s="58"/>
      <c r="BF60" s="58">
        <f>SUMIFS(BF$5:BF$46,BF$5:BF$46,"&gt;0")</f>
        <v>0</v>
      </c>
      <c r="BI60" s="58">
        <f>SUMIFS(BI$5:BI$46,BI$5:BI$46,"&gt;0")</f>
        <v>0</v>
      </c>
      <c r="BO60" s="58">
        <f>SUMIFS(BO$5:BO$46,BO$5:BO$46,"&gt;0")</f>
        <v>0</v>
      </c>
      <c r="BU60" s="58">
        <f>SUMIFS(BU$5:BU$46,BU$5:BU$46,"&gt;0")</f>
        <v>0</v>
      </c>
      <c r="CA60" s="58">
        <f>SUMIFS(CA$5:CA$46,CA$5:CA$46,"&gt;0")</f>
        <v>0</v>
      </c>
      <c r="CG60" s="58">
        <f>SUMIFS(CG$5:CG$46,CG$5:CG$46,"&gt;0")</f>
        <v>0</v>
      </c>
    </row>
    <row r="61" spans="1:95" x14ac:dyDescent="0.25">
      <c r="D61" s="22" t="s">
        <v>115</v>
      </c>
      <c r="H61" s="48"/>
      <c r="L61">
        <v>107818948.98651202</v>
      </c>
      <c r="N61" s="60"/>
      <c r="R61" s="58"/>
      <c r="S61" s="58"/>
      <c r="T61" s="58"/>
      <c r="AA61" s="41" t="s">
        <v>385</v>
      </c>
      <c r="AB61">
        <v>38.700000000000003</v>
      </c>
      <c r="AE61">
        <v>4.7</v>
      </c>
      <c r="BF61" s="58">
        <f>SUM(BF59:BF60)</f>
        <v>-1580847.1394242826</v>
      </c>
      <c r="BI61" s="58">
        <f>SUM(BI59:BI60)</f>
        <v>0</v>
      </c>
      <c r="BO61" s="58">
        <f>SUM(BO59:BO60)</f>
        <v>0</v>
      </c>
      <c r="BU61" s="58">
        <f>SUM(BU59:BU60)</f>
        <v>0</v>
      </c>
      <c r="CA61" s="58">
        <f>SUM(CA59:CA60)</f>
        <v>0</v>
      </c>
      <c r="CG61" s="58">
        <f>SUM(CG59:CG60)</f>
        <v>0</v>
      </c>
    </row>
    <row r="62" spans="1:95" x14ac:dyDescent="0.25">
      <c r="L62" s="58" t="e">
        <f>L57-L61</f>
        <v>#REF!</v>
      </c>
      <c r="N62" s="60"/>
      <c r="O62" s="80">
        <v>305</v>
      </c>
      <c r="R62" s="58">
        <v>106793243.06720334</v>
      </c>
      <c r="S62" s="58"/>
      <c r="T62" s="58"/>
      <c r="AA62" s="41" t="s">
        <v>386</v>
      </c>
      <c r="AB62">
        <v>16.899999999999999</v>
      </c>
      <c r="AE62">
        <v>2.1</v>
      </c>
    </row>
    <row r="63" spans="1:95" x14ac:dyDescent="0.25">
      <c r="D63" s="22" t="s">
        <v>252</v>
      </c>
      <c r="N63" s="60"/>
      <c r="O63" s="80">
        <v>50</v>
      </c>
      <c r="R63" s="58" t="e">
        <f>R57-R62</f>
        <v>#REF!</v>
      </c>
      <c r="S63" s="58"/>
      <c r="T63" s="58"/>
      <c r="AA63" s="41" t="s">
        <v>115</v>
      </c>
      <c r="AB63">
        <f>SUM(AB61:AB62)</f>
        <v>55.6</v>
      </c>
      <c r="AE63">
        <f>SUM(AE61:AE62)</f>
        <v>6.8000000000000007</v>
      </c>
      <c r="BF63">
        <f>COUNTIFS(BF$5:BF$46,"&lt;0")</f>
        <v>27</v>
      </c>
      <c r="BI63">
        <f>COUNTIFS(BI$5:BI$46,"&lt;0")</f>
        <v>0</v>
      </c>
      <c r="BO63">
        <f>COUNTIFS(BO$5:BO$46,"&lt;0")</f>
        <v>0</v>
      </c>
      <c r="BU63">
        <f>COUNTIFS(BU$5:BU$46,"&lt;0")</f>
        <v>0</v>
      </c>
      <c r="CA63">
        <f>COUNTIFS(CA$5:CA$46,"&lt;0")</f>
        <v>0</v>
      </c>
      <c r="CG63">
        <f>COUNTIFS(CG$5:CG$46,"&lt;0")</f>
        <v>0</v>
      </c>
    </row>
    <row r="64" spans="1:95" x14ac:dyDescent="0.25">
      <c r="D64" s="22" t="s">
        <v>257</v>
      </c>
      <c r="N64" s="60"/>
      <c r="O64" s="80">
        <v>150</v>
      </c>
      <c r="AA64" s="41" t="s">
        <v>387</v>
      </c>
      <c r="AB64" s="41" t="e">
        <f>(AB59/1000)/AB63-1</f>
        <v>#REF!</v>
      </c>
      <c r="AE64" s="41" t="e">
        <f>(AE59/1000)/AE63-1</f>
        <v>#REF!</v>
      </c>
      <c r="BF64">
        <f>COUNTIFS(BF$5:BF$46,0)</f>
        <v>15</v>
      </c>
      <c r="BI64">
        <f>COUNTIFS(BI$5:BI$46,0)</f>
        <v>0</v>
      </c>
      <c r="BO64">
        <f>COUNTIFS(BO$5:BO$46,0)</f>
        <v>0</v>
      </c>
      <c r="BU64">
        <f>COUNTIFS(BU$5:BU$46,0)</f>
        <v>0</v>
      </c>
      <c r="CA64">
        <f>COUNTIFS(CA$5:CA$46,0)</f>
        <v>0</v>
      </c>
      <c r="CG64">
        <f>COUNTIFS(CG$5:CG$46,0)</f>
        <v>0</v>
      </c>
    </row>
    <row r="65" spans="4:85" x14ac:dyDescent="0.25">
      <c r="D65" s="22" t="s">
        <v>384</v>
      </c>
      <c r="N65" s="60"/>
      <c r="O65" s="81">
        <f>SUM(O62:O64)</f>
        <v>505</v>
      </c>
      <c r="AE65" t="s">
        <v>388</v>
      </c>
      <c r="BF65">
        <f>COUNTIFS(BF$5:BF$46,"&gt;0")</f>
        <v>0</v>
      </c>
      <c r="BI65">
        <f>COUNTIFS(BI$5:BI$46,"&gt;0")</f>
        <v>0</v>
      </c>
      <c r="BO65">
        <f>COUNTIFS(BO$5:BO$46,"&gt;0")</f>
        <v>0</v>
      </c>
      <c r="BU65">
        <f>COUNTIFS(BU$5:BU$46,"&gt;0")</f>
        <v>0</v>
      </c>
      <c r="CA65">
        <f>COUNTIFS(CA$5:CA$46,"&gt;0")</f>
        <v>0</v>
      </c>
      <c r="CG65">
        <f>COUNTIFS(CG$5:CG$46,"&gt;0")</f>
        <v>0</v>
      </c>
    </row>
    <row r="66" spans="4:85" x14ac:dyDescent="0.25">
      <c r="N66" s="60"/>
    </row>
    <row r="67" spans="4:85" x14ac:dyDescent="0.25">
      <c r="AE67">
        <f>300/(1+1.8%)*2.3%</f>
        <v>6.7779960707269149</v>
      </c>
    </row>
    <row r="68" spans="4:85" x14ac:dyDescent="0.25">
      <c r="AE68">
        <f>500/(1+1.8%)*2.3%</f>
        <v>11.296660117878192</v>
      </c>
    </row>
    <row r="69" spans="4:85" x14ac:dyDescent="0.25">
      <c r="AE69">
        <f>AE68/AE67-1</f>
        <v>0.66666666666666674</v>
      </c>
    </row>
    <row r="72" spans="4:85" x14ac:dyDescent="0.25">
      <c r="AE72" t="e">
        <f>AE59/1000-AE63</f>
        <v>#REF!</v>
      </c>
    </row>
  </sheetData>
  <conditionalFormatting sqref="CM5:CM46">
    <cfRule type="colorScale" priority="2">
      <colorScale>
        <cfvo type="min"/>
        <cfvo type="percentile" val="50"/>
        <cfvo type="max"/>
        <color rgb="FF63BE7B"/>
        <color rgb="FFFFEB84"/>
        <color rgb="FFF8696B"/>
      </colorScale>
    </cfRule>
  </conditionalFormatting>
  <conditionalFormatting sqref="CM50:CM56">
    <cfRule type="colorScale" priority="3">
      <colorScale>
        <cfvo type="min"/>
        <cfvo type="percentile" val="50"/>
        <cfvo type="max"/>
        <color rgb="FF63BE7B"/>
        <color rgb="FFFFEB84"/>
        <color rgb="FFF8696B"/>
      </colorScale>
    </cfRule>
  </conditionalFormatting>
  <conditionalFormatting sqref="CN5:CQ46">
    <cfRule type="colorScale" priority="1">
      <colorScale>
        <cfvo type="min"/>
        <cfvo type="percentile" val="50"/>
        <cfvo type="max"/>
        <color rgb="FFF8696B"/>
        <color rgb="FFFFEB84"/>
        <color rgb="FF63BE7B"/>
      </colorScale>
    </cfRule>
  </conditionalFormatting>
  <conditionalFormatting sqref="CN50:CQ56">
    <cfRule type="colorScale" priority="4">
      <colorScale>
        <cfvo type="min"/>
        <cfvo type="percentile" val="50"/>
        <cfvo type="max"/>
        <color rgb="FFF8696B"/>
        <color rgb="FFFFEB84"/>
        <color rgb="FF63BE7B"/>
      </colorScale>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7B91-EA2E-4B50-88CA-AB846C73088C}">
  <sheetPr codeName="Sheet10">
    <tabColor rgb="FF0070C0"/>
  </sheetPr>
  <dimension ref="A1:CQ72"/>
  <sheetViews>
    <sheetView zoomScaleNormal="100" workbookViewId="0">
      <pane xSplit="4" ySplit="4" topLeftCell="BT5" activePane="bottomRight" state="frozen"/>
      <selection pane="topRight" activeCell="F13" sqref="F13"/>
      <selection pane="bottomLeft" activeCell="F13" sqref="F13"/>
      <selection pane="bottomRight" activeCell="BA3" sqref="BA3"/>
    </sheetView>
  </sheetViews>
  <sheetFormatPr defaultRowHeight="15" outlineLevelCol="1" x14ac:dyDescent="0.25"/>
  <cols>
    <col min="1" max="1" width="8.7109375" customWidth="1" outlineLevel="1"/>
    <col min="2" max="2" width="21.7109375" customWidth="1" outlineLevel="1"/>
    <col min="4" max="4" width="54" bestFit="1" customWidth="1"/>
    <col min="5" max="5" width="13.28515625" customWidth="1"/>
    <col min="6" max="6" width="13.28515625" style="41" customWidth="1"/>
    <col min="8" max="10" width="13.28515625" style="41" customWidth="1"/>
    <col min="11" max="12" width="13.28515625" customWidth="1"/>
    <col min="13" max="13" width="13.28515625" style="41" customWidth="1"/>
    <col min="14" max="14" width="13.28515625" customWidth="1"/>
    <col min="15" max="15" width="13.28515625" style="41" customWidth="1"/>
    <col min="16" max="23" width="13.28515625" customWidth="1"/>
    <col min="24" max="27" width="13.28515625" style="41" customWidth="1"/>
    <col min="28" max="29" width="13.28515625" customWidth="1"/>
    <col min="30" max="30" width="13.28515625" style="41" customWidth="1"/>
    <col min="31" max="38" width="13.28515625" customWidth="1"/>
    <col min="40" max="41" width="13.28515625" customWidth="1"/>
    <col min="43" max="43" width="13.28515625" customWidth="1"/>
    <col min="45" max="45" width="13.28515625" style="41" customWidth="1"/>
    <col min="46" max="46" width="13.28515625" customWidth="1"/>
    <col min="48" max="50" width="13.28515625" customWidth="1"/>
    <col min="52" max="54" width="13.28515625" customWidth="1"/>
    <col min="56" max="56" width="13.28515625" customWidth="1"/>
    <col min="58" max="58" width="13.28515625" customWidth="1"/>
    <col min="60" max="64" width="13.28515625" customWidth="1" outlineLevel="1"/>
    <col min="66" max="70" width="13.28515625" customWidth="1" outlineLevel="1"/>
    <col min="72" max="76" width="13.28515625" customWidth="1" outlineLevel="1"/>
    <col min="78" max="82" width="13.28515625" customWidth="1" outlineLevel="1"/>
    <col min="84" max="88" width="13.28515625" customWidth="1" outlineLevel="1"/>
  </cols>
  <sheetData>
    <row r="1" spans="1:95" ht="25.5" x14ac:dyDescent="0.35">
      <c r="A1" s="1" t="s">
        <v>12</v>
      </c>
      <c r="J1" s="90" t="e">
        <f>J2-H2</f>
        <v>#REF!</v>
      </c>
      <c r="K1" s="41" t="e">
        <f>J1-0.3%</f>
        <v>#REF!</v>
      </c>
      <c r="L1" s="41">
        <f>441000/E57</f>
        <v>4.232486408732695E-3</v>
      </c>
      <c r="M1" s="48">
        <f>COUNTIF(M5:M46,"&lt;0")</f>
        <v>0</v>
      </c>
      <c r="O1" s="41">
        <v>0.9</v>
      </c>
      <c r="AN1" t="s">
        <v>353</v>
      </c>
      <c r="AS1" s="41">
        <f>O2</f>
        <v>0.83308040258738758</v>
      </c>
    </row>
    <row r="2" spans="1:95" x14ac:dyDescent="0.25">
      <c r="H2" s="41" t="e">
        <f>H57</f>
        <v>#REF!</v>
      </c>
      <c r="J2" s="41" t="e">
        <f>H57+791000/E57+0.3%</f>
        <v>#REF!</v>
      </c>
      <c r="L2" s="41">
        <f>350000/E57</f>
        <v>3.3591161974069008E-3</v>
      </c>
      <c r="M2" s="41" t="e">
        <f>MIN(M5:M46)</f>
        <v>#REF!</v>
      </c>
      <c r="O2" s="41">
        <v>0.83308040258738758</v>
      </c>
      <c r="AD2" s="41" t="s">
        <v>144</v>
      </c>
      <c r="AF2" t="s">
        <v>145</v>
      </c>
      <c r="AN2" s="96">
        <v>4.8459581480066001E-3</v>
      </c>
      <c r="AS2" s="41">
        <v>0.45327004191740927</v>
      </c>
      <c r="AT2" s="97">
        <f>AS2-AS1</f>
        <v>-0.37981036066997831</v>
      </c>
    </row>
    <row r="3" spans="1:95" ht="114.75" x14ac:dyDescent="0.25">
      <c r="A3" s="25" t="s">
        <v>13</v>
      </c>
      <c r="B3" s="26" t="s">
        <v>14</v>
      </c>
      <c r="C3" s="26" t="s">
        <v>15</v>
      </c>
      <c r="D3" s="26" t="s">
        <v>16</v>
      </c>
      <c r="E3" s="27" t="s">
        <v>142</v>
      </c>
      <c r="F3" s="42" t="s">
        <v>146</v>
      </c>
      <c r="G3" s="36" t="s">
        <v>147</v>
      </c>
      <c r="H3" s="42" t="s">
        <v>127</v>
      </c>
      <c r="I3" s="42" t="s">
        <v>354</v>
      </c>
      <c r="J3" s="47" t="s">
        <v>128</v>
      </c>
      <c r="K3" s="47" t="s">
        <v>355</v>
      </c>
      <c r="L3" s="47" t="s">
        <v>356</v>
      </c>
      <c r="M3" s="42" t="s">
        <v>131</v>
      </c>
      <c r="N3" s="47" t="s">
        <v>357</v>
      </c>
      <c r="O3" s="47" t="s">
        <v>358</v>
      </c>
      <c r="P3" s="47" t="s">
        <v>359</v>
      </c>
      <c r="Q3" s="47" t="s">
        <v>355</v>
      </c>
      <c r="R3" s="47" t="s">
        <v>148</v>
      </c>
      <c r="S3" s="59" t="s">
        <v>149</v>
      </c>
      <c r="T3" s="59" t="s">
        <v>150</v>
      </c>
      <c r="U3" s="47" t="s">
        <v>361</v>
      </c>
      <c r="V3" s="84" t="s">
        <v>362</v>
      </c>
      <c r="W3" s="84" t="s">
        <v>363</v>
      </c>
      <c r="X3" s="84" t="s">
        <v>364</v>
      </c>
      <c r="Y3" s="84" t="s">
        <v>365</v>
      </c>
      <c r="Z3" s="84" t="s">
        <v>343</v>
      </c>
      <c r="AA3" s="42" t="s">
        <v>151</v>
      </c>
      <c r="AB3" s="27" t="s">
        <v>152</v>
      </c>
      <c r="AC3" s="27" t="s">
        <v>153</v>
      </c>
      <c r="AD3" s="62" t="s">
        <v>154</v>
      </c>
      <c r="AE3" s="47" t="s">
        <v>155</v>
      </c>
      <c r="AF3" s="47" t="s">
        <v>4</v>
      </c>
      <c r="AG3" s="47" t="s">
        <v>156</v>
      </c>
      <c r="AH3" s="47" t="s">
        <v>5</v>
      </c>
      <c r="AI3" s="59" t="s">
        <v>6</v>
      </c>
      <c r="AJ3" s="59" t="s">
        <v>157</v>
      </c>
      <c r="AK3" s="59" t="s">
        <v>158</v>
      </c>
      <c r="AL3" s="27" t="s">
        <v>159</v>
      </c>
      <c r="AN3" s="59" t="s">
        <v>164</v>
      </c>
      <c r="AO3" s="59" t="s">
        <v>366</v>
      </c>
      <c r="AQ3" s="59" t="s">
        <v>177</v>
      </c>
      <c r="AS3" s="59" t="s">
        <v>367</v>
      </c>
      <c r="AT3" s="59" t="s">
        <v>368</v>
      </c>
      <c r="AV3" s="59" t="s">
        <v>369</v>
      </c>
      <c r="AW3" s="59" t="s">
        <v>370</v>
      </c>
      <c r="AX3" s="59" t="s">
        <v>371</v>
      </c>
      <c r="AZ3" s="59" t="s">
        <v>372</v>
      </c>
      <c r="BA3" s="59" t="s">
        <v>373</v>
      </c>
      <c r="BB3" s="59" t="s">
        <v>374</v>
      </c>
      <c r="BD3" s="59" t="s">
        <v>375</v>
      </c>
      <c r="BF3" s="216" t="s">
        <v>252</v>
      </c>
      <c r="BH3" s="59" t="s">
        <v>371</v>
      </c>
      <c r="BI3" s="59" t="s">
        <v>376</v>
      </c>
      <c r="BJ3" s="59" t="s">
        <v>377</v>
      </c>
      <c r="BK3" s="59" t="s">
        <v>377</v>
      </c>
      <c r="BL3" s="59" t="s">
        <v>378</v>
      </c>
      <c r="BN3" s="59" t="s">
        <v>372</v>
      </c>
      <c r="BO3" s="59" t="s">
        <v>376</v>
      </c>
      <c r="BP3" s="59" t="s">
        <v>377</v>
      </c>
      <c r="BQ3" s="59" t="s">
        <v>377</v>
      </c>
      <c r="BR3" s="59" t="s">
        <v>378</v>
      </c>
      <c r="BT3" s="59" t="s">
        <v>375</v>
      </c>
      <c r="BU3" s="59" t="s">
        <v>376</v>
      </c>
      <c r="BV3" s="59" t="s">
        <v>377</v>
      </c>
      <c r="BW3" s="59" t="s">
        <v>377</v>
      </c>
      <c r="BX3" s="59" t="s">
        <v>378</v>
      </c>
      <c r="BZ3" s="59" t="s">
        <v>2</v>
      </c>
      <c r="CA3" s="59" t="s">
        <v>376</v>
      </c>
      <c r="CB3" s="59" t="s">
        <v>377</v>
      </c>
      <c r="CC3" s="59" t="s">
        <v>377</v>
      </c>
      <c r="CD3" s="59" t="s">
        <v>378</v>
      </c>
      <c r="CF3" s="59" t="s">
        <v>177</v>
      </c>
      <c r="CG3" s="59" t="s">
        <v>376</v>
      </c>
      <c r="CH3" s="59" t="s">
        <v>377</v>
      </c>
      <c r="CI3" s="59" t="s">
        <v>377</v>
      </c>
      <c r="CJ3" s="59" t="s">
        <v>378</v>
      </c>
      <c r="CM3" s="59" t="s">
        <v>252</v>
      </c>
      <c r="CN3" s="59" t="s">
        <v>379</v>
      </c>
      <c r="CO3" s="59" t="s">
        <v>380</v>
      </c>
      <c r="CP3" s="59" t="s">
        <v>2</v>
      </c>
      <c r="CQ3" s="59" t="s">
        <v>177</v>
      </c>
    </row>
    <row r="4" spans="1:95" x14ac:dyDescent="0.25">
      <c r="AD4" s="63"/>
    </row>
    <row r="5" spans="1:95" x14ac:dyDescent="0.25">
      <c r="A5" s="10" t="s">
        <v>17</v>
      </c>
      <c r="B5" s="4" t="s">
        <v>18</v>
      </c>
      <c r="C5" s="4" t="s">
        <v>19</v>
      </c>
      <c r="D5" s="4" t="s">
        <v>20</v>
      </c>
      <c r="E5" s="11">
        <f>SUMIFS('ICB Core Baseline 2024-25'!Q:Q,'ICB Core Baseline 2024-25'!C:C,C5)</f>
        <v>3049118.4291022574</v>
      </c>
      <c r="F5" s="43" t="e">
        <f>SUMIFS(#REF!,#REF!,C5)</f>
        <v>#REF!</v>
      </c>
      <c r="H5" s="43" t="e">
        <f>SUMIFS(#REF!,#REF!,C5)</f>
        <v>#REF!</v>
      </c>
      <c r="I5" s="43" t="e">
        <f>H5-$H$57</f>
        <v>#REF!</v>
      </c>
      <c r="J5" s="43" t="e">
        <f>$J$2+I5</f>
        <v>#REF!</v>
      </c>
      <c r="K5" s="11" t="e">
        <f t="shared" ref="K5:K46" si="0">E5*(J5-H5)</f>
        <v>#REF!</v>
      </c>
      <c r="L5" s="11" t="e">
        <f t="shared" ref="L5:L46" si="1">E5*(1+J5)</f>
        <v>#REF!</v>
      </c>
      <c r="M5" s="43" t="e">
        <f>SUMIFS(#REF!,#REF!,C5)</f>
        <v>#REF!</v>
      </c>
      <c r="N5" s="11" t="e">
        <f t="shared" ref="N5:N46" si="2">L5*M5</f>
        <v>#REF!</v>
      </c>
      <c r="O5" s="43" t="e">
        <f>IF(M5&gt;0,M5,M5*$O$2)</f>
        <v>#REF!</v>
      </c>
      <c r="P5" s="11" t="e">
        <f t="shared" ref="P5:P46" si="3">L5*O5</f>
        <v>#REF!</v>
      </c>
      <c r="Q5" s="11" t="e">
        <f>P5-N5</f>
        <v>#REF!</v>
      </c>
      <c r="R5" s="11" t="e">
        <f t="shared" ref="R5:R46" si="4">E5*(1+J5)*(1+O5)</f>
        <v>#REF!</v>
      </c>
      <c r="S5" s="11" t="e">
        <f>(SUMIFS(#REF!,#REF!,C5)/SUMIFS(#REF!,#REF!,C5))*1000</f>
        <v>#REF!</v>
      </c>
      <c r="T5" s="11" t="e">
        <f>(R5/S5)*1000</f>
        <v>#REF!</v>
      </c>
      <c r="U5" s="11"/>
      <c r="V5" s="11" t="e">
        <f>(E5/(1+F5))*(1+J5)</f>
        <v>#REF!</v>
      </c>
      <c r="W5" s="11" t="e">
        <f>V5-R5</f>
        <v>#REF!</v>
      </c>
      <c r="X5" s="43" t="e">
        <f>R5/V5-1</f>
        <v>#REF!</v>
      </c>
      <c r="Y5" s="43" t="e">
        <f ca="1">OFFSET(#REF!,MATCH(C5,#REF!,0)+1,0)</f>
        <v>#REF!</v>
      </c>
      <c r="Z5" s="43" t="e">
        <f ca="1">X5-Y5</f>
        <v>#REF!</v>
      </c>
      <c r="AA5" s="43" t="e">
        <f t="shared" ref="AA5:AA46" si="5">R5/E5-1</f>
        <v>#REF!</v>
      </c>
      <c r="AB5" s="11" t="e">
        <f>SUMIFS(#REF!,#REF!,C5)/(1+1.8%)*(1+1.8%+2.3%)</f>
        <v>#REF!</v>
      </c>
      <c r="AC5" s="11" t="e">
        <f>SUM(R5,AB5)</f>
        <v>#REF!</v>
      </c>
      <c r="AD5" s="64"/>
      <c r="AE5" s="11" t="e">
        <f>(SUMIFS(#REF!,#REF!,C5)/(1+1.8%))*(1+1.8%+2.3%)</f>
        <v>#REF!</v>
      </c>
      <c r="AF5" s="11" t="e">
        <f>-SUMIFS(#REF!,#REF!,C5)/1000</f>
        <v>#REF!</v>
      </c>
      <c r="AG5" s="11" t="e">
        <f>SUMIFS(#REF!,#REF!,C5)</f>
        <v>#REF!</v>
      </c>
      <c r="AH5" s="11" t="e">
        <f>SUMIFS(#REF!,#REF!,C5)</f>
        <v>#REF!</v>
      </c>
      <c r="AI5" s="11" t="e">
        <f>SUMIFS(#REF!,#REF!,C5)</f>
        <v>#REF!</v>
      </c>
      <c r="AJ5" s="11" t="e">
        <f>SUMIFS(#REF!,#REF!,C5)</f>
        <v>#REF!</v>
      </c>
      <c r="AK5" s="11"/>
      <c r="AL5" s="11" t="e">
        <f>SUM(AC5,AE5:AK5)</f>
        <v>#REF!</v>
      </c>
      <c r="AN5" s="11" t="e">
        <f>E5*(1+J5+$AN$2)*(1+O5)</f>
        <v>#REF!</v>
      </c>
      <c r="AO5" s="11" t="e">
        <f>AN5-R5</f>
        <v>#REF!</v>
      </c>
      <c r="AQ5" s="11" t="e">
        <f>500000*AH5/$AH$57</f>
        <v>#REF!</v>
      </c>
      <c r="AS5" s="43" t="e">
        <f>IF(M5&gt;0,M5,M5*$AS$2)</f>
        <v>#REF!</v>
      </c>
      <c r="AT5" s="11" t="e">
        <f>E5*(1+J5)*(1+AS5)-R5</f>
        <v>#REF!</v>
      </c>
      <c r="AV5" s="11" t="e">
        <f>'Share of £1bn'!$F$20*1000*$AO5/$AO$57</f>
        <v>#REF!</v>
      </c>
      <c r="AW5" s="11" t="e">
        <f>'Share of £1bn'!$F$27*1000*$AO5/$AO$57</f>
        <v>#REF!</v>
      </c>
      <c r="AX5" s="11" t="e">
        <f>'Share of £1bn'!$F$21*1000*$AO5/$AO$57</f>
        <v>#REF!</v>
      </c>
      <c r="AZ5" s="11" t="e">
        <f>'Share of £1bn'!$F$43*1000*AO5/$AO$57</f>
        <v>#REF!</v>
      </c>
      <c r="BA5" s="11" t="e">
        <f>'Share of £1bn'!$F$50*1000*$AO5/$AO$57</f>
        <v>#REF!</v>
      </c>
      <c r="BB5" s="11" t="e">
        <f>'Share of £1bn'!$F$44*1000*AO5/$AO$57</f>
        <v>#REF!</v>
      </c>
      <c r="BD5" s="11" t="e">
        <f>'Share of £1bn'!$F$67*1000*AO5/$AO$57</f>
        <v>#REF!</v>
      </c>
      <c r="BF5" s="11">
        <f>SUMIFS('20-11 M6 deficits'!$BO:$BO,'20-11 M6 deficits'!$C:$C,$C5)*1000</f>
        <v>-30000</v>
      </c>
      <c r="BH5" s="11" t="e">
        <f>SUM(AV5:AX5)</f>
        <v>#REF!</v>
      </c>
      <c r="BI5" s="11" t="e">
        <f>$BF5+BH5</f>
        <v>#REF!</v>
      </c>
      <c r="BJ5" s="11" t="e">
        <f>IF(AND($BF5&lt;0,BI5&lt;0),BH5,0)</f>
        <v>#REF!</v>
      </c>
      <c r="BK5" s="11" t="e">
        <f>IF(AND($BF5&lt;0,BI5&gt;0),-$BF5,0)</f>
        <v>#REF!</v>
      </c>
      <c r="BL5" s="11" t="e">
        <f>IF(OR($BF5&gt;=0,BI5&gt;=0),BH5-BK5,0)</f>
        <v>#REF!</v>
      </c>
      <c r="BN5" s="11" t="e">
        <f>SUM(AZ5:BB5)</f>
        <v>#REF!</v>
      </c>
      <c r="BO5" s="11" t="e">
        <f>$BF5+BN5</f>
        <v>#REF!</v>
      </c>
      <c r="BP5" s="11" t="e">
        <f>IF(AND($BF5&lt;0,BO5&lt;0),BN5,0)</f>
        <v>#REF!</v>
      </c>
      <c r="BQ5" s="11" t="e">
        <f>IF(AND($BF5&lt;0,BO5&gt;0),-$BF5,0)</f>
        <v>#REF!</v>
      </c>
      <c r="BR5" s="11" t="e">
        <f>IF(OR($BF5&gt;=0,BO5&gt;=0),BN5-BQ5,0)</f>
        <v>#REF!</v>
      </c>
      <c r="BT5" s="11" t="e">
        <f>SUM(BD5)</f>
        <v>#REF!</v>
      </c>
      <c r="BU5" s="11" t="e">
        <f>$BF5+BT5</f>
        <v>#REF!</v>
      </c>
      <c r="BV5" s="11" t="e">
        <f>IF(AND($BF5&lt;0,BU5&lt;0),BT5,0)</f>
        <v>#REF!</v>
      </c>
      <c r="BW5" s="11" t="e">
        <f>IF(AND($BF5&lt;0,BU5&gt;0),-$BF5,0)</f>
        <v>#REF!</v>
      </c>
      <c r="BX5" s="11" t="e">
        <f>IF(OR($BF5&gt;=0,BU5&gt;=0),BT5-BW5,0)</f>
        <v>#REF!</v>
      </c>
      <c r="BZ5" s="11" t="e">
        <f>AT5</f>
        <v>#REF!</v>
      </c>
      <c r="CA5" s="11" t="e">
        <f>$BF5+BZ5</f>
        <v>#REF!</v>
      </c>
      <c r="CB5" s="11" t="e">
        <f>IF(AND($BF5&lt;0,CA5&lt;0),BZ5,0)</f>
        <v>#REF!</v>
      </c>
      <c r="CC5" s="11" t="e">
        <f>IF(AND($BF5&lt;0,CA5&gt;0),-$BF5,0)</f>
        <v>#REF!</v>
      </c>
      <c r="CD5" s="11" t="e">
        <f>IF(OR($BF5&gt;=0,CA5&gt;=0),BZ5-CC5,0)</f>
        <v>#REF!</v>
      </c>
      <c r="CF5" s="11" t="e">
        <f>AQ5</f>
        <v>#REF!</v>
      </c>
      <c r="CG5" s="11" t="e">
        <f>$BF5+CF5</f>
        <v>#REF!</v>
      </c>
      <c r="CH5" s="11" t="e">
        <f>IF(AND($BF5&lt;0,CG5&lt;0),CF5,0)</f>
        <v>#REF!</v>
      </c>
      <c r="CI5" s="11" t="e">
        <f>IF(AND($BF5&lt;0,CG5&gt;0),-$BF5,0)</f>
        <v>#REF!</v>
      </c>
      <c r="CJ5" s="11" t="e">
        <f>IF(OR($BF5&gt;=0,CG5&gt;=0),CF5-CI5,0)</f>
        <v>#REF!</v>
      </c>
      <c r="CM5" s="209">
        <f>IF(BF5&lt;0,BF5/$BF$59,0)</f>
        <v>1.8977166894786224E-2</v>
      </c>
      <c r="CN5" s="209" t="e">
        <f>R5/$R$57</f>
        <v>#REF!</v>
      </c>
      <c r="CO5" s="209" t="e">
        <f>AO5/$AO$57</f>
        <v>#REF!</v>
      </c>
      <c r="CP5" s="209" t="e">
        <f>BZ5/$BZ$57</f>
        <v>#REF!</v>
      </c>
      <c r="CQ5" s="209" t="e">
        <f>CF5/$CF$57</f>
        <v>#REF!</v>
      </c>
    </row>
    <row r="6" spans="1:95" x14ac:dyDescent="0.25">
      <c r="A6" s="13" t="s">
        <v>17</v>
      </c>
      <c r="B6" s="14" t="s">
        <v>18</v>
      </c>
      <c r="C6" s="4" t="s">
        <v>21</v>
      </c>
      <c r="D6" s="4" t="s">
        <v>22</v>
      </c>
      <c r="E6" s="11">
        <f>SUMIFS('ICB Core Baseline 2024-25'!Q:Q,'ICB Core Baseline 2024-25'!C:C,C6)</f>
        <v>6016186.5103033921</v>
      </c>
      <c r="F6" s="43" t="e">
        <f>SUMIFS(#REF!,#REF!,C6)</f>
        <v>#REF!</v>
      </c>
      <c r="H6" s="43" t="e">
        <f>SUMIFS(#REF!,#REF!,C6)</f>
        <v>#REF!</v>
      </c>
      <c r="I6" s="43" t="e">
        <f t="shared" ref="I6:I46" si="6">H6-$H$57</f>
        <v>#REF!</v>
      </c>
      <c r="J6" s="43" t="e">
        <f t="shared" ref="J6:J46" si="7">$J$2+I6</f>
        <v>#REF!</v>
      </c>
      <c r="K6" s="11" t="e">
        <f t="shared" si="0"/>
        <v>#REF!</v>
      </c>
      <c r="L6" s="11" t="e">
        <f t="shared" si="1"/>
        <v>#REF!</v>
      </c>
      <c r="M6" s="43" t="e">
        <f>SUMIFS(#REF!,#REF!,C6)</f>
        <v>#REF!</v>
      </c>
      <c r="N6" s="11" t="e">
        <f t="shared" si="2"/>
        <v>#REF!</v>
      </c>
      <c r="O6" s="43" t="e">
        <f t="shared" ref="O6:O46" si="8">IF(M6&gt;0,M6,M6*$O$2)</f>
        <v>#REF!</v>
      </c>
      <c r="P6" s="11" t="e">
        <f t="shared" si="3"/>
        <v>#REF!</v>
      </c>
      <c r="Q6" s="11" t="e">
        <f t="shared" ref="Q6:Q46" si="9">P6-N6</f>
        <v>#REF!</v>
      </c>
      <c r="R6" s="11" t="e">
        <f t="shared" si="4"/>
        <v>#REF!</v>
      </c>
      <c r="S6" s="11" t="e">
        <f>(SUMIFS(#REF!,#REF!,C6)/SUMIFS(#REF!,#REF!,C6))*1000</f>
        <v>#REF!</v>
      </c>
      <c r="T6" s="11" t="e">
        <f t="shared" ref="T6:T46" si="10">(R6/S6)*1000</f>
        <v>#REF!</v>
      </c>
      <c r="U6" s="11"/>
      <c r="V6" s="11" t="e">
        <f t="shared" ref="V6:V46" si="11">(E6/(1+F6))*(1+J6)</f>
        <v>#REF!</v>
      </c>
      <c r="W6" s="11" t="e">
        <f t="shared" ref="W6:W46" si="12">V6-R6</f>
        <v>#REF!</v>
      </c>
      <c r="X6" s="43" t="e">
        <f t="shared" ref="X6:X46" si="13">R6/V6-1</f>
        <v>#REF!</v>
      </c>
      <c r="Y6" s="43" t="e">
        <f ca="1">OFFSET(#REF!,MATCH(C6,#REF!,0)+1,0)</f>
        <v>#REF!</v>
      </c>
      <c r="Z6" s="43" t="e">
        <f t="shared" ref="Z6:Z46" ca="1" si="14">X6-Y6</f>
        <v>#REF!</v>
      </c>
      <c r="AA6" s="43" t="e">
        <f t="shared" si="5"/>
        <v>#REF!</v>
      </c>
      <c r="AB6" s="11" t="e">
        <f>SUMIFS(#REF!,#REF!,C6)/(1+1.8%)*(1+1.8%+2.3%)</f>
        <v>#REF!</v>
      </c>
      <c r="AC6" s="11" t="e">
        <f t="shared" ref="AC6:AC46" si="15">SUM(R6,AB6)</f>
        <v>#REF!</v>
      </c>
      <c r="AD6" s="64"/>
      <c r="AE6" s="11" t="e">
        <f>(SUMIFS(#REF!,#REF!,C6)/(1+1.8%))*(1+1.8%+2.3%)</f>
        <v>#REF!</v>
      </c>
      <c r="AF6" s="11" t="e">
        <f>-SUMIFS(#REF!,#REF!,C6)/1000</f>
        <v>#REF!</v>
      </c>
      <c r="AG6" s="11" t="e">
        <f>SUMIFS(#REF!,#REF!,C6)</f>
        <v>#REF!</v>
      </c>
      <c r="AH6" s="11" t="e">
        <f>SUMIFS(#REF!,#REF!,C6)</f>
        <v>#REF!</v>
      </c>
      <c r="AI6" s="11" t="e">
        <f>SUMIFS(#REF!,#REF!,C6)</f>
        <v>#REF!</v>
      </c>
      <c r="AJ6" s="11" t="e">
        <f>SUMIFS(#REF!,#REF!,C6)</f>
        <v>#REF!</v>
      </c>
      <c r="AK6" s="11"/>
      <c r="AL6" s="11" t="e">
        <f t="shared" ref="AL6:AL46" si="16">SUM(AC6,AE6:AK6)</f>
        <v>#REF!</v>
      </c>
      <c r="AN6" s="11" t="e">
        <f t="shared" ref="AN6:AN46" si="17">E6*(1+J6+$AN$2)*(1+O6)</f>
        <v>#REF!</v>
      </c>
      <c r="AO6" s="11" t="e">
        <f t="shared" ref="AO6:AO46" si="18">AN6-R6</f>
        <v>#REF!</v>
      </c>
      <c r="AQ6" s="11" t="e">
        <f t="shared" ref="AQ6:AQ46" si="19">500000*AH6/$AH$57</f>
        <v>#REF!</v>
      </c>
      <c r="AS6" s="43" t="e">
        <f t="shared" ref="AS6:AS46" si="20">IF(M6&gt;0,M6,M6*$AS$2)</f>
        <v>#REF!</v>
      </c>
      <c r="AT6" s="11" t="e">
        <f t="shared" ref="AT6:AT46" si="21">E6*(1+J6)*(1+AS6)-R6</f>
        <v>#REF!</v>
      </c>
      <c r="AV6" s="11" t="e">
        <f>'Share of £1bn'!$F$20*1000*$AO6/$AO$57</f>
        <v>#REF!</v>
      </c>
      <c r="AW6" s="11" t="e">
        <f>'Share of £1bn'!$F$27*1000*$AO6/$AO$57</f>
        <v>#REF!</v>
      </c>
      <c r="AX6" s="11" t="e">
        <f>'Share of £1bn'!$F$21*1000*$AO6/$AO$57</f>
        <v>#REF!</v>
      </c>
      <c r="AZ6" s="11" t="e">
        <f>'Share of £1bn'!$F$43*1000*AO6/$AO$57</f>
        <v>#REF!</v>
      </c>
      <c r="BA6" s="11" t="e">
        <f>'Share of £1bn'!$F$50*1000*$AO6/$AO$57</f>
        <v>#REF!</v>
      </c>
      <c r="BB6" s="11" t="e">
        <f>'Share of £1bn'!$F$44*1000*AO6/$AO$57</f>
        <v>#REF!</v>
      </c>
      <c r="BD6" s="11" t="e">
        <f>'Share of £1bn'!$F$67*1000*AO6/$AO$57</f>
        <v>#REF!</v>
      </c>
      <c r="BF6" s="11">
        <f>SUMIFS('20-11 M6 deficits'!$BO:$BO,'20-11 M6 deficits'!$C:$C,$C6)*1000</f>
        <v>-35000</v>
      </c>
      <c r="BH6" s="11" t="e">
        <f t="shared" ref="BH6:BH46" si="22">SUM(AV6:AX6)</f>
        <v>#REF!</v>
      </c>
      <c r="BI6" s="11" t="e">
        <f t="shared" ref="BI6:BI46" si="23">$BF6+BH6</f>
        <v>#REF!</v>
      </c>
      <c r="BJ6" s="11" t="e">
        <f t="shared" ref="BJ6:BJ46" si="24">IF(AND($BF6&lt;0,BI6&lt;0),BH6,0)</f>
        <v>#REF!</v>
      </c>
      <c r="BK6" s="11" t="e">
        <f t="shared" ref="BK6:BK46" si="25">IF(AND($BF6&lt;0,BI6&gt;0),-$BF6,0)</f>
        <v>#REF!</v>
      </c>
      <c r="BL6" s="11" t="e">
        <f t="shared" ref="BL6:BL46" si="26">IF(OR($BF6&gt;=0,BI6&gt;=0),BH6-BK6,0)</f>
        <v>#REF!</v>
      </c>
      <c r="BN6" s="11" t="e">
        <f t="shared" ref="BN6:BN46" si="27">SUM(AZ6:BB6)</f>
        <v>#REF!</v>
      </c>
      <c r="BO6" s="11" t="e">
        <f t="shared" ref="BO6:BO46" si="28">$BF6+BN6</f>
        <v>#REF!</v>
      </c>
      <c r="BP6" s="11" t="e">
        <f t="shared" ref="BP6:BP46" si="29">IF(AND($BF6&lt;0,BO6&lt;0),BN6,0)</f>
        <v>#REF!</v>
      </c>
      <c r="BQ6" s="11" t="e">
        <f t="shared" ref="BQ6:BQ46" si="30">IF(AND($BF6&lt;0,BO6&gt;0),-$BF6,0)</f>
        <v>#REF!</v>
      </c>
      <c r="BR6" s="11" t="e">
        <f t="shared" ref="BR6:BR46" si="31">IF(OR($BF6&gt;=0,BO6&gt;=0),BN6-BQ6,0)</f>
        <v>#REF!</v>
      </c>
      <c r="BT6" s="11" t="e">
        <f t="shared" ref="BT6:BT46" si="32">SUM(BD6)</f>
        <v>#REF!</v>
      </c>
      <c r="BU6" s="11" t="e">
        <f t="shared" ref="BU6:BU46" si="33">$BF6+BT6</f>
        <v>#REF!</v>
      </c>
      <c r="BV6" s="11" t="e">
        <f t="shared" ref="BV6:BV46" si="34">IF(AND($BF6&lt;0,BU6&lt;0),BT6,0)</f>
        <v>#REF!</v>
      </c>
      <c r="BW6" s="11" t="e">
        <f t="shared" ref="BW6:BW46" si="35">IF(AND($BF6&lt;0,BU6&gt;0),-$BF6,0)</f>
        <v>#REF!</v>
      </c>
      <c r="BX6" s="11" t="e">
        <f t="shared" ref="BX6:BX46" si="36">IF(OR($BF6&gt;=0,BU6&gt;=0),BT6-BW6,0)</f>
        <v>#REF!</v>
      </c>
      <c r="BZ6" s="11" t="e">
        <f t="shared" ref="BZ6:BZ46" si="37">AT6</f>
        <v>#REF!</v>
      </c>
      <c r="CA6" s="11" t="e">
        <f t="shared" ref="CA6:CA46" si="38">$BF6+BZ6</f>
        <v>#REF!</v>
      </c>
      <c r="CB6" s="11" t="e">
        <f t="shared" ref="CB6:CB46" si="39">IF(AND($BF6&lt;0,CA6&lt;0),BZ6,0)</f>
        <v>#REF!</v>
      </c>
      <c r="CC6" s="11" t="e">
        <f t="shared" ref="CC6:CC46" si="40">IF(AND($BF6&lt;0,CA6&gt;0),-$BF6,0)</f>
        <v>#REF!</v>
      </c>
      <c r="CD6" s="11" t="e">
        <f t="shared" ref="CD6:CD46" si="41">IF(OR($BF6&gt;=0,CA6&gt;=0),BZ6-CC6,0)</f>
        <v>#REF!</v>
      </c>
      <c r="CF6" s="11" t="e">
        <f t="shared" ref="CF6:CF46" si="42">AQ6</f>
        <v>#REF!</v>
      </c>
      <c r="CG6" s="11" t="e">
        <f t="shared" ref="CG6:CG46" si="43">$BF6+CF6</f>
        <v>#REF!</v>
      </c>
      <c r="CH6" s="11" t="e">
        <f t="shared" ref="CH6:CH46" si="44">IF(AND($BF6&lt;0,CG6&lt;0),CF6,0)</f>
        <v>#REF!</v>
      </c>
      <c r="CI6" s="11" t="e">
        <f t="shared" ref="CI6:CI46" si="45">IF(AND($BF6&lt;0,CG6&gt;0),-$BF6,0)</f>
        <v>#REF!</v>
      </c>
      <c r="CJ6" s="11" t="e">
        <f t="shared" ref="CJ6:CJ46" si="46">IF(OR($BF6&gt;=0,CG6&gt;=0),CF6-CI6,0)</f>
        <v>#REF!</v>
      </c>
      <c r="CM6" s="209">
        <f t="shared" ref="CM6:CM46" si="47">IF(BF6&lt;0,BF6/$BF$59,0)</f>
        <v>2.2140028043917261E-2</v>
      </c>
      <c r="CN6" s="209" t="e">
        <f t="shared" ref="CN6:CN46" si="48">R6/$R$57</f>
        <v>#REF!</v>
      </c>
      <c r="CO6" s="209" t="e">
        <f t="shared" ref="CO6:CO46" si="49">AO6/$AO$57</f>
        <v>#REF!</v>
      </c>
      <c r="CP6" s="209" t="e">
        <f t="shared" ref="CP6:CP46" si="50">BZ6/$BZ$57</f>
        <v>#REF!</v>
      </c>
      <c r="CQ6" s="209" t="e">
        <f t="shared" ref="CQ6:CQ46" si="51">CF6/$CF$57</f>
        <v>#REF!</v>
      </c>
    </row>
    <row r="7" spans="1:95" x14ac:dyDescent="0.25">
      <c r="A7" s="13" t="s">
        <v>17</v>
      </c>
      <c r="B7" s="14" t="s">
        <v>18</v>
      </c>
      <c r="C7" s="4" t="s">
        <v>23</v>
      </c>
      <c r="D7" s="4" t="s">
        <v>24</v>
      </c>
      <c r="E7" s="11">
        <f>SUMIFS('ICB Core Baseline 2024-25'!Q:Q,'ICB Core Baseline 2024-25'!C:C,C7)</f>
        <v>2625646.0761444462</v>
      </c>
      <c r="F7" s="43" t="e">
        <f>SUMIFS(#REF!,#REF!,C7)</f>
        <v>#REF!</v>
      </c>
      <c r="H7" s="43" t="e">
        <f>SUMIFS(#REF!,#REF!,C7)</f>
        <v>#REF!</v>
      </c>
      <c r="I7" s="43" t="e">
        <f t="shared" si="6"/>
        <v>#REF!</v>
      </c>
      <c r="J7" s="43" t="e">
        <f t="shared" si="7"/>
        <v>#REF!</v>
      </c>
      <c r="K7" s="11" t="e">
        <f t="shared" si="0"/>
        <v>#REF!</v>
      </c>
      <c r="L7" s="11" t="e">
        <f t="shared" si="1"/>
        <v>#REF!</v>
      </c>
      <c r="M7" s="43" t="e">
        <f>SUMIFS(#REF!,#REF!,C7)</f>
        <v>#REF!</v>
      </c>
      <c r="N7" s="11" t="e">
        <f t="shared" si="2"/>
        <v>#REF!</v>
      </c>
      <c r="O7" s="43" t="e">
        <f t="shared" si="8"/>
        <v>#REF!</v>
      </c>
      <c r="P7" s="11" t="e">
        <f t="shared" si="3"/>
        <v>#REF!</v>
      </c>
      <c r="Q7" s="11" t="e">
        <f t="shared" si="9"/>
        <v>#REF!</v>
      </c>
      <c r="R7" s="11" t="e">
        <f t="shared" si="4"/>
        <v>#REF!</v>
      </c>
      <c r="S7" s="11" t="e">
        <f>(SUMIFS(#REF!,#REF!,C7)/SUMIFS(#REF!,#REF!,C7))*1000</f>
        <v>#REF!</v>
      </c>
      <c r="T7" s="11" t="e">
        <f t="shared" si="10"/>
        <v>#REF!</v>
      </c>
      <c r="U7" s="11"/>
      <c r="V7" s="11" t="e">
        <f t="shared" si="11"/>
        <v>#REF!</v>
      </c>
      <c r="W7" s="11" t="e">
        <f t="shared" si="12"/>
        <v>#REF!</v>
      </c>
      <c r="X7" s="43" t="e">
        <f t="shared" si="13"/>
        <v>#REF!</v>
      </c>
      <c r="Y7" s="43" t="e">
        <f ca="1">OFFSET(#REF!,MATCH(C7,#REF!,0)+1,0)</f>
        <v>#REF!</v>
      </c>
      <c r="Z7" s="43" t="e">
        <f t="shared" ca="1" si="14"/>
        <v>#REF!</v>
      </c>
      <c r="AA7" s="43" t="e">
        <f t="shared" si="5"/>
        <v>#REF!</v>
      </c>
      <c r="AB7" s="11" t="e">
        <f>SUMIFS(#REF!,#REF!,C7)/(1+1.8%)*(1+1.8%+2.3%)</f>
        <v>#REF!</v>
      </c>
      <c r="AC7" s="11" t="e">
        <f t="shared" si="15"/>
        <v>#REF!</v>
      </c>
      <c r="AD7" s="64"/>
      <c r="AE7" s="11" t="e">
        <f>(SUMIFS(#REF!,#REF!,C7)/(1+1.8%))*(1+1.8%+2.3%)</f>
        <v>#REF!</v>
      </c>
      <c r="AF7" s="11" t="e">
        <f>-SUMIFS(#REF!,#REF!,C7)/1000</f>
        <v>#REF!</v>
      </c>
      <c r="AG7" s="11" t="e">
        <f>SUMIFS(#REF!,#REF!,C7)</f>
        <v>#REF!</v>
      </c>
      <c r="AH7" s="11" t="e">
        <f>SUMIFS(#REF!,#REF!,C7)</f>
        <v>#REF!</v>
      </c>
      <c r="AI7" s="11" t="e">
        <f>SUMIFS(#REF!,#REF!,C7)</f>
        <v>#REF!</v>
      </c>
      <c r="AJ7" s="11" t="e">
        <f>SUMIFS(#REF!,#REF!,C7)</f>
        <v>#REF!</v>
      </c>
      <c r="AK7" s="11"/>
      <c r="AL7" s="11" t="e">
        <f t="shared" si="16"/>
        <v>#REF!</v>
      </c>
      <c r="AN7" s="11" t="e">
        <f t="shared" si="17"/>
        <v>#REF!</v>
      </c>
      <c r="AO7" s="11" t="e">
        <f t="shared" si="18"/>
        <v>#REF!</v>
      </c>
      <c r="AQ7" s="11" t="e">
        <f t="shared" si="19"/>
        <v>#REF!</v>
      </c>
      <c r="AS7" s="43" t="e">
        <f t="shared" si="20"/>
        <v>#REF!</v>
      </c>
      <c r="AT7" s="11" t="e">
        <f t="shared" si="21"/>
        <v>#REF!</v>
      </c>
      <c r="AV7" s="11" t="e">
        <f>'Share of £1bn'!$F$20*1000*$AO7/$AO$57</f>
        <v>#REF!</v>
      </c>
      <c r="AW7" s="11" t="e">
        <f>'Share of £1bn'!$F$27*1000*$AO7/$AO$57</f>
        <v>#REF!</v>
      </c>
      <c r="AX7" s="11" t="e">
        <f>'Share of £1bn'!$F$21*1000*$AO7/$AO$57</f>
        <v>#REF!</v>
      </c>
      <c r="AZ7" s="11" t="e">
        <f>'Share of £1bn'!$F$43*1000*AO7/$AO$57</f>
        <v>#REF!</v>
      </c>
      <c r="BA7" s="11" t="e">
        <f>'Share of £1bn'!$F$50*1000*$AO7/$AO$57</f>
        <v>#REF!</v>
      </c>
      <c r="BB7" s="11" t="e">
        <f>'Share of £1bn'!$F$44*1000*AO7/$AO$57</f>
        <v>#REF!</v>
      </c>
      <c r="BD7" s="11" t="e">
        <f>'Share of £1bn'!$F$67*1000*AO7/$AO$57</f>
        <v>#REF!</v>
      </c>
      <c r="BF7" s="11">
        <f>SUMIFS('20-11 M6 deficits'!$BO:$BO,'20-11 M6 deficits'!$C:$C,$C7)*1000</f>
        <v>-40017.770822656123</v>
      </c>
      <c r="BH7" s="11" t="e">
        <f t="shared" si="22"/>
        <v>#REF!</v>
      </c>
      <c r="BI7" s="11" t="e">
        <f t="shared" si="23"/>
        <v>#REF!</v>
      </c>
      <c r="BJ7" s="11" t="e">
        <f t="shared" si="24"/>
        <v>#REF!</v>
      </c>
      <c r="BK7" s="11" t="e">
        <f t="shared" si="25"/>
        <v>#REF!</v>
      </c>
      <c r="BL7" s="11" t="e">
        <f t="shared" si="26"/>
        <v>#REF!</v>
      </c>
      <c r="BN7" s="11" t="e">
        <f t="shared" si="27"/>
        <v>#REF!</v>
      </c>
      <c r="BO7" s="11" t="e">
        <f t="shared" si="28"/>
        <v>#REF!</v>
      </c>
      <c r="BP7" s="11" t="e">
        <f t="shared" si="29"/>
        <v>#REF!</v>
      </c>
      <c r="BQ7" s="11" t="e">
        <f t="shared" si="30"/>
        <v>#REF!</v>
      </c>
      <c r="BR7" s="11" t="e">
        <f t="shared" si="31"/>
        <v>#REF!</v>
      </c>
      <c r="BT7" s="11" t="e">
        <f t="shared" si="32"/>
        <v>#REF!</v>
      </c>
      <c r="BU7" s="11" t="e">
        <f t="shared" si="33"/>
        <v>#REF!</v>
      </c>
      <c r="BV7" s="11" t="e">
        <f t="shared" si="34"/>
        <v>#REF!</v>
      </c>
      <c r="BW7" s="11" t="e">
        <f t="shared" si="35"/>
        <v>#REF!</v>
      </c>
      <c r="BX7" s="11" t="e">
        <f t="shared" si="36"/>
        <v>#REF!</v>
      </c>
      <c r="BZ7" s="11" t="e">
        <f t="shared" si="37"/>
        <v>#REF!</v>
      </c>
      <c r="CA7" s="11" t="e">
        <f t="shared" si="38"/>
        <v>#REF!</v>
      </c>
      <c r="CB7" s="11" t="e">
        <f t="shared" si="39"/>
        <v>#REF!</v>
      </c>
      <c r="CC7" s="11" t="e">
        <f t="shared" si="40"/>
        <v>#REF!</v>
      </c>
      <c r="CD7" s="11" t="e">
        <f t="shared" si="41"/>
        <v>#REF!</v>
      </c>
      <c r="CF7" s="11" t="e">
        <f t="shared" si="42"/>
        <v>#REF!</v>
      </c>
      <c r="CG7" s="11" t="e">
        <f t="shared" si="43"/>
        <v>#REF!</v>
      </c>
      <c r="CH7" s="11" t="e">
        <f t="shared" si="44"/>
        <v>#REF!</v>
      </c>
      <c r="CI7" s="11" t="e">
        <f t="shared" si="45"/>
        <v>#REF!</v>
      </c>
      <c r="CJ7" s="11" t="e">
        <f t="shared" si="46"/>
        <v>#REF!</v>
      </c>
      <c r="CM7" s="209">
        <f t="shared" si="47"/>
        <v>2.5314130521961731E-2</v>
      </c>
      <c r="CN7" s="209" t="e">
        <f t="shared" si="48"/>
        <v>#REF!</v>
      </c>
      <c r="CO7" s="209" t="e">
        <f t="shared" si="49"/>
        <v>#REF!</v>
      </c>
      <c r="CP7" s="209" t="e">
        <f t="shared" si="50"/>
        <v>#REF!</v>
      </c>
      <c r="CQ7" s="209" t="e">
        <f t="shared" si="51"/>
        <v>#REF!</v>
      </c>
    </row>
    <row r="8" spans="1:95" x14ac:dyDescent="0.25">
      <c r="A8" s="15" t="s">
        <v>17</v>
      </c>
      <c r="B8" s="16" t="s">
        <v>18</v>
      </c>
      <c r="C8" s="17" t="s">
        <v>25</v>
      </c>
      <c r="D8" s="17" t="s">
        <v>26</v>
      </c>
      <c r="E8" s="18">
        <f>SUMIFS('ICB Core Baseline 2024-25'!Q:Q,'ICB Core Baseline 2024-25'!C:C,C8)</f>
        <v>4412463.5914081903</v>
      </c>
      <c r="F8" s="44" t="e">
        <f>SUMIFS(#REF!,#REF!,C8)</f>
        <v>#REF!</v>
      </c>
      <c r="H8" s="44" t="e">
        <f>SUMIFS(#REF!,#REF!,C8)</f>
        <v>#REF!</v>
      </c>
      <c r="I8" s="44" t="e">
        <f t="shared" si="6"/>
        <v>#REF!</v>
      </c>
      <c r="J8" s="44" t="e">
        <f t="shared" si="7"/>
        <v>#REF!</v>
      </c>
      <c r="K8" s="18" t="e">
        <f t="shared" si="0"/>
        <v>#REF!</v>
      </c>
      <c r="L8" s="18" t="e">
        <f t="shared" si="1"/>
        <v>#REF!</v>
      </c>
      <c r="M8" s="44" t="e">
        <f>SUMIFS(#REF!,#REF!,C8)</f>
        <v>#REF!</v>
      </c>
      <c r="N8" s="18" t="e">
        <f t="shared" si="2"/>
        <v>#REF!</v>
      </c>
      <c r="O8" s="44" t="e">
        <f t="shared" si="8"/>
        <v>#REF!</v>
      </c>
      <c r="P8" s="18" t="e">
        <f t="shared" si="3"/>
        <v>#REF!</v>
      </c>
      <c r="Q8" s="18" t="e">
        <f t="shared" si="9"/>
        <v>#REF!</v>
      </c>
      <c r="R8" s="18" t="e">
        <f t="shared" si="4"/>
        <v>#REF!</v>
      </c>
      <c r="S8" s="18" t="e">
        <f>(SUMIFS(#REF!,#REF!,C8)/SUMIFS(#REF!,#REF!,C8))*1000</f>
        <v>#REF!</v>
      </c>
      <c r="T8" s="18" t="e">
        <f t="shared" si="10"/>
        <v>#REF!</v>
      </c>
      <c r="U8" s="18"/>
      <c r="V8" s="18" t="e">
        <f t="shared" si="11"/>
        <v>#REF!</v>
      </c>
      <c r="W8" s="18" t="e">
        <f t="shared" si="12"/>
        <v>#REF!</v>
      </c>
      <c r="X8" s="44" t="e">
        <f t="shared" si="13"/>
        <v>#REF!</v>
      </c>
      <c r="Y8" s="44" t="e">
        <f ca="1">OFFSET(#REF!,MATCH(C8,#REF!,0)+1,0)</f>
        <v>#REF!</v>
      </c>
      <c r="Z8" s="44" t="e">
        <f t="shared" ca="1" si="14"/>
        <v>#REF!</v>
      </c>
      <c r="AA8" s="44" t="e">
        <f t="shared" si="5"/>
        <v>#REF!</v>
      </c>
      <c r="AB8" s="18" t="e">
        <f>SUMIFS(#REF!,#REF!,C8)/(1+1.8%)*(1+1.8%+2.3%)</f>
        <v>#REF!</v>
      </c>
      <c r="AC8" s="18" t="e">
        <f t="shared" si="15"/>
        <v>#REF!</v>
      </c>
      <c r="AD8" s="65"/>
      <c r="AE8" s="18" t="e">
        <f>(SUMIFS(#REF!,#REF!,C8)/(1+1.8%))*(1+1.8%+2.3%)</f>
        <v>#REF!</v>
      </c>
      <c r="AF8" s="18" t="e">
        <f>-SUMIFS(#REF!,#REF!,C8)/1000</f>
        <v>#REF!</v>
      </c>
      <c r="AG8" s="18" t="e">
        <f>SUMIFS(#REF!,#REF!,C8)</f>
        <v>#REF!</v>
      </c>
      <c r="AH8" s="18" t="e">
        <f>SUMIFS(#REF!,#REF!,C8)</f>
        <v>#REF!</v>
      </c>
      <c r="AI8" s="18" t="e">
        <f>SUMIFS(#REF!,#REF!,C8)</f>
        <v>#REF!</v>
      </c>
      <c r="AJ8" s="18" t="e">
        <f>SUMIFS(#REF!,#REF!,C8)</f>
        <v>#REF!</v>
      </c>
      <c r="AK8" s="18"/>
      <c r="AL8" s="18" t="e">
        <f t="shared" si="16"/>
        <v>#REF!</v>
      </c>
      <c r="AN8" s="18" t="e">
        <f t="shared" si="17"/>
        <v>#REF!</v>
      </c>
      <c r="AO8" s="18" t="e">
        <f t="shared" si="18"/>
        <v>#REF!</v>
      </c>
      <c r="AQ8" s="18" t="e">
        <f t="shared" si="19"/>
        <v>#REF!</v>
      </c>
      <c r="AS8" s="44" t="e">
        <f t="shared" si="20"/>
        <v>#REF!</v>
      </c>
      <c r="AT8" s="18" t="e">
        <f t="shared" si="21"/>
        <v>#REF!</v>
      </c>
      <c r="AV8" s="18" t="e">
        <f>'Share of £1bn'!$F$20*1000*$AO8/$AO$57</f>
        <v>#REF!</v>
      </c>
      <c r="AW8" s="18" t="e">
        <f>'Share of £1bn'!$F$27*1000*$AO8/$AO$57</f>
        <v>#REF!</v>
      </c>
      <c r="AX8" s="18" t="e">
        <f>'Share of £1bn'!$F$21*1000*$AO8/$AO$57</f>
        <v>#REF!</v>
      </c>
      <c r="AZ8" s="18" t="e">
        <f>'Share of £1bn'!$F$43*1000*AO8/$AO$57</f>
        <v>#REF!</v>
      </c>
      <c r="BA8" s="18" t="e">
        <f>'Share of £1bn'!$F$50*1000*$AO8/$AO$57</f>
        <v>#REF!</v>
      </c>
      <c r="BB8" s="18" t="e">
        <f>'Share of £1bn'!$F$44*1000*AO8/$AO$57</f>
        <v>#REF!</v>
      </c>
      <c r="BD8" s="18" t="e">
        <f>'Share of £1bn'!$F$67*1000*AO8/$AO$57</f>
        <v>#REF!</v>
      </c>
      <c r="BF8" s="11">
        <f>SUMIFS('20-11 M6 deficits'!$BO:$BO,'20-11 M6 deficits'!$C:$C,$C8)*1000</f>
        <v>0</v>
      </c>
      <c r="BH8" s="18" t="e">
        <f t="shared" si="22"/>
        <v>#REF!</v>
      </c>
      <c r="BI8" s="18" t="e">
        <f t="shared" si="23"/>
        <v>#REF!</v>
      </c>
      <c r="BJ8" s="18" t="e">
        <f t="shared" si="24"/>
        <v>#REF!</v>
      </c>
      <c r="BK8" s="18" t="e">
        <f t="shared" si="25"/>
        <v>#REF!</v>
      </c>
      <c r="BL8" s="18" t="e">
        <f t="shared" si="26"/>
        <v>#REF!</v>
      </c>
      <c r="BN8" s="18" t="e">
        <f t="shared" si="27"/>
        <v>#REF!</v>
      </c>
      <c r="BO8" s="18" t="e">
        <f t="shared" si="28"/>
        <v>#REF!</v>
      </c>
      <c r="BP8" s="18" t="e">
        <f t="shared" si="29"/>
        <v>#REF!</v>
      </c>
      <c r="BQ8" s="18" t="e">
        <f t="shared" si="30"/>
        <v>#REF!</v>
      </c>
      <c r="BR8" s="18" t="e">
        <f t="shared" si="31"/>
        <v>#REF!</v>
      </c>
      <c r="BT8" s="18" t="e">
        <f t="shared" si="32"/>
        <v>#REF!</v>
      </c>
      <c r="BU8" s="18" t="e">
        <f t="shared" si="33"/>
        <v>#REF!</v>
      </c>
      <c r="BV8" s="18" t="e">
        <f t="shared" si="34"/>
        <v>#REF!</v>
      </c>
      <c r="BW8" s="18" t="e">
        <f t="shared" si="35"/>
        <v>#REF!</v>
      </c>
      <c r="BX8" s="18" t="e">
        <f t="shared" si="36"/>
        <v>#REF!</v>
      </c>
      <c r="BZ8" s="18" t="e">
        <f t="shared" si="37"/>
        <v>#REF!</v>
      </c>
      <c r="CA8" s="18" t="e">
        <f t="shared" si="38"/>
        <v>#REF!</v>
      </c>
      <c r="CB8" s="18" t="e">
        <f t="shared" si="39"/>
        <v>#REF!</v>
      </c>
      <c r="CC8" s="18" t="e">
        <f t="shared" si="40"/>
        <v>#REF!</v>
      </c>
      <c r="CD8" s="18" t="e">
        <f t="shared" si="41"/>
        <v>#REF!</v>
      </c>
      <c r="CF8" s="18" t="e">
        <f t="shared" si="42"/>
        <v>#REF!</v>
      </c>
      <c r="CG8" s="18" t="e">
        <f t="shared" si="43"/>
        <v>#REF!</v>
      </c>
      <c r="CH8" s="18" t="e">
        <f t="shared" si="44"/>
        <v>#REF!</v>
      </c>
      <c r="CI8" s="18" t="e">
        <f t="shared" si="45"/>
        <v>#REF!</v>
      </c>
      <c r="CJ8" s="18" t="e">
        <f t="shared" si="46"/>
        <v>#REF!</v>
      </c>
      <c r="CM8" s="209">
        <f t="shared" si="47"/>
        <v>0</v>
      </c>
      <c r="CN8" s="209" t="e">
        <f t="shared" si="48"/>
        <v>#REF!</v>
      </c>
      <c r="CO8" s="209" t="e">
        <f t="shared" si="49"/>
        <v>#REF!</v>
      </c>
      <c r="CP8" s="209" t="e">
        <f t="shared" si="50"/>
        <v>#REF!</v>
      </c>
      <c r="CQ8" s="209" t="e">
        <f t="shared" si="51"/>
        <v>#REF!</v>
      </c>
    </row>
    <row r="9" spans="1:95" x14ac:dyDescent="0.25">
      <c r="A9" s="10" t="s">
        <v>27</v>
      </c>
      <c r="B9" s="4" t="s">
        <v>28</v>
      </c>
      <c r="C9" s="4" t="s">
        <v>29</v>
      </c>
      <c r="D9" s="4" t="s">
        <v>30</v>
      </c>
      <c r="E9" s="11">
        <f>SUMIFS('ICB Core Baseline 2024-25'!Q:Q,'ICB Core Baseline 2024-25'!C:C,C9)</f>
        <v>5282103.6953610079</v>
      </c>
      <c r="F9" s="43" t="e">
        <f>SUMIFS(#REF!,#REF!,C9)</f>
        <v>#REF!</v>
      </c>
      <c r="H9" s="43" t="e">
        <f>SUMIFS(#REF!,#REF!,C9)</f>
        <v>#REF!</v>
      </c>
      <c r="I9" s="43" t="e">
        <f t="shared" si="6"/>
        <v>#REF!</v>
      </c>
      <c r="J9" s="43" t="e">
        <f t="shared" si="7"/>
        <v>#REF!</v>
      </c>
      <c r="K9" s="11" t="e">
        <f t="shared" si="0"/>
        <v>#REF!</v>
      </c>
      <c r="L9" s="11" t="e">
        <f t="shared" si="1"/>
        <v>#REF!</v>
      </c>
      <c r="M9" s="43" t="e">
        <f>SUMIFS(#REF!,#REF!,C9)</f>
        <v>#REF!</v>
      </c>
      <c r="N9" s="11" t="e">
        <f t="shared" si="2"/>
        <v>#REF!</v>
      </c>
      <c r="O9" s="43" t="e">
        <f t="shared" si="8"/>
        <v>#REF!</v>
      </c>
      <c r="P9" s="11" t="e">
        <f t="shared" si="3"/>
        <v>#REF!</v>
      </c>
      <c r="Q9" s="11" t="e">
        <f t="shared" si="9"/>
        <v>#REF!</v>
      </c>
      <c r="R9" s="11" t="e">
        <f t="shared" si="4"/>
        <v>#REF!</v>
      </c>
      <c r="S9" s="11" t="e">
        <f>(SUMIFS(#REF!,#REF!,C9)/SUMIFS(#REF!,#REF!,C9))*1000</f>
        <v>#REF!</v>
      </c>
      <c r="T9" s="11" t="e">
        <f t="shared" si="10"/>
        <v>#REF!</v>
      </c>
      <c r="U9" s="11"/>
      <c r="V9" s="11" t="e">
        <f t="shared" si="11"/>
        <v>#REF!</v>
      </c>
      <c r="W9" s="11" t="e">
        <f t="shared" si="12"/>
        <v>#REF!</v>
      </c>
      <c r="X9" s="43" t="e">
        <f t="shared" si="13"/>
        <v>#REF!</v>
      </c>
      <c r="Y9" s="43" t="e">
        <f ca="1">OFFSET(#REF!,MATCH(C9,#REF!,0)+1,0)</f>
        <v>#REF!</v>
      </c>
      <c r="Z9" s="43" t="e">
        <f t="shared" ca="1" si="14"/>
        <v>#REF!</v>
      </c>
      <c r="AA9" s="43" t="e">
        <f t="shared" si="5"/>
        <v>#REF!</v>
      </c>
      <c r="AB9" s="11" t="e">
        <f>SUMIFS(#REF!,#REF!,C9)/(1+1.8%)*(1+1.8%+2.3%)</f>
        <v>#REF!</v>
      </c>
      <c r="AC9" s="11" t="e">
        <f t="shared" si="15"/>
        <v>#REF!</v>
      </c>
      <c r="AD9" s="64"/>
      <c r="AE9" s="11" t="e">
        <f>(SUMIFS(#REF!,#REF!,C9)/(1+1.8%))*(1+1.8%+2.3%)</f>
        <v>#REF!</v>
      </c>
      <c r="AF9" s="11" t="e">
        <f>-SUMIFS(#REF!,#REF!,C9)/1000</f>
        <v>#REF!</v>
      </c>
      <c r="AG9" s="11" t="e">
        <f>SUMIFS(#REF!,#REF!,C9)</f>
        <v>#REF!</v>
      </c>
      <c r="AH9" s="11" t="e">
        <f>SUMIFS(#REF!,#REF!,C9)</f>
        <v>#REF!</v>
      </c>
      <c r="AI9" s="11" t="e">
        <f>SUMIFS(#REF!,#REF!,C9)</f>
        <v>#REF!</v>
      </c>
      <c r="AJ9" s="11" t="e">
        <f>SUMIFS(#REF!,#REF!,C9)</f>
        <v>#REF!</v>
      </c>
      <c r="AK9" s="11"/>
      <c r="AL9" s="11" t="e">
        <f t="shared" si="16"/>
        <v>#REF!</v>
      </c>
      <c r="AN9" s="11" t="e">
        <f t="shared" si="17"/>
        <v>#REF!</v>
      </c>
      <c r="AO9" s="11" t="e">
        <f t="shared" si="18"/>
        <v>#REF!</v>
      </c>
      <c r="AQ9" s="11" t="e">
        <f t="shared" si="19"/>
        <v>#REF!</v>
      </c>
      <c r="AS9" s="43" t="e">
        <f t="shared" si="20"/>
        <v>#REF!</v>
      </c>
      <c r="AT9" s="11" t="e">
        <f t="shared" si="21"/>
        <v>#REF!</v>
      </c>
      <c r="AV9" s="11" t="e">
        <f>'Share of £1bn'!$F$20*1000*$AO9/$AO$57</f>
        <v>#REF!</v>
      </c>
      <c r="AW9" s="11" t="e">
        <f>'Share of £1bn'!$F$27*1000*$AO9/$AO$57</f>
        <v>#REF!</v>
      </c>
      <c r="AX9" s="11" t="e">
        <f>'Share of £1bn'!$F$21*1000*$AO9/$AO$57</f>
        <v>#REF!</v>
      </c>
      <c r="AZ9" s="11" t="e">
        <f>'Share of £1bn'!$F$43*1000*AO9/$AO$57</f>
        <v>#REF!</v>
      </c>
      <c r="BA9" s="11" t="e">
        <f>'Share of £1bn'!$F$50*1000*$AO9/$AO$57</f>
        <v>#REF!</v>
      </c>
      <c r="BB9" s="11" t="e">
        <f>'Share of £1bn'!$F$44*1000*AO9/$AO$57</f>
        <v>#REF!</v>
      </c>
      <c r="BD9" s="11" t="e">
        <f>'Share of £1bn'!$F$67*1000*AO9/$AO$57</f>
        <v>#REF!</v>
      </c>
      <c r="BF9" s="11">
        <f>SUMIFS('20-11 M6 deficits'!$BO:$BO,'20-11 M6 deficits'!$C:$C,$C9)*1000</f>
        <v>-51200</v>
      </c>
      <c r="BH9" s="11" t="e">
        <f t="shared" si="22"/>
        <v>#REF!</v>
      </c>
      <c r="BI9" s="11" t="e">
        <f t="shared" si="23"/>
        <v>#REF!</v>
      </c>
      <c r="BJ9" s="11" t="e">
        <f t="shared" si="24"/>
        <v>#REF!</v>
      </c>
      <c r="BK9" s="11" t="e">
        <f t="shared" si="25"/>
        <v>#REF!</v>
      </c>
      <c r="BL9" s="11" t="e">
        <f t="shared" si="26"/>
        <v>#REF!</v>
      </c>
      <c r="BN9" s="11" t="e">
        <f t="shared" si="27"/>
        <v>#REF!</v>
      </c>
      <c r="BO9" s="11" t="e">
        <f t="shared" si="28"/>
        <v>#REF!</v>
      </c>
      <c r="BP9" s="11" t="e">
        <f t="shared" si="29"/>
        <v>#REF!</v>
      </c>
      <c r="BQ9" s="11" t="e">
        <f t="shared" si="30"/>
        <v>#REF!</v>
      </c>
      <c r="BR9" s="11" t="e">
        <f t="shared" si="31"/>
        <v>#REF!</v>
      </c>
      <c r="BT9" s="11" t="e">
        <f t="shared" si="32"/>
        <v>#REF!</v>
      </c>
      <c r="BU9" s="11" t="e">
        <f t="shared" si="33"/>
        <v>#REF!</v>
      </c>
      <c r="BV9" s="11" t="e">
        <f t="shared" si="34"/>
        <v>#REF!</v>
      </c>
      <c r="BW9" s="11" t="e">
        <f t="shared" si="35"/>
        <v>#REF!</v>
      </c>
      <c r="BX9" s="11" t="e">
        <f t="shared" si="36"/>
        <v>#REF!</v>
      </c>
      <c r="BZ9" s="11" t="e">
        <f t="shared" si="37"/>
        <v>#REF!</v>
      </c>
      <c r="CA9" s="11" t="e">
        <f t="shared" si="38"/>
        <v>#REF!</v>
      </c>
      <c r="CB9" s="11" t="e">
        <f t="shared" si="39"/>
        <v>#REF!</v>
      </c>
      <c r="CC9" s="11" t="e">
        <f t="shared" si="40"/>
        <v>#REF!</v>
      </c>
      <c r="CD9" s="11" t="e">
        <f t="shared" si="41"/>
        <v>#REF!</v>
      </c>
      <c r="CF9" s="11" t="e">
        <f t="shared" si="42"/>
        <v>#REF!</v>
      </c>
      <c r="CG9" s="11" t="e">
        <f t="shared" si="43"/>
        <v>#REF!</v>
      </c>
      <c r="CH9" s="11" t="e">
        <f t="shared" si="44"/>
        <v>#REF!</v>
      </c>
      <c r="CI9" s="11" t="e">
        <f t="shared" si="45"/>
        <v>#REF!</v>
      </c>
      <c r="CJ9" s="11" t="e">
        <f t="shared" si="46"/>
        <v>#REF!</v>
      </c>
      <c r="CM9" s="209">
        <f t="shared" si="47"/>
        <v>3.2387698167101825E-2</v>
      </c>
      <c r="CN9" s="209" t="e">
        <f t="shared" si="48"/>
        <v>#REF!</v>
      </c>
      <c r="CO9" s="209" t="e">
        <f t="shared" si="49"/>
        <v>#REF!</v>
      </c>
      <c r="CP9" s="209" t="e">
        <f t="shared" si="50"/>
        <v>#REF!</v>
      </c>
      <c r="CQ9" s="209" t="e">
        <f t="shared" si="51"/>
        <v>#REF!</v>
      </c>
    </row>
    <row r="10" spans="1:95" x14ac:dyDescent="0.25">
      <c r="A10" s="13" t="s">
        <v>27</v>
      </c>
      <c r="B10" s="14" t="s">
        <v>28</v>
      </c>
      <c r="C10" s="4" t="s">
        <v>31</v>
      </c>
      <c r="D10" s="4" t="s">
        <v>8</v>
      </c>
      <c r="E10" s="11">
        <f>SUMIFS('ICB Core Baseline 2024-25'!Q:Q,'ICB Core Baseline 2024-25'!C:C,C10)</f>
        <v>5659485.1514335498</v>
      </c>
      <c r="F10" s="43" t="e">
        <f>SUMIFS(#REF!,#REF!,C10)</f>
        <v>#REF!</v>
      </c>
      <c r="H10" s="43" t="e">
        <f>SUMIFS(#REF!,#REF!,C10)</f>
        <v>#REF!</v>
      </c>
      <c r="I10" s="43" t="e">
        <f t="shared" si="6"/>
        <v>#REF!</v>
      </c>
      <c r="J10" s="43" t="e">
        <f t="shared" si="7"/>
        <v>#REF!</v>
      </c>
      <c r="K10" s="11" t="e">
        <f t="shared" si="0"/>
        <v>#REF!</v>
      </c>
      <c r="L10" s="11" t="e">
        <f t="shared" si="1"/>
        <v>#REF!</v>
      </c>
      <c r="M10" s="43" t="e">
        <f>SUMIFS(#REF!,#REF!,C10)</f>
        <v>#REF!</v>
      </c>
      <c r="N10" s="11" t="e">
        <f t="shared" si="2"/>
        <v>#REF!</v>
      </c>
      <c r="O10" s="43" t="e">
        <f t="shared" si="8"/>
        <v>#REF!</v>
      </c>
      <c r="P10" s="11" t="e">
        <f t="shared" si="3"/>
        <v>#REF!</v>
      </c>
      <c r="Q10" s="11" t="e">
        <f t="shared" si="9"/>
        <v>#REF!</v>
      </c>
      <c r="R10" s="11" t="e">
        <f t="shared" si="4"/>
        <v>#REF!</v>
      </c>
      <c r="S10" s="11" t="e">
        <f>(SUMIFS(#REF!,#REF!,C10)/SUMIFS(#REF!,#REF!,C10))*1000</f>
        <v>#REF!</v>
      </c>
      <c r="T10" s="11" t="e">
        <f t="shared" si="10"/>
        <v>#REF!</v>
      </c>
      <c r="U10" s="11"/>
      <c r="V10" s="11" t="e">
        <f t="shared" si="11"/>
        <v>#REF!</v>
      </c>
      <c r="W10" s="11" t="e">
        <f t="shared" si="12"/>
        <v>#REF!</v>
      </c>
      <c r="X10" s="43" t="e">
        <f t="shared" si="13"/>
        <v>#REF!</v>
      </c>
      <c r="Y10" s="43" t="e">
        <f ca="1">OFFSET(#REF!,MATCH(C10,#REF!,0)+1,0)</f>
        <v>#REF!</v>
      </c>
      <c r="Z10" s="43" t="e">
        <f t="shared" ca="1" si="14"/>
        <v>#REF!</v>
      </c>
      <c r="AA10" s="43" t="e">
        <f t="shared" si="5"/>
        <v>#REF!</v>
      </c>
      <c r="AB10" s="11" t="e">
        <f>SUMIFS(#REF!,#REF!,C10)/(1+1.8%)*(1+1.8%+2.3%)</f>
        <v>#REF!</v>
      </c>
      <c r="AC10" s="11" t="e">
        <f t="shared" si="15"/>
        <v>#REF!</v>
      </c>
      <c r="AD10" s="64"/>
      <c r="AE10" s="11" t="e">
        <f>(SUMIFS(#REF!,#REF!,C10)/(1+1.8%))*(1+1.8%+2.3%)</f>
        <v>#REF!</v>
      </c>
      <c r="AF10" s="11" t="e">
        <f>-SUMIFS(#REF!,#REF!,C10)/1000</f>
        <v>#REF!</v>
      </c>
      <c r="AG10" s="11" t="e">
        <f>SUMIFS(#REF!,#REF!,C10)</f>
        <v>#REF!</v>
      </c>
      <c r="AH10" s="11" t="e">
        <f>SUMIFS(#REF!,#REF!,C10)</f>
        <v>#REF!</v>
      </c>
      <c r="AI10" s="11" t="e">
        <f>SUMIFS(#REF!,#REF!,C10)</f>
        <v>#REF!</v>
      </c>
      <c r="AJ10" s="11" t="e">
        <f>SUMIFS(#REF!,#REF!,C10)</f>
        <v>#REF!</v>
      </c>
      <c r="AK10" s="11"/>
      <c r="AL10" s="11" t="e">
        <f t="shared" si="16"/>
        <v>#REF!</v>
      </c>
      <c r="AN10" s="11" t="e">
        <f t="shared" si="17"/>
        <v>#REF!</v>
      </c>
      <c r="AO10" s="11" t="e">
        <f t="shared" si="18"/>
        <v>#REF!</v>
      </c>
      <c r="AQ10" s="11" t="e">
        <f t="shared" si="19"/>
        <v>#REF!</v>
      </c>
      <c r="AS10" s="43" t="e">
        <f t="shared" si="20"/>
        <v>#REF!</v>
      </c>
      <c r="AT10" s="11" t="e">
        <f t="shared" si="21"/>
        <v>#REF!</v>
      </c>
      <c r="AV10" s="11" t="e">
        <f>'Share of £1bn'!$F$20*1000*$AO10/$AO$57</f>
        <v>#REF!</v>
      </c>
      <c r="AW10" s="11" t="e">
        <f>'Share of £1bn'!$F$27*1000*$AO10/$AO$57</f>
        <v>#REF!</v>
      </c>
      <c r="AX10" s="11" t="e">
        <f>'Share of £1bn'!$F$21*1000*$AO10/$AO$57</f>
        <v>#REF!</v>
      </c>
      <c r="AZ10" s="11" t="e">
        <f>'Share of £1bn'!$F$43*1000*AO10/$AO$57</f>
        <v>#REF!</v>
      </c>
      <c r="BA10" s="11" t="e">
        <f>'Share of £1bn'!$F$50*1000*$AO10/$AO$57</f>
        <v>#REF!</v>
      </c>
      <c r="BB10" s="11" t="e">
        <f>'Share of £1bn'!$F$44*1000*AO10/$AO$57</f>
        <v>#REF!</v>
      </c>
      <c r="BD10" s="11" t="e">
        <f>'Share of £1bn'!$F$67*1000*AO10/$AO$57</f>
        <v>#REF!</v>
      </c>
      <c r="BF10" s="11">
        <f>SUMIFS('20-11 M6 deficits'!$BO:$BO,'20-11 M6 deficits'!$C:$C,$C10)*1000</f>
        <v>-169956.59103814809</v>
      </c>
      <c r="BH10" s="11" t="e">
        <f t="shared" si="22"/>
        <v>#REF!</v>
      </c>
      <c r="BI10" s="11" t="e">
        <f t="shared" si="23"/>
        <v>#REF!</v>
      </c>
      <c r="BJ10" s="11" t="e">
        <f t="shared" si="24"/>
        <v>#REF!</v>
      </c>
      <c r="BK10" s="11" t="e">
        <f t="shared" si="25"/>
        <v>#REF!</v>
      </c>
      <c r="BL10" s="11" t="e">
        <f t="shared" si="26"/>
        <v>#REF!</v>
      </c>
      <c r="BN10" s="11" t="e">
        <f t="shared" si="27"/>
        <v>#REF!</v>
      </c>
      <c r="BO10" s="11" t="e">
        <f t="shared" si="28"/>
        <v>#REF!</v>
      </c>
      <c r="BP10" s="11" t="e">
        <f t="shared" si="29"/>
        <v>#REF!</v>
      </c>
      <c r="BQ10" s="11" t="e">
        <f t="shared" si="30"/>
        <v>#REF!</v>
      </c>
      <c r="BR10" s="11" t="e">
        <f t="shared" si="31"/>
        <v>#REF!</v>
      </c>
      <c r="BT10" s="11" t="e">
        <f t="shared" si="32"/>
        <v>#REF!</v>
      </c>
      <c r="BU10" s="11" t="e">
        <f t="shared" si="33"/>
        <v>#REF!</v>
      </c>
      <c r="BV10" s="11" t="e">
        <f t="shared" si="34"/>
        <v>#REF!</v>
      </c>
      <c r="BW10" s="11" t="e">
        <f t="shared" si="35"/>
        <v>#REF!</v>
      </c>
      <c r="BX10" s="11" t="e">
        <f t="shared" si="36"/>
        <v>#REF!</v>
      </c>
      <c r="BZ10" s="11" t="e">
        <f t="shared" si="37"/>
        <v>#REF!</v>
      </c>
      <c r="CA10" s="11" t="e">
        <f t="shared" si="38"/>
        <v>#REF!</v>
      </c>
      <c r="CB10" s="11" t="e">
        <f t="shared" si="39"/>
        <v>#REF!</v>
      </c>
      <c r="CC10" s="11" t="e">
        <f t="shared" si="40"/>
        <v>#REF!</v>
      </c>
      <c r="CD10" s="11" t="e">
        <f t="shared" si="41"/>
        <v>#REF!</v>
      </c>
      <c r="CF10" s="11" t="e">
        <f t="shared" si="42"/>
        <v>#REF!</v>
      </c>
      <c r="CG10" s="11" t="e">
        <f t="shared" si="43"/>
        <v>#REF!</v>
      </c>
      <c r="CH10" s="11" t="e">
        <f t="shared" si="44"/>
        <v>#REF!</v>
      </c>
      <c r="CI10" s="11" t="e">
        <f t="shared" si="45"/>
        <v>#REF!</v>
      </c>
      <c r="CJ10" s="11" t="e">
        <f t="shared" si="46"/>
        <v>#REF!</v>
      </c>
      <c r="CM10" s="209">
        <f t="shared" si="47"/>
        <v>0.10750981976666217</v>
      </c>
      <c r="CN10" s="209" t="e">
        <f t="shared" si="48"/>
        <v>#REF!</v>
      </c>
      <c r="CO10" s="209" t="e">
        <f t="shared" si="49"/>
        <v>#REF!</v>
      </c>
      <c r="CP10" s="209" t="e">
        <f t="shared" si="50"/>
        <v>#REF!</v>
      </c>
      <c r="CQ10" s="209" t="e">
        <f t="shared" si="51"/>
        <v>#REF!</v>
      </c>
    </row>
    <row r="11" spans="1:95" x14ac:dyDescent="0.25">
      <c r="A11" s="15" t="s">
        <v>27</v>
      </c>
      <c r="B11" s="16" t="s">
        <v>28</v>
      </c>
      <c r="C11" s="17" t="s">
        <v>32</v>
      </c>
      <c r="D11" s="17" t="s">
        <v>33</v>
      </c>
      <c r="E11" s="18">
        <f>SUMIFS('ICB Core Baseline 2024-25'!Q:Q,'ICB Core Baseline 2024-25'!C:C,C11)</f>
        <v>3508460.5811494747</v>
      </c>
      <c r="F11" s="44" t="e">
        <f>SUMIFS(#REF!,#REF!,C11)</f>
        <v>#REF!</v>
      </c>
      <c r="H11" s="44" t="e">
        <f>SUMIFS(#REF!,#REF!,C11)</f>
        <v>#REF!</v>
      </c>
      <c r="I11" s="44" t="e">
        <f t="shared" si="6"/>
        <v>#REF!</v>
      </c>
      <c r="J11" s="44" t="e">
        <f t="shared" si="7"/>
        <v>#REF!</v>
      </c>
      <c r="K11" s="18" t="e">
        <f t="shared" si="0"/>
        <v>#REF!</v>
      </c>
      <c r="L11" s="18" t="e">
        <f t="shared" si="1"/>
        <v>#REF!</v>
      </c>
      <c r="M11" s="44" t="e">
        <f>SUMIFS(#REF!,#REF!,C11)</f>
        <v>#REF!</v>
      </c>
      <c r="N11" s="18" t="e">
        <f t="shared" si="2"/>
        <v>#REF!</v>
      </c>
      <c r="O11" s="44" t="e">
        <f t="shared" si="8"/>
        <v>#REF!</v>
      </c>
      <c r="P11" s="18" t="e">
        <f t="shared" si="3"/>
        <v>#REF!</v>
      </c>
      <c r="Q11" s="18" t="e">
        <f t="shared" si="9"/>
        <v>#REF!</v>
      </c>
      <c r="R11" s="18" t="e">
        <f t="shared" si="4"/>
        <v>#REF!</v>
      </c>
      <c r="S11" s="18" t="e">
        <f>(SUMIFS(#REF!,#REF!,C11)/SUMIFS(#REF!,#REF!,C11))*1000</f>
        <v>#REF!</v>
      </c>
      <c r="T11" s="18" t="e">
        <f t="shared" si="10"/>
        <v>#REF!</v>
      </c>
      <c r="U11" s="18"/>
      <c r="V11" s="18" t="e">
        <f t="shared" si="11"/>
        <v>#REF!</v>
      </c>
      <c r="W11" s="18" t="e">
        <f t="shared" si="12"/>
        <v>#REF!</v>
      </c>
      <c r="X11" s="44" t="e">
        <f t="shared" si="13"/>
        <v>#REF!</v>
      </c>
      <c r="Y11" s="44" t="e">
        <f ca="1">OFFSET(#REF!,MATCH(C11,#REF!,0)+1,0)</f>
        <v>#REF!</v>
      </c>
      <c r="Z11" s="44" t="e">
        <f t="shared" ca="1" si="14"/>
        <v>#REF!</v>
      </c>
      <c r="AA11" s="44" t="e">
        <f t="shared" si="5"/>
        <v>#REF!</v>
      </c>
      <c r="AB11" s="18" t="e">
        <f>SUMIFS(#REF!,#REF!,C11)/(1+1.8%)*(1+1.8%+2.3%)</f>
        <v>#REF!</v>
      </c>
      <c r="AC11" s="18" t="e">
        <f t="shared" si="15"/>
        <v>#REF!</v>
      </c>
      <c r="AD11" s="65"/>
      <c r="AE11" s="18" t="e">
        <f>(SUMIFS(#REF!,#REF!,C11)/(1+1.8%))*(1+1.8%+2.3%)</f>
        <v>#REF!</v>
      </c>
      <c r="AF11" s="18" t="e">
        <f>-SUMIFS(#REF!,#REF!,C11)/1000</f>
        <v>#REF!</v>
      </c>
      <c r="AG11" s="18" t="e">
        <f>SUMIFS(#REF!,#REF!,C11)</f>
        <v>#REF!</v>
      </c>
      <c r="AH11" s="18" t="e">
        <f>SUMIFS(#REF!,#REF!,C11)</f>
        <v>#REF!</v>
      </c>
      <c r="AI11" s="18" t="e">
        <f>SUMIFS(#REF!,#REF!,C11)</f>
        <v>#REF!</v>
      </c>
      <c r="AJ11" s="18" t="e">
        <f>SUMIFS(#REF!,#REF!,C11)</f>
        <v>#REF!</v>
      </c>
      <c r="AK11" s="18"/>
      <c r="AL11" s="18" t="e">
        <f t="shared" si="16"/>
        <v>#REF!</v>
      </c>
      <c r="AN11" s="18" t="e">
        <f t="shared" si="17"/>
        <v>#REF!</v>
      </c>
      <c r="AO11" s="18" t="e">
        <f t="shared" si="18"/>
        <v>#REF!</v>
      </c>
      <c r="AQ11" s="18" t="e">
        <f t="shared" si="19"/>
        <v>#REF!</v>
      </c>
      <c r="AS11" s="44" t="e">
        <f t="shared" si="20"/>
        <v>#REF!</v>
      </c>
      <c r="AT11" s="18" t="e">
        <f t="shared" si="21"/>
        <v>#REF!</v>
      </c>
      <c r="AV11" s="18" t="e">
        <f>'Share of £1bn'!$F$20*1000*$AO11/$AO$57</f>
        <v>#REF!</v>
      </c>
      <c r="AW11" s="18" t="e">
        <f>'Share of £1bn'!$F$27*1000*$AO11/$AO$57</f>
        <v>#REF!</v>
      </c>
      <c r="AX11" s="18" t="e">
        <f>'Share of £1bn'!$F$21*1000*$AO11/$AO$57</f>
        <v>#REF!</v>
      </c>
      <c r="AZ11" s="18" t="e">
        <f>'Share of £1bn'!$F$43*1000*AO11/$AO$57</f>
        <v>#REF!</v>
      </c>
      <c r="BA11" s="18" t="e">
        <f>'Share of £1bn'!$F$50*1000*$AO11/$AO$57</f>
        <v>#REF!</v>
      </c>
      <c r="BB11" s="18" t="e">
        <f>'Share of £1bn'!$F$44*1000*AO11/$AO$57</f>
        <v>#REF!</v>
      </c>
      <c r="BD11" s="18" t="e">
        <f>'Share of £1bn'!$F$67*1000*AO11/$AO$57</f>
        <v>#REF!</v>
      </c>
      <c r="BF11" s="11">
        <f>SUMIFS('20-11 M6 deficits'!$BO:$BO,'20-11 M6 deficits'!$C:$C,$C11)*1000</f>
        <v>-200008.46951755669</v>
      </c>
      <c r="BH11" s="18" t="e">
        <f t="shared" si="22"/>
        <v>#REF!</v>
      </c>
      <c r="BI11" s="18" t="e">
        <f t="shared" si="23"/>
        <v>#REF!</v>
      </c>
      <c r="BJ11" s="18" t="e">
        <f t="shared" si="24"/>
        <v>#REF!</v>
      </c>
      <c r="BK11" s="18" t="e">
        <f t="shared" si="25"/>
        <v>#REF!</v>
      </c>
      <c r="BL11" s="18" t="e">
        <f t="shared" si="26"/>
        <v>#REF!</v>
      </c>
      <c r="BN11" s="18" t="e">
        <f t="shared" si="27"/>
        <v>#REF!</v>
      </c>
      <c r="BO11" s="18" t="e">
        <f t="shared" si="28"/>
        <v>#REF!</v>
      </c>
      <c r="BP11" s="18" t="e">
        <f t="shared" si="29"/>
        <v>#REF!</v>
      </c>
      <c r="BQ11" s="18" t="e">
        <f t="shared" si="30"/>
        <v>#REF!</v>
      </c>
      <c r="BR11" s="18" t="e">
        <f t="shared" si="31"/>
        <v>#REF!</v>
      </c>
      <c r="BT11" s="18" t="e">
        <f t="shared" si="32"/>
        <v>#REF!</v>
      </c>
      <c r="BU11" s="18" t="e">
        <f t="shared" si="33"/>
        <v>#REF!</v>
      </c>
      <c r="BV11" s="18" t="e">
        <f t="shared" si="34"/>
        <v>#REF!</v>
      </c>
      <c r="BW11" s="18" t="e">
        <f t="shared" si="35"/>
        <v>#REF!</v>
      </c>
      <c r="BX11" s="18" t="e">
        <f t="shared" si="36"/>
        <v>#REF!</v>
      </c>
      <c r="BZ11" s="18" t="e">
        <f t="shared" si="37"/>
        <v>#REF!</v>
      </c>
      <c r="CA11" s="18" t="e">
        <f t="shared" si="38"/>
        <v>#REF!</v>
      </c>
      <c r="CB11" s="18" t="e">
        <f t="shared" si="39"/>
        <v>#REF!</v>
      </c>
      <c r="CC11" s="18" t="e">
        <f t="shared" si="40"/>
        <v>#REF!</v>
      </c>
      <c r="CD11" s="18" t="e">
        <f t="shared" si="41"/>
        <v>#REF!</v>
      </c>
      <c r="CF11" s="18" t="e">
        <f t="shared" si="42"/>
        <v>#REF!</v>
      </c>
      <c r="CG11" s="18" t="e">
        <f t="shared" si="43"/>
        <v>#REF!</v>
      </c>
      <c r="CH11" s="18" t="e">
        <f t="shared" si="44"/>
        <v>#REF!</v>
      </c>
      <c r="CI11" s="18" t="e">
        <f t="shared" si="45"/>
        <v>#REF!</v>
      </c>
      <c r="CJ11" s="18" t="e">
        <f t="shared" si="46"/>
        <v>#REF!</v>
      </c>
      <c r="CM11" s="209">
        <f t="shared" si="47"/>
        <v>0.12651980354684789</v>
      </c>
      <c r="CN11" s="209" t="e">
        <f t="shared" si="48"/>
        <v>#REF!</v>
      </c>
      <c r="CO11" s="209" t="e">
        <f t="shared" si="49"/>
        <v>#REF!</v>
      </c>
      <c r="CP11" s="209" t="e">
        <f t="shared" si="50"/>
        <v>#REF!</v>
      </c>
      <c r="CQ11" s="209" t="e">
        <f t="shared" si="51"/>
        <v>#REF!</v>
      </c>
    </row>
    <row r="12" spans="1:95" x14ac:dyDescent="0.25">
      <c r="A12" s="10" t="s">
        <v>34</v>
      </c>
      <c r="B12" s="4" t="s">
        <v>35</v>
      </c>
      <c r="C12" s="4" t="s">
        <v>36</v>
      </c>
      <c r="D12" s="4" t="s">
        <v>37</v>
      </c>
      <c r="E12" s="11">
        <f>SUMIFS('ICB Core Baseline 2024-25'!Q:Q,'ICB Core Baseline 2024-25'!C:C,C12)</f>
        <v>2582726.5490809772</v>
      </c>
      <c r="F12" s="43" t="e">
        <f>SUMIFS(#REF!,#REF!,C12)</f>
        <v>#REF!</v>
      </c>
      <c r="H12" s="43" t="e">
        <f>SUMIFS(#REF!,#REF!,C12)</f>
        <v>#REF!</v>
      </c>
      <c r="I12" s="43" t="e">
        <f t="shared" si="6"/>
        <v>#REF!</v>
      </c>
      <c r="J12" s="43" t="e">
        <f t="shared" si="7"/>
        <v>#REF!</v>
      </c>
      <c r="K12" s="11" t="e">
        <f t="shared" si="0"/>
        <v>#REF!</v>
      </c>
      <c r="L12" s="11" t="e">
        <f t="shared" si="1"/>
        <v>#REF!</v>
      </c>
      <c r="M12" s="43" t="e">
        <f>SUMIFS(#REF!,#REF!,C12)</f>
        <v>#REF!</v>
      </c>
      <c r="N12" s="11" t="e">
        <f t="shared" si="2"/>
        <v>#REF!</v>
      </c>
      <c r="O12" s="43" t="e">
        <f t="shared" si="8"/>
        <v>#REF!</v>
      </c>
      <c r="P12" s="11" t="e">
        <f t="shared" si="3"/>
        <v>#REF!</v>
      </c>
      <c r="Q12" s="11" t="e">
        <f t="shared" si="9"/>
        <v>#REF!</v>
      </c>
      <c r="R12" s="11" t="e">
        <f t="shared" si="4"/>
        <v>#REF!</v>
      </c>
      <c r="S12" s="11" t="e">
        <f>(SUMIFS(#REF!,#REF!,C12)/SUMIFS(#REF!,#REF!,C12))*1000</f>
        <v>#REF!</v>
      </c>
      <c r="T12" s="11" t="e">
        <f t="shared" si="10"/>
        <v>#REF!</v>
      </c>
      <c r="U12" s="11"/>
      <c r="V12" s="11" t="e">
        <f t="shared" si="11"/>
        <v>#REF!</v>
      </c>
      <c r="W12" s="11" t="e">
        <f t="shared" si="12"/>
        <v>#REF!</v>
      </c>
      <c r="X12" s="43" t="e">
        <f t="shared" si="13"/>
        <v>#REF!</v>
      </c>
      <c r="Y12" s="43" t="e">
        <f ca="1">OFFSET(#REF!,MATCH(C12,#REF!,0)+1,0)</f>
        <v>#REF!</v>
      </c>
      <c r="Z12" s="43" t="e">
        <f t="shared" ca="1" si="14"/>
        <v>#REF!</v>
      </c>
      <c r="AA12" s="43" t="e">
        <f t="shared" si="5"/>
        <v>#REF!</v>
      </c>
      <c r="AB12" s="11" t="e">
        <f>SUMIFS(#REF!,#REF!,C12)/(1+1.8%)*(1+1.8%+2.3%)</f>
        <v>#REF!</v>
      </c>
      <c r="AC12" s="11" t="e">
        <f t="shared" si="15"/>
        <v>#REF!</v>
      </c>
      <c r="AD12" s="64"/>
      <c r="AE12" s="11" t="e">
        <f>(SUMIFS(#REF!,#REF!,C12)/(1+1.8%))*(1+1.8%+2.3%)</f>
        <v>#REF!</v>
      </c>
      <c r="AF12" s="11" t="e">
        <f>-SUMIFS(#REF!,#REF!,C12)/1000</f>
        <v>#REF!</v>
      </c>
      <c r="AG12" s="11" t="e">
        <f>SUMIFS(#REF!,#REF!,C12)</f>
        <v>#REF!</v>
      </c>
      <c r="AH12" s="11" t="e">
        <f>SUMIFS(#REF!,#REF!,C12)</f>
        <v>#REF!</v>
      </c>
      <c r="AI12" s="11" t="e">
        <f>SUMIFS(#REF!,#REF!,C12)</f>
        <v>#REF!</v>
      </c>
      <c r="AJ12" s="11" t="e">
        <f>SUMIFS(#REF!,#REF!,C12)</f>
        <v>#REF!</v>
      </c>
      <c r="AK12" s="11"/>
      <c r="AL12" s="11" t="e">
        <f t="shared" si="16"/>
        <v>#REF!</v>
      </c>
      <c r="AN12" s="11" t="e">
        <f t="shared" si="17"/>
        <v>#REF!</v>
      </c>
      <c r="AO12" s="11" t="e">
        <f t="shared" si="18"/>
        <v>#REF!</v>
      </c>
      <c r="AQ12" s="11" t="e">
        <f t="shared" si="19"/>
        <v>#REF!</v>
      </c>
      <c r="AS12" s="43" t="e">
        <f t="shared" si="20"/>
        <v>#REF!</v>
      </c>
      <c r="AT12" s="11" t="e">
        <f t="shared" si="21"/>
        <v>#REF!</v>
      </c>
      <c r="AV12" s="11" t="e">
        <f>'Share of £1bn'!$F$20*1000*$AO12/$AO$57</f>
        <v>#REF!</v>
      </c>
      <c r="AW12" s="11" t="e">
        <f>'Share of £1bn'!$F$27*1000*$AO12/$AO$57</f>
        <v>#REF!</v>
      </c>
      <c r="AX12" s="11" t="e">
        <f>'Share of £1bn'!$F$21*1000*$AO12/$AO$57</f>
        <v>#REF!</v>
      </c>
      <c r="AZ12" s="11" t="e">
        <f>'Share of £1bn'!$F$43*1000*AO12/$AO$57</f>
        <v>#REF!</v>
      </c>
      <c r="BA12" s="11" t="e">
        <f>'Share of £1bn'!$F$50*1000*$AO12/$AO$57</f>
        <v>#REF!</v>
      </c>
      <c r="BB12" s="11" t="e">
        <f>'Share of £1bn'!$F$44*1000*AO12/$AO$57</f>
        <v>#REF!</v>
      </c>
      <c r="BD12" s="11" t="e">
        <f>'Share of £1bn'!$F$67*1000*AO12/$AO$57</f>
        <v>#REF!</v>
      </c>
      <c r="BF12" s="11">
        <f>SUMIFS('20-11 M6 deficits'!$BO:$BO,'20-11 M6 deficits'!$C:$C,$C12)*1000</f>
        <v>0</v>
      </c>
      <c r="BH12" s="11" t="e">
        <f t="shared" si="22"/>
        <v>#REF!</v>
      </c>
      <c r="BI12" s="11" t="e">
        <f t="shared" si="23"/>
        <v>#REF!</v>
      </c>
      <c r="BJ12" s="11" t="e">
        <f t="shared" si="24"/>
        <v>#REF!</v>
      </c>
      <c r="BK12" s="11" t="e">
        <f t="shared" si="25"/>
        <v>#REF!</v>
      </c>
      <c r="BL12" s="11" t="e">
        <f t="shared" si="26"/>
        <v>#REF!</v>
      </c>
      <c r="BN12" s="11" t="e">
        <f t="shared" si="27"/>
        <v>#REF!</v>
      </c>
      <c r="BO12" s="11" t="e">
        <f t="shared" si="28"/>
        <v>#REF!</v>
      </c>
      <c r="BP12" s="11" t="e">
        <f t="shared" si="29"/>
        <v>#REF!</v>
      </c>
      <c r="BQ12" s="11" t="e">
        <f t="shared" si="30"/>
        <v>#REF!</v>
      </c>
      <c r="BR12" s="11" t="e">
        <f t="shared" si="31"/>
        <v>#REF!</v>
      </c>
      <c r="BT12" s="11" t="e">
        <f t="shared" si="32"/>
        <v>#REF!</v>
      </c>
      <c r="BU12" s="11" t="e">
        <f t="shared" si="33"/>
        <v>#REF!</v>
      </c>
      <c r="BV12" s="11" t="e">
        <f t="shared" si="34"/>
        <v>#REF!</v>
      </c>
      <c r="BW12" s="11" t="e">
        <f t="shared" si="35"/>
        <v>#REF!</v>
      </c>
      <c r="BX12" s="11" t="e">
        <f t="shared" si="36"/>
        <v>#REF!</v>
      </c>
      <c r="BZ12" s="11" t="e">
        <f t="shared" si="37"/>
        <v>#REF!</v>
      </c>
      <c r="CA12" s="11" t="e">
        <f t="shared" si="38"/>
        <v>#REF!</v>
      </c>
      <c r="CB12" s="11" t="e">
        <f t="shared" si="39"/>
        <v>#REF!</v>
      </c>
      <c r="CC12" s="11" t="e">
        <f t="shared" si="40"/>
        <v>#REF!</v>
      </c>
      <c r="CD12" s="11" t="e">
        <f t="shared" si="41"/>
        <v>#REF!</v>
      </c>
      <c r="CF12" s="11" t="e">
        <f t="shared" si="42"/>
        <v>#REF!</v>
      </c>
      <c r="CG12" s="11" t="e">
        <f t="shared" si="43"/>
        <v>#REF!</v>
      </c>
      <c r="CH12" s="11" t="e">
        <f t="shared" si="44"/>
        <v>#REF!</v>
      </c>
      <c r="CI12" s="11" t="e">
        <f t="shared" si="45"/>
        <v>#REF!</v>
      </c>
      <c r="CJ12" s="11" t="e">
        <f t="shared" si="46"/>
        <v>#REF!</v>
      </c>
      <c r="CM12" s="209">
        <f t="shared" si="47"/>
        <v>0</v>
      </c>
      <c r="CN12" s="209" t="e">
        <f t="shared" si="48"/>
        <v>#REF!</v>
      </c>
      <c r="CO12" s="209" t="e">
        <f t="shared" si="49"/>
        <v>#REF!</v>
      </c>
      <c r="CP12" s="209" t="e">
        <f t="shared" si="50"/>
        <v>#REF!</v>
      </c>
      <c r="CQ12" s="209" t="e">
        <f t="shared" si="51"/>
        <v>#REF!</v>
      </c>
    </row>
    <row r="13" spans="1:95" x14ac:dyDescent="0.25">
      <c r="A13" s="13" t="s">
        <v>34</v>
      </c>
      <c r="B13" s="14" t="s">
        <v>35</v>
      </c>
      <c r="C13" s="4" t="s">
        <v>38</v>
      </c>
      <c r="D13" s="4" t="s">
        <v>39</v>
      </c>
      <c r="E13" s="11">
        <f>SUMIFS('ICB Core Baseline 2024-25'!Q:Q,'ICB Core Baseline 2024-25'!C:C,C13)</f>
        <v>2279346.3873321107</v>
      </c>
      <c r="F13" s="43" t="e">
        <f>SUMIFS(#REF!,#REF!,C13)</f>
        <v>#REF!</v>
      </c>
      <c r="H13" s="43" t="e">
        <f>SUMIFS(#REF!,#REF!,C13)</f>
        <v>#REF!</v>
      </c>
      <c r="I13" s="43" t="e">
        <f t="shared" si="6"/>
        <v>#REF!</v>
      </c>
      <c r="J13" s="43" t="e">
        <f t="shared" si="7"/>
        <v>#REF!</v>
      </c>
      <c r="K13" s="11" t="e">
        <f t="shared" si="0"/>
        <v>#REF!</v>
      </c>
      <c r="L13" s="11" t="e">
        <f t="shared" si="1"/>
        <v>#REF!</v>
      </c>
      <c r="M13" s="43" t="e">
        <f>SUMIFS(#REF!,#REF!,C13)</f>
        <v>#REF!</v>
      </c>
      <c r="N13" s="11" t="e">
        <f t="shared" si="2"/>
        <v>#REF!</v>
      </c>
      <c r="O13" s="43" t="e">
        <f t="shared" si="8"/>
        <v>#REF!</v>
      </c>
      <c r="P13" s="11" t="e">
        <f t="shared" si="3"/>
        <v>#REF!</v>
      </c>
      <c r="Q13" s="11" t="e">
        <f t="shared" si="9"/>
        <v>#REF!</v>
      </c>
      <c r="R13" s="11" t="e">
        <f t="shared" si="4"/>
        <v>#REF!</v>
      </c>
      <c r="S13" s="11" t="e">
        <f>(SUMIFS(#REF!,#REF!,C13)/SUMIFS(#REF!,#REF!,C13))*1000</f>
        <v>#REF!</v>
      </c>
      <c r="T13" s="11" t="e">
        <f t="shared" si="10"/>
        <v>#REF!</v>
      </c>
      <c r="U13" s="11"/>
      <c r="V13" s="11" t="e">
        <f t="shared" si="11"/>
        <v>#REF!</v>
      </c>
      <c r="W13" s="11" t="e">
        <f t="shared" si="12"/>
        <v>#REF!</v>
      </c>
      <c r="X13" s="43" t="e">
        <f t="shared" si="13"/>
        <v>#REF!</v>
      </c>
      <c r="Y13" s="43" t="e">
        <f ca="1">OFFSET(#REF!,MATCH(C13,#REF!,0)+1,0)</f>
        <v>#REF!</v>
      </c>
      <c r="Z13" s="43" t="e">
        <f t="shared" ca="1" si="14"/>
        <v>#REF!</v>
      </c>
      <c r="AA13" s="43" t="e">
        <f t="shared" si="5"/>
        <v>#REF!</v>
      </c>
      <c r="AB13" s="11" t="e">
        <f>SUMIFS(#REF!,#REF!,C13)/(1+1.8%)*(1+1.8%+2.3%)</f>
        <v>#REF!</v>
      </c>
      <c r="AC13" s="11" t="e">
        <f t="shared" si="15"/>
        <v>#REF!</v>
      </c>
      <c r="AD13" s="64"/>
      <c r="AE13" s="11" t="e">
        <f>(SUMIFS(#REF!,#REF!,C13)/(1+1.8%))*(1+1.8%+2.3%)</f>
        <v>#REF!</v>
      </c>
      <c r="AF13" s="11" t="e">
        <f>-SUMIFS(#REF!,#REF!,C13)/1000</f>
        <v>#REF!</v>
      </c>
      <c r="AG13" s="11" t="e">
        <f>SUMIFS(#REF!,#REF!,C13)</f>
        <v>#REF!</v>
      </c>
      <c r="AH13" s="11" t="e">
        <f>SUMIFS(#REF!,#REF!,C13)</f>
        <v>#REF!</v>
      </c>
      <c r="AI13" s="11" t="e">
        <f>SUMIFS(#REF!,#REF!,C13)</f>
        <v>#REF!</v>
      </c>
      <c r="AJ13" s="11" t="e">
        <f>SUMIFS(#REF!,#REF!,C13)</f>
        <v>#REF!</v>
      </c>
      <c r="AK13" s="11"/>
      <c r="AL13" s="11" t="e">
        <f t="shared" si="16"/>
        <v>#REF!</v>
      </c>
      <c r="AN13" s="11" t="e">
        <f t="shared" si="17"/>
        <v>#REF!</v>
      </c>
      <c r="AO13" s="11" t="e">
        <f t="shared" si="18"/>
        <v>#REF!</v>
      </c>
      <c r="AQ13" s="11" t="e">
        <f t="shared" si="19"/>
        <v>#REF!</v>
      </c>
      <c r="AS13" s="43" t="e">
        <f t="shared" si="20"/>
        <v>#REF!</v>
      </c>
      <c r="AT13" s="11" t="e">
        <f t="shared" si="21"/>
        <v>#REF!</v>
      </c>
      <c r="AV13" s="11" t="e">
        <f>'Share of £1bn'!$F$20*1000*$AO13/$AO$57</f>
        <v>#REF!</v>
      </c>
      <c r="AW13" s="11" t="e">
        <f>'Share of £1bn'!$F$27*1000*$AO13/$AO$57</f>
        <v>#REF!</v>
      </c>
      <c r="AX13" s="11" t="e">
        <f>'Share of £1bn'!$F$21*1000*$AO13/$AO$57</f>
        <v>#REF!</v>
      </c>
      <c r="AZ13" s="11" t="e">
        <f>'Share of £1bn'!$F$43*1000*AO13/$AO$57</f>
        <v>#REF!</v>
      </c>
      <c r="BA13" s="11" t="e">
        <f>'Share of £1bn'!$F$50*1000*$AO13/$AO$57</f>
        <v>#REF!</v>
      </c>
      <c r="BB13" s="11" t="e">
        <f>'Share of £1bn'!$F$44*1000*AO13/$AO$57</f>
        <v>#REF!</v>
      </c>
      <c r="BD13" s="11" t="e">
        <f>'Share of £1bn'!$F$67*1000*AO13/$AO$57</f>
        <v>#REF!</v>
      </c>
      <c r="BF13" s="11">
        <f>SUMIFS('20-11 M6 deficits'!$BO:$BO,'20-11 M6 deficits'!$C:$C,$C13)*1000</f>
        <v>-65000</v>
      </c>
      <c r="BH13" s="11" t="e">
        <f t="shared" si="22"/>
        <v>#REF!</v>
      </c>
      <c r="BI13" s="11" t="e">
        <f t="shared" si="23"/>
        <v>#REF!</v>
      </c>
      <c r="BJ13" s="11" t="e">
        <f t="shared" si="24"/>
        <v>#REF!</v>
      </c>
      <c r="BK13" s="11" t="e">
        <f t="shared" si="25"/>
        <v>#REF!</v>
      </c>
      <c r="BL13" s="11" t="e">
        <f t="shared" si="26"/>
        <v>#REF!</v>
      </c>
      <c r="BN13" s="11" t="e">
        <f t="shared" si="27"/>
        <v>#REF!</v>
      </c>
      <c r="BO13" s="11" t="e">
        <f t="shared" si="28"/>
        <v>#REF!</v>
      </c>
      <c r="BP13" s="11" t="e">
        <f t="shared" si="29"/>
        <v>#REF!</v>
      </c>
      <c r="BQ13" s="11" t="e">
        <f t="shared" si="30"/>
        <v>#REF!</v>
      </c>
      <c r="BR13" s="11" t="e">
        <f t="shared" si="31"/>
        <v>#REF!</v>
      </c>
      <c r="BT13" s="11" t="e">
        <f t="shared" si="32"/>
        <v>#REF!</v>
      </c>
      <c r="BU13" s="11" t="e">
        <f t="shared" si="33"/>
        <v>#REF!</v>
      </c>
      <c r="BV13" s="11" t="e">
        <f t="shared" si="34"/>
        <v>#REF!</v>
      </c>
      <c r="BW13" s="11" t="e">
        <f t="shared" si="35"/>
        <v>#REF!</v>
      </c>
      <c r="BX13" s="11" t="e">
        <f t="shared" si="36"/>
        <v>#REF!</v>
      </c>
      <c r="BZ13" s="11" t="e">
        <f t="shared" si="37"/>
        <v>#REF!</v>
      </c>
      <c r="CA13" s="11" t="e">
        <f t="shared" si="38"/>
        <v>#REF!</v>
      </c>
      <c r="CB13" s="11" t="e">
        <f t="shared" si="39"/>
        <v>#REF!</v>
      </c>
      <c r="CC13" s="11" t="e">
        <f t="shared" si="40"/>
        <v>#REF!</v>
      </c>
      <c r="CD13" s="11" t="e">
        <f t="shared" si="41"/>
        <v>#REF!</v>
      </c>
      <c r="CF13" s="11" t="e">
        <f t="shared" si="42"/>
        <v>#REF!</v>
      </c>
      <c r="CG13" s="11" t="e">
        <f t="shared" si="43"/>
        <v>#REF!</v>
      </c>
      <c r="CH13" s="11" t="e">
        <f t="shared" si="44"/>
        <v>#REF!</v>
      </c>
      <c r="CI13" s="11" t="e">
        <f t="shared" si="45"/>
        <v>#REF!</v>
      </c>
      <c r="CJ13" s="11" t="e">
        <f t="shared" si="46"/>
        <v>#REF!</v>
      </c>
      <c r="CM13" s="209">
        <f t="shared" si="47"/>
        <v>4.1117194938703486E-2</v>
      </c>
      <c r="CN13" s="209" t="e">
        <f t="shared" si="48"/>
        <v>#REF!</v>
      </c>
      <c r="CO13" s="209" t="e">
        <f t="shared" si="49"/>
        <v>#REF!</v>
      </c>
      <c r="CP13" s="209" t="e">
        <f t="shared" si="50"/>
        <v>#REF!</v>
      </c>
      <c r="CQ13" s="209" t="e">
        <f t="shared" si="51"/>
        <v>#REF!</v>
      </c>
    </row>
    <row r="14" spans="1:95" x14ac:dyDescent="0.25">
      <c r="A14" s="13" t="s">
        <v>34</v>
      </c>
      <c r="B14" s="14" t="s">
        <v>35</v>
      </c>
      <c r="C14" s="4" t="s">
        <v>40</v>
      </c>
      <c r="D14" s="4" t="s">
        <v>41</v>
      </c>
      <c r="E14" s="11">
        <f>SUMIFS('ICB Core Baseline 2024-25'!Q:Q,'ICB Core Baseline 2024-25'!C:C,C14)</f>
        <v>1685859.4368248242</v>
      </c>
      <c r="F14" s="43" t="e">
        <f>SUMIFS(#REF!,#REF!,C14)</f>
        <v>#REF!</v>
      </c>
      <c r="H14" s="43" t="e">
        <f>SUMIFS(#REF!,#REF!,C14)</f>
        <v>#REF!</v>
      </c>
      <c r="I14" s="43" t="e">
        <f t="shared" si="6"/>
        <v>#REF!</v>
      </c>
      <c r="J14" s="43" t="e">
        <f t="shared" si="7"/>
        <v>#REF!</v>
      </c>
      <c r="K14" s="11" t="e">
        <f t="shared" si="0"/>
        <v>#REF!</v>
      </c>
      <c r="L14" s="11" t="e">
        <f t="shared" si="1"/>
        <v>#REF!</v>
      </c>
      <c r="M14" s="43" t="e">
        <f>SUMIFS(#REF!,#REF!,C14)</f>
        <v>#REF!</v>
      </c>
      <c r="N14" s="11" t="e">
        <f t="shared" si="2"/>
        <v>#REF!</v>
      </c>
      <c r="O14" s="43" t="e">
        <f t="shared" si="8"/>
        <v>#REF!</v>
      </c>
      <c r="P14" s="11" t="e">
        <f t="shared" si="3"/>
        <v>#REF!</v>
      </c>
      <c r="Q14" s="11" t="e">
        <f t="shared" si="9"/>
        <v>#REF!</v>
      </c>
      <c r="R14" s="11" t="e">
        <f t="shared" si="4"/>
        <v>#REF!</v>
      </c>
      <c r="S14" s="11" t="e">
        <f>(SUMIFS(#REF!,#REF!,C14)/SUMIFS(#REF!,#REF!,C14))*1000</f>
        <v>#REF!</v>
      </c>
      <c r="T14" s="11" t="e">
        <f t="shared" si="10"/>
        <v>#REF!</v>
      </c>
      <c r="U14" s="11"/>
      <c r="V14" s="11" t="e">
        <f t="shared" si="11"/>
        <v>#REF!</v>
      </c>
      <c r="W14" s="11" t="e">
        <f t="shared" si="12"/>
        <v>#REF!</v>
      </c>
      <c r="X14" s="43" t="e">
        <f t="shared" si="13"/>
        <v>#REF!</v>
      </c>
      <c r="Y14" s="43" t="e">
        <f ca="1">OFFSET(#REF!,MATCH(C14,#REF!,0)+1,0)</f>
        <v>#REF!</v>
      </c>
      <c r="Z14" s="43" t="e">
        <f t="shared" ca="1" si="14"/>
        <v>#REF!</v>
      </c>
      <c r="AA14" s="43" t="e">
        <f t="shared" si="5"/>
        <v>#REF!</v>
      </c>
      <c r="AB14" s="11" t="e">
        <f>SUMIFS(#REF!,#REF!,C14)/(1+1.8%)*(1+1.8%+2.3%)</f>
        <v>#REF!</v>
      </c>
      <c r="AC14" s="11" t="e">
        <f t="shared" si="15"/>
        <v>#REF!</v>
      </c>
      <c r="AD14" s="64"/>
      <c r="AE14" s="11" t="e">
        <f>(SUMIFS(#REF!,#REF!,C14)/(1+1.8%))*(1+1.8%+2.3%)</f>
        <v>#REF!</v>
      </c>
      <c r="AF14" s="11" t="e">
        <f>-SUMIFS(#REF!,#REF!,C14)/1000</f>
        <v>#REF!</v>
      </c>
      <c r="AG14" s="11" t="e">
        <f>SUMIFS(#REF!,#REF!,C14)</f>
        <v>#REF!</v>
      </c>
      <c r="AH14" s="11" t="e">
        <f>SUMIFS(#REF!,#REF!,C14)</f>
        <v>#REF!</v>
      </c>
      <c r="AI14" s="11" t="e">
        <f>SUMIFS(#REF!,#REF!,C14)</f>
        <v>#REF!</v>
      </c>
      <c r="AJ14" s="11" t="e">
        <f>SUMIFS(#REF!,#REF!,C14)</f>
        <v>#REF!</v>
      </c>
      <c r="AK14" s="11"/>
      <c r="AL14" s="11" t="e">
        <f t="shared" si="16"/>
        <v>#REF!</v>
      </c>
      <c r="AN14" s="11" t="e">
        <f t="shared" si="17"/>
        <v>#REF!</v>
      </c>
      <c r="AO14" s="11" t="e">
        <f t="shared" si="18"/>
        <v>#REF!</v>
      </c>
      <c r="AQ14" s="11" t="e">
        <f t="shared" si="19"/>
        <v>#REF!</v>
      </c>
      <c r="AS14" s="43" t="e">
        <f t="shared" si="20"/>
        <v>#REF!</v>
      </c>
      <c r="AT14" s="11" t="e">
        <f t="shared" si="21"/>
        <v>#REF!</v>
      </c>
      <c r="AV14" s="11" t="e">
        <f>'Share of £1bn'!$F$20*1000*$AO14/$AO$57</f>
        <v>#REF!</v>
      </c>
      <c r="AW14" s="11" t="e">
        <f>'Share of £1bn'!$F$27*1000*$AO14/$AO$57</f>
        <v>#REF!</v>
      </c>
      <c r="AX14" s="11" t="e">
        <f>'Share of £1bn'!$F$21*1000*$AO14/$AO$57</f>
        <v>#REF!</v>
      </c>
      <c r="AZ14" s="11" t="e">
        <f>'Share of £1bn'!$F$43*1000*AO14/$AO$57</f>
        <v>#REF!</v>
      </c>
      <c r="BA14" s="11" t="e">
        <f>'Share of £1bn'!$F$50*1000*$AO14/$AO$57</f>
        <v>#REF!</v>
      </c>
      <c r="BB14" s="11" t="e">
        <f>'Share of £1bn'!$F$44*1000*AO14/$AO$57</f>
        <v>#REF!</v>
      </c>
      <c r="BD14" s="11" t="e">
        <f>'Share of £1bn'!$F$67*1000*AO14/$AO$57</f>
        <v>#REF!</v>
      </c>
      <c r="BF14" s="11">
        <f>SUMIFS('20-11 M6 deficits'!$BO:$BO,'20-11 M6 deficits'!$C:$C,$C14)*1000</f>
        <v>0</v>
      </c>
      <c r="BH14" s="11" t="e">
        <f t="shared" si="22"/>
        <v>#REF!</v>
      </c>
      <c r="BI14" s="11" t="e">
        <f t="shared" si="23"/>
        <v>#REF!</v>
      </c>
      <c r="BJ14" s="11" t="e">
        <f t="shared" si="24"/>
        <v>#REF!</v>
      </c>
      <c r="BK14" s="11" t="e">
        <f t="shared" si="25"/>
        <v>#REF!</v>
      </c>
      <c r="BL14" s="11" t="e">
        <f t="shared" si="26"/>
        <v>#REF!</v>
      </c>
      <c r="BN14" s="11" t="e">
        <f t="shared" si="27"/>
        <v>#REF!</v>
      </c>
      <c r="BO14" s="11" t="e">
        <f t="shared" si="28"/>
        <v>#REF!</v>
      </c>
      <c r="BP14" s="11" t="e">
        <f t="shared" si="29"/>
        <v>#REF!</v>
      </c>
      <c r="BQ14" s="11" t="e">
        <f t="shared" si="30"/>
        <v>#REF!</v>
      </c>
      <c r="BR14" s="11" t="e">
        <f t="shared" si="31"/>
        <v>#REF!</v>
      </c>
      <c r="BT14" s="11" t="e">
        <f t="shared" si="32"/>
        <v>#REF!</v>
      </c>
      <c r="BU14" s="11" t="e">
        <f t="shared" si="33"/>
        <v>#REF!</v>
      </c>
      <c r="BV14" s="11" t="e">
        <f t="shared" si="34"/>
        <v>#REF!</v>
      </c>
      <c r="BW14" s="11" t="e">
        <f t="shared" si="35"/>
        <v>#REF!</v>
      </c>
      <c r="BX14" s="11" t="e">
        <f t="shared" si="36"/>
        <v>#REF!</v>
      </c>
      <c r="BZ14" s="11" t="e">
        <f t="shared" si="37"/>
        <v>#REF!</v>
      </c>
      <c r="CA14" s="11" t="e">
        <f t="shared" si="38"/>
        <v>#REF!</v>
      </c>
      <c r="CB14" s="11" t="e">
        <f t="shared" si="39"/>
        <v>#REF!</v>
      </c>
      <c r="CC14" s="11" t="e">
        <f t="shared" si="40"/>
        <v>#REF!</v>
      </c>
      <c r="CD14" s="11" t="e">
        <f t="shared" si="41"/>
        <v>#REF!</v>
      </c>
      <c r="CF14" s="11" t="e">
        <f t="shared" si="42"/>
        <v>#REF!</v>
      </c>
      <c r="CG14" s="11" t="e">
        <f t="shared" si="43"/>
        <v>#REF!</v>
      </c>
      <c r="CH14" s="11" t="e">
        <f t="shared" si="44"/>
        <v>#REF!</v>
      </c>
      <c r="CI14" s="11" t="e">
        <f t="shared" si="45"/>
        <v>#REF!</v>
      </c>
      <c r="CJ14" s="11" t="e">
        <f t="shared" si="46"/>
        <v>#REF!</v>
      </c>
      <c r="CM14" s="209">
        <f t="shared" si="47"/>
        <v>0</v>
      </c>
      <c r="CN14" s="209" t="e">
        <f t="shared" si="48"/>
        <v>#REF!</v>
      </c>
      <c r="CO14" s="209" t="e">
        <f t="shared" si="49"/>
        <v>#REF!</v>
      </c>
      <c r="CP14" s="209" t="e">
        <f t="shared" si="50"/>
        <v>#REF!</v>
      </c>
      <c r="CQ14" s="209" t="e">
        <f t="shared" si="51"/>
        <v>#REF!</v>
      </c>
    </row>
    <row r="15" spans="1:95" x14ac:dyDescent="0.25">
      <c r="A15" s="13" t="s">
        <v>34</v>
      </c>
      <c r="B15" s="14" t="s">
        <v>35</v>
      </c>
      <c r="C15" s="4" t="s">
        <v>42</v>
      </c>
      <c r="D15" s="4" t="s">
        <v>43</v>
      </c>
      <c r="E15" s="11">
        <f>SUMIFS('ICB Core Baseline 2024-25'!Q:Q,'ICB Core Baseline 2024-25'!C:C,C15)</f>
        <v>1963325.072147588</v>
      </c>
      <c r="F15" s="43" t="e">
        <f>SUMIFS(#REF!,#REF!,C15)</f>
        <v>#REF!</v>
      </c>
      <c r="H15" s="43" t="e">
        <f>SUMIFS(#REF!,#REF!,C15)</f>
        <v>#REF!</v>
      </c>
      <c r="I15" s="43" t="e">
        <f t="shared" si="6"/>
        <v>#REF!</v>
      </c>
      <c r="J15" s="43" t="e">
        <f t="shared" si="7"/>
        <v>#REF!</v>
      </c>
      <c r="K15" s="11" t="e">
        <f t="shared" si="0"/>
        <v>#REF!</v>
      </c>
      <c r="L15" s="11" t="e">
        <f t="shared" si="1"/>
        <v>#REF!</v>
      </c>
      <c r="M15" s="43" t="e">
        <f>SUMIFS(#REF!,#REF!,C15)</f>
        <v>#REF!</v>
      </c>
      <c r="N15" s="11" t="e">
        <f t="shared" si="2"/>
        <v>#REF!</v>
      </c>
      <c r="O15" s="43" t="e">
        <f t="shared" si="8"/>
        <v>#REF!</v>
      </c>
      <c r="P15" s="11" t="e">
        <f t="shared" si="3"/>
        <v>#REF!</v>
      </c>
      <c r="Q15" s="11" t="e">
        <f t="shared" si="9"/>
        <v>#REF!</v>
      </c>
      <c r="R15" s="11" t="e">
        <f t="shared" si="4"/>
        <v>#REF!</v>
      </c>
      <c r="S15" s="11" t="e">
        <f>(SUMIFS(#REF!,#REF!,C15)/SUMIFS(#REF!,#REF!,C15))*1000</f>
        <v>#REF!</v>
      </c>
      <c r="T15" s="11" t="e">
        <f t="shared" si="10"/>
        <v>#REF!</v>
      </c>
      <c r="U15" s="11"/>
      <c r="V15" s="11" t="e">
        <f t="shared" si="11"/>
        <v>#REF!</v>
      </c>
      <c r="W15" s="11" t="e">
        <f t="shared" si="12"/>
        <v>#REF!</v>
      </c>
      <c r="X15" s="43" t="e">
        <f t="shared" si="13"/>
        <v>#REF!</v>
      </c>
      <c r="Y15" s="43" t="e">
        <f ca="1">OFFSET(#REF!,MATCH(C15,#REF!,0)+1,0)</f>
        <v>#REF!</v>
      </c>
      <c r="Z15" s="43" t="e">
        <f t="shared" ca="1" si="14"/>
        <v>#REF!</v>
      </c>
      <c r="AA15" s="43" t="e">
        <f t="shared" si="5"/>
        <v>#REF!</v>
      </c>
      <c r="AB15" s="11" t="e">
        <f>SUMIFS(#REF!,#REF!,C15)/(1+1.8%)*(1+1.8%+2.3%)</f>
        <v>#REF!</v>
      </c>
      <c r="AC15" s="11" t="e">
        <f t="shared" si="15"/>
        <v>#REF!</v>
      </c>
      <c r="AD15" s="64"/>
      <c r="AE15" s="11" t="e">
        <f>(SUMIFS(#REF!,#REF!,C15)/(1+1.8%))*(1+1.8%+2.3%)</f>
        <v>#REF!</v>
      </c>
      <c r="AF15" s="11" t="e">
        <f>-SUMIFS(#REF!,#REF!,C15)/1000</f>
        <v>#REF!</v>
      </c>
      <c r="AG15" s="11" t="e">
        <f>SUMIFS(#REF!,#REF!,C15)</f>
        <v>#REF!</v>
      </c>
      <c r="AH15" s="11" t="e">
        <f>SUMIFS(#REF!,#REF!,C15)</f>
        <v>#REF!</v>
      </c>
      <c r="AI15" s="11" t="e">
        <f>SUMIFS(#REF!,#REF!,C15)</f>
        <v>#REF!</v>
      </c>
      <c r="AJ15" s="11" t="e">
        <f>SUMIFS(#REF!,#REF!,C15)</f>
        <v>#REF!</v>
      </c>
      <c r="AK15" s="11"/>
      <c r="AL15" s="11" t="e">
        <f t="shared" si="16"/>
        <v>#REF!</v>
      </c>
      <c r="AN15" s="11" t="e">
        <f t="shared" si="17"/>
        <v>#REF!</v>
      </c>
      <c r="AO15" s="11" t="e">
        <f t="shared" si="18"/>
        <v>#REF!</v>
      </c>
      <c r="AQ15" s="11" t="e">
        <f t="shared" si="19"/>
        <v>#REF!</v>
      </c>
      <c r="AS15" s="43" t="e">
        <f t="shared" si="20"/>
        <v>#REF!</v>
      </c>
      <c r="AT15" s="11" t="e">
        <f t="shared" si="21"/>
        <v>#REF!</v>
      </c>
      <c r="AV15" s="11" t="e">
        <f>'Share of £1bn'!$F$20*1000*$AO15/$AO$57</f>
        <v>#REF!</v>
      </c>
      <c r="AW15" s="11" t="e">
        <f>'Share of £1bn'!$F$27*1000*$AO15/$AO$57</f>
        <v>#REF!</v>
      </c>
      <c r="AX15" s="11" t="e">
        <f>'Share of £1bn'!$F$21*1000*$AO15/$AO$57</f>
        <v>#REF!</v>
      </c>
      <c r="AZ15" s="11" t="e">
        <f>'Share of £1bn'!$F$43*1000*AO15/$AO$57</f>
        <v>#REF!</v>
      </c>
      <c r="BA15" s="11" t="e">
        <f>'Share of £1bn'!$F$50*1000*$AO15/$AO$57</f>
        <v>#REF!</v>
      </c>
      <c r="BB15" s="11" t="e">
        <f>'Share of £1bn'!$F$44*1000*AO15/$AO$57</f>
        <v>#REF!</v>
      </c>
      <c r="BD15" s="11" t="e">
        <f>'Share of £1bn'!$F$67*1000*AO15/$AO$57</f>
        <v>#REF!</v>
      </c>
      <c r="BF15" s="11">
        <f>SUMIFS('20-11 M6 deficits'!$BO:$BO,'20-11 M6 deficits'!$C:$C,$C15)*1000</f>
        <v>-27991.698574590439</v>
      </c>
      <c r="BH15" s="11" t="e">
        <f t="shared" si="22"/>
        <v>#REF!</v>
      </c>
      <c r="BI15" s="11" t="e">
        <f t="shared" si="23"/>
        <v>#REF!</v>
      </c>
      <c r="BJ15" s="11" t="e">
        <f t="shared" si="24"/>
        <v>#REF!</v>
      </c>
      <c r="BK15" s="11" t="e">
        <f t="shared" si="25"/>
        <v>#REF!</v>
      </c>
      <c r="BL15" s="11" t="e">
        <f t="shared" si="26"/>
        <v>#REF!</v>
      </c>
      <c r="BN15" s="11" t="e">
        <f t="shared" si="27"/>
        <v>#REF!</v>
      </c>
      <c r="BO15" s="11" t="e">
        <f t="shared" si="28"/>
        <v>#REF!</v>
      </c>
      <c r="BP15" s="11" t="e">
        <f t="shared" si="29"/>
        <v>#REF!</v>
      </c>
      <c r="BQ15" s="11" t="e">
        <f t="shared" si="30"/>
        <v>#REF!</v>
      </c>
      <c r="BR15" s="11" t="e">
        <f t="shared" si="31"/>
        <v>#REF!</v>
      </c>
      <c r="BT15" s="11" t="e">
        <f t="shared" si="32"/>
        <v>#REF!</v>
      </c>
      <c r="BU15" s="11" t="e">
        <f t="shared" si="33"/>
        <v>#REF!</v>
      </c>
      <c r="BV15" s="11" t="e">
        <f t="shared" si="34"/>
        <v>#REF!</v>
      </c>
      <c r="BW15" s="11" t="e">
        <f t="shared" si="35"/>
        <v>#REF!</v>
      </c>
      <c r="BX15" s="11" t="e">
        <f t="shared" si="36"/>
        <v>#REF!</v>
      </c>
      <c r="BZ15" s="11" t="e">
        <f t="shared" si="37"/>
        <v>#REF!</v>
      </c>
      <c r="CA15" s="11" t="e">
        <f t="shared" si="38"/>
        <v>#REF!</v>
      </c>
      <c r="CB15" s="11" t="e">
        <f t="shared" si="39"/>
        <v>#REF!</v>
      </c>
      <c r="CC15" s="11" t="e">
        <f t="shared" si="40"/>
        <v>#REF!</v>
      </c>
      <c r="CD15" s="11" t="e">
        <f t="shared" si="41"/>
        <v>#REF!</v>
      </c>
      <c r="CF15" s="11" t="e">
        <f t="shared" si="42"/>
        <v>#REF!</v>
      </c>
      <c r="CG15" s="11" t="e">
        <f t="shared" si="43"/>
        <v>#REF!</v>
      </c>
      <c r="CH15" s="11" t="e">
        <f t="shared" si="44"/>
        <v>#REF!</v>
      </c>
      <c r="CI15" s="11" t="e">
        <f t="shared" si="45"/>
        <v>#REF!</v>
      </c>
      <c r="CJ15" s="11" t="e">
        <f t="shared" si="46"/>
        <v>#REF!</v>
      </c>
      <c r="CM15" s="209">
        <f t="shared" si="47"/>
        <v>1.7706771183951749E-2</v>
      </c>
      <c r="CN15" s="209" t="e">
        <f t="shared" si="48"/>
        <v>#REF!</v>
      </c>
      <c r="CO15" s="209" t="e">
        <f t="shared" si="49"/>
        <v>#REF!</v>
      </c>
      <c r="CP15" s="209" t="e">
        <f t="shared" si="50"/>
        <v>#REF!</v>
      </c>
      <c r="CQ15" s="209" t="e">
        <f t="shared" si="51"/>
        <v>#REF!</v>
      </c>
    </row>
    <row r="16" spans="1:95" x14ac:dyDescent="0.25">
      <c r="A16" s="13" t="s">
        <v>34</v>
      </c>
      <c r="B16" s="14" t="s">
        <v>35</v>
      </c>
      <c r="C16" s="4" t="s">
        <v>44</v>
      </c>
      <c r="D16" s="4" t="s">
        <v>45</v>
      </c>
      <c r="E16" s="11">
        <f>SUMIFS('ICB Core Baseline 2024-25'!Q:Q,'ICB Core Baseline 2024-25'!C:C,C16)</f>
        <v>1399084.5320666675</v>
      </c>
      <c r="F16" s="43" t="e">
        <f>SUMIFS(#REF!,#REF!,C16)</f>
        <v>#REF!</v>
      </c>
      <c r="H16" s="43" t="e">
        <f>SUMIFS(#REF!,#REF!,C16)</f>
        <v>#REF!</v>
      </c>
      <c r="I16" s="43" t="e">
        <f t="shared" si="6"/>
        <v>#REF!</v>
      </c>
      <c r="J16" s="43" t="e">
        <f t="shared" si="7"/>
        <v>#REF!</v>
      </c>
      <c r="K16" s="11" t="e">
        <f t="shared" si="0"/>
        <v>#REF!</v>
      </c>
      <c r="L16" s="11" t="e">
        <f t="shared" si="1"/>
        <v>#REF!</v>
      </c>
      <c r="M16" s="43" t="e">
        <f>SUMIFS(#REF!,#REF!,C16)</f>
        <v>#REF!</v>
      </c>
      <c r="N16" s="11" t="e">
        <f t="shared" si="2"/>
        <v>#REF!</v>
      </c>
      <c r="O16" s="43" t="e">
        <f t="shared" si="8"/>
        <v>#REF!</v>
      </c>
      <c r="P16" s="11" t="e">
        <f t="shared" si="3"/>
        <v>#REF!</v>
      </c>
      <c r="Q16" s="11" t="e">
        <f t="shared" si="9"/>
        <v>#REF!</v>
      </c>
      <c r="R16" s="11" t="e">
        <f t="shared" si="4"/>
        <v>#REF!</v>
      </c>
      <c r="S16" s="11" t="e">
        <f>(SUMIFS(#REF!,#REF!,C16)/SUMIFS(#REF!,#REF!,C16))*1000</f>
        <v>#REF!</v>
      </c>
      <c r="T16" s="11" t="e">
        <f t="shared" si="10"/>
        <v>#REF!</v>
      </c>
      <c r="U16" s="11"/>
      <c r="V16" s="11" t="e">
        <f t="shared" si="11"/>
        <v>#REF!</v>
      </c>
      <c r="W16" s="11" t="e">
        <f t="shared" si="12"/>
        <v>#REF!</v>
      </c>
      <c r="X16" s="43" t="e">
        <f t="shared" si="13"/>
        <v>#REF!</v>
      </c>
      <c r="Y16" s="43" t="e">
        <f ca="1">OFFSET(#REF!,MATCH(C16,#REF!,0)+1,0)</f>
        <v>#REF!</v>
      </c>
      <c r="Z16" s="43" t="e">
        <f t="shared" ca="1" si="14"/>
        <v>#REF!</v>
      </c>
      <c r="AA16" s="43" t="e">
        <f t="shared" si="5"/>
        <v>#REF!</v>
      </c>
      <c r="AB16" s="11" t="e">
        <f>SUMIFS(#REF!,#REF!,C16)/(1+1.8%)*(1+1.8%+2.3%)</f>
        <v>#REF!</v>
      </c>
      <c r="AC16" s="11" t="e">
        <f t="shared" si="15"/>
        <v>#REF!</v>
      </c>
      <c r="AD16" s="64"/>
      <c r="AE16" s="11" t="e">
        <f>(SUMIFS(#REF!,#REF!,C16)/(1+1.8%))*(1+1.8%+2.3%)</f>
        <v>#REF!</v>
      </c>
      <c r="AF16" s="11" t="e">
        <f>-SUMIFS(#REF!,#REF!,C16)/1000</f>
        <v>#REF!</v>
      </c>
      <c r="AG16" s="11" t="e">
        <f>SUMIFS(#REF!,#REF!,C16)</f>
        <v>#REF!</v>
      </c>
      <c r="AH16" s="11" t="e">
        <f>SUMIFS(#REF!,#REF!,C16)</f>
        <v>#REF!</v>
      </c>
      <c r="AI16" s="11" t="e">
        <f>SUMIFS(#REF!,#REF!,C16)</f>
        <v>#REF!</v>
      </c>
      <c r="AJ16" s="11" t="e">
        <f>SUMIFS(#REF!,#REF!,C16)</f>
        <v>#REF!</v>
      </c>
      <c r="AK16" s="11"/>
      <c r="AL16" s="11" t="e">
        <f t="shared" si="16"/>
        <v>#REF!</v>
      </c>
      <c r="AN16" s="11" t="e">
        <f t="shared" si="17"/>
        <v>#REF!</v>
      </c>
      <c r="AO16" s="11" t="e">
        <f t="shared" si="18"/>
        <v>#REF!</v>
      </c>
      <c r="AQ16" s="11" t="e">
        <f t="shared" si="19"/>
        <v>#REF!</v>
      </c>
      <c r="AS16" s="43" t="e">
        <f t="shared" si="20"/>
        <v>#REF!</v>
      </c>
      <c r="AT16" s="11" t="e">
        <f t="shared" si="21"/>
        <v>#REF!</v>
      </c>
      <c r="AV16" s="11" t="e">
        <f>'Share of £1bn'!$F$20*1000*$AO16/$AO$57</f>
        <v>#REF!</v>
      </c>
      <c r="AW16" s="11" t="e">
        <f>'Share of £1bn'!$F$27*1000*$AO16/$AO$57</f>
        <v>#REF!</v>
      </c>
      <c r="AX16" s="11" t="e">
        <f>'Share of £1bn'!$F$21*1000*$AO16/$AO$57</f>
        <v>#REF!</v>
      </c>
      <c r="AZ16" s="11" t="e">
        <f>'Share of £1bn'!$F$43*1000*AO16/$AO$57</f>
        <v>#REF!</v>
      </c>
      <c r="BA16" s="11" t="e">
        <f>'Share of £1bn'!$F$50*1000*$AO16/$AO$57</f>
        <v>#REF!</v>
      </c>
      <c r="BB16" s="11" t="e">
        <f>'Share of £1bn'!$F$44*1000*AO16/$AO$57</f>
        <v>#REF!</v>
      </c>
      <c r="BD16" s="11" t="e">
        <f>'Share of £1bn'!$F$67*1000*AO16/$AO$57</f>
        <v>#REF!</v>
      </c>
      <c r="BF16" s="11">
        <f>SUMIFS('20-11 M6 deficits'!$BO:$BO,'20-11 M6 deficits'!$C:$C,$C16)*1000</f>
        <v>-19000</v>
      </c>
      <c r="BH16" s="11" t="e">
        <f t="shared" si="22"/>
        <v>#REF!</v>
      </c>
      <c r="BI16" s="11" t="e">
        <f t="shared" si="23"/>
        <v>#REF!</v>
      </c>
      <c r="BJ16" s="11" t="e">
        <f t="shared" si="24"/>
        <v>#REF!</v>
      </c>
      <c r="BK16" s="11" t="e">
        <f t="shared" si="25"/>
        <v>#REF!</v>
      </c>
      <c r="BL16" s="11" t="e">
        <f t="shared" si="26"/>
        <v>#REF!</v>
      </c>
      <c r="BN16" s="11" t="e">
        <f t="shared" si="27"/>
        <v>#REF!</v>
      </c>
      <c r="BO16" s="11" t="e">
        <f t="shared" si="28"/>
        <v>#REF!</v>
      </c>
      <c r="BP16" s="11" t="e">
        <f t="shared" si="29"/>
        <v>#REF!</v>
      </c>
      <c r="BQ16" s="11" t="e">
        <f t="shared" si="30"/>
        <v>#REF!</v>
      </c>
      <c r="BR16" s="11" t="e">
        <f t="shared" si="31"/>
        <v>#REF!</v>
      </c>
      <c r="BT16" s="11" t="e">
        <f t="shared" si="32"/>
        <v>#REF!</v>
      </c>
      <c r="BU16" s="11" t="e">
        <f t="shared" si="33"/>
        <v>#REF!</v>
      </c>
      <c r="BV16" s="11" t="e">
        <f t="shared" si="34"/>
        <v>#REF!</v>
      </c>
      <c r="BW16" s="11" t="e">
        <f t="shared" si="35"/>
        <v>#REF!</v>
      </c>
      <c r="BX16" s="11" t="e">
        <f t="shared" si="36"/>
        <v>#REF!</v>
      </c>
      <c r="BZ16" s="11" t="e">
        <f t="shared" si="37"/>
        <v>#REF!</v>
      </c>
      <c r="CA16" s="11" t="e">
        <f t="shared" si="38"/>
        <v>#REF!</v>
      </c>
      <c r="CB16" s="11" t="e">
        <f t="shared" si="39"/>
        <v>#REF!</v>
      </c>
      <c r="CC16" s="11" t="e">
        <f t="shared" si="40"/>
        <v>#REF!</v>
      </c>
      <c r="CD16" s="11" t="e">
        <f t="shared" si="41"/>
        <v>#REF!</v>
      </c>
      <c r="CF16" s="11" t="e">
        <f t="shared" si="42"/>
        <v>#REF!</v>
      </c>
      <c r="CG16" s="11" t="e">
        <f t="shared" si="43"/>
        <v>#REF!</v>
      </c>
      <c r="CH16" s="11" t="e">
        <f t="shared" si="44"/>
        <v>#REF!</v>
      </c>
      <c r="CI16" s="11" t="e">
        <f t="shared" si="45"/>
        <v>#REF!</v>
      </c>
      <c r="CJ16" s="11" t="e">
        <f t="shared" si="46"/>
        <v>#REF!</v>
      </c>
      <c r="CM16" s="209">
        <f t="shared" si="47"/>
        <v>1.2018872366697943E-2</v>
      </c>
      <c r="CN16" s="209" t="e">
        <f t="shared" si="48"/>
        <v>#REF!</v>
      </c>
      <c r="CO16" s="209" t="e">
        <f t="shared" si="49"/>
        <v>#REF!</v>
      </c>
      <c r="CP16" s="209" t="e">
        <f t="shared" si="50"/>
        <v>#REF!</v>
      </c>
      <c r="CQ16" s="209" t="e">
        <f t="shared" si="51"/>
        <v>#REF!</v>
      </c>
    </row>
    <row r="17" spans="1:95" x14ac:dyDescent="0.25">
      <c r="A17" s="13" t="s">
        <v>34</v>
      </c>
      <c r="B17" s="14" t="s">
        <v>35</v>
      </c>
      <c r="C17" s="4" t="s">
        <v>46</v>
      </c>
      <c r="D17" s="4" t="s">
        <v>47</v>
      </c>
      <c r="E17" s="11">
        <f>SUMIFS('ICB Core Baseline 2024-25'!Q:Q,'ICB Core Baseline 2024-25'!C:C,C17)</f>
        <v>1777885.3086175141</v>
      </c>
      <c r="F17" s="43" t="e">
        <f>SUMIFS(#REF!,#REF!,C17)</f>
        <v>#REF!</v>
      </c>
      <c r="H17" s="43" t="e">
        <f>SUMIFS(#REF!,#REF!,C17)</f>
        <v>#REF!</v>
      </c>
      <c r="I17" s="43" t="e">
        <f t="shared" si="6"/>
        <v>#REF!</v>
      </c>
      <c r="J17" s="43" t="e">
        <f t="shared" si="7"/>
        <v>#REF!</v>
      </c>
      <c r="K17" s="11" t="e">
        <f t="shared" si="0"/>
        <v>#REF!</v>
      </c>
      <c r="L17" s="11" t="e">
        <f t="shared" si="1"/>
        <v>#REF!</v>
      </c>
      <c r="M17" s="43" t="e">
        <f>SUMIFS(#REF!,#REF!,C17)</f>
        <v>#REF!</v>
      </c>
      <c r="N17" s="11" t="e">
        <f t="shared" si="2"/>
        <v>#REF!</v>
      </c>
      <c r="O17" s="43" t="e">
        <f t="shared" si="8"/>
        <v>#REF!</v>
      </c>
      <c r="P17" s="11" t="e">
        <f t="shared" si="3"/>
        <v>#REF!</v>
      </c>
      <c r="Q17" s="11" t="e">
        <f t="shared" si="9"/>
        <v>#REF!</v>
      </c>
      <c r="R17" s="11" t="e">
        <f t="shared" si="4"/>
        <v>#REF!</v>
      </c>
      <c r="S17" s="11" t="e">
        <f>(SUMIFS(#REF!,#REF!,C17)/SUMIFS(#REF!,#REF!,C17))*1000</f>
        <v>#REF!</v>
      </c>
      <c r="T17" s="11" t="e">
        <f t="shared" si="10"/>
        <v>#REF!</v>
      </c>
      <c r="U17" s="11"/>
      <c r="V17" s="11" t="e">
        <f t="shared" si="11"/>
        <v>#REF!</v>
      </c>
      <c r="W17" s="11" t="e">
        <f t="shared" si="12"/>
        <v>#REF!</v>
      </c>
      <c r="X17" s="43" t="e">
        <f t="shared" si="13"/>
        <v>#REF!</v>
      </c>
      <c r="Y17" s="43" t="e">
        <f ca="1">OFFSET(#REF!,MATCH(C17,#REF!,0)+1,0)</f>
        <v>#REF!</v>
      </c>
      <c r="Z17" s="43" t="e">
        <f t="shared" ca="1" si="14"/>
        <v>#REF!</v>
      </c>
      <c r="AA17" s="43" t="e">
        <f t="shared" si="5"/>
        <v>#REF!</v>
      </c>
      <c r="AB17" s="11" t="e">
        <f>SUMIFS(#REF!,#REF!,C17)/(1+1.8%)*(1+1.8%+2.3%)</f>
        <v>#REF!</v>
      </c>
      <c r="AC17" s="11" t="e">
        <f t="shared" si="15"/>
        <v>#REF!</v>
      </c>
      <c r="AD17" s="64"/>
      <c r="AE17" s="11" t="e">
        <f>(SUMIFS(#REF!,#REF!,C17)/(1+1.8%))*(1+1.8%+2.3%)</f>
        <v>#REF!</v>
      </c>
      <c r="AF17" s="11" t="e">
        <f>-SUMIFS(#REF!,#REF!,C17)/1000</f>
        <v>#REF!</v>
      </c>
      <c r="AG17" s="11" t="e">
        <f>SUMIFS(#REF!,#REF!,C17)</f>
        <v>#REF!</v>
      </c>
      <c r="AH17" s="11" t="e">
        <f>SUMIFS(#REF!,#REF!,C17)</f>
        <v>#REF!</v>
      </c>
      <c r="AI17" s="11" t="e">
        <f>SUMIFS(#REF!,#REF!,C17)</f>
        <v>#REF!</v>
      </c>
      <c r="AJ17" s="11" t="e">
        <f>SUMIFS(#REF!,#REF!,C17)</f>
        <v>#REF!</v>
      </c>
      <c r="AK17" s="11"/>
      <c r="AL17" s="11" t="e">
        <f t="shared" si="16"/>
        <v>#REF!</v>
      </c>
      <c r="AN17" s="11" t="e">
        <f t="shared" si="17"/>
        <v>#REF!</v>
      </c>
      <c r="AO17" s="11" t="e">
        <f t="shared" si="18"/>
        <v>#REF!</v>
      </c>
      <c r="AQ17" s="11" t="e">
        <f t="shared" si="19"/>
        <v>#REF!</v>
      </c>
      <c r="AS17" s="43" t="e">
        <f t="shared" si="20"/>
        <v>#REF!</v>
      </c>
      <c r="AT17" s="11" t="e">
        <f t="shared" si="21"/>
        <v>#REF!</v>
      </c>
      <c r="AV17" s="11" t="e">
        <f>'Share of £1bn'!$F$20*1000*$AO17/$AO$57</f>
        <v>#REF!</v>
      </c>
      <c r="AW17" s="11" t="e">
        <f>'Share of £1bn'!$F$27*1000*$AO17/$AO$57</f>
        <v>#REF!</v>
      </c>
      <c r="AX17" s="11" t="e">
        <f>'Share of £1bn'!$F$21*1000*$AO17/$AO$57</f>
        <v>#REF!</v>
      </c>
      <c r="AZ17" s="11" t="e">
        <f>'Share of £1bn'!$F$43*1000*AO17/$AO$57</f>
        <v>#REF!</v>
      </c>
      <c r="BA17" s="11" t="e">
        <f>'Share of £1bn'!$F$50*1000*$AO17/$AO$57</f>
        <v>#REF!</v>
      </c>
      <c r="BB17" s="11" t="e">
        <f>'Share of £1bn'!$F$44*1000*AO17/$AO$57</f>
        <v>#REF!</v>
      </c>
      <c r="BD17" s="11" t="e">
        <f>'Share of £1bn'!$F$67*1000*AO17/$AO$57</f>
        <v>#REF!</v>
      </c>
      <c r="BF17" s="11">
        <f>SUMIFS('20-11 M6 deficits'!$BO:$BO,'20-11 M6 deficits'!$C:$C,$C17)*1000</f>
        <v>-40000</v>
      </c>
      <c r="BH17" s="11" t="e">
        <f t="shared" si="22"/>
        <v>#REF!</v>
      </c>
      <c r="BI17" s="11" t="e">
        <f t="shared" si="23"/>
        <v>#REF!</v>
      </c>
      <c r="BJ17" s="11" t="e">
        <f t="shared" si="24"/>
        <v>#REF!</v>
      </c>
      <c r="BK17" s="11" t="e">
        <f t="shared" si="25"/>
        <v>#REF!</v>
      </c>
      <c r="BL17" s="11" t="e">
        <f t="shared" si="26"/>
        <v>#REF!</v>
      </c>
      <c r="BN17" s="11" t="e">
        <f t="shared" si="27"/>
        <v>#REF!</v>
      </c>
      <c r="BO17" s="11" t="e">
        <f t="shared" si="28"/>
        <v>#REF!</v>
      </c>
      <c r="BP17" s="11" t="e">
        <f t="shared" si="29"/>
        <v>#REF!</v>
      </c>
      <c r="BQ17" s="11" t="e">
        <f t="shared" si="30"/>
        <v>#REF!</v>
      </c>
      <c r="BR17" s="11" t="e">
        <f t="shared" si="31"/>
        <v>#REF!</v>
      </c>
      <c r="BT17" s="11" t="e">
        <f t="shared" si="32"/>
        <v>#REF!</v>
      </c>
      <c r="BU17" s="11" t="e">
        <f t="shared" si="33"/>
        <v>#REF!</v>
      </c>
      <c r="BV17" s="11" t="e">
        <f t="shared" si="34"/>
        <v>#REF!</v>
      </c>
      <c r="BW17" s="11" t="e">
        <f t="shared" si="35"/>
        <v>#REF!</v>
      </c>
      <c r="BX17" s="11" t="e">
        <f t="shared" si="36"/>
        <v>#REF!</v>
      </c>
      <c r="BZ17" s="11" t="e">
        <f t="shared" si="37"/>
        <v>#REF!</v>
      </c>
      <c r="CA17" s="11" t="e">
        <f t="shared" si="38"/>
        <v>#REF!</v>
      </c>
      <c r="CB17" s="11" t="e">
        <f t="shared" si="39"/>
        <v>#REF!</v>
      </c>
      <c r="CC17" s="11" t="e">
        <f t="shared" si="40"/>
        <v>#REF!</v>
      </c>
      <c r="CD17" s="11" t="e">
        <f t="shared" si="41"/>
        <v>#REF!</v>
      </c>
      <c r="CF17" s="11" t="e">
        <f t="shared" si="42"/>
        <v>#REF!</v>
      </c>
      <c r="CG17" s="11" t="e">
        <f t="shared" si="43"/>
        <v>#REF!</v>
      </c>
      <c r="CH17" s="11" t="e">
        <f t="shared" si="44"/>
        <v>#REF!</v>
      </c>
      <c r="CI17" s="11" t="e">
        <f t="shared" si="45"/>
        <v>#REF!</v>
      </c>
      <c r="CJ17" s="11" t="e">
        <f t="shared" si="46"/>
        <v>#REF!</v>
      </c>
      <c r="CM17" s="209">
        <f t="shared" si="47"/>
        <v>2.5302889193048302E-2</v>
      </c>
      <c r="CN17" s="209" t="e">
        <f t="shared" si="48"/>
        <v>#REF!</v>
      </c>
      <c r="CO17" s="209" t="e">
        <f t="shared" si="49"/>
        <v>#REF!</v>
      </c>
      <c r="CP17" s="209" t="e">
        <f t="shared" si="50"/>
        <v>#REF!</v>
      </c>
      <c r="CQ17" s="209" t="e">
        <f t="shared" si="51"/>
        <v>#REF!</v>
      </c>
    </row>
    <row r="18" spans="1:95" x14ac:dyDescent="0.25">
      <c r="A18" s="13" t="s">
        <v>34</v>
      </c>
      <c r="B18" s="14" t="s">
        <v>35</v>
      </c>
      <c r="C18" s="4" t="s">
        <v>48</v>
      </c>
      <c r="D18" s="4" t="s">
        <v>49</v>
      </c>
      <c r="E18" s="11">
        <f>SUMIFS('ICB Core Baseline 2024-25'!Q:Q,'ICB Core Baseline 2024-25'!C:C,C18)</f>
        <v>1430894.8889875349</v>
      </c>
      <c r="F18" s="43" t="e">
        <f>SUMIFS(#REF!,#REF!,C18)</f>
        <v>#REF!</v>
      </c>
      <c r="H18" s="43" t="e">
        <f>SUMIFS(#REF!,#REF!,C18)</f>
        <v>#REF!</v>
      </c>
      <c r="I18" s="43" t="e">
        <f t="shared" si="6"/>
        <v>#REF!</v>
      </c>
      <c r="J18" s="43" t="e">
        <f t="shared" si="7"/>
        <v>#REF!</v>
      </c>
      <c r="K18" s="11" t="e">
        <f t="shared" si="0"/>
        <v>#REF!</v>
      </c>
      <c r="L18" s="11" t="e">
        <f t="shared" si="1"/>
        <v>#REF!</v>
      </c>
      <c r="M18" s="43" t="e">
        <f>SUMIFS(#REF!,#REF!,C18)</f>
        <v>#REF!</v>
      </c>
      <c r="N18" s="11" t="e">
        <f t="shared" si="2"/>
        <v>#REF!</v>
      </c>
      <c r="O18" s="43" t="e">
        <f t="shared" si="8"/>
        <v>#REF!</v>
      </c>
      <c r="P18" s="11" t="e">
        <f t="shared" si="3"/>
        <v>#REF!</v>
      </c>
      <c r="Q18" s="11" t="e">
        <f t="shared" si="9"/>
        <v>#REF!</v>
      </c>
      <c r="R18" s="11" t="e">
        <f t="shared" si="4"/>
        <v>#REF!</v>
      </c>
      <c r="S18" s="11" t="e">
        <f>(SUMIFS(#REF!,#REF!,C18)/SUMIFS(#REF!,#REF!,C18))*1000</f>
        <v>#REF!</v>
      </c>
      <c r="T18" s="11" t="e">
        <f t="shared" si="10"/>
        <v>#REF!</v>
      </c>
      <c r="U18" s="11"/>
      <c r="V18" s="11" t="e">
        <f t="shared" si="11"/>
        <v>#REF!</v>
      </c>
      <c r="W18" s="11" t="e">
        <f t="shared" si="12"/>
        <v>#REF!</v>
      </c>
      <c r="X18" s="43" t="e">
        <f t="shared" si="13"/>
        <v>#REF!</v>
      </c>
      <c r="Y18" s="43" t="e">
        <f ca="1">OFFSET(#REF!,MATCH(C18,#REF!,0)+1,0)</f>
        <v>#REF!</v>
      </c>
      <c r="Z18" s="43" t="e">
        <f t="shared" ca="1" si="14"/>
        <v>#REF!</v>
      </c>
      <c r="AA18" s="43" t="e">
        <f t="shared" si="5"/>
        <v>#REF!</v>
      </c>
      <c r="AB18" s="11" t="e">
        <f>SUMIFS(#REF!,#REF!,C18)/(1+1.8%)*(1+1.8%+2.3%)</f>
        <v>#REF!</v>
      </c>
      <c r="AC18" s="11" t="e">
        <f t="shared" si="15"/>
        <v>#REF!</v>
      </c>
      <c r="AD18" s="64"/>
      <c r="AE18" s="11" t="e">
        <f>(SUMIFS(#REF!,#REF!,C18)/(1+1.8%))*(1+1.8%+2.3%)</f>
        <v>#REF!</v>
      </c>
      <c r="AF18" s="11" t="e">
        <f>-SUMIFS(#REF!,#REF!,C18)/1000</f>
        <v>#REF!</v>
      </c>
      <c r="AG18" s="11" t="e">
        <f>SUMIFS(#REF!,#REF!,C18)</f>
        <v>#REF!</v>
      </c>
      <c r="AH18" s="11" t="e">
        <f>SUMIFS(#REF!,#REF!,C18)</f>
        <v>#REF!</v>
      </c>
      <c r="AI18" s="11" t="e">
        <f>SUMIFS(#REF!,#REF!,C18)</f>
        <v>#REF!</v>
      </c>
      <c r="AJ18" s="11" t="e">
        <f>SUMIFS(#REF!,#REF!,C18)</f>
        <v>#REF!</v>
      </c>
      <c r="AK18" s="11"/>
      <c r="AL18" s="11" t="e">
        <f t="shared" si="16"/>
        <v>#REF!</v>
      </c>
      <c r="AN18" s="11" t="e">
        <f t="shared" si="17"/>
        <v>#REF!</v>
      </c>
      <c r="AO18" s="11" t="e">
        <f t="shared" si="18"/>
        <v>#REF!</v>
      </c>
      <c r="AQ18" s="11" t="e">
        <f t="shared" si="19"/>
        <v>#REF!</v>
      </c>
      <c r="AS18" s="43" t="e">
        <f t="shared" si="20"/>
        <v>#REF!</v>
      </c>
      <c r="AT18" s="11" t="e">
        <f t="shared" si="21"/>
        <v>#REF!</v>
      </c>
      <c r="AV18" s="11" t="e">
        <f>'Share of £1bn'!$F$20*1000*$AO18/$AO$57</f>
        <v>#REF!</v>
      </c>
      <c r="AW18" s="11" t="e">
        <f>'Share of £1bn'!$F$27*1000*$AO18/$AO$57</f>
        <v>#REF!</v>
      </c>
      <c r="AX18" s="11" t="e">
        <f>'Share of £1bn'!$F$21*1000*$AO18/$AO$57</f>
        <v>#REF!</v>
      </c>
      <c r="AZ18" s="11" t="e">
        <f>'Share of £1bn'!$F$43*1000*AO18/$AO$57</f>
        <v>#REF!</v>
      </c>
      <c r="BA18" s="11" t="e">
        <f>'Share of £1bn'!$F$50*1000*$AO18/$AO$57</f>
        <v>#REF!</v>
      </c>
      <c r="BB18" s="11" t="e">
        <f>'Share of £1bn'!$F$44*1000*AO18/$AO$57</f>
        <v>#REF!</v>
      </c>
      <c r="BD18" s="11" t="e">
        <f>'Share of £1bn'!$F$67*1000*AO18/$AO$57</f>
        <v>#REF!</v>
      </c>
      <c r="BF18" s="11">
        <f>SUMIFS('20-11 M6 deficits'!$BO:$BO,'20-11 M6 deficits'!$C:$C,$C18)*1000</f>
        <v>-15400</v>
      </c>
      <c r="BH18" s="11" t="e">
        <f t="shared" si="22"/>
        <v>#REF!</v>
      </c>
      <c r="BI18" s="11" t="e">
        <f t="shared" si="23"/>
        <v>#REF!</v>
      </c>
      <c r="BJ18" s="11" t="e">
        <f t="shared" si="24"/>
        <v>#REF!</v>
      </c>
      <c r="BK18" s="11" t="e">
        <f t="shared" si="25"/>
        <v>#REF!</v>
      </c>
      <c r="BL18" s="11" t="e">
        <f t="shared" si="26"/>
        <v>#REF!</v>
      </c>
      <c r="BN18" s="11" t="e">
        <f t="shared" si="27"/>
        <v>#REF!</v>
      </c>
      <c r="BO18" s="11" t="e">
        <f t="shared" si="28"/>
        <v>#REF!</v>
      </c>
      <c r="BP18" s="11" t="e">
        <f t="shared" si="29"/>
        <v>#REF!</v>
      </c>
      <c r="BQ18" s="11" t="e">
        <f t="shared" si="30"/>
        <v>#REF!</v>
      </c>
      <c r="BR18" s="11" t="e">
        <f t="shared" si="31"/>
        <v>#REF!</v>
      </c>
      <c r="BT18" s="11" t="e">
        <f t="shared" si="32"/>
        <v>#REF!</v>
      </c>
      <c r="BU18" s="11" t="e">
        <f t="shared" si="33"/>
        <v>#REF!</v>
      </c>
      <c r="BV18" s="11" t="e">
        <f t="shared" si="34"/>
        <v>#REF!</v>
      </c>
      <c r="BW18" s="11" t="e">
        <f t="shared" si="35"/>
        <v>#REF!</v>
      </c>
      <c r="BX18" s="11" t="e">
        <f t="shared" si="36"/>
        <v>#REF!</v>
      </c>
      <c r="BZ18" s="11" t="e">
        <f t="shared" si="37"/>
        <v>#REF!</v>
      </c>
      <c r="CA18" s="11" t="e">
        <f t="shared" si="38"/>
        <v>#REF!</v>
      </c>
      <c r="CB18" s="11" t="e">
        <f t="shared" si="39"/>
        <v>#REF!</v>
      </c>
      <c r="CC18" s="11" t="e">
        <f t="shared" si="40"/>
        <v>#REF!</v>
      </c>
      <c r="CD18" s="11" t="e">
        <f t="shared" si="41"/>
        <v>#REF!</v>
      </c>
      <c r="CF18" s="11" t="e">
        <f t="shared" si="42"/>
        <v>#REF!</v>
      </c>
      <c r="CG18" s="11" t="e">
        <f t="shared" si="43"/>
        <v>#REF!</v>
      </c>
      <c r="CH18" s="11" t="e">
        <f t="shared" si="44"/>
        <v>#REF!</v>
      </c>
      <c r="CI18" s="11" t="e">
        <f t="shared" si="45"/>
        <v>#REF!</v>
      </c>
      <c r="CJ18" s="11" t="e">
        <f t="shared" si="46"/>
        <v>#REF!</v>
      </c>
      <c r="CM18" s="209">
        <f t="shared" si="47"/>
        <v>9.7416123393235955E-3</v>
      </c>
      <c r="CN18" s="209" t="e">
        <f t="shared" si="48"/>
        <v>#REF!</v>
      </c>
      <c r="CO18" s="209" t="e">
        <f t="shared" si="49"/>
        <v>#REF!</v>
      </c>
      <c r="CP18" s="209" t="e">
        <f t="shared" si="50"/>
        <v>#REF!</v>
      </c>
      <c r="CQ18" s="209" t="e">
        <f t="shared" si="51"/>
        <v>#REF!</v>
      </c>
    </row>
    <row r="19" spans="1:95" x14ac:dyDescent="0.25">
      <c r="A19" s="13" t="s">
        <v>34</v>
      </c>
      <c r="B19" s="14" t="s">
        <v>35</v>
      </c>
      <c r="C19" s="4" t="s">
        <v>50</v>
      </c>
      <c r="D19" s="4" t="s">
        <v>51</v>
      </c>
      <c r="E19" s="11">
        <f>SUMIFS('ICB Core Baseline 2024-25'!Q:Q,'ICB Core Baseline 2024-25'!C:C,C19)</f>
        <v>1309001.4633780424</v>
      </c>
      <c r="F19" s="43" t="e">
        <f>SUMIFS(#REF!,#REF!,C19)</f>
        <v>#REF!</v>
      </c>
      <c r="H19" s="43" t="e">
        <f>SUMIFS(#REF!,#REF!,C19)</f>
        <v>#REF!</v>
      </c>
      <c r="I19" s="43" t="e">
        <f t="shared" si="6"/>
        <v>#REF!</v>
      </c>
      <c r="J19" s="43" t="e">
        <f t="shared" si="7"/>
        <v>#REF!</v>
      </c>
      <c r="K19" s="11" t="e">
        <f t="shared" si="0"/>
        <v>#REF!</v>
      </c>
      <c r="L19" s="11" t="e">
        <f t="shared" si="1"/>
        <v>#REF!</v>
      </c>
      <c r="M19" s="43" t="e">
        <f>SUMIFS(#REF!,#REF!,C19)</f>
        <v>#REF!</v>
      </c>
      <c r="N19" s="11" t="e">
        <f t="shared" si="2"/>
        <v>#REF!</v>
      </c>
      <c r="O19" s="43" t="e">
        <f t="shared" si="8"/>
        <v>#REF!</v>
      </c>
      <c r="P19" s="11" t="e">
        <f t="shared" si="3"/>
        <v>#REF!</v>
      </c>
      <c r="Q19" s="11" t="e">
        <f t="shared" si="9"/>
        <v>#REF!</v>
      </c>
      <c r="R19" s="11" t="e">
        <f t="shared" si="4"/>
        <v>#REF!</v>
      </c>
      <c r="S19" s="11" t="e">
        <f>(SUMIFS(#REF!,#REF!,C19)/SUMIFS(#REF!,#REF!,C19))*1000</f>
        <v>#REF!</v>
      </c>
      <c r="T19" s="11" t="e">
        <f t="shared" si="10"/>
        <v>#REF!</v>
      </c>
      <c r="U19" s="11"/>
      <c r="V19" s="11" t="e">
        <f t="shared" si="11"/>
        <v>#REF!</v>
      </c>
      <c r="W19" s="11" t="e">
        <f t="shared" si="12"/>
        <v>#REF!</v>
      </c>
      <c r="X19" s="43" t="e">
        <f t="shared" si="13"/>
        <v>#REF!</v>
      </c>
      <c r="Y19" s="43" t="e">
        <f ca="1">OFFSET(#REF!,MATCH(C19,#REF!,0)+1,0)</f>
        <v>#REF!</v>
      </c>
      <c r="Z19" s="43" t="e">
        <f t="shared" ca="1" si="14"/>
        <v>#REF!</v>
      </c>
      <c r="AA19" s="43" t="e">
        <f t="shared" si="5"/>
        <v>#REF!</v>
      </c>
      <c r="AB19" s="11" t="e">
        <f>SUMIFS(#REF!,#REF!,C19)/(1+1.8%)*(1+1.8%+2.3%)</f>
        <v>#REF!</v>
      </c>
      <c r="AC19" s="11" t="e">
        <f t="shared" si="15"/>
        <v>#REF!</v>
      </c>
      <c r="AD19" s="64"/>
      <c r="AE19" s="11" t="e">
        <f>(SUMIFS(#REF!,#REF!,C19)/(1+1.8%))*(1+1.8%+2.3%)</f>
        <v>#REF!</v>
      </c>
      <c r="AF19" s="11" t="e">
        <f>-SUMIFS(#REF!,#REF!,C19)/1000</f>
        <v>#REF!</v>
      </c>
      <c r="AG19" s="11" t="e">
        <f>SUMIFS(#REF!,#REF!,C19)</f>
        <v>#REF!</v>
      </c>
      <c r="AH19" s="11" t="e">
        <f>SUMIFS(#REF!,#REF!,C19)</f>
        <v>#REF!</v>
      </c>
      <c r="AI19" s="11" t="e">
        <f>SUMIFS(#REF!,#REF!,C19)</f>
        <v>#REF!</v>
      </c>
      <c r="AJ19" s="11" t="e">
        <f>SUMIFS(#REF!,#REF!,C19)</f>
        <v>#REF!</v>
      </c>
      <c r="AK19" s="11"/>
      <c r="AL19" s="11" t="e">
        <f t="shared" si="16"/>
        <v>#REF!</v>
      </c>
      <c r="AN19" s="11" t="e">
        <f t="shared" si="17"/>
        <v>#REF!</v>
      </c>
      <c r="AO19" s="11" t="e">
        <f t="shared" si="18"/>
        <v>#REF!</v>
      </c>
      <c r="AQ19" s="11" t="e">
        <f t="shared" si="19"/>
        <v>#REF!</v>
      </c>
      <c r="AS19" s="43" t="e">
        <f t="shared" si="20"/>
        <v>#REF!</v>
      </c>
      <c r="AT19" s="11" t="e">
        <f t="shared" si="21"/>
        <v>#REF!</v>
      </c>
      <c r="AV19" s="11" t="e">
        <f>'Share of £1bn'!$F$20*1000*$AO19/$AO$57</f>
        <v>#REF!</v>
      </c>
      <c r="AW19" s="11" t="e">
        <f>'Share of £1bn'!$F$27*1000*$AO19/$AO$57</f>
        <v>#REF!</v>
      </c>
      <c r="AX19" s="11" t="e">
        <f>'Share of £1bn'!$F$21*1000*$AO19/$AO$57</f>
        <v>#REF!</v>
      </c>
      <c r="AZ19" s="11" t="e">
        <f>'Share of £1bn'!$F$43*1000*AO19/$AO$57</f>
        <v>#REF!</v>
      </c>
      <c r="BA19" s="11" t="e">
        <f>'Share of £1bn'!$F$50*1000*$AO19/$AO$57</f>
        <v>#REF!</v>
      </c>
      <c r="BB19" s="11" t="e">
        <f>'Share of £1bn'!$F$44*1000*AO19/$AO$57</f>
        <v>#REF!</v>
      </c>
      <c r="BD19" s="11" t="e">
        <f>'Share of £1bn'!$F$67*1000*AO19/$AO$57</f>
        <v>#REF!</v>
      </c>
      <c r="BF19" s="11">
        <f>SUMIFS('20-11 M6 deficits'!$BO:$BO,'20-11 M6 deficits'!$C:$C,$C19)*1000</f>
        <v>-34962.309026254647</v>
      </c>
      <c r="BH19" s="11" t="e">
        <f t="shared" si="22"/>
        <v>#REF!</v>
      </c>
      <c r="BI19" s="11" t="e">
        <f t="shared" si="23"/>
        <v>#REF!</v>
      </c>
      <c r="BJ19" s="11" t="e">
        <f t="shared" si="24"/>
        <v>#REF!</v>
      </c>
      <c r="BK19" s="11" t="e">
        <f t="shared" si="25"/>
        <v>#REF!</v>
      </c>
      <c r="BL19" s="11" t="e">
        <f t="shared" si="26"/>
        <v>#REF!</v>
      </c>
      <c r="BN19" s="11" t="e">
        <f t="shared" si="27"/>
        <v>#REF!</v>
      </c>
      <c r="BO19" s="11" t="e">
        <f t="shared" si="28"/>
        <v>#REF!</v>
      </c>
      <c r="BP19" s="11" t="e">
        <f t="shared" si="29"/>
        <v>#REF!</v>
      </c>
      <c r="BQ19" s="11" t="e">
        <f t="shared" si="30"/>
        <v>#REF!</v>
      </c>
      <c r="BR19" s="11" t="e">
        <f t="shared" si="31"/>
        <v>#REF!</v>
      </c>
      <c r="BT19" s="11" t="e">
        <f t="shared" si="32"/>
        <v>#REF!</v>
      </c>
      <c r="BU19" s="11" t="e">
        <f t="shared" si="33"/>
        <v>#REF!</v>
      </c>
      <c r="BV19" s="11" t="e">
        <f t="shared" si="34"/>
        <v>#REF!</v>
      </c>
      <c r="BW19" s="11" t="e">
        <f t="shared" si="35"/>
        <v>#REF!</v>
      </c>
      <c r="BX19" s="11" t="e">
        <f t="shared" si="36"/>
        <v>#REF!</v>
      </c>
      <c r="BZ19" s="11" t="e">
        <f t="shared" si="37"/>
        <v>#REF!</v>
      </c>
      <c r="CA19" s="11" t="e">
        <f t="shared" si="38"/>
        <v>#REF!</v>
      </c>
      <c r="CB19" s="11" t="e">
        <f t="shared" si="39"/>
        <v>#REF!</v>
      </c>
      <c r="CC19" s="11" t="e">
        <f t="shared" si="40"/>
        <v>#REF!</v>
      </c>
      <c r="CD19" s="11" t="e">
        <f t="shared" si="41"/>
        <v>#REF!</v>
      </c>
      <c r="CF19" s="11" t="e">
        <f t="shared" si="42"/>
        <v>#REF!</v>
      </c>
      <c r="CG19" s="11" t="e">
        <f t="shared" si="43"/>
        <v>#REF!</v>
      </c>
      <c r="CH19" s="11" t="e">
        <f t="shared" si="44"/>
        <v>#REF!</v>
      </c>
      <c r="CI19" s="11" t="e">
        <f t="shared" si="45"/>
        <v>#REF!</v>
      </c>
      <c r="CJ19" s="11" t="e">
        <f t="shared" si="46"/>
        <v>#REF!</v>
      </c>
      <c r="CM19" s="209">
        <f t="shared" si="47"/>
        <v>2.2116185780610843E-2</v>
      </c>
      <c r="CN19" s="209" t="e">
        <f t="shared" si="48"/>
        <v>#REF!</v>
      </c>
      <c r="CO19" s="209" t="e">
        <f t="shared" si="49"/>
        <v>#REF!</v>
      </c>
      <c r="CP19" s="209" t="e">
        <f t="shared" si="50"/>
        <v>#REF!</v>
      </c>
      <c r="CQ19" s="209" t="e">
        <f t="shared" si="51"/>
        <v>#REF!</v>
      </c>
    </row>
    <row r="20" spans="1:95" x14ac:dyDescent="0.25">
      <c r="A20" s="13" t="s">
        <v>34</v>
      </c>
      <c r="B20" s="14" t="s">
        <v>35</v>
      </c>
      <c r="C20" s="4" t="s">
        <v>52</v>
      </c>
      <c r="D20" s="4" t="s">
        <v>53</v>
      </c>
      <c r="E20" s="11">
        <f>SUMIFS('ICB Core Baseline 2024-25'!Q:Q,'ICB Core Baseline 2024-25'!C:C,C20)</f>
        <v>2105484.7321976945</v>
      </c>
      <c r="F20" s="43" t="e">
        <f>SUMIFS(#REF!,#REF!,C20)</f>
        <v>#REF!</v>
      </c>
      <c r="H20" s="43" t="e">
        <f>SUMIFS(#REF!,#REF!,C20)</f>
        <v>#REF!</v>
      </c>
      <c r="I20" s="43" t="e">
        <f t="shared" si="6"/>
        <v>#REF!</v>
      </c>
      <c r="J20" s="43" t="e">
        <f t="shared" si="7"/>
        <v>#REF!</v>
      </c>
      <c r="K20" s="11" t="e">
        <f t="shared" si="0"/>
        <v>#REF!</v>
      </c>
      <c r="L20" s="11" t="e">
        <f t="shared" si="1"/>
        <v>#REF!</v>
      </c>
      <c r="M20" s="43" t="e">
        <f>SUMIFS(#REF!,#REF!,C20)</f>
        <v>#REF!</v>
      </c>
      <c r="N20" s="11" t="e">
        <f t="shared" si="2"/>
        <v>#REF!</v>
      </c>
      <c r="O20" s="43" t="e">
        <f t="shared" si="8"/>
        <v>#REF!</v>
      </c>
      <c r="P20" s="11" t="e">
        <f t="shared" si="3"/>
        <v>#REF!</v>
      </c>
      <c r="Q20" s="11" t="e">
        <f t="shared" si="9"/>
        <v>#REF!</v>
      </c>
      <c r="R20" s="11" t="e">
        <f t="shared" si="4"/>
        <v>#REF!</v>
      </c>
      <c r="S20" s="11" t="e">
        <f>(SUMIFS(#REF!,#REF!,C20)/SUMIFS(#REF!,#REF!,C20))*1000</f>
        <v>#REF!</v>
      </c>
      <c r="T20" s="11" t="e">
        <f t="shared" si="10"/>
        <v>#REF!</v>
      </c>
      <c r="U20" s="11"/>
      <c r="V20" s="11" t="e">
        <f t="shared" si="11"/>
        <v>#REF!</v>
      </c>
      <c r="W20" s="11" t="e">
        <f t="shared" si="12"/>
        <v>#REF!</v>
      </c>
      <c r="X20" s="43" t="e">
        <f t="shared" si="13"/>
        <v>#REF!</v>
      </c>
      <c r="Y20" s="43" t="e">
        <f ca="1">OFFSET(#REF!,MATCH(C20,#REF!,0)+1,0)</f>
        <v>#REF!</v>
      </c>
      <c r="Z20" s="43" t="e">
        <f t="shared" ca="1" si="14"/>
        <v>#REF!</v>
      </c>
      <c r="AA20" s="43" t="e">
        <f t="shared" si="5"/>
        <v>#REF!</v>
      </c>
      <c r="AB20" s="11" t="e">
        <f>SUMIFS(#REF!,#REF!,C20)/(1+1.8%)*(1+1.8%+2.3%)</f>
        <v>#REF!</v>
      </c>
      <c r="AC20" s="11" t="e">
        <f t="shared" si="15"/>
        <v>#REF!</v>
      </c>
      <c r="AD20" s="64"/>
      <c r="AE20" s="11" t="e">
        <f>(SUMIFS(#REF!,#REF!,C20)/(1+1.8%))*(1+1.8%+2.3%)</f>
        <v>#REF!</v>
      </c>
      <c r="AF20" s="11" t="e">
        <f>-SUMIFS(#REF!,#REF!,C20)/1000</f>
        <v>#REF!</v>
      </c>
      <c r="AG20" s="11" t="e">
        <f>SUMIFS(#REF!,#REF!,C20)</f>
        <v>#REF!</v>
      </c>
      <c r="AH20" s="11" t="e">
        <f>SUMIFS(#REF!,#REF!,C20)</f>
        <v>#REF!</v>
      </c>
      <c r="AI20" s="11" t="e">
        <f>SUMIFS(#REF!,#REF!,C20)</f>
        <v>#REF!</v>
      </c>
      <c r="AJ20" s="11" t="e">
        <f>SUMIFS(#REF!,#REF!,C20)</f>
        <v>#REF!</v>
      </c>
      <c r="AK20" s="11"/>
      <c r="AL20" s="11" t="e">
        <f t="shared" si="16"/>
        <v>#REF!</v>
      </c>
      <c r="AN20" s="11" t="e">
        <f t="shared" si="17"/>
        <v>#REF!</v>
      </c>
      <c r="AO20" s="11" t="e">
        <f t="shared" si="18"/>
        <v>#REF!</v>
      </c>
      <c r="AQ20" s="11" t="e">
        <f t="shared" si="19"/>
        <v>#REF!</v>
      </c>
      <c r="AS20" s="43" t="e">
        <f t="shared" si="20"/>
        <v>#REF!</v>
      </c>
      <c r="AT20" s="11" t="e">
        <f t="shared" si="21"/>
        <v>#REF!</v>
      </c>
      <c r="AV20" s="11" t="e">
        <f>'Share of £1bn'!$F$20*1000*$AO20/$AO$57</f>
        <v>#REF!</v>
      </c>
      <c r="AW20" s="11" t="e">
        <f>'Share of £1bn'!$F$27*1000*$AO20/$AO$57</f>
        <v>#REF!</v>
      </c>
      <c r="AX20" s="11" t="e">
        <f>'Share of £1bn'!$F$21*1000*$AO20/$AO$57</f>
        <v>#REF!</v>
      </c>
      <c r="AZ20" s="11" t="e">
        <f>'Share of £1bn'!$F$43*1000*AO20/$AO$57</f>
        <v>#REF!</v>
      </c>
      <c r="BA20" s="11" t="e">
        <f>'Share of £1bn'!$F$50*1000*$AO20/$AO$57</f>
        <v>#REF!</v>
      </c>
      <c r="BB20" s="11" t="e">
        <f>'Share of £1bn'!$F$44*1000*AO20/$AO$57</f>
        <v>#REF!</v>
      </c>
      <c r="BD20" s="11" t="e">
        <f>'Share of £1bn'!$F$67*1000*AO20/$AO$57</f>
        <v>#REF!</v>
      </c>
      <c r="BF20" s="11">
        <f>SUMIFS('20-11 M6 deficits'!$BO:$BO,'20-11 M6 deficits'!$C:$C,$C20)*1000</f>
        <v>-85000</v>
      </c>
      <c r="BH20" s="11" t="e">
        <f t="shared" si="22"/>
        <v>#REF!</v>
      </c>
      <c r="BI20" s="11" t="e">
        <f t="shared" si="23"/>
        <v>#REF!</v>
      </c>
      <c r="BJ20" s="11" t="e">
        <f t="shared" si="24"/>
        <v>#REF!</v>
      </c>
      <c r="BK20" s="11" t="e">
        <f t="shared" si="25"/>
        <v>#REF!</v>
      </c>
      <c r="BL20" s="11" t="e">
        <f t="shared" si="26"/>
        <v>#REF!</v>
      </c>
      <c r="BN20" s="11" t="e">
        <f t="shared" si="27"/>
        <v>#REF!</v>
      </c>
      <c r="BO20" s="11" t="e">
        <f t="shared" si="28"/>
        <v>#REF!</v>
      </c>
      <c r="BP20" s="11" t="e">
        <f t="shared" si="29"/>
        <v>#REF!</v>
      </c>
      <c r="BQ20" s="11" t="e">
        <f t="shared" si="30"/>
        <v>#REF!</v>
      </c>
      <c r="BR20" s="11" t="e">
        <f t="shared" si="31"/>
        <v>#REF!</v>
      </c>
      <c r="BT20" s="11" t="e">
        <f t="shared" si="32"/>
        <v>#REF!</v>
      </c>
      <c r="BU20" s="11" t="e">
        <f t="shared" si="33"/>
        <v>#REF!</v>
      </c>
      <c r="BV20" s="11" t="e">
        <f t="shared" si="34"/>
        <v>#REF!</v>
      </c>
      <c r="BW20" s="11" t="e">
        <f t="shared" si="35"/>
        <v>#REF!</v>
      </c>
      <c r="BX20" s="11" t="e">
        <f t="shared" si="36"/>
        <v>#REF!</v>
      </c>
      <c r="BZ20" s="11" t="e">
        <f t="shared" si="37"/>
        <v>#REF!</v>
      </c>
      <c r="CA20" s="11" t="e">
        <f t="shared" si="38"/>
        <v>#REF!</v>
      </c>
      <c r="CB20" s="11" t="e">
        <f t="shared" si="39"/>
        <v>#REF!</v>
      </c>
      <c r="CC20" s="11" t="e">
        <f t="shared" si="40"/>
        <v>#REF!</v>
      </c>
      <c r="CD20" s="11" t="e">
        <f t="shared" si="41"/>
        <v>#REF!</v>
      </c>
      <c r="CF20" s="11" t="e">
        <f t="shared" si="42"/>
        <v>#REF!</v>
      </c>
      <c r="CG20" s="11" t="e">
        <f t="shared" si="43"/>
        <v>#REF!</v>
      </c>
      <c r="CH20" s="11" t="e">
        <f t="shared" si="44"/>
        <v>#REF!</v>
      </c>
      <c r="CI20" s="11" t="e">
        <f t="shared" si="45"/>
        <v>#REF!</v>
      </c>
      <c r="CJ20" s="11" t="e">
        <f t="shared" si="46"/>
        <v>#REF!</v>
      </c>
      <c r="CM20" s="209">
        <f t="shared" si="47"/>
        <v>5.376863953522764E-2</v>
      </c>
      <c r="CN20" s="209" t="e">
        <f t="shared" si="48"/>
        <v>#REF!</v>
      </c>
      <c r="CO20" s="209" t="e">
        <f t="shared" si="49"/>
        <v>#REF!</v>
      </c>
      <c r="CP20" s="209" t="e">
        <f t="shared" si="50"/>
        <v>#REF!</v>
      </c>
      <c r="CQ20" s="209" t="e">
        <f t="shared" si="51"/>
        <v>#REF!</v>
      </c>
    </row>
    <row r="21" spans="1:95" x14ac:dyDescent="0.25">
      <c r="A21" s="13" t="s">
        <v>34</v>
      </c>
      <c r="B21" s="14" t="s">
        <v>35</v>
      </c>
      <c r="C21" s="4" t="s">
        <v>54</v>
      </c>
      <c r="D21" s="4" t="s">
        <v>55</v>
      </c>
      <c r="E21" s="11">
        <f>SUMIFS('ICB Core Baseline 2024-25'!Q:Q,'ICB Core Baseline 2024-25'!C:C,C21)</f>
        <v>916651.06573692488</v>
      </c>
      <c r="F21" s="43" t="e">
        <f>SUMIFS(#REF!,#REF!,C21)</f>
        <v>#REF!</v>
      </c>
      <c r="H21" s="43" t="e">
        <f>SUMIFS(#REF!,#REF!,C21)</f>
        <v>#REF!</v>
      </c>
      <c r="I21" s="43" t="e">
        <f t="shared" si="6"/>
        <v>#REF!</v>
      </c>
      <c r="J21" s="43" t="e">
        <f t="shared" si="7"/>
        <v>#REF!</v>
      </c>
      <c r="K21" s="11" t="e">
        <f t="shared" si="0"/>
        <v>#REF!</v>
      </c>
      <c r="L21" s="11" t="e">
        <f t="shared" si="1"/>
        <v>#REF!</v>
      </c>
      <c r="M21" s="43" t="e">
        <f>SUMIFS(#REF!,#REF!,C21)</f>
        <v>#REF!</v>
      </c>
      <c r="N21" s="11" t="e">
        <f t="shared" si="2"/>
        <v>#REF!</v>
      </c>
      <c r="O21" s="43" t="e">
        <f t="shared" si="8"/>
        <v>#REF!</v>
      </c>
      <c r="P21" s="11" t="e">
        <f t="shared" si="3"/>
        <v>#REF!</v>
      </c>
      <c r="Q21" s="11" t="e">
        <f t="shared" si="9"/>
        <v>#REF!</v>
      </c>
      <c r="R21" s="11" t="e">
        <f t="shared" si="4"/>
        <v>#REF!</v>
      </c>
      <c r="S21" s="11" t="e">
        <f>(SUMIFS(#REF!,#REF!,C21)/SUMIFS(#REF!,#REF!,C21))*1000</f>
        <v>#REF!</v>
      </c>
      <c r="T21" s="11" t="e">
        <f t="shared" si="10"/>
        <v>#REF!</v>
      </c>
      <c r="U21" s="11"/>
      <c r="V21" s="11" t="e">
        <f t="shared" si="11"/>
        <v>#REF!</v>
      </c>
      <c r="W21" s="11" t="e">
        <f t="shared" si="12"/>
        <v>#REF!</v>
      </c>
      <c r="X21" s="43" t="e">
        <f t="shared" si="13"/>
        <v>#REF!</v>
      </c>
      <c r="Y21" s="43" t="e">
        <f ca="1">OFFSET(#REF!,MATCH(C21,#REF!,0)+1,0)</f>
        <v>#REF!</v>
      </c>
      <c r="Z21" s="43" t="e">
        <f t="shared" ca="1" si="14"/>
        <v>#REF!</v>
      </c>
      <c r="AA21" s="43" t="e">
        <f t="shared" si="5"/>
        <v>#REF!</v>
      </c>
      <c r="AB21" s="11" t="e">
        <f>SUMIFS(#REF!,#REF!,C21)/(1+1.8%)*(1+1.8%+2.3%)</f>
        <v>#REF!</v>
      </c>
      <c r="AC21" s="11" t="e">
        <f t="shared" si="15"/>
        <v>#REF!</v>
      </c>
      <c r="AD21" s="64"/>
      <c r="AE21" s="11" t="e">
        <f>(SUMIFS(#REF!,#REF!,C21)/(1+1.8%))*(1+1.8%+2.3%)</f>
        <v>#REF!</v>
      </c>
      <c r="AF21" s="11" t="e">
        <f>-SUMIFS(#REF!,#REF!,C21)/1000</f>
        <v>#REF!</v>
      </c>
      <c r="AG21" s="11" t="e">
        <f>SUMIFS(#REF!,#REF!,C21)</f>
        <v>#REF!</v>
      </c>
      <c r="AH21" s="11" t="e">
        <f>SUMIFS(#REF!,#REF!,C21)</f>
        <v>#REF!</v>
      </c>
      <c r="AI21" s="11" t="e">
        <f>SUMIFS(#REF!,#REF!,C21)</f>
        <v>#REF!</v>
      </c>
      <c r="AJ21" s="11" t="e">
        <f>SUMIFS(#REF!,#REF!,C21)</f>
        <v>#REF!</v>
      </c>
      <c r="AK21" s="11"/>
      <c r="AL21" s="11" t="e">
        <f t="shared" si="16"/>
        <v>#REF!</v>
      </c>
      <c r="AN21" s="11" t="e">
        <f t="shared" si="17"/>
        <v>#REF!</v>
      </c>
      <c r="AO21" s="11" t="e">
        <f t="shared" si="18"/>
        <v>#REF!</v>
      </c>
      <c r="AQ21" s="11" t="e">
        <f t="shared" si="19"/>
        <v>#REF!</v>
      </c>
      <c r="AS21" s="43" t="e">
        <f t="shared" si="20"/>
        <v>#REF!</v>
      </c>
      <c r="AT21" s="11" t="e">
        <f t="shared" si="21"/>
        <v>#REF!</v>
      </c>
      <c r="AV21" s="11" t="e">
        <f>'Share of £1bn'!$F$20*1000*$AO21/$AO$57</f>
        <v>#REF!</v>
      </c>
      <c r="AW21" s="11" t="e">
        <f>'Share of £1bn'!$F$27*1000*$AO21/$AO$57</f>
        <v>#REF!</v>
      </c>
      <c r="AX21" s="11" t="e">
        <f>'Share of £1bn'!$F$21*1000*$AO21/$AO$57</f>
        <v>#REF!</v>
      </c>
      <c r="AZ21" s="11" t="e">
        <f>'Share of £1bn'!$F$43*1000*AO21/$AO$57</f>
        <v>#REF!</v>
      </c>
      <c r="BA21" s="11" t="e">
        <f>'Share of £1bn'!$F$50*1000*$AO21/$AO$57</f>
        <v>#REF!</v>
      </c>
      <c r="BB21" s="11" t="e">
        <f>'Share of £1bn'!$F$44*1000*AO21/$AO$57</f>
        <v>#REF!</v>
      </c>
      <c r="BD21" s="11" t="e">
        <f>'Share of £1bn'!$F$67*1000*AO21/$AO$57</f>
        <v>#REF!</v>
      </c>
      <c r="BF21" s="11">
        <f>SUMIFS('20-11 M6 deficits'!$BO:$BO,'20-11 M6 deficits'!$C:$C,$C21)*1000</f>
        <v>-120000</v>
      </c>
      <c r="BH21" s="11" t="e">
        <f t="shared" si="22"/>
        <v>#REF!</v>
      </c>
      <c r="BI21" s="11" t="e">
        <f t="shared" si="23"/>
        <v>#REF!</v>
      </c>
      <c r="BJ21" s="11" t="e">
        <f t="shared" si="24"/>
        <v>#REF!</v>
      </c>
      <c r="BK21" s="11" t="e">
        <f t="shared" si="25"/>
        <v>#REF!</v>
      </c>
      <c r="BL21" s="11" t="e">
        <f t="shared" si="26"/>
        <v>#REF!</v>
      </c>
      <c r="BN21" s="11" t="e">
        <f t="shared" si="27"/>
        <v>#REF!</v>
      </c>
      <c r="BO21" s="11" t="e">
        <f t="shared" si="28"/>
        <v>#REF!</v>
      </c>
      <c r="BP21" s="11" t="e">
        <f t="shared" si="29"/>
        <v>#REF!</v>
      </c>
      <c r="BQ21" s="11" t="e">
        <f t="shared" si="30"/>
        <v>#REF!</v>
      </c>
      <c r="BR21" s="11" t="e">
        <f t="shared" si="31"/>
        <v>#REF!</v>
      </c>
      <c r="BT21" s="11" t="e">
        <f t="shared" si="32"/>
        <v>#REF!</v>
      </c>
      <c r="BU21" s="11" t="e">
        <f t="shared" si="33"/>
        <v>#REF!</v>
      </c>
      <c r="BV21" s="11" t="e">
        <f t="shared" si="34"/>
        <v>#REF!</v>
      </c>
      <c r="BW21" s="11" t="e">
        <f t="shared" si="35"/>
        <v>#REF!</v>
      </c>
      <c r="BX21" s="11" t="e">
        <f t="shared" si="36"/>
        <v>#REF!</v>
      </c>
      <c r="BZ21" s="11" t="e">
        <f t="shared" si="37"/>
        <v>#REF!</v>
      </c>
      <c r="CA21" s="11" t="e">
        <f t="shared" si="38"/>
        <v>#REF!</v>
      </c>
      <c r="CB21" s="11" t="e">
        <f t="shared" si="39"/>
        <v>#REF!</v>
      </c>
      <c r="CC21" s="11" t="e">
        <f t="shared" si="40"/>
        <v>#REF!</v>
      </c>
      <c r="CD21" s="11" t="e">
        <f t="shared" si="41"/>
        <v>#REF!</v>
      </c>
      <c r="CF21" s="11" t="e">
        <f t="shared" si="42"/>
        <v>#REF!</v>
      </c>
      <c r="CG21" s="11" t="e">
        <f t="shared" si="43"/>
        <v>#REF!</v>
      </c>
      <c r="CH21" s="11" t="e">
        <f t="shared" si="44"/>
        <v>#REF!</v>
      </c>
      <c r="CI21" s="11" t="e">
        <f t="shared" si="45"/>
        <v>#REF!</v>
      </c>
      <c r="CJ21" s="11" t="e">
        <f t="shared" si="46"/>
        <v>#REF!</v>
      </c>
      <c r="CM21" s="209">
        <f t="shared" si="47"/>
        <v>7.5908667579144898E-2</v>
      </c>
      <c r="CN21" s="209" t="e">
        <f t="shared" si="48"/>
        <v>#REF!</v>
      </c>
      <c r="CO21" s="209" t="e">
        <f t="shared" si="49"/>
        <v>#REF!</v>
      </c>
      <c r="CP21" s="209" t="e">
        <f t="shared" si="50"/>
        <v>#REF!</v>
      </c>
      <c r="CQ21" s="209" t="e">
        <f t="shared" si="51"/>
        <v>#REF!</v>
      </c>
    </row>
    <row r="22" spans="1:95" x14ac:dyDescent="0.25">
      <c r="A22" s="15" t="s">
        <v>34</v>
      </c>
      <c r="B22" s="16" t="s">
        <v>35</v>
      </c>
      <c r="C22" s="17" t="s">
        <v>56</v>
      </c>
      <c r="D22" s="17" t="s">
        <v>57</v>
      </c>
      <c r="E22" s="18">
        <f>SUMIFS('ICB Core Baseline 2024-25'!Q:Q,'ICB Core Baseline 2024-25'!C:C,C22)</f>
        <v>2085926.6315805949</v>
      </c>
      <c r="F22" s="44" t="e">
        <f>SUMIFS(#REF!,#REF!,C22)</f>
        <v>#REF!</v>
      </c>
      <c r="H22" s="44" t="e">
        <f>SUMIFS(#REF!,#REF!,C22)</f>
        <v>#REF!</v>
      </c>
      <c r="I22" s="44" t="e">
        <f t="shared" si="6"/>
        <v>#REF!</v>
      </c>
      <c r="J22" s="44" t="e">
        <f t="shared" si="7"/>
        <v>#REF!</v>
      </c>
      <c r="K22" s="18" t="e">
        <f t="shared" si="0"/>
        <v>#REF!</v>
      </c>
      <c r="L22" s="18" t="e">
        <f t="shared" si="1"/>
        <v>#REF!</v>
      </c>
      <c r="M22" s="44" t="e">
        <f>SUMIFS(#REF!,#REF!,C22)</f>
        <v>#REF!</v>
      </c>
      <c r="N22" s="18" t="e">
        <f t="shared" si="2"/>
        <v>#REF!</v>
      </c>
      <c r="O22" s="44" t="e">
        <f t="shared" si="8"/>
        <v>#REF!</v>
      </c>
      <c r="P22" s="18" t="e">
        <f t="shared" si="3"/>
        <v>#REF!</v>
      </c>
      <c r="Q22" s="18" t="e">
        <f t="shared" si="9"/>
        <v>#REF!</v>
      </c>
      <c r="R22" s="18" t="e">
        <f t="shared" si="4"/>
        <v>#REF!</v>
      </c>
      <c r="S22" s="18" t="e">
        <f>(SUMIFS(#REF!,#REF!,C22)/SUMIFS(#REF!,#REF!,C22))*1000</f>
        <v>#REF!</v>
      </c>
      <c r="T22" s="18" t="e">
        <f t="shared" si="10"/>
        <v>#REF!</v>
      </c>
      <c r="U22" s="18"/>
      <c r="V22" s="18" t="e">
        <f t="shared" si="11"/>
        <v>#REF!</v>
      </c>
      <c r="W22" s="18" t="e">
        <f t="shared" si="12"/>
        <v>#REF!</v>
      </c>
      <c r="X22" s="44" t="e">
        <f t="shared" si="13"/>
        <v>#REF!</v>
      </c>
      <c r="Y22" s="44" t="e">
        <f ca="1">OFFSET(#REF!,MATCH(C22,#REF!,0)+1,0)</f>
        <v>#REF!</v>
      </c>
      <c r="Z22" s="44" t="e">
        <f t="shared" ca="1" si="14"/>
        <v>#REF!</v>
      </c>
      <c r="AA22" s="44" t="e">
        <f t="shared" si="5"/>
        <v>#REF!</v>
      </c>
      <c r="AB22" s="18" t="e">
        <f>SUMIFS(#REF!,#REF!,C22)/(1+1.8%)*(1+1.8%+2.3%)</f>
        <v>#REF!</v>
      </c>
      <c r="AC22" s="18" t="e">
        <f t="shared" si="15"/>
        <v>#REF!</v>
      </c>
      <c r="AD22" s="65"/>
      <c r="AE22" s="18" t="e">
        <f>(SUMIFS(#REF!,#REF!,C22)/(1+1.8%))*(1+1.8%+2.3%)</f>
        <v>#REF!</v>
      </c>
      <c r="AF22" s="18" t="e">
        <f>-SUMIFS(#REF!,#REF!,C22)/1000</f>
        <v>#REF!</v>
      </c>
      <c r="AG22" s="18" t="e">
        <f>SUMIFS(#REF!,#REF!,C22)</f>
        <v>#REF!</v>
      </c>
      <c r="AH22" s="18" t="e">
        <f>SUMIFS(#REF!,#REF!,C22)</f>
        <v>#REF!</v>
      </c>
      <c r="AI22" s="18" t="e">
        <f>SUMIFS(#REF!,#REF!,C22)</f>
        <v>#REF!</v>
      </c>
      <c r="AJ22" s="18" t="e">
        <f>SUMIFS(#REF!,#REF!,C22)</f>
        <v>#REF!</v>
      </c>
      <c r="AK22" s="18"/>
      <c r="AL22" s="18" t="e">
        <f t="shared" si="16"/>
        <v>#REF!</v>
      </c>
      <c r="AN22" s="18" t="e">
        <f t="shared" si="17"/>
        <v>#REF!</v>
      </c>
      <c r="AO22" s="18" t="e">
        <f t="shared" si="18"/>
        <v>#REF!</v>
      </c>
      <c r="AQ22" s="18" t="e">
        <f t="shared" si="19"/>
        <v>#REF!</v>
      </c>
      <c r="AS22" s="44" t="e">
        <f t="shared" si="20"/>
        <v>#REF!</v>
      </c>
      <c r="AT22" s="18" t="e">
        <f t="shared" si="21"/>
        <v>#REF!</v>
      </c>
      <c r="AV22" s="18" t="e">
        <f>'Share of £1bn'!$F$20*1000*$AO22/$AO$57</f>
        <v>#REF!</v>
      </c>
      <c r="AW22" s="18" t="e">
        <f>'Share of £1bn'!$F$27*1000*$AO22/$AO$57</f>
        <v>#REF!</v>
      </c>
      <c r="AX22" s="18" t="e">
        <f>'Share of £1bn'!$F$21*1000*$AO22/$AO$57</f>
        <v>#REF!</v>
      </c>
      <c r="AZ22" s="18" t="e">
        <f>'Share of £1bn'!$F$43*1000*AO22/$AO$57</f>
        <v>#REF!</v>
      </c>
      <c r="BA22" s="18" t="e">
        <f>'Share of £1bn'!$F$50*1000*$AO22/$AO$57</f>
        <v>#REF!</v>
      </c>
      <c r="BB22" s="18" t="e">
        <f>'Share of £1bn'!$F$44*1000*AO22/$AO$57</f>
        <v>#REF!</v>
      </c>
      <c r="BD22" s="18" t="e">
        <f>'Share of £1bn'!$F$67*1000*AO22/$AO$57</f>
        <v>#REF!</v>
      </c>
      <c r="BF22" s="11">
        <f>SUMIFS('20-11 M6 deficits'!$BO:$BO,'20-11 M6 deficits'!$C:$C,$C22)*1000</f>
        <v>-90000</v>
      </c>
      <c r="BH22" s="18" t="e">
        <f t="shared" si="22"/>
        <v>#REF!</v>
      </c>
      <c r="BI22" s="18" t="e">
        <f t="shared" si="23"/>
        <v>#REF!</v>
      </c>
      <c r="BJ22" s="18" t="e">
        <f t="shared" si="24"/>
        <v>#REF!</v>
      </c>
      <c r="BK22" s="18" t="e">
        <f t="shared" si="25"/>
        <v>#REF!</v>
      </c>
      <c r="BL22" s="18" t="e">
        <f t="shared" si="26"/>
        <v>#REF!</v>
      </c>
      <c r="BN22" s="18" t="e">
        <f t="shared" si="27"/>
        <v>#REF!</v>
      </c>
      <c r="BO22" s="18" t="e">
        <f t="shared" si="28"/>
        <v>#REF!</v>
      </c>
      <c r="BP22" s="18" t="e">
        <f t="shared" si="29"/>
        <v>#REF!</v>
      </c>
      <c r="BQ22" s="18" t="e">
        <f t="shared" si="30"/>
        <v>#REF!</v>
      </c>
      <c r="BR22" s="18" t="e">
        <f t="shared" si="31"/>
        <v>#REF!</v>
      </c>
      <c r="BT22" s="18" t="e">
        <f t="shared" si="32"/>
        <v>#REF!</v>
      </c>
      <c r="BU22" s="18" t="e">
        <f t="shared" si="33"/>
        <v>#REF!</v>
      </c>
      <c r="BV22" s="18" t="e">
        <f t="shared" si="34"/>
        <v>#REF!</v>
      </c>
      <c r="BW22" s="18" t="e">
        <f t="shared" si="35"/>
        <v>#REF!</v>
      </c>
      <c r="BX22" s="18" t="e">
        <f t="shared" si="36"/>
        <v>#REF!</v>
      </c>
      <c r="BZ22" s="18" t="e">
        <f t="shared" si="37"/>
        <v>#REF!</v>
      </c>
      <c r="CA22" s="18" t="e">
        <f t="shared" si="38"/>
        <v>#REF!</v>
      </c>
      <c r="CB22" s="18" t="e">
        <f t="shared" si="39"/>
        <v>#REF!</v>
      </c>
      <c r="CC22" s="18" t="e">
        <f t="shared" si="40"/>
        <v>#REF!</v>
      </c>
      <c r="CD22" s="18" t="e">
        <f t="shared" si="41"/>
        <v>#REF!</v>
      </c>
      <c r="CF22" s="18" t="e">
        <f t="shared" si="42"/>
        <v>#REF!</v>
      </c>
      <c r="CG22" s="18" t="e">
        <f t="shared" si="43"/>
        <v>#REF!</v>
      </c>
      <c r="CH22" s="18" t="e">
        <f t="shared" si="44"/>
        <v>#REF!</v>
      </c>
      <c r="CI22" s="18" t="e">
        <f t="shared" si="45"/>
        <v>#REF!</v>
      </c>
      <c r="CJ22" s="18" t="e">
        <f t="shared" si="46"/>
        <v>#REF!</v>
      </c>
      <c r="CM22" s="209">
        <f t="shared" si="47"/>
        <v>5.6931500684358677E-2</v>
      </c>
      <c r="CN22" s="209" t="e">
        <f t="shared" si="48"/>
        <v>#REF!</v>
      </c>
      <c r="CO22" s="209" t="e">
        <f t="shared" si="49"/>
        <v>#REF!</v>
      </c>
      <c r="CP22" s="209" t="e">
        <f t="shared" si="50"/>
        <v>#REF!</v>
      </c>
      <c r="CQ22" s="209" t="e">
        <f t="shared" si="51"/>
        <v>#REF!</v>
      </c>
    </row>
    <row r="23" spans="1:95" x14ac:dyDescent="0.25">
      <c r="A23" s="10" t="s">
        <v>58</v>
      </c>
      <c r="B23" s="4" t="s">
        <v>59</v>
      </c>
      <c r="C23" s="4" t="s">
        <v>60</v>
      </c>
      <c r="D23" s="4" t="s">
        <v>61</v>
      </c>
      <c r="E23" s="11">
        <f>SUMIFS('ICB Core Baseline 2024-25'!Q:Q,'ICB Core Baseline 2024-25'!C:C,C23)</f>
        <v>1642311.0679959552</v>
      </c>
      <c r="F23" s="43" t="e">
        <f>SUMIFS(#REF!,#REF!,C23)</f>
        <v>#REF!</v>
      </c>
      <c r="H23" s="43" t="e">
        <f>SUMIFS(#REF!,#REF!,C23)</f>
        <v>#REF!</v>
      </c>
      <c r="I23" s="43" t="e">
        <f t="shared" si="6"/>
        <v>#REF!</v>
      </c>
      <c r="J23" s="43" t="e">
        <f t="shared" si="7"/>
        <v>#REF!</v>
      </c>
      <c r="K23" s="11" t="e">
        <f t="shared" si="0"/>
        <v>#REF!</v>
      </c>
      <c r="L23" s="11" t="e">
        <f t="shared" si="1"/>
        <v>#REF!</v>
      </c>
      <c r="M23" s="43" t="e">
        <f>SUMIFS(#REF!,#REF!,C23)</f>
        <v>#REF!</v>
      </c>
      <c r="N23" s="11" t="e">
        <f t="shared" si="2"/>
        <v>#REF!</v>
      </c>
      <c r="O23" s="43" t="e">
        <f t="shared" si="8"/>
        <v>#REF!</v>
      </c>
      <c r="P23" s="11" t="e">
        <f t="shared" si="3"/>
        <v>#REF!</v>
      </c>
      <c r="Q23" s="11" t="e">
        <f t="shared" si="9"/>
        <v>#REF!</v>
      </c>
      <c r="R23" s="11" t="e">
        <f t="shared" si="4"/>
        <v>#REF!</v>
      </c>
      <c r="S23" s="11" t="e">
        <f>(SUMIFS(#REF!,#REF!,C23)/SUMIFS(#REF!,#REF!,C23))*1000</f>
        <v>#REF!</v>
      </c>
      <c r="T23" s="11" t="e">
        <f t="shared" si="10"/>
        <v>#REF!</v>
      </c>
      <c r="U23" s="11"/>
      <c r="V23" s="11" t="e">
        <f t="shared" si="11"/>
        <v>#REF!</v>
      </c>
      <c r="W23" s="11" t="e">
        <f t="shared" si="12"/>
        <v>#REF!</v>
      </c>
      <c r="X23" s="43" t="e">
        <f t="shared" si="13"/>
        <v>#REF!</v>
      </c>
      <c r="Y23" s="43" t="e">
        <f ca="1">OFFSET(#REF!,MATCH(C23,#REF!,0)+1,0)</f>
        <v>#REF!</v>
      </c>
      <c r="Z23" s="43" t="e">
        <f t="shared" ca="1" si="14"/>
        <v>#REF!</v>
      </c>
      <c r="AA23" s="43" t="e">
        <f t="shared" si="5"/>
        <v>#REF!</v>
      </c>
      <c r="AB23" s="11" t="e">
        <f>SUMIFS(#REF!,#REF!,C23)/(1+1.8%)*(1+1.8%+2.3%)</f>
        <v>#REF!</v>
      </c>
      <c r="AC23" s="11" t="e">
        <f t="shared" si="15"/>
        <v>#REF!</v>
      </c>
      <c r="AD23" s="64"/>
      <c r="AE23" s="11" t="e">
        <f>(SUMIFS(#REF!,#REF!,C23)/(1+1.8%))*(1+1.8%+2.3%)</f>
        <v>#REF!</v>
      </c>
      <c r="AF23" s="11" t="e">
        <f>-SUMIFS(#REF!,#REF!,C23)/1000</f>
        <v>#REF!</v>
      </c>
      <c r="AG23" s="11" t="e">
        <f>SUMIFS(#REF!,#REF!,C23)</f>
        <v>#REF!</v>
      </c>
      <c r="AH23" s="11" t="e">
        <f>SUMIFS(#REF!,#REF!,C23)</f>
        <v>#REF!</v>
      </c>
      <c r="AI23" s="11" t="e">
        <f>SUMIFS(#REF!,#REF!,C23)</f>
        <v>#REF!</v>
      </c>
      <c r="AJ23" s="11" t="e">
        <f>SUMIFS(#REF!,#REF!,C23)</f>
        <v>#REF!</v>
      </c>
      <c r="AK23" s="11"/>
      <c r="AL23" s="11" t="e">
        <f t="shared" si="16"/>
        <v>#REF!</v>
      </c>
      <c r="AN23" s="11" t="e">
        <f t="shared" si="17"/>
        <v>#REF!</v>
      </c>
      <c r="AO23" s="11" t="e">
        <f t="shared" si="18"/>
        <v>#REF!</v>
      </c>
      <c r="AQ23" s="11" t="e">
        <f t="shared" si="19"/>
        <v>#REF!</v>
      </c>
      <c r="AS23" s="43" t="e">
        <f t="shared" si="20"/>
        <v>#REF!</v>
      </c>
      <c r="AT23" s="11" t="e">
        <f t="shared" si="21"/>
        <v>#REF!</v>
      </c>
      <c r="AV23" s="11" t="e">
        <f>'Share of £1bn'!$F$20*1000*$AO23/$AO$57</f>
        <v>#REF!</v>
      </c>
      <c r="AW23" s="11" t="e">
        <f>'Share of £1bn'!$F$27*1000*$AO23/$AO$57</f>
        <v>#REF!</v>
      </c>
      <c r="AX23" s="11" t="e">
        <f>'Share of £1bn'!$F$21*1000*$AO23/$AO$57</f>
        <v>#REF!</v>
      </c>
      <c r="AZ23" s="11" t="e">
        <f>'Share of £1bn'!$F$43*1000*AO23/$AO$57</f>
        <v>#REF!</v>
      </c>
      <c r="BA23" s="11" t="e">
        <f>'Share of £1bn'!$F$50*1000*$AO23/$AO$57</f>
        <v>#REF!</v>
      </c>
      <c r="BB23" s="11" t="e">
        <f>'Share of £1bn'!$F$44*1000*AO23/$AO$57</f>
        <v>#REF!</v>
      </c>
      <c r="BD23" s="11" t="e">
        <f>'Share of £1bn'!$F$67*1000*AO23/$AO$57</f>
        <v>#REF!</v>
      </c>
      <c r="BF23" s="11">
        <f>SUMIFS('20-11 M6 deficits'!$BO:$BO,'20-11 M6 deficits'!$C:$C,$C23)*1000</f>
        <v>0</v>
      </c>
      <c r="BH23" s="11" t="e">
        <f t="shared" si="22"/>
        <v>#REF!</v>
      </c>
      <c r="BI23" s="11" t="e">
        <f t="shared" si="23"/>
        <v>#REF!</v>
      </c>
      <c r="BJ23" s="11" t="e">
        <f t="shared" si="24"/>
        <v>#REF!</v>
      </c>
      <c r="BK23" s="11" t="e">
        <f t="shared" si="25"/>
        <v>#REF!</v>
      </c>
      <c r="BL23" s="11" t="e">
        <f t="shared" si="26"/>
        <v>#REF!</v>
      </c>
      <c r="BN23" s="11" t="e">
        <f t="shared" si="27"/>
        <v>#REF!</v>
      </c>
      <c r="BO23" s="11" t="e">
        <f t="shared" si="28"/>
        <v>#REF!</v>
      </c>
      <c r="BP23" s="11" t="e">
        <f t="shared" si="29"/>
        <v>#REF!</v>
      </c>
      <c r="BQ23" s="11" t="e">
        <f t="shared" si="30"/>
        <v>#REF!</v>
      </c>
      <c r="BR23" s="11" t="e">
        <f t="shared" si="31"/>
        <v>#REF!</v>
      </c>
      <c r="BT23" s="11" t="e">
        <f t="shared" si="32"/>
        <v>#REF!</v>
      </c>
      <c r="BU23" s="11" t="e">
        <f t="shared" si="33"/>
        <v>#REF!</v>
      </c>
      <c r="BV23" s="11" t="e">
        <f t="shared" si="34"/>
        <v>#REF!</v>
      </c>
      <c r="BW23" s="11" t="e">
        <f t="shared" si="35"/>
        <v>#REF!</v>
      </c>
      <c r="BX23" s="11" t="e">
        <f t="shared" si="36"/>
        <v>#REF!</v>
      </c>
      <c r="BZ23" s="11" t="e">
        <f t="shared" si="37"/>
        <v>#REF!</v>
      </c>
      <c r="CA23" s="11" t="e">
        <f t="shared" si="38"/>
        <v>#REF!</v>
      </c>
      <c r="CB23" s="11" t="e">
        <f t="shared" si="39"/>
        <v>#REF!</v>
      </c>
      <c r="CC23" s="11" t="e">
        <f t="shared" si="40"/>
        <v>#REF!</v>
      </c>
      <c r="CD23" s="11" t="e">
        <f t="shared" si="41"/>
        <v>#REF!</v>
      </c>
      <c r="CF23" s="11" t="e">
        <f t="shared" si="42"/>
        <v>#REF!</v>
      </c>
      <c r="CG23" s="11" t="e">
        <f t="shared" si="43"/>
        <v>#REF!</v>
      </c>
      <c r="CH23" s="11" t="e">
        <f t="shared" si="44"/>
        <v>#REF!</v>
      </c>
      <c r="CI23" s="11" t="e">
        <f t="shared" si="45"/>
        <v>#REF!</v>
      </c>
      <c r="CJ23" s="11" t="e">
        <f t="shared" si="46"/>
        <v>#REF!</v>
      </c>
      <c r="CM23" s="209">
        <f t="shared" si="47"/>
        <v>0</v>
      </c>
      <c r="CN23" s="209" t="e">
        <f t="shared" si="48"/>
        <v>#REF!</v>
      </c>
      <c r="CO23" s="209" t="e">
        <f t="shared" si="49"/>
        <v>#REF!</v>
      </c>
      <c r="CP23" s="209" t="e">
        <f t="shared" si="50"/>
        <v>#REF!</v>
      </c>
      <c r="CQ23" s="209" t="e">
        <f t="shared" si="51"/>
        <v>#REF!</v>
      </c>
    </row>
    <row r="24" spans="1:95" x14ac:dyDescent="0.25">
      <c r="A24" s="13" t="s">
        <v>58</v>
      </c>
      <c r="B24" s="14" t="s">
        <v>59</v>
      </c>
      <c r="C24" s="4" t="s">
        <v>62</v>
      </c>
      <c r="D24" s="4" t="s">
        <v>63</v>
      </c>
      <c r="E24" s="11">
        <f>SUMIFS('ICB Core Baseline 2024-25'!Q:Q,'ICB Core Baseline 2024-25'!C:C,C24)</f>
        <v>1520393.7039299591</v>
      </c>
      <c r="F24" s="43" t="e">
        <f>SUMIFS(#REF!,#REF!,C24)</f>
        <v>#REF!</v>
      </c>
      <c r="H24" s="43" t="e">
        <f>SUMIFS(#REF!,#REF!,C24)</f>
        <v>#REF!</v>
      </c>
      <c r="I24" s="43" t="e">
        <f t="shared" si="6"/>
        <v>#REF!</v>
      </c>
      <c r="J24" s="43" t="e">
        <f t="shared" si="7"/>
        <v>#REF!</v>
      </c>
      <c r="K24" s="11" t="e">
        <f t="shared" si="0"/>
        <v>#REF!</v>
      </c>
      <c r="L24" s="11" t="e">
        <f t="shared" si="1"/>
        <v>#REF!</v>
      </c>
      <c r="M24" s="43" t="e">
        <f>SUMIFS(#REF!,#REF!,C24)</f>
        <v>#REF!</v>
      </c>
      <c r="N24" s="11" t="e">
        <f t="shared" si="2"/>
        <v>#REF!</v>
      </c>
      <c r="O24" s="43" t="e">
        <f t="shared" si="8"/>
        <v>#REF!</v>
      </c>
      <c r="P24" s="11" t="e">
        <f t="shared" si="3"/>
        <v>#REF!</v>
      </c>
      <c r="Q24" s="11" t="e">
        <f t="shared" si="9"/>
        <v>#REF!</v>
      </c>
      <c r="R24" s="11" t="e">
        <f t="shared" si="4"/>
        <v>#REF!</v>
      </c>
      <c r="S24" s="11" t="e">
        <f>(SUMIFS(#REF!,#REF!,C24)/SUMIFS(#REF!,#REF!,C24))*1000</f>
        <v>#REF!</v>
      </c>
      <c r="T24" s="11" t="e">
        <f t="shared" si="10"/>
        <v>#REF!</v>
      </c>
      <c r="U24" s="11"/>
      <c r="V24" s="11" t="e">
        <f t="shared" si="11"/>
        <v>#REF!</v>
      </c>
      <c r="W24" s="11" t="e">
        <f t="shared" si="12"/>
        <v>#REF!</v>
      </c>
      <c r="X24" s="43" t="e">
        <f t="shared" si="13"/>
        <v>#REF!</v>
      </c>
      <c r="Y24" s="43" t="e">
        <f ca="1">OFFSET(#REF!,MATCH(C24,#REF!,0)+1,0)</f>
        <v>#REF!</v>
      </c>
      <c r="Z24" s="43" t="e">
        <f t="shared" ca="1" si="14"/>
        <v>#REF!</v>
      </c>
      <c r="AA24" s="43" t="e">
        <f t="shared" si="5"/>
        <v>#REF!</v>
      </c>
      <c r="AB24" s="11" t="e">
        <f>SUMIFS(#REF!,#REF!,C24)/(1+1.8%)*(1+1.8%+2.3%)</f>
        <v>#REF!</v>
      </c>
      <c r="AC24" s="11" t="e">
        <f t="shared" si="15"/>
        <v>#REF!</v>
      </c>
      <c r="AD24" s="64"/>
      <c r="AE24" s="11" t="e">
        <f>(SUMIFS(#REF!,#REF!,C24)/(1+1.8%))*(1+1.8%+2.3%)</f>
        <v>#REF!</v>
      </c>
      <c r="AF24" s="11" t="e">
        <f>-SUMIFS(#REF!,#REF!,C24)/1000</f>
        <v>#REF!</v>
      </c>
      <c r="AG24" s="11" t="e">
        <f>SUMIFS(#REF!,#REF!,C24)</f>
        <v>#REF!</v>
      </c>
      <c r="AH24" s="11" t="e">
        <f>SUMIFS(#REF!,#REF!,C24)</f>
        <v>#REF!</v>
      </c>
      <c r="AI24" s="11" t="e">
        <f>SUMIFS(#REF!,#REF!,C24)</f>
        <v>#REF!</v>
      </c>
      <c r="AJ24" s="11" t="e">
        <f>SUMIFS(#REF!,#REF!,C24)</f>
        <v>#REF!</v>
      </c>
      <c r="AK24" s="11"/>
      <c r="AL24" s="11" t="e">
        <f t="shared" si="16"/>
        <v>#REF!</v>
      </c>
      <c r="AN24" s="11" t="e">
        <f t="shared" si="17"/>
        <v>#REF!</v>
      </c>
      <c r="AO24" s="11" t="e">
        <f t="shared" si="18"/>
        <v>#REF!</v>
      </c>
      <c r="AQ24" s="11" t="e">
        <f t="shared" si="19"/>
        <v>#REF!</v>
      </c>
      <c r="AS24" s="43" t="e">
        <f t="shared" si="20"/>
        <v>#REF!</v>
      </c>
      <c r="AT24" s="11" t="e">
        <f t="shared" si="21"/>
        <v>#REF!</v>
      </c>
      <c r="AV24" s="11" t="e">
        <f>'Share of £1bn'!$F$20*1000*$AO24/$AO$57</f>
        <v>#REF!</v>
      </c>
      <c r="AW24" s="11" t="e">
        <f>'Share of £1bn'!$F$27*1000*$AO24/$AO$57</f>
        <v>#REF!</v>
      </c>
      <c r="AX24" s="11" t="e">
        <f>'Share of £1bn'!$F$21*1000*$AO24/$AO$57</f>
        <v>#REF!</v>
      </c>
      <c r="AZ24" s="11" t="e">
        <f>'Share of £1bn'!$F$43*1000*AO24/$AO$57</f>
        <v>#REF!</v>
      </c>
      <c r="BA24" s="11" t="e">
        <f>'Share of £1bn'!$F$50*1000*$AO24/$AO$57</f>
        <v>#REF!</v>
      </c>
      <c r="BB24" s="11" t="e">
        <f>'Share of £1bn'!$F$44*1000*AO24/$AO$57</f>
        <v>#REF!</v>
      </c>
      <c r="BD24" s="11" t="e">
        <f>'Share of £1bn'!$F$67*1000*AO24/$AO$57</f>
        <v>#REF!</v>
      </c>
      <c r="BF24" s="11">
        <f>SUMIFS('20-11 M6 deficits'!$BO:$BO,'20-11 M6 deficits'!$C:$C,$C24)*1000</f>
        <v>0</v>
      </c>
      <c r="BH24" s="11" t="e">
        <f t="shared" si="22"/>
        <v>#REF!</v>
      </c>
      <c r="BI24" s="11" t="e">
        <f t="shared" si="23"/>
        <v>#REF!</v>
      </c>
      <c r="BJ24" s="11" t="e">
        <f t="shared" si="24"/>
        <v>#REF!</v>
      </c>
      <c r="BK24" s="11" t="e">
        <f t="shared" si="25"/>
        <v>#REF!</v>
      </c>
      <c r="BL24" s="11" t="e">
        <f t="shared" si="26"/>
        <v>#REF!</v>
      </c>
      <c r="BN24" s="11" t="e">
        <f t="shared" si="27"/>
        <v>#REF!</v>
      </c>
      <c r="BO24" s="11" t="e">
        <f t="shared" si="28"/>
        <v>#REF!</v>
      </c>
      <c r="BP24" s="11" t="e">
        <f t="shared" si="29"/>
        <v>#REF!</v>
      </c>
      <c r="BQ24" s="11" t="e">
        <f t="shared" si="30"/>
        <v>#REF!</v>
      </c>
      <c r="BR24" s="11" t="e">
        <f t="shared" si="31"/>
        <v>#REF!</v>
      </c>
      <c r="BT24" s="11" t="e">
        <f t="shared" si="32"/>
        <v>#REF!</v>
      </c>
      <c r="BU24" s="11" t="e">
        <f t="shared" si="33"/>
        <v>#REF!</v>
      </c>
      <c r="BV24" s="11" t="e">
        <f t="shared" si="34"/>
        <v>#REF!</v>
      </c>
      <c r="BW24" s="11" t="e">
        <f t="shared" si="35"/>
        <v>#REF!</v>
      </c>
      <c r="BX24" s="11" t="e">
        <f t="shared" si="36"/>
        <v>#REF!</v>
      </c>
      <c r="BZ24" s="11" t="e">
        <f t="shared" si="37"/>
        <v>#REF!</v>
      </c>
      <c r="CA24" s="11" t="e">
        <f t="shared" si="38"/>
        <v>#REF!</v>
      </c>
      <c r="CB24" s="11" t="e">
        <f t="shared" si="39"/>
        <v>#REF!</v>
      </c>
      <c r="CC24" s="11" t="e">
        <f t="shared" si="40"/>
        <v>#REF!</v>
      </c>
      <c r="CD24" s="11" t="e">
        <f t="shared" si="41"/>
        <v>#REF!</v>
      </c>
      <c r="CF24" s="11" t="e">
        <f t="shared" si="42"/>
        <v>#REF!</v>
      </c>
      <c r="CG24" s="11" t="e">
        <f t="shared" si="43"/>
        <v>#REF!</v>
      </c>
      <c r="CH24" s="11" t="e">
        <f t="shared" si="44"/>
        <v>#REF!</v>
      </c>
      <c r="CI24" s="11" t="e">
        <f t="shared" si="45"/>
        <v>#REF!</v>
      </c>
      <c r="CJ24" s="11" t="e">
        <f t="shared" si="46"/>
        <v>#REF!</v>
      </c>
      <c r="CM24" s="209">
        <f t="shared" si="47"/>
        <v>0</v>
      </c>
      <c r="CN24" s="209" t="e">
        <f t="shared" si="48"/>
        <v>#REF!</v>
      </c>
      <c r="CO24" s="209" t="e">
        <f t="shared" si="49"/>
        <v>#REF!</v>
      </c>
      <c r="CP24" s="209" t="e">
        <f t="shared" si="50"/>
        <v>#REF!</v>
      </c>
      <c r="CQ24" s="209" t="e">
        <f t="shared" si="51"/>
        <v>#REF!</v>
      </c>
    </row>
    <row r="25" spans="1:95" x14ac:dyDescent="0.25">
      <c r="A25" s="13" t="s">
        <v>58</v>
      </c>
      <c r="B25" s="14" t="s">
        <v>59</v>
      </c>
      <c r="C25" s="4" t="s">
        <v>64</v>
      </c>
      <c r="D25" s="4" t="s">
        <v>65</v>
      </c>
      <c r="E25" s="11">
        <f>SUMIFS('ICB Core Baseline 2024-25'!Q:Q,'ICB Core Baseline 2024-25'!C:C,C25)</f>
        <v>2595751.7014513845</v>
      </c>
      <c r="F25" s="43" t="e">
        <f>SUMIFS(#REF!,#REF!,C25)</f>
        <v>#REF!</v>
      </c>
      <c r="H25" s="43" t="e">
        <f>SUMIFS(#REF!,#REF!,C25)</f>
        <v>#REF!</v>
      </c>
      <c r="I25" s="43" t="e">
        <f t="shared" si="6"/>
        <v>#REF!</v>
      </c>
      <c r="J25" s="43" t="e">
        <f t="shared" si="7"/>
        <v>#REF!</v>
      </c>
      <c r="K25" s="11" t="e">
        <f t="shared" si="0"/>
        <v>#REF!</v>
      </c>
      <c r="L25" s="11" t="e">
        <f t="shared" si="1"/>
        <v>#REF!</v>
      </c>
      <c r="M25" s="43" t="e">
        <f>SUMIFS(#REF!,#REF!,C25)</f>
        <v>#REF!</v>
      </c>
      <c r="N25" s="11" t="e">
        <f t="shared" si="2"/>
        <v>#REF!</v>
      </c>
      <c r="O25" s="43" t="e">
        <f t="shared" si="8"/>
        <v>#REF!</v>
      </c>
      <c r="P25" s="11" t="e">
        <f t="shared" si="3"/>
        <v>#REF!</v>
      </c>
      <c r="Q25" s="11" t="e">
        <f t="shared" si="9"/>
        <v>#REF!</v>
      </c>
      <c r="R25" s="11" t="e">
        <f t="shared" si="4"/>
        <v>#REF!</v>
      </c>
      <c r="S25" s="11" t="e">
        <f>(SUMIFS(#REF!,#REF!,C25)/SUMIFS(#REF!,#REF!,C25))*1000</f>
        <v>#REF!</v>
      </c>
      <c r="T25" s="11" t="e">
        <f t="shared" si="10"/>
        <v>#REF!</v>
      </c>
      <c r="U25" s="11"/>
      <c r="V25" s="11" t="e">
        <f t="shared" si="11"/>
        <v>#REF!</v>
      </c>
      <c r="W25" s="11" t="e">
        <f t="shared" si="12"/>
        <v>#REF!</v>
      </c>
      <c r="X25" s="43" t="e">
        <f t="shared" si="13"/>
        <v>#REF!</v>
      </c>
      <c r="Y25" s="43" t="e">
        <f ca="1">OFFSET(#REF!,MATCH(C25,#REF!,0)+1,0)</f>
        <v>#REF!</v>
      </c>
      <c r="Z25" s="43" t="e">
        <f t="shared" ca="1" si="14"/>
        <v>#REF!</v>
      </c>
      <c r="AA25" s="43" t="e">
        <f t="shared" si="5"/>
        <v>#REF!</v>
      </c>
      <c r="AB25" s="11" t="e">
        <f>SUMIFS(#REF!,#REF!,C25)/(1+1.8%)*(1+1.8%+2.3%)</f>
        <v>#REF!</v>
      </c>
      <c r="AC25" s="11" t="e">
        <f t="shared" si="15"/>
        <v>#REF!</v>
      </c>
      <c r="AD25" s="64"/>
      <c r="AE25" s="11" t="e">
        <f>(SUMIFS(#REF!,#REF!,C25)/(1+1.8%))*(1+1.8%+2.3%)</f>
        <v>#REF!</v>
      </c>
      <c r="AF25" s="11" t="e">
        <f>-SUMIFS(#REF!,#REF!,C25)/1000</f>
        <v>#REF!</v>
      </c>
      <c r="AG25" s="11" t="e">
        <f>SUMIFS(#REF!,#REF!,C25)</f>
        <v>#REF!</v>
      </c>
      <c r="AH25" s="11" t="e">
        <f>SUMIFS(#REF!,#REF!,C25)</f>
        <v>#REF!</v>
      </c>
      <c r="AI25" s="11" t="e">
        <f>SUMIFS(#REF!,#REF!,C25)</f>
        <v>#REF!</v>
      </c>
      <c r="AJ25" s="11" t="e">
        <f>SUMIFS(#REF!,#REF!,C25)</f>
        <v>#REF!</v>
      </c>
      <c r="AK25" s="11"/>
      <c r="AL25" s="11" t="e">
        <f t="shared" si="16"/>
        <v>#REF!</v>
      </c>
      <c r="AN25" s="11" t="e">
        <f t="shared" si="17"/>
        <v>#REF!</v>
      </c>
      <c r="AO25" s="11" t="e">
        <f t="shared" si="18"/>
        <v>#REF!</v>
      </c>
      <c r="AQ25" s="11" t="e">
        <f t="shared" si="19"/>
        <v>#REF!</v>
      </c>
      <c r="AS25" s="43" t="e">
        <f t="shared" si="20"/>
        <v>#REF!</v>
      </c>
      <c r="AT25" s="11" t="e">
        <f t="shared" si="21"/>
        <v>#REF!</v>
      </c>
      <c r="AV25" s="11" t="e">
        <f>'Share of £1bn'!$F$20*1000*$AO25/$AO$57</f>
        <v>#REF!</v>
      </c>
      <c r="AW25" s="11" t="e">
        <f>'Share of £1bn'!$F$27*1000*$AO25/$AO$57</f>
        <v>#REF!</v>
      </c>
      <c r="AX25" s="11" t="e">
        <f>'Share of £1bn'!$F$21*1000*$AO25/$AO$57</f>
        <v>#REF!</v>
      </c>
      <c r="AZ25" s="11" t="e">
        <f>'Share of £1bn'!$F$43*1000*AO25/$AO$57</f>
        <v>#REF!</v>
      </c>
      <c r="BA25" s="11" t="e">
        <f>'Share of £1bn'!$F$50*1000*$AO25/$AO$57</f>
        <v>#REF!</v>
      </c>
      <c r="BB25" s="11" t="e">
        <f>'Share of £1bn'!$F$44*1000*AO25/$AO$57</f>
        <v>#REF!</v>
      </c>
      <c r="BD25" s="11" t="e">
        <f>'Share of £1bn'!$F$67*1000*AO25/$AO$57</f>
        <v>#REF!</v>
      </c>
      <c r="BF25" s="11">
        <f>SUMIFS('20-11 M6 deficits'!$BO:$BO,'20-11 M6 deficits'!$C:$C,$C25)*1000</f>
        <v>0</v>
      </c>
      <c r="BH25" s="11" t="e">
        <f t="shared" si="22"/>
        <v>#REF!</v>
      </c>
      <c r="BI25" s="11" t="e">
        <f t="shared" si="23"/>
        <v>#REF!</v>
      </c>
      <c r="BJ25" s="11" t="e">
        <f t="shared" si="24"/>
        <v>#REF!</v>
      </c>
      <c r="BK25" s="11" t="e">
        <f t="shared" si="25"/>
        <v>#REF!</v>
      </c>
      <c r="BL25" s="11" t="e">
        <f t="shared" si="26"/>
        <v>#REF!</v>
      </c>
      <c r="BN25" s="11" t="e">
        <f t="shared" si="27"/>
        <v>#REF!</v>
      </c>
      <c r="BO25" s="11" t="e">
        <f t="shared" si="28"/>
        <v>#REF!</v>
      </c>
      <c r="BP25" s="11" t="e">
        <f t="shared" si="29"/>
        <v>#REF!</v>
      </c>
      <c r="BQ25" s="11" t="e">
        <f t="shared" si="30"/>
        <v>#REF!</v>
      </c>
      <c r="BR25" s="11" t="e">
        <f t="shared" si="31"/>
        <v>#REF!</v>
      </c>
      <c r="BT25" s="11" t="e">
        <f t="shared" si="32"/>
        <v>#REF!</v>
      </c>
      <c r="BU25" s="11" t="e">
        <f t="shared" si="33"/>
        <v>#REF!</v>
      </c>
      <c r="BV25" s="11" t="e">
        <f t="shared" si="34"/>
        <v>#REF!</v>
      </c>
      <c r="BW25" s="11" t="e">
        <f t="shared" si="35"/>
        <v>#REF!</v>
      </c>
      <c r="BX25" s="11" t="e">
        <f t="shared" si="36"/>
        <v>#REF!</v>
      </c>
      <c r="BZ25" s="11" t="e">
        <f t="shared" si="37"/>
        <v>#REF!</v>
      </c>
      <c r="CA25" s="11" t="e">
        <f t="shared" si="38"/>
        <v>#REF!</v>
      </c>
      <c r="CB25" s="11" t="e">
        <f t="shared" si="39"/>
        <v>#REF!</v>
      </c>
      <c r="CC25" s="11" t="e">
        <f t="shared" si="40"/>
        <v>#REF!</v>
      </c>
      <c r="CD25" s="11" t="e">
        <f t="shared" si="41"/>
        <v>#REF!</v>
      </c>
      <c r="CF25" s="11" t="e">
        <f t="shared" si="42"/>
        <v>#REF!</v>
      </c>
      <c r="CG25" s="11" t="e">
        <f t="shared" si="43"/>
        <v>#REF!</v>
      </c>
      <c r="CH25" s="11" t="e">
        <f t="shared" si="44"/>
        <v>#REF!</v>
      </c>
      <c r="CI25" s="11" t="e">
        <f t="shared" si="45"/>
        <v>#REF!</v>
      </c>
      <c r="CJ25" s="11" t="e">
        <f t="shared" si="46"/>
        <v>#REF!</v>
      </c>
      <c r="CM25" s="209">
        <f t="shared" si="47"/>
        <v>0</v>
      </c>
      <c r="CN25" s="209" t="e">
        <f t="shared" si="48"/>
        <v>#REF!</v>
      </c>
      <c r="CO25" s="209" t="e">
        <f t="shared" si="49"/>
        <v>#REF!</v>
      </c>
      <c r="CP25" s="209" t="e">
        <f t="shared" si="50"/>
        <v>#REF!</v>
      </c>
      <c r="CQ25" s="209" t="e">
        <f t="shared" si="51"/>
        <v>#REF!</v>
      </c>
    </row>
    <row r="26" spans="1:95" x14ac:dyDescent="0.25">
      <c r="A26" s="13" t="s">
        <v>58</v>
      </c>
      <c r="B26" s="14" t="s">
        <v>59</v>
      </c>
      <c r="C26" s="4" t="s">
        <v>66</v>
      </c>
      <c r="D26" s="4" t="s">
        <v>67</v>
      </c>
      <c r="E26" s="11">
        <f>SUMIFS('ICB Core Baseline 2024-25'!Q:Q,'ICB Core Baseline 2024-25'!C:C,C26)</f>
        <v>2107372.3351789187</v>
      </c>
      <c r="F26" s="43" t="e">
        <f>SUMIFS(#REF!,#REF!,C26)</f>
        <v>#REF!</v>
      </c>
      <c r="H26" s="43" t="e">
        <f>SUMIFS(#REF!,#REF!,C26)</f>
        <v>#REF!</v>
      </c>
      <c r="I26" s="43" t="e">
        <f t="shared" si="6"/>
        <v>#REF!</v>
      </c>
      <c r="J26" s="43" t="e">
        <f t="shared" si="7"/>
        <v>#REF!</v>
      </c>
      <c r="K26" s="11" t="e">
        <f t="shared" si="0"/>
        <v>#REF!</v>
      </c>
      <c r="L26" s="11" t="e">
        <f t="shared" si="1"/>
        <v>#REF!</v>
      </c>
      <c r="M26" s="43" t="e">
        <f>SUMIFS(#REF!,#REF!,C26)</f>
        <v>#REF!</v>
      </c>
      <c r="N26" s="11" t="e">
        <f t="shared" si="2"/>
        <v>#REF!</v>
      </c>
      <c r="O26" s="43" t="e">
        <f t="shared" si="8"/>
        <v>#REF!</v>
      </c>
      <c r="P26" s="11" t="e">
        <f t="shared" si="3"/>
        <v>#REF!</v>
      </c>
      <c r="Q26" s="11" t="e">
        <f t="shared" si="9"/>
        <v>#REF!</v>
      </c>
      <c r="R26" s="11" t="e">
        <f t="shared" si="4"/>
        <v>#REF!</v>
      </c>
      <c r="S26" s="11" t="e">
        <f>(SUMIFS(#REF!,#REF!,C26)/SUMIFS(#REF!,#REF!,C26))*1000</f>
        <v>#REF!</v>
      </c>
      <c r="T26" s="11" t="e">
        <f t="shared" si="10"/>
        <v>#REF!</v>
      </c>
      <c r="U26" s="11"/>
      <c r="V26" s="11" t="e">
        <f t="shared" si="11"/>
        <v>#REF!</v>
      </c>
      <c r="W26" s="11" t="e">
        <f t="shared" si="12"/>
        <v>#REF!</v>
      </c>
      <c r="X26" s="43" t="e">
        <f t="shared" si="13"/>
        <v>#REF!</v>
      </c>
      <c r="Y26" s="43" t="e">
        <f ca="1">OFFSET(#REF!,MATCH(C26,#REF!,0)+1,0)</f>
        <v>#REF!</v>
      </c>
      <c r="Z26" s="43" t="e">
        <f t="shared" ca="1" si="14"/>
        <v>#REF!</v>
      </c>
      <c r="AA26" s="43" t="e">
        <f t="shared" si="5"/>
        <v>#REF!</v>
      </c>
      <c r="AB26" s="11" t="e">
        <f>SUMIFS(#REF!,#REF!,C26)/(1+1.8%)*(1+1.8%+2.3%)</f>
        <v>#REF!</v>
      </c>
      <c r="AC26" s="11" t="e">
        <f t="shared" si="15"/>
        <v>#REF!</v>
      </c>
      <c r="AD26" s="64"/>
      <c r="AE26" s="11" t="e">
        <f>(SUMIFS(#REF!,#REF!,C26)/(1+1.8%))*(1+1.8%+2.3%)</f>
        <v>#REF!</v>
      </c>
      <c r="AF26" s="11" t="e">
        <f>-SUMIFS(#REF!,#REF!,C26)/1000</f>
        <v>#REF!</v>
      </c>
      <c r="AG26" s="11" t="e">
        <f>SUMIFS(#REF!,#REF!,C26)</f>
        <v>#REF!</v>
      </c>
      <c r="AH26" s="11" t="e">
        <f>SUMIFS(#REF!,#REF!,C26)</f>
        <v>#REF!</v>
      </c>
      <c r="AI26" s="11" t="e">
        <f>SUMIFS(#REF!,#REF!,C26)</f>
        <v>#REF!</v>
      </c>
      <c r="AJ26" s="11" t="e">
        <f>SUMIFS(#REF!,#REF!,C26)</f>
        <v>#REF!</v>
      </c>
      <c r="AK26" s="11"/>
      <c r="AL26" s="11" t="e">
        <f t="shared" si="16"/>
        <v>#REF!</v>
      </c>
      <c r="AN26" s="11" t="e">
        <f t="shared" si="17"/>
        <v>#REF!</v>
      </c>
      <c r="AO26" s="11" t="e">
        <f t="shared" si="18"/>
        <v>#REF!</v>
      </c>
      <c r="AQ26" s="11" t="e">
        <f t="shared" si="19"/>
        <v>#REF!</v>
      </c>
      <c r="AS26" s="43" t="e">
        <f t="shared" si="20"/>
        <v>#REF!</v>
      </c>
      <c r="AT26" s="11" t="e">
        <f t="shared" si="21"/>
        <v>#REF!</v>
      </c>
      <c r="AV26" s="11" t="e">
        <f>'Share of £1bn'!$F$20*1000*$AO26/$AO$57</f>
        <v>#REF!</v>
      </c>
      <c r="AW26" s="11" t="e">
        <f>'Share of £1bn'!$F$27*1000*$AO26/$AO$57</f>
        <v>#REF!</v>
      </c>
      <c r="AX26" s="11" t="e">
        <f>'Share of £1bn'!$F$21*1000*$AO26/$AO$57</f>
        <v>#REF!</v>
      </c>
      <c r="AZ26" s="11" t="e">
        <f>'Share of £1bn'!$F$43*1000*AO26/$AO$57</f>
        <v>#REF!</v>
      </c>
      <c r="BA26" s="11" t="e">
        <f>'Share of £1bn'!$F$50*1000*$AO26/$AO$57</f>
        <v>#REF!</v>
      </c>
      <c r="BB26" s="11" t="e">
        <f>'Share of £1bn'!$F$44*1000*AO26/$AO$57</f>
        <v>#REF!</v>
      </c>
      <c r="BD26" s="11" t="e">
        <f>'Share of £1bn'!$F$67*1000*AO26/$AO$57</f>
        <v>#REF!</v>
      </c>
      <c r="BF26" s="11">
        <f>SUMIFS('20-11 M6 deficits'!$BO:$BO,'20-11 M6 deficits'!$C:$C,$C26)*1000</f>
        <v>-40310.300445076602</v>
      </c>
      <c r="BH26" s="11" t="e">
        <f t="shared" si="22"/>
        <v>#REF!</v>
      </c>
      <c r="BI26" s="11" t="e">
        <f t="shared" si="23"/>
        <v>#REF!</v>
      </c>
      <c r="BJ26" s="11" t="e">
        <f t="shared" si="24"/>
        <v>#REF!</v>
      </c>
      <c r="BK26" s="11" t="e">
        <f t="shared" si="25"/>
        <v>#REF!</v>
      </c>
      <c r="BL26" s="11" t="e">
        <f t="shared" si="26"/>
        <v>#REF!</v>
      </c>
      <c r="BN26" s="11" t="e">
        <f t="shared" si="27"/>
        <v>#REF!</v>
      </c>
      <c r="BO26" s="11" t="e">
        <f t="shared" si="28"/>
        <v>#REF!</v>
      </c>
      <c r="BP26" s="11" t="e">
        <f t="shared" si="29"/>
        <v>#REF!</v>
      </c>
      <c r="BQ26" s="11" t="e">
        <f t="shared" si="30"/>
        <v>#REF!</v>
      </c>
      <c r="BR26" s="11" t="e">
        <f t="shared" si="31"/>
        <v>#REF!</v>
      </c>
      <c r="BT26" s="11" t="e">
        <f t="shared" si="32"/>
        <v>#REF!</v>
      </c>
      <c r="BU26" s="11" t="e">
        <f t="shared" si="33"/>
        <v>#REF!</v>
      </c>
      <c r="BV26" s="11" t="e">
        <f t="shared" si="34"/>
        <v>#REF!</v>
      </c>
      <c r="BW26" s="11" t="e">
        <f t="shared" si="35"/>
        <v>#REF!</v>
      </c>
      <c r="BX26" s="11" t="e">
        <f t="shared" si="36"/>
        <v>#REF!</v>
      </c>
      <c r="BZ26" s="11" t="e">
        <f t="shared" si="37"/>
        <v>#REF!</v>
      </c>
      <c r="CA26" s="11" t="e">
        <f t="shared" si="38"/>
        <v>#REF!</v>
      </c>
      <c r="CB26" s="11" t="e">
        <f t="shared" si="39"/>
        <v>#REF!</v>
      </c>
      <c r="CC26" s="11" t="e">
        <f t="shared" si="40"/>
        <v>#REF!</v>
      </c>
      <c r="CD26" s="11" t="e">
        <f t="shared" si="41"/>
        <v>#REF!</v>
      </c>
      <c r="CF26" s="11" t="e">
        <f t="shared" si="42"/>
        <v>#REF!</v>
      </c>
      <c r="CG26" s="11" t="e">
        <f t="shared" si="43"/>
        <v>#REF!</v>
      </c>
      <c r="CH26" s="11" t="e">
        <f t="shared" si="44"/>
        <v>#REF!</v>
      </c>
      <c r="CI26" s="11" t="e">
        <f t="shared" si="45"/>
        <v>#REF!</v>
      </c>
      <c r="CJ26" s="11" t="e">
        <f t="shared" si="46"/>
        <v>#REF!</v>
      </c>
      <c r="CM26" s="209">
        <f t="shared" si="47"/>
        <v>2.549917663750647E-2</v>
      </c>
      <c r="CN26" s="209" t="e">
        <f t="shared" si="48"/>
        <v>#REF!</v>
      </c>
      <c r="CO26" s="209" t="e">
        <f t="shared" si="49"/>
        <v>#REF!</v>
      </c>
      <c r="CP26" s="209" t="e">
        <f t="shared" si="50"/>
        <v>#REF!</v>
      </c>
      <c r="CQ26" s="209" t="e">
        <f t="shared" si="51"/>
        <v>#REF!</v>
      </c>
    </row>
    <row r="27" spans="1:95" x14ac:dyDescent="0.25">
      <c r="A27" s="13" t="s">
        <v>58</v>
      </c>
      <c r="B27" s="14" t="s">
        <v>59</v>
      </c>
      <c r="C27" s="4" t="s">
        <v>68</v>
      </c>
      <c r="D27" s="4" t="s">
        <v>69</v>
      </c>
      <c r="E27" s="11">
        <f>SUMIFS('ICB Core Baseline 2024-25'!Q:Q,'ICB Core Baseline 2024-25'!C:C,C27)</f>
        <v>1928859.6706777667</v>
      </c>
      <c r="F27" s="43" t="e">
        <f>SUMIFS(#REF!,#REF!,C27)</f>
        <v>#REF!</v>
      </c>
      <c r="H27" s="43" t="e">
        <f>SUMIFS(#REF!,#REF!,C27)</f>
        <v>#REF!</v>
      </c>
      <c r="I27" s="43" t="e">
        <f t="shared" si="6"/>
        <v>#REF!</v>
      </c>
      <c r="J27" s="43" t="e">
        <f t="shared" si="7"/>
        <v>#REF!</v>
      </c>
      <c r="K27" s="11" t="e">
        <f t="shared" si="0"/>
        <v>#REF!</v>
      </c>
      <c r="L27" s="11" t="e">
        <f t="shared" si="1"/>
        <v>#REF!</v>
      </c>
      <c r="M27" s="43" t="e">
        <f>SUMIFS(#REF!,#REF!,C27)</f>
        <v>#REF!</v>
      </c>
      <c r="N27" s="11" t="e">
        <f t="shared" si="2"/>
        <v>#REF!</v>
      </c>
      <c r="O27" s="43" t="e">
        <f t="shared" si="8"/>
        <v>#REF!</v>
      </c>
      <c r="P27" s="11" t="e">
        <f t="shared" si="3"/>
        <v>#REF!</v>
      </c>
      <c r="Q27" s="11" t="e">
        <f t="shared" si="9"/>
        <v>#REF!</v>
      </c>
      <c r="R27" s="11" t="e">
        <f t="shared" si="4"/>
        <v>#REF!</v>
      </c>
      <c r="S27" s="11" t="e">
        <f>(SUMIFS(#REF!,#REF!,C27)/SUMIFS(#REF!,#REF!,C27))*1000</f>
        <v>#REF!</v>
      </c>
      <c r="T27" s="11" t="e">
        <f t="shared" si="10"/>
        <v>#REF!</v>
      </c>
      <c r="U27" s="11"/>
      <c r="V27" s="11" t="e">
        <f t="shared" si="11"/>
        <v>#REF!</v>
      </c>
      <c r="W27" s="11" t="e">
        <f t="shared" si="12"/>
        <v>#REF!</v>
      </c>
      <c r="X27" s="43" t="e">
        <f t="shared" si="13"/>
        <v>#REF!</v>
      </c>
      <c r="Y27" s="43" t="e">
        <f ca="1">OFFSET(#REF!,MATCH(C27,#REF!,0)+1,0)</f>
        <v>#REF!</v>
      </c>
      <c r="Z27" s="43" t="e">
        <f t="shared" ca="1" si="14"/>
        <v>#REF!</v>
      </c>
      <c r="AA27" s="43" t="e">
        <f t="shared" si="5"/>
        <v>#REF!</v>
      </c>
      <c r="AB27" s="11" t="e">
        <f>SUMIFS(#REF!,#REF!,C27)/(1+1.8%)*(1+1.8%+2.3%)</f>
        <v>#REF!</v>
      </c>
      <c r="AC27" s="11" t="e">
        <f t="shared" si="15"/>
        <v>#REF!</v>
      </c>
      <c r="AD27" s="64"/>
      <c r="AE27" s="11" t="e">
        <f>(SUMIFS(#REF!,#REF!,C27)/(1+1.8%))*(1+1.8%+2.3%)</f>
        <v>#REF!</v>
      </c>
      <c r="AF27" s="11" t="e">
        <f>-SUMIFS(#REF!,#REF!,C27)/1000</f>
        <v>#REF!</v>
      </c>
      <c r="AG27" s="11" t="e">
        <f>SUMIFS(#REF!,#REF!,C27)</f>
        <v>#REF!</v>
      </c>
      <c r="AH27" s="11" t="e">
        <f>SUMIFS(#REF!,#REF!,C27)</f>
        <v>#REF!</v>
      </c>
      <c r="AI27" s="11" t="e">
        <f>SUMIFS(#REF!,#REF!,C27)</f>
        <v>#REF!</v>
      </c>
      <c r="AJ27" s="11" t="e">
        <f>SUMIFS(#REF!,#REF!,C27)</f>
        <v>#REF!</v>
      </c>
      <c r="AK27" s="11"/>
      <c r="AL27" s="11" t="e">
        <f t="shared" si="16"/>
        <v>#REF!</v>
      </c>
      <c r="AN27" s="11" t="e">
        <f t="shared" si="17"/>
        <v>#REF!</v>
      </c>
      <c r="AO27" s="11" t="e">
        <f t="shared" si="18"/>
        <v>#REF!</v>
      </c>
      <c r="AQ27" s="11" t="e">
        <f t="shared" si="19"/>
        <v>#REF!</v>
      </c>
      <c r="AS27" s="43" t="e">
        <f t="shared" si="20"/>
        <v>#REF!</v>
      </c>
      <c r="AT27" s="11" t="e">
        <f t="shared" si="21"/>
        <v>#REF!</v>
      </c>
      <c r="AV27" s="11" t="e">
        <f>'Share of £1bn'!$F$20*1000*$AO27/$AO$57</f>
        <v>#REF!</v>
      </c>
      <c r="AW27" s="11" t="e">
        <f>'Share of £1bn'!$F$27*1000*$AO27/$AO$57</f>
        <v>#REF!</v>
      </c>
      <c r="AX27" s="11" t="e">
        <f>'Share of £1bn'!$F$21*1000*$AO27/$AO$57</f>
        <v>#REF!</v>
      </c>
      <c r="AZ27" s="11" t="e">
        <f>'Share of £1bn'!$F$43*1000*AO27/$AO$57</f>
        <v>#REF!</v>
      </c>
      <c r="BA27" s="11" t="e">
        <f>'Share of £1bn'!$F$50*1000*$AO27/$AO$57</f>
        <v>#REF!</v>
      </c>
      <c r="BB27" s="11" t="e">
        <f>'Share of £1bn'!$F$44*1000*AO27/$AO$57</f>
        <v>#REF!</v>
      </c>
      <c r="BD27" s="11" t="e">
        <f>'Share of £1bn'!$F$67*1000*AO27/$AO$57</f>
        <v>#REF!</v>
      </c>
      <c r="BF27" s="11">
        <f>SUMIFS('20-11 M6 deficits'!$BO:$BO,'20-11 M6 deficits'!$C:$C,$C27)*1000</f>
        <v>-10000</v>
      </c>
      <c r="BH27" s="11" t="e">
        <f t="shared" si="22"/>
        <v>#REF!</v>
      </c>
      <c r="BI27" s="11" t="e">
        <f t="shared" si="23"/>
        <v>#REF!</v>
      </c>
      <c r="BJ27" s="11" t="e">
        <f t="shared" si="24"/>
        <v>#REF!</v>
      </c>
      <c r="BK27" s="11" t="e">
        <f t="shared" si="25"/>
        <v>#REF!</v>
      </c>
      <c r="BL27" s="11" t="e">
        <f t="shared" si="26"/>
        <v>#REF!</v>
      </c>
      <c r="BN27" s="11" t="e">
        <f t="shared" si="27"/>
        <v>#REF!</v>
      </c>
      <c r="BO27" s="11" t="e">
        <f t="shared" si="28"/>
        <v>#REF!</v>
      </c>
      <c r="BP27" s="11" t="e">
        <f t="shared" si="29"/>
        <v>#REF!</v>
      </c>
      <c r="BQ27" s="11" t="e">
        <f t="shared" si="30"/>
        <v>#REF!</v>
      </c>
      <c r="BR27" s="11" t="e">
        <f t="shared" si="31"/>
        <v>#REF!</v>
      </c>
      <c r="BT27" s="11" t="e">
        <f t="shared" si="32"/>
        <v>#REF!</v>
      </c>
      <c r="BU27" s="11" t="e">
        <f t="shared" si="33"/>
        <v>#REF!</v>
      </c>
      <c r="BV27" s="11" t="e">
        <f t="shared" si="34"/>
        <v>#REF!</v>
      </c>
      <c r="BW27" s="11" t="e">
        <f t="shared" si="35"/>
        <v>#REF!</v>
      </c>
      <c r="BX27" s="11" t="e">
        <f t="shared" si="36"/>
        <v>#REF!</v>
      </c>
      <c r="BZ27" s="11" t="e">
        <f t="shared" si="37"/>
        <v>#REF!</v>
      </c>
      <c r="CA27" s="11" t="e">
        <f t="shared" si="38"/>
        <v>#REF!</v>
      </c>
      <c r="CB27" s="11" t="e">
        <f t="shared" si="39"/>
        <v>#REF!</v>
      </c>
      <c r="CC27" s="11" t="e">
        <f t="shared" si="40"/>
        <v>#REF!</v>
      </c>
      <c r="CD27" s="11" t="e">
        <f t="shared" si="41"/>
        <v>#REF!</v>
      </c>
      <c r="CF27" s="11" t="e">
        <f t="shared" si="42"/>
        <v>#REF!</v>
      </c>
      <c r="CG27" s="11" t="e">
        <f t="shared" si="43"/>
        <v>#REF!</v>
      </c>
      <c r="CH27" s="11" t="e">
        <f t="shared" si="44"/>
        <v>#REF!</v>
      </c>
      <c r="CI27" s="11" t="e">
        <f t="shared" si="45"/>
        <v>#REF!</v>
      </c>
      <c r="CJ27" s="11" t="e">
        <f t="shared" si="46"/>
        <v>#REF!</v>
      </c>
      <c r="CM27" s="209">
        <f t="shared" si="47"/>
        <v>6.3257222982620754E-3</v>
      </c>
      <c r="CN27" s="209" t="e">
        <f t="shared" si="48"/>
        <v>#REF!</v>
      </c>
      <c r="CO27" s="209" t="e">
        <f t="shared" si="49"/>
        <v>#REF!</v>
      </c>
      <c r="CP27" s="209" t="e">
        <f t="shared" si="50"/>
        <v>#REF!</v>
      </c>
      <c r="CQ27" s="209" t="e">
        <f t="shared" si="51"/>
        <v>#REF!</v>
      </c>
    </row>
    <row r="28" spans="1:95" x14ac:dyDescent="0.25">
      <c r="A28" s="15" t="s">
        <v>58</v>
      </c>
      <c r="B28" s="16" t="s">
        <v>59</v>
      </c>
      <c r="C28" s="17" t="s">
        <v>70</v>
      </c>
      <c r="D28" s="17" t="s">
        <v>71</v>
      </c>
      <c r="E28" s="18">
        <f>SUMIFS('ICB Core Baseline 2024-25'!Q:Q,'ICB Core Baseline 2024-25'!C:C,C28)</f>
        <v>1765011.2948444334</v>
      </c>
      <c r="F28" s="44" t="e">
        <f>SUMIFS(#REF!,#REF!,C28)</f>
        <v>#REF!</v>
      </c>
      <c r="H28" s="44" t="e">
        <f>SUMIFS(#REF!,#REF!,C28)</f>
        <v>#REF!</v>
      </c>
      <c r="I28" s="44" t="e">
        <f t="shared" si="6"/>
        <v>#REF!</v>
      </c>
      <c r="J28" s="44" t="e">
        <f t="shared" si="7"/>
        <v>#REF!</v>
      </c>
      <c r="K28" s="18" t="e">
        <f t="shared" si="0"/>
        <v>#REF!</v>
      </c>
      <c r="L28" s="18" t="e">
        <f t="shared" si="1"/>
        <v>#REF!</v>
      </c>
      <c r="M28" s="44" t="e">
        <f>SUMIFS(#REF!,#REF!,C28)</f>
        <v>#REF!</v>
      </c>
      <c r="N28" s="18" t="e">
        <f t="shared" si="2"/>
        <v>#REF!</v>
      </c>
      <c r="O28" s="44" t="e">
        <f t="shared" si="8"/>
        <v>#REF!</v>
      </c>
      <c r="P28" s="18" t="e">
        <f t="shared" si="3"/>
        <v>#REF!</v>
      </c>
      <c r="Q28" s="18" t="e">
        <f t="shared" si="9"/>
        <v>#REF!</v>
      </c>
      <c r="R28" s="18" t="e">
        <f t="shared" si="4"/>
        <v>#REF!</v>
      </c>
      <c r="S28" s="18" t="e">
        <f>(SUMIFS(#REF!,#REF!,C28)/SUMIFS(#REF!,#REF!,C28))*1000</f>
        <v>#REF!</v>
      </c>
      <c r="T28" s="18" t="e">
        <f t="shared" si="10"/>
        <v>#REF!</v>
      </c>
      <c r="U28" s="18"/>
      <c r="V28" s="18" t="e">
        <f t="shared" si="11"/>
        <v>#REF!</v>
      </c>
      <c r="W28" s="18" t="e">
        <f t="shared" si="12"/>
        <v>#REF!</v>
      </c>
      <c r="X28" s="44" t="e">
        <f t="shared" si="13"/>
        <v>#REF!</v>
      </c>
      <c r="Y28" s="44" t="e">
        <f ca="1">OFFSET(#REF!,MATCH(C28,#REF!,0)+1,0)</f>
        <v>#REF!</v>
      </c>
      <c r="Z28" s="44" t="e">
        <f t="shared" ca="1" si="14"/>
        <v>#REF!</v>
      </c>
      <c r="AA28" s="44" t="e">
        <f t="shared" si="5"/>
        <v>#REF!</v>
      </c>
      <c r="AB28" s="18" t="e">
        <f>SUMIFS(#REF!,#REF!,C28)/(1+1.8%)*(1+1.8%+2.3%)</f>
        <v>#REF!</v>
      </c>
      <c r="AC28" s="18" t="e">
        <f t="shared" si="15"/>
        <v>#REF!</v>
      </c>
      <c r="AD28" s="65"/>
      <c r="AE28" s="18" t="e">
        <f>(SUMIFS(#REF!,#REF!,C28)/(1+1.8%))*(1+1.8%+2.3%)</f>
        <v>#REF!</v>
      </c>
      <c r="AF28" s="18" t="e">
        <f>-SUMIFS(#REF!,#REF!,C28)/1000</f>
        <v>#REF!</v>
      </c>
      <c r="AG28" s="18" t="e">
        <f>SUMIFS(#REF!,#REF!,C28)</f>
        <v>#REF!</v>
      </c>
      <c r="AH28" s="18" t="e">
        <f>SUMIFS(#REF!,#REF!,C28)</f>
        <v>#REF!</v>
      </c>
      <c r="AI28" s="18" t="e">
        <f>SUMIFS(#REF!,#REF!,C28)</f>
        <v>#REF!</v>
      </c>
      <c r="AJ28" s="18" t="e">
        <f>SUMIFS(#REF!,#REF!,C28)</f>
        <v>#REF!</v>
      </c>
      <c r="AK28" s="18"/>
      <c r="AL28" s="18" t="e">
        <f t="shared" si="16"/>
        <v>#REF!</v>
      </c>
      <c r="AN28" s="18" t="e">
        <f t="shared" si="17"/>
        <v>#REF!</v>
      </c>
      <c r="AO28" s="18" t="e">
        <f t="shared" si="18"/>
        <v>#REF!</v>
      </c>
      <c r="AQ28" s="18" t="e">
        <f t="shared" si="19"/>
        <v>#REF!</v>
      </c>
      <c r="AS28" s="44" t="e">
        <f t="shared" si="20"/>
        <v>#REF!</v>
      </c>
      <c r="AT28" s="18" t="e">
        <f t="shared" si="21"/>
        <v>#REF!</v>
      </c>
      <c r="AV28" s="18" t="e">
        <f>'Share of £1bn'!$F$20*1000*$AO28/$AO$57</f>
        <v>#REF!</v>
      </c>
      <c r="AW28" s="18" t="e">
        <f>'Share of £1bn'!$F$27*1000*$AO28/$AO$57</f>
        <v>#REF!</v>
      </c>
      <c r="AX28" s="18" t="e">
        <f>'Share of £1bn'!$F$21*1000*$AO28/$AO$57</f>
        <v>#REF!</v>
      </c>
      <c r="AZ28" s="18" t="e">
        <f>'Share of £1bn'!$F$43*1000*AO28/$AO$57</f>
        <v>#REF!</v>
      </c>
      <c r="BA28" s="18" t="e">
        <f>'Share of £1bn'!$F$50*1000*$AO28/$AO$57</f>
        <v>#REF!</v>
      </c>
      <c r="BB28" s="18" t="e">
        <f>'Share of £1bn'!$F$44*1000*AO28/$AO$57</f>
        <v>#REF!</v>
      </c>
      <c r="BD28" s="18" t="e">
        <f>'Share of £1bn'!$F$67*1000*AO28/$AO$57</f>
        <v>#REF!</v>
      </c>
      <c r="BF28" s="11">
        <f>SUMIFS('20-11 M6 deficits'!$BO:$BO,'20-11 M6 deficits'!$C:$C,$C28)*1000</f>
        <v>0</v>
      </c>
      <c r="BH28" s="18" t="e">
        <f t="shared" si="22"/>
        <v>#REF!</v>
      </c>
      <c r="BI28" s="18" t="e">
        <f t="shared" si="23"/>
        <v>#REF!</v>
      </c>
      <c r="BJ28" s="18" t="e">
        <f t="shared" si="24"/>
        <v>#REF!</v>
      </c>
      <c r="BK28" s="18" t="e">
        <f t="shared" si="25"/>
        <v>#REF!</v>
      </c>
      <c r="BL28" s="18" t="e">
        <f t="shared" si="26"/>
        <v>#REF!</v>
      </c>
      <c r="BN28" s="18" t="e">
        <f t="shared" si="27"/>
        <v>#REF!</v>
      </c>
      <c r="BO28" s="18" t="e">
        <f t="shared" si="28"/>
        <v>#REF!</v>
      </c>
      <c r="BP28" s="18" t="e">
        <f t="shared" si="29"/>
        <v>#REF!</v>
      </c>
      <c r="BQ28" s="18" t="e">
        <f t="shared" si="30"/>
        <v>#REF!</v>
      </c>
      <c r="BR28" s="18" t="e">
        <f t="shared" si="31"/>
        <v>#REF!</v>
      </c>
      <c r="BT28" s="18" t="e">
        <f t="shared" si="32"/>
        <v>#REF!</v>
      </c>
      <c r="BU28" s="18" t="e">
        <f t="shared" si="33"/>
        <v>#REF!</v>
      </c>
      <c r="BV28" s="18" t="e">
        <f t="shared" si="34"/>
        <v>#REF!</v>
      </c>
      <c r="BW28" s="18" t="e">
        <f t="shared" si="35"/>
        <v>#REF!</v>
      </c>
      <c r="BX28" s="18" t="e">
        <f t="shared" si="36"/>
        <v>#REF!</v>
      </c>
      <c r="BZ28" s="18" t="e">
        <f t="shared" si="37"/>
        <v>#REF!</v>
      </c>
      <c r="CA28" s="18" t="e">
        <f t="shared" si="38"/>
        <v>#REF!</v>
      </c>
      <c r="CB28" s="18" t="e">
        <f t="shared" si="39"/>
        <v>#REF!</v>
      </c>
      <c r="CC28" s="18" t="e">
        <f t="shared" si="40"/>
        <v>#REF!</v>
      </c>
      <c r="CD28" s="18" t="e">
        <f t="shared" si="41"/>
        <v>#REF!</v>
      </c>
      <c r="CF28" s="18" t="e">
        <f t="shared" si="42"/>
        <v>#REF!</v>
      </c>
      <c r="CG28" s="18" t="e">
        <f t="shared" si="43"/>
        <v>#REF!</v>
      </c>
      <c r="CH28" s="18" t="e">
        <f t="shared" si="44"/>
        <v>#REF!</v>
      </c>
      <c r="CI28" s="18" t="e">
        <f t="shared" si="45"/>
        <v>#REF!</v>
      </c>
      <c r="CJ28" s="18" t="e">
        <f t="shared" si="46"/>
        <v>#REF!</v>
      </c>
      <c r="CM28" s="209">
        <f t="shared" si="47"/>
        <v>0</v>
      </c>
      <c r="CN28" s="209" t="e">
        <f t="shared" si="48"/>
        <v>#REF!</v>
      </c>
      <c r="CO28" s="209" t="e">
        <f t="shared" si="49"/>
        <v>#REF!</v>
      </c>
      <c r="CP28" s="209" t="e">
        <f t="shared" si="50"/>
        <v>#REF!</v>
      </c>
      <c r="CQ28" s="209" t="e">
        <f t="shared" si="51"/>
        <v>#REF!</v>
      </c>
    </row>
    <row r="29" spans="1:95" x14ac:dyDescent="0.25">
      <c r="A29" s="10" t="s">
        <v>72</v>
      </c>
      <c r="B29" s="4" t="s">
        <v>73</v>
      </c>
      <c r="C29" s="4" t="s">
        <v>74</v>
      </c>
      <c r="D29" s="4" t="s">
        <v>75</v>
      </c>
      <c r="E29" s="11">
        <f>SUMIFS('ICB Core Baseline 2024-25'!Q:Q,'ICB Core Baseline 2024-25'!C:C,C29)</f>
        <v>2837571.0307440353</v>
      </c>
      <c r="F29" s="43" t="e">
        <f>SUMIFS(#REF!,#REF!,C29)</f>
        <v>#REF!</v>
      </c>
      <c r="H29" s="43" t="e">
        <f>SUMIFS(#REF!,#REF!,C29)</f>
        <v>#REF!</v>
      </c>
      <c r="I29" s="43" t="e">
        <f t="shared" si="6"/>
        <v>#REF!</v>
      </c>
      <c r="J29" s="43" t="e">
        <f t="shared" si="7"/>
        <v>#REF!</v>
      </c>
      <c r="K29" s="11" t="e">
        <f t="shared" si="0"/>
        <v>#REF!</v>
      </c>
      <c r="L29" s="11" t="e">
        <f t="shared" si="1"/>
        <v>#REF!</v>
      </c>
      <c r="M29" s="43" t="e">
        <f>SUMIFS(#REF!,#REF!,C29)</f>
        <v>#REF!</v>
      </c>
      <c r="N29" s="11" t="e">
        <f t="shared" si="2"/>
        <v>#REF!</v>
      </c>
      <c r="O29" s="43" t="e">
        <f t="shared" si="8"/>
        <v>#REF!</v>
      </c>
      <c r="P29" s="11" t="e">
        <f t="shared" si="3"/>
        <v>#REF!</v>
      </c>
      <c r="Q29" s="11" t="e">
        <f t="shared" si="9"/>
        <v>#REF!</v>
      </c>
      <c r="R29" s="11" t="e">
        <f t="shared" si="4"/>
        <v>#REF!</v>
      </c>
      <c r="S29" s="11" t="e">
        <f>(SUMIFS(#REF!,#REF!,C29)/SUMIFS(#REF!,#REF!,C29))*1000</f>
        <v>#REF!</v>
      </c>
      <c r="T29" s="11" t="e">
        <f t="shared" si="10"/>
        <v>#REF!</v>
      </c>
      <c r="U29" s="11"/>
      <c r="V29" s="11" t="e">
        <f t="shared" si="11"/>
        <v>#REF!</v>
      </c>
      <c r="W29" s="11" t="e">
        <f t="shared" si="12"/>
        <v>#REF!</v>
      </c>
      <c r="X29" s="43" t="e">
        <f t="shared" si="13"/>
        <v>#REF!</v>
      </c>
      <c r="Y29" s="43" t="e">
        <f ca="1">OFFSET(#REF!,MATCH(C29,#REF!,0)+1,0)</f>
        <v>#REF!</v>
      </c>
      <c r="Z29" s="43" t="e">
        <f t="shared" ca="1" si="14"/>
        <v>#REF!</v>
      </c>
      <c r="AA29" s="43" t="e">
        <f t="shared" si="5"/>
        <v>#REF!</v>
      </c>
      <c r="AB29" s="11" t="e">
        <f>SUMIFS(#REF!,#REF!,C29)/(1+1.8%)*(1+1.8%+2.3%)</f>
        <v>#REF!</v>
      </c>
      <c r="AC29" s="11" t="e">
        <f t="shared" si="15"/>
        <v>#REF!</v>
      </c>
      <c r="AD29" s="64"/>
      <c r="AE29" s="11" t="e">
        <f>(SUMIFS(#REF!,#REF!,C29)/(1+1.8%))*(1+1.8%+2.3%)</f>
        <v>#REF!</v>
      </c>
      <c r="AF29" s="11" t="e">
        <f>-SUMIFS(#REF!,#REF!,C29)/1000</f>
        <v>#REF!</v>
      </c>
      <c r="AG29" s="11" t="e">
        <f>SUMIFS(#REF!,#REF!,C29)</f>
        <v>#REF!</v>
      </c>
      <c r="AH29" s="11" t="e">
        <f>SUMIFS(#REF!,#REF!,C29)</f>
        <v>#REF!</v>
      </c>
      <c r="AI29" s="11" t="e">
        <f>SUMIFS(#REF!,#REF!,C29)</f>
        <v>#REF!</v>
      </c>
      <c r="AJ29" s="11" t="e">
        <f>SUMIFS(#REF!,#REF!,C29)</f>
        <v>#REF!</v>
      </c>
      <c r="AK29" s="11"/>
      <c r="AL29" s="11" t="e">
        <f t="shared" si="16"/>
        <v>#REF!</v>
      </c>
      <c r="AN29" s="11" t="e">
        <f t="shared" si="17"/>
        <v>#REF!</v>
      </c>
      <c r="AO29" s="11" t="e">
        <f t="shared" si="18"/>
        <v>#REF!</v>
      </c>
      <c r="AQ29" s="11" t="e">
        <f t="shared" si="19"/>
        <v>#REF!</v>
      </c>
      <c r="AS29" s="43" t="e">
        <f t="shared" si="20"/>
        <v>#REF!</v>
      </c>
      <c r="AT29" s="11" t="e">
        <f t="shared" si="21"/>
        <v>#REF!</v>
      </c>
      <c r="AV29" s="11" t="e">
        <f>'Share of £1bn'!$F$20*1000*$AO29/$AO$57</f>
        <v>#REF!</v>
      </c>
      <c r="AW29" s="11" t="e">
        <f>'Share of £1bn'!$F$27*1000*$AO29/$AO$57</f>
        <v>#REF!</v>
      </c>
      <c r="AX29" s="11" t="e">
        <f>'Share of £1bn'!$F$21*1000*$AO29/$AO$57</f>
        <v>#REF!</v>
      </c>
      <c r="AZ29" s="11" t="e">
        <f>'Share of £1bn'!$F$43*1000*AO29/$AO$57</f>
        <v>#REF!</v>
      </c>
      <c r="BA29" s="11" t="e">
        <f>'Share of £1bn'!$F$50*1000*$AO29/$AO$57</f>
        <v>#REF!</v>
      </c>
      <c r="BB29" s="11" t="e">
        <f>'Share of £1bn'!$F$44*1000*AO29/$AO$57</f>
        <v>#REF!</v>
      </c>
      <c r="BD29" s="11" t="e">
        <f>'Share of £1bn'!$F$67*1000*AO29/$AO$57</f>
        <v>#REF!</v>
      </c>
      <c r="BF29" s="11">
        <f>SUMIFS('20-11 M6 deficits'!$BO:$BO,'20-11 M6 deficits'!$C:$C,$C29)*1000</f>
        <v>0</v>
      </c>
      <c r="BH29" s="11" t="e">
        <f t="shared" si="22"/>
        <v>#REF!</v>
      </c>
      <c r="BI29" s="11" t="e">
        <f t="shared" si="23"/>
        <v>#REF!</v>
      </c>
      <c r="BJ29" s="11" t="e">
        <f t="shared" si="24"/>
        <v>#REF!</v>
      </c>
      <c r="BK29" s="11" t="e">
        <f t="shared" si="25"/>
        <v>#REF!</v>
      </c>
      <c r="BL29" s="11" t="e">
        <f t="shared" si="26"/>
        <v>#REF!</v>
      </c>
      <c r="BN29" s="11" t="e">
        <f t="shared" si="27"/>
        <v>#REF!</v>
      </c>
      <c r="BO29" s="11" t="e">
        <f t="shared" si="28"/>
        <v>#REF!</v>
      </c>
      <c r="BP29" s="11" t="e">
        <f t="shared" si="29"/>
        <v>#REF!</v>
      </c>
      <c r="BQ29" s="11" t="e">
        <f t="shared" si="30"/>
        <v>#REF!</v>
      </c>
      <c r="BR29" s="11" t="e">
        <f t="shared" si="31"/>
        <v>#REF!</v>
      </c>
      <c r="BT29" s="11" t="e">
        <f t="shared" si="32"/>
        <v>#REF!</v>
      </c>
      <c r="BU29" s="11" t="e">
        <f t="shared" si="33"/>
        <v>#REF!</v>
      </c>
      <c r="BV29" s="11" t="e">
        <f t="shared" si="34"/>
        <v>#REF!</v>
      </c>
      <c r="BW29" s="11" t="e">
        <f t="shared" si="35"/>
        <v>#REF!</v>
      </c>
      <c r="BX29" s="11" t="e">
        <f t="shared" si="36"/>
        <v>#REF!</v>
      </c>
      <c r="BZ29" s="11" t="e">
        <f t="shared" si="37"/>
        <v>#REF!</v>
      </c>
      <c r="CA29" s="11" t="e">
        <f t="shared" si="38"/>
        <v>#REF!</v>
      </c>
      <c r="CB29" s="11" t="e">
        <f t="shared" si="39"/>
        <v>#REF!</v>
      </c>
      <c r="CC29" s="11" t="e">
        <f t="shared" si="40"/>
        <v>#REF!</v>
      </c>
      <c r="CD29" s="11" t="e">
        <f t="shared" si="41"/>
        <v>#REF!</v>
      </c>
      <c r="CF29" s="11" t="e">
        <f t="shared" si="42"/>
        <v>#REF!</v>
      </c>
      <c r="CG29" s="11" t="e">
        <f t="shared" si="43"/>
        <v>#REF!</v>
      </c>
      <c r="CH29" s="11" t="e">
        <f t="shared" si="44"/>
        <v>#REF!</v>
      </c>
      <c r="CI29" s="11" t="e">
        <f t="shared" si="45"/>
        <v>#REF!</v>
      </c>
      <c r="CJ29" s="11" t="e">
        <f t="shared" si="46"/>
        <v>#REF!</v>
      </c>
      <c r="CM29" s="209">
        <f t="shared" si="47"/>
        <v>0</v>
      </c>
      <c r="CN29" s="209" t="e">
        <f t="shared" si="48"/>
        <v>#REF!</v>
      </c>
      <c r="CO29" s="209" t="e">
        <f t="shared" si="49"/>
        <v>#REF!</v>
      </c>
      <c r="CP29" s="209" t="e">
        <f t="shared" si="50"/>
        <v>#REF!</v>
      </c>
      <c r="CQ29" s="209" t="e">
        <f t="shared" si="51"/>
        <v>#REF!</v>
      </c>
    </row>
    <row r="30" spans="1:95" x14ac:dyDescent="0.25">
      <c r="A30" s="13" t="s">
        <v>72</v>
      </c>
      <c r="B30" s="14" t="s">
        <v>73</v>
      </c>
      <c r="C30" s="4" t="s">
        <v>76</v>
      </c>
      <c r="D30" s="4" t="s">
        <v>77</v>
      </c>
      <c r="E30" s="11">
        <f>SUMIFS('ICB Core Baseline 2024-25'!Q:Q,'ICB Core Baseline 2024-25'!C:C,C30)</f>
        <v>3671431.3138210168</v>
      </c>
      <c r="F30" s="43" t="e">
        <f>SUMIFS(#REF!,#REF!,C30)</f>
        <v>#REF!</v>
      </c>
      <c r="H30" s="43" t="e">
        <f>SUMIFS(#REF!,#REF!,C30)</f>
        <v>#REF!</v>
      </c>
      <c r="I30" s="43" t="e">
        <f t="shared" si="6"/>
        <v>#REF!</v>
      </c>
      <c r="J30" s="43" t="e">
        <f t="shared" si="7"/>
        <v>#REF!</v>
      </c>
      <c r="K30" s="11" t="e">
        <f t="shared" si="0"/>
        <v>#REF!</v>
      </c>
      <c r="L30" s="11" t="e">
        <f t="shared" si="1"/>
        <v>#REF!</v>
      </c>
      <c r="M30" s="43" t="e">
        <f>SUMIFS(#REF!,#REF!,C30)</f>
        <v>#REF!</v>
      </c>
      <c r="N30" s="11" t="e">
        <f t="shared" si="2"/>
        <v>#REF!</v>
      </c>
      <c r="O30" s="43" t="e">
        <f t="shared" si="8"/>
        <v>#REF!</v>
      </c>
      <c r="P30" s="11" t="e">
        <f t="shared" si="3"/>
        <v>#REF!</v>
      </c>
      <c r="Q30" s="11" t="e">
        <f t="shared" si="9"/>
        <v>#REF!</v>
      </c>
      <c r="R30" s="11" t="e">
        <f t="shared" si="4"/>
        <v>#REF!</v>
      </c>
      <c r="S30" s="11" t="e">
        <f>(SUMIFS(#REF!,#REF!,C30)/SUMIFS(#REF!,#REF!,C30))*1000</f>
        <v>#REF!</v>
      </c>
      <c r="T30" s="11" t="e">
        <f t="shared" si="10"/>
        <v>#REF!</v>
      </c>
      <c r="U30" s="11"/>
      <c r="V30" s="11" t="e">
        <f t="shared" si="11"/>
        <v>#REF!</v>
      </c>
      <c r="W30" s="11" t="e">
        <f t="shared" si="12"/>
        <v>#REF!</v>
      </c>
      <c r="X30" s="43" t="e">
        <f t="shared" si="13"/>
        <v>#REF!</v>
      </c>
      <c r="Y30" s="43" t="e">
        <f ca="1">OFFSET(#REF!,MATCH(C30,#REF!,0)+1,0)</f>
        <v>#REF!</v>
      </c>
      <c r="Z30" s="43" t="e">
        <f t="shared" ca="1" si="14"/>
        <v>#REF!</v>
      </c>
      <c r="AA30" s="43" t="e">
        <f t="shared" si="5"/>
        <v>#REF!</v>
      </c>
      <c r="AB30" s="11" t="e">
        <f>SUMIFS(#REF!,#REF!,C30)/(1+1.8%)*(1+1.8%+2.3%)</f>
        <v>#REF!</v>
      </c>
      <c r="AC30" s="11" t="e">
        <f t="shared" si="15"/>
        <v>#REF!</v>
      </c>
      <c r="AD30" s="64"/>
      <c r="AE30" s="11" t="e">
        <f>(SUMIFS(#REF!,#REF!,C30)/(1+1.8%))*(1+1.8%+2.3%)</f>
        <v>#REF!</v>
      </c>
      <c r="AF30" s="11" t="e">
        <f>-SUMIFS(#REF!,#REF!,C30)/1000</f>
        <v>#REF!</v>
      </c>
      <c r="AG30" s="11" t="e">
        <f>SUMIFS(#REF!,#REF!,C30)</f>
        <v>#REF!</v>
      </c>
      <c r="AH30" s="11" t="e">
        <f>SUMIFS(#REF!,#REF!,C30)</f>
        <v>#REF!</v>
      </c>
      <c r="AI30" s="11" t="e">
        <f>SUMIFS(#REF!,#REF!,C30)</f>
        <v>#REF!</v>
      </c>
      <c r="AJ30" s="11" t="e">
        <f>SUMIFS(#REF!,#REF!,C30)</f>
        <v>#REF!</v>
      </c>
      <c r="AK30" s="11"/>
      <c r="AL30" s="11" t="e">
        <f t="shared" si="16"/>
        <v>#REF!</v>
      </c>
      <c r="AN30" s="11" t="e">
        <f t="shared" si="17"/>
        <v>#REF!</v>
      </c>
      <c r="AO30" s="11" t="e">
        <f t="shared" si="18"/>
        <v>#REF!</v>
      </c>
      <c r="AQ30" s="11" t="e">
        <f t="shared" si="19"/>
        <v>#REF!</v>
      </c>
      <c r="AS30" s="43" t="e">
        <f t="shared" si="20"/>
        <v>#REF!</v>
      </c>
      <c r="AT30" s="11" t="e">
        <f t="shared" si="21"/>
        <v>#REF!</v>
      </c>
      <c r="AV30" s="11" t="e">
        <f>'Share of £1bn'!$F$20*1000*$AO30/$AO$57</f>
        <v>#REF!</v>
      </c>
      <c r="AW30" s="11" t="e">
        <f>'Share of £1bn'!$F$27*1000*$AO30/$AO$57</f>
        <v>#REF!</v>
      </c>
      <c r="AX30" s="11" t="e">
        <f>'Share of £1bn'!$F$21*1000*$AO30/$AO$57</f>
        <v>#REF!</v>
      </c>
      <c r="AZ30" s="11" t="e">
        <f>'Share of £1bn'!$F$43*1000*AO30/$AO$57</f>
        <v>#REF!</v>
      </c>
      <c r="BA30" s="11" t="e">
        <f>'Share of £1bn'!$F$50*1000*$AO30/$AO$57</f>
        <v>#REF!</v>
      </c>
      <c r="BB30" s="11" t="e">
        <f>'Share of £1bn'!$F$44*1000*AO30/$AO$57</f>
        <v>#REF!</v>
      </c>
      <c r="BD30" s="11" t="e">
        <f>'Share of £1bn'!$F$67*1000*AO30/$AO$57</f>
        <v>#REF!</v>
      </c>
      <c r="BF30" s="11">
        <f>SUMIFS('20-11 M6 deficits'!$BO:$BO,'20-11 M6 deficits'!$C:$C,$C30)*1000</f>
        <v>-25000</v>
      </c>
      <c r="BH30" s="11" t="e">
        <f t="shared" si="22"/>
        <v>#REF!</v>
      </c>
      <c r="BI30" s="11" t="e">
        <f t="shared" si="23"/>
        <v>#REF!</v>
      </c>
      <c r="BJ30" s="11" t="e">
        <f t="shared" si="24"/>
        <v>#REF!</v>
      </c>
      <c r="BK30" s="11" t="e">
        <f t="shared" si="25"/>
        <v>#REF!</v>
      </c>
      <c r="BL30" s="11" t="e">
        <f t="shared" si="26"/>
        <v>#REF!</v>
      </c>
      <c r="BN30" s="11" t="e">
        <f t="shared" si="27"/>
        <v>#REF!</v>
      </c>
      <c r="BO30" s="11" t="e">
        <f t="shared" si="28"/>
        <v>#REF!</v>
      </c>
      <c r="BP30" s="11" t="e">
        <f t="shared" si="29"/>
        <v>#REF!</v>
      </c>
      <c r="BQ30" s="11" t="e">
        <f t="shared" si="30"/>
        <v>#REF!</v>
      </c>
      <c r="BR30" s="11" t="e">
        <f t="shared" si="31"/>
        <v>#REF!</v>
      </c>
      <c r="BT30" s="11" t="e">
        <f t="shared" si="32"/>
        <v>#REF!</v>
      </c>
      <c r="BU30" s="11" t="e">
        <f t="shared" si="33"/>
        <v>#REF!</v>
      </c>
      <c r="BV30" s="11" t="e">
        <f t="shared" si="34"/>
        <v>#REF!</v>
      </c>
      <c r="BW30" s="11" t="e">
        <f t="shared" si="35"/>
        <v>#REF!</v>
      </c>
      <c r="BX30" s="11" t="e">
        <f t="shared" si="36"/>
        <v>#REF!</v>
      </c>
      <c r="BZ30" s="11" t="e">
        <f t="shared" si="37"/>
        <v>#REF!</v>
      </c>
      <c r="CA30" s="11" t="e">
        <f t="shared" si="38"/>
        <v>#REF!</v>
      </c>
      <c r="CB30" s="11" t="e">
        <f t="shared" si="39"/>
        <v>#REF!</v>
      </c>
      <c r="CC30" s="11" t="e">
        <f t="shared" si="40"/>
        <v>#REF!</v>
      </c>
      <c r="CD30" s="11" t="e">
        <f t="shared" si="41"/>
        <v>#REF!</v>
      </c>
      <c r="CF30" s="11" t="e">
        <f t="shared" si="42"/>
        <v>#REF!</v>
      </c>
      <c r="CG30" s="11" t="e">
        <f t="shared" si="43"/>
        <v>#REF!</v>
      </c>
      <c r="CH30" s="11" t="e">
        <f t="shared" si="44"/>
        <v>#REF!</v>
      </c>
      <c r="CI30" s="11" t="e">
        <f t="shared" si="45"/>
        <v>#REF!</v>
      </c>
      <c r="CJ30" s="11" t="e">
        <f t="shared" si="46"/>
        <v>#REF!</v>
      </c>
      <c r="CM30" s="209">
        <f t="shared" si="47"/>
        <v>1.5814305745655188E-2</v>
      </c>
      <c r="CN30" s="209" t="e">
        <f t="shared" si="48"/>
        <v>#REF!</v>
      </c>
      <c r="CO30" s="209" t="e">
        <f t="shared" si="49"/>
        <v>#REF!</v>
      </c>
      <c r="CP30" s="209" t="e">
        <f t="shared" si="50"/>
        <v>#REF!</v>
      </c>
      <c r="CQ30" s="209" t="e">
        <f t="shared" si="51"/>
        <v>#REF!</v>
      </c>
    </row>
    <row r="31" spans="1:95" x14ac:dyDescent="0.25">
      <c r="A31" s="13" t="s">
        <v>72</v>
      </c>
      <c r="B31" s="14" t="s">
        <v>73</v>
      </c>
      <c r="C31" s="4" t="s">
        <v>78</v>
      </c>
      <c r="D31" s="4" t="s">
        <v>79</v>
      </c>
      <c r="E31" s="11">
        <f>SUMIFS('ICB Core Baseline 2024-25'!Q:Q,'ICB Core Baseline 2024-25'!C:C,C31)</f>
        <v>4091956.0059199715</v>
      </c>
      <c r="F31" s="43" t="e">
        <f>SUMIFS(#REF!,#REF!,C31)</f>
        <v>#REF!</v>
      </c>
      <c r="H31" s="43" t="e">
        <f>SUMIFS(#REF!,#REF!,C31)</f>
        <v>#REF!</v>
      </c>
      <c r="I31" s="43" t="e">
        <f t="shared" si="6"/>
        <v>#REF!</v>
      </c>
      <c r="J31" s="43" t="e">
        <f t="shared" si="7"/>
        <v>#REF!</v>
      </c>
      <c r="K31" s="11" t="e">
        <f t="shared" si="0"/>
        <v>#REF!</v>
      </c>
      <c r="L31" s="11" t="e">
        <f t="shared" si="1"/>
        <v>#REF!</v>
      </c>
      <c r="M31" s="43" t="e">
        <f>SUMIFS(#REF!,#REF!,C31)</f>
        <v>#REF!</v>
      </c>
      <c r="N31" s="11" t="e">
        <f t="shared" si="2"/>
        <v>#REF!</v>
      </c>
      <c r="O31" s="43" t="e">
        <f t="shared" si="8"/>
        <v>#REF!</v>
      </c>
      <c r="P31" s="11" t="e">
        <f t="shared" si="3"/>
        <v>#REF!</v>
      </c>
      <c r="Q31" s="11" t="e">
        <f t="shared" si="9"/>
        <v>#REF!</v>
      </c>
      <c r="R31" s="11" t="e">
        <f t="shared" si="4"/>
        <v>#REF!</v>
      </c>
      <c r="S31" s="11" t="e">
        <f>(SUMIFS(#REF!,#REF!,C31)/SUMIFS(#REF!,#REF!,C31))*1000</f>
        <v>#REF!</v>
      </c>
      <c r="T31" s="11" t="e">
        <f t="shared" si="10"/>
        <v>#REF!</v>
      </c>
      <c r="U31" s="11"/>
      <c r="V31" s="11" t="e">
        <f t="shared" si="11"/>
        <v>#REF!</v>
      </c>
      <c r="W31" s="11" t="e">
        <f t="shared" si="12"/>
        <v>#REF!</v>
      </c>
      <c r="X31" s="43" t="e">
        <f t="shared" si="13"/>
        <v>#REF!</v>
      </c>
      <c r="Y31" s="43" t="e">
        <f ca="1">OFFSET(#REF!,MATCH(C31,#REF!,0)+1,0)</f>
        <v>#REF!</v>
      </c>
      <c r="Z31" s="43" t="e">
        <f t="shared" ca="1" si="14"/>
        <v>#REF!</v>
      </c>
      <c r="AA31" s="43" t="e">
        <f t="shared" si="5"/>
        <v>#REF!</v>
      </c>
      <c r="AB31" s="11" t="e">
        <f>SUMIFS(#REF!,#REF!,C31)/(1+1.8%)*(1+1.8%+2.3%)</f>
        <v>#REF!</v>
      </c>
      <c r="AC31" s="11" t="e">
        <f t="shared" si="15"/>
        <v>#REF!</v>
      </c>
      <c r="AD31" s="64"/>
      <c r="AE31" s="11" t="e">
        <f>(SUMIFS(#REF!,#REF!,C31)/(1+1.8%))*(1+1.8%+2.3%)</f>
        <v>#REF!</v>
      </c>
      <c r="AF31" s="11" t="e">
        <f>-SUMIFS(#REF!,#REF!,C31)/1000</f>
        <v>#REF!</v>
      </c>
      <c r="AG31" s="11" t="e">
        <f>SUMIFS(#REF!,#REF!,C31)</f>
        <v>#REF!</v>
      </c>
      <c r="AH31" s="11" t="e">
        <f>SUMIFS(#REF!,#REF!,C31)</f>
        <v>#REF!</v>
      </c>
      <c r="AI31" s="11" t="e">
        <f>SUMIFS(#REF!,#REF!,C31)</f>
        <v>#REF!</v>
      </c>
      <c r="AJ31" s="11" t="e">
        <f>SUMIFS(#REF!,#REF!,C31)</f>
        <v>#REF!</v>
      </c>
      <c r="AK31" s="11"/>
      <c r="AL31" s="11" t="e">
        <f t="shared" si="16"/>
        <v>#REF!</v>
      </c>
      <c r="AN31" s="11" t="e">
        <f t="shared" si="17"/>
        <v>#REF!</v>
      </c>
      <c r="AO31" s="11" t="e">
        <f t="shared" si="18"/>
        <v>#REF!</v>
      </c>
      <c r="AQ31" s="11" t="e">
        <f t="shared" si="19"/>
        <v>#REF!</v>
      </c>
      <c r="AS31" s="43" t="e">
        <f t="shared" si="20"/>
        <v>#REF!</v>
      </c>
      <c r="AT31" s="11" t="e">
        <f t="shared" si="21"/>
        <v>#REF!</v>
      </c>
      <c r="AV31" s="11" t="e">
        <f>'Share of £1bn'!$F$20*1000*$AO31/$AO$57</f>
        <v>#REF!</v>
      </c>
      <c r="AW31" s="11" t="e">
        <f>'Share of £1bn'!$F$27*1000*$AO31/$AO$57</f>
        <v>#REF!</v>
      </c>
      <c r="AX31" s="11" t="e">
        <f>'Share of £1bn'!$F$21*1000*$AO31/$AO$57</f>
        <v>#REF!</v>
      </c>
      <c r="AZ31" s="11" t="e">
        <f>'Share of £1bn'!$F$43*1000*AO31/$AO$57</f>
        <v>#REF!</v>
      </c>
      <c r="BA31" s="11" t="e">
        <f>'Share of £1bn'!$F$50*1000*$AO31/$AO$57</f>
        <v>#REF!</v>
      </c>
      <c r="BB31" s="11" t="e">
        <f>'Share of £1bn'!$F$44*1000*AO31/$AO$57</f>
        <v>#REF!</v>
      </c>
      <c r="BD31" s="11" t="e">
        <f>'Share of £1bn'!$F$67*1000*AO31/$AO$57</f>
        <v>#REF!</v>
      </c>
      <c r="BF31" s="11">
        <f>SUMIFS('20-11 M6 deficits'!$BO:$BO,'20-11 M6 deficits'!$C:$C,$C31)*1000</f>
        <v>0</v>
      </c>
      <c r="BH31" s="11" t="e">
        <f t="shared" si="22"/>
        <v>#REF!</v>
      </c>
      <c r="BI31" s="11" t="e">
        <f t="shared" si="23"/>
        <v>#REF!</v>
      </c>
      <c r="BJ31" s="11" t="e">
        <f t="shared" si="24"/>
        <v>#REF!</v>
      </c>
      <c r="BK31" s="11" t="e">
        <f t="shared" si="25"/>
        <v>#REF!</v>
      </c>
      <c r="BL31" s="11" t="e">
        <f t="shared" si="26"/>
        <v>#REF!</v>
      </c>
      <c r="BN31" s="11" t="e">
        <f t="shared" si="27"/>
        <v>#REF!</v>
      </c>
      <c r="BO31" s="11" t="e">
        <f t="shared" si="28"/>
        <v>#REF!</v>
      </c>
      <c r="BP31" s="11" t="e">
        <f t="shared" si="29"/>
        <v>#REF!</v>
      </c>
      <c r="BQ31" s="11" t="e">
        <f t="shared" si="30"/>
        <v>#REF!</v>
      </c>
      <c r="BR31" s="11" t="e">
        <f t="shared" si="31"/>
        <v>#REF!</v>
      </c>
      <c r="BT31" s="11" t="e">
        <f t="shared" si="32"/>
        <v>#REF!</v>
      </c>
      <c r="BU31" s="11" t="e">
        <f t="shared" si="33"/>
        <v>#REF!</v>
      </c>
      <c r="BV31" s="11" t="e">
        <f t="shared" si="34"/>
        <v>#REF!</v>
      </c>
      <c r="BW31" s="11" t="e">
        <f t="shared" si="35"/>
        <v>#REF!</v>
      </c>
      <c r="BX31" s="11" t="e">
        <f t="shared" si="36"/>
        <v>#REF!</v>
      </c>
      <c r="BZ31" s="11" t="e">
        <f t="shared" si="37"/>
        <v>#REF!</v>
      </c>
      <c r="CA31" s="11" t="e">
        <f t="shared" si="38"/>
        <v>#REF!</v>
      </c>
      <c r="CB31" s="11" t="e">
        <f t="shared" si="39"/>
        <v>#REF!</v>
      </c>
      <c r="CC31" s="11" t="e">
        <f t="shared" si="40"/>
        <v>#REF!</v>
      </c>
      <c r="CD31" s="11" t="e">
        <f t="shared" si="41"/>
        <v>#REF!</v>
      </c>
      <c r="CF31" s="11" t="e">
        <f t="shared" si="42"/>
        <v>#REF!</v>
      </c>
      <c r="CG31" s="11" t="e">
        <f t="shared" si="43"/>
        <v>#REF!</v>
      </c>
      <c r="CH31" s="11" t="e">
        <f t="shared" si="44"/>
        <v>#REF!</v>
      </c>
      <c r="CI31" s="11" t="e">
        <f t="shared" si="45"/>
        <v>#REF!</v>
      </c>
      <c r="CJ31" s="11" t="e">
        <f t="shared" si="46"/>
        <v>#REF!</v>
      </c>
      <c r="CM31" s="209">
        <f t="shared" si="47"/>
        <v>0</v>
      </c>
      <c r="CN31" s="209" t="e">
        <f t="shared" si="48"/>
        <v>#REF!</v>
      </c>
      <c r="CO31" s="209" t="e">
        <f t="shared" si="49"/>
        <v>#REF!</v>
      </c>
      <c r="CP31" s="209" t="e">
        <f t="shared" si="50"/>
        <v>#REF!</v>
      </c>
      <c r="CQ31" s="209" t="e">
        <f t="shared" si="51"/>
        <v>#REF!</v>
      </c>
    </row>
    <row r="32" spans="1:95" x14ac:dyDescent="0.25">
      <c r="A32" s="13" t="s">
        <v>72</v>
      </c>
      <c r="B32" s="14" t="s">
        <v>73</v>
      </c>
      <c r="C32" s="4" t="s">
        <v>80</v>
      </c>
      <c r="D32" s="4" t="s">
        <v>81</v>
      </c>
      <c r="E32" s="11">
        <f>SUMIFS('ICB Core Baseline 2024-25'!Q:Q,'ICB Core Baseline 2024-25'!C:C,C32)</f>
        <v>3546989.4042566177</v>
      </c>
      <c r="F32" s="43" t="e">
        <f>SUMIFS(#REF!,#REF!,C32)</f>
        <v>#REF!</v>
      </c>
      <c r="H32" s="43" t="e">
        <f>SUMIFS(#REF!,#REF!,C32)</f>
        <v>#REF!</v>
      </c>
      <c r="I32" s="43" t="e">
        <f t="shared" si="6"/>
        <v>#REF!</v>
      </c>
      <c r="J32" s="43" t="e">
        <f t="shared" si="7"/>
        <v>#REF!</v>
      </c>
      <c r="K32" s="11" t="e">
        <f t="shared" si="0"/>
        <v>#REF!</v>
      </c>
      <c r="L32" s="11" t="e">
        <f t="shared" si="1"/>
        <v>#REF!</v>
      </c>
      <c r="M32" s="43" t="e">
        <f>SUMIFS(#REF!,#REF!,C32)</f>
        <v>#REF!</v>
      </c>
      <c r="N32" s="11" t="e">
        <f t="shared" si="2"/>
        <v>#REF!</v>
      </c>
      <c r="O32" s="43" t="e">
        <f t="shared" si="8"/>
        <v>#REF!</v>
      </c>
      <c r="P32" s="11" t="e">
        <f t="shared" si="3"/>
        <v>#REF!</v>
      </c>
      <c r="Q32" s="11" t="e">
        <f t="shared" si="9"/>
        <v>#REF!</v>
      </c>
      <c r="R32" s="11" t="e">
        <f t="shared" si="4"/>
        <v>#REF!</v>
      </c>
      <c r="S32" s="11" t="e">
        <f>(SUMIFS(#REF!,#REF!,C32)/SUMIFS(#REF!,#REF!,C32))*1000</f>
        <v>#REF!</v>
      </c>
      <c r="T32" s="11" t="e">
        <f t="shared" si="10"/>
        <v>#REF!</v>
      </c>
      <c r="U32" s="11"/>
      <c r="V32" s="11" t="e">
        <f t="shared" si="11"/>
        <v>#REF!</v>
      </c>
      <c r="W32" s="11" t="e">
        <f t="shared" si="12"/>
        <v>#REF!</v>
      </c>
      <c r="X32" s="43" t="e">
        <f t="shared" si="13"/>
        <v>#REF!</v>
      </c>
      <c r="Y32" s="43" t="e">
        <f ca="1">OFFSET(#REF!,MATCH(C32,#REF!,0)+1,0)</f>
        <v>#REF!</v>
      </c>
      <c r="Z32" s="43" t="e">
        <f t="shared" ca="1" si="14"/>
        <v>#REF!</v>
      </c>
      <c r="AA32" s="43" t="e">
        <f t="shared" si="5"/>
        <v>#REF!</v>
      </c>
      <c r="AB32" s="11" t="e">
        <f>SUMIFS(#REF!,#REF!,C32)/(1+1.8%)*(1+1.8%+2.3%)</f>
        <v>#REF!</v>
      </c>
      <c r="AC32" s="11" t="e">
        <f t="shared" si="15"/>
        <v>#REF!</v>
      </c>
      <c r="AD32" s="64"/>
      <c r="AE32" s="11" t="e">
        <f>(SUMIFS(#REF!,#REF!,C32)/(1+1.8%))*(1+1.8%+2.3%)</f>
        <v>#REF!</v>
      </c>
      <c r="AF32" s="11" t="e">
        <f>-SUMIFS(#REF!,#REF!,C32)/1000</f>
        <v>#REF!</v>
      </c>
      <c r="AG32" s="11" t="e">
        <f>SUMIFS(#REF!,#REF!,C32)</f>
        <v>#REF!</v>
      </c>
      <c r="AH32" s="11" t="e">
        <f>SUMIFS(#REF!,#REF!,C32)</f>
        <v>#REF!</v>
      </c>
      <c r="AI32" s="11" t="e">
        <f>SUMIFS(#REF!,#REF!,C32)</f>
        <v>#REF!</v>
      </c>
      <c r="AJ32" s="11" t="e">
        <f>SUMIFS(#REF!,#REF!,C32)</f>
        <v>#REF!</v>
      </c>
      <c r="AK32" s="11"/>
      <c r="AL32" s="11" t="e">
        <f t="shared" si="16"/>
        <v>#REF!</v>
      </c>
      <c r="AN32" s="11" t="e">
        <f t="shared" si="17"/>
        <v>#REF!</v>
      </c>
      <c r="AO32" s="11" t="e">
        <f t="shared" si="18"/>
        <v>#REF!</v>
      </c>
      <c r="AQ32" s="11" t="e">
        <f t="shared" si="19"/>
        <v>#REF!</v>
      </c>
      <c r="AS32" s="43" t="e">
        <f t="shared" si="20"/>
        <v>#REF!</v>
      </c>
      <c r="AT32" s="11" t="e">
        <f t="shared" si="21"/>
        <v>#REF!</v>
      </c>
      <c r="AV32" s="11" t="e">
        <f>'Share of £1bn'!$F$20*1000*$AO32/$AO$57</f>
        <v>#REF!</v>
      </c>
      <c r="AW32" s="11" t="e">
        <f>'Share of £1bn'!$F$27*1000*$AO32/$AO$57</f>
        <v>#REF!</v>
      </c>
      <c r="AX32" s="11" t="e">
        <f>'Share of £1bn'!$F$21*1000*$AO32/$AO$57</f>
        <v>#REF!</v>
      </c>
      <c r="AZ32" s="11" t="e">
        <f>'Share of £1bn'!$F$43*1000*AO32/$AO$57</f>
        <v>#REF!</v>
      </c>
      <c r="BA32" s="11" t="e">
        <f>'Share of £1bn'!$F$50*1000*$AO32/$AO$57</f>
        <v>#REF!</v>
      </c>
      <c r="BB32" s="11" t="e">
        <f>'Share of £1bn'!$F$44*1000*AO32/$AO$57</f>
        <v>#REF!</v>
      </c>
      <c r="BD32" s="11" t="e">
        <f>'Share of £1bn'!$F$67*1000*AO32/$AO$57</f>
        <v>#REF!</v>
      </c>
      <c r="BF32" s="11">
        <f>SUMIFS('20-11 M6 deficits'!$BO:$BO,'20-11 M6 deficits'!$C:$C,$C32)*1000</f>
        <v>0</v>
      </c>
      <c r="BH32" s="11" t="e">
        <f t="shared" si="22"/>
        <v>#REF!</v>
      </c>
      <c r="BI32" s="11" t="e">
        <f t="shared" si="23"/>
        <v>#REF!</v>
      </c>
      <c r="BJ32" s="11" t="e">
        <f t="shared" si="24"/>
        <v>#REF!</v>
      </c>
      <c r="BK32" s="11" t="e">
        <f t="shared" si="25"/>
        <v>#REF!</v>
      </c>
      <c r="BL32" s="11" t="e">
        <f t="shared" si="26"/>
        <v>#REF!</v>
      </c>
      <c r="BN32" s="11" t="e">
        <f t="shared" si="27"/>
        <v>#REF!</v>
      </c>
      <c r="BO32" s="11" t="e">
        <f t="shared" si="28"/>
        <v>#REF!</v>
      </c>
      <c r="BP32" s="11" t="e">
        <f t="shared" si="29"/>
        <v>#REF!</v>
      </c>
      <c r="BQ32" s="11" t="e">
        <f t="shared" si="30"/>
        <v>#REF!</v>
      </c>
      <c r="BR32" s="11" t="e">
        <f t="shared" si="31"/>
        <v>#REF!</v>
      </c>
      <c r="BT32" s="11" t="e">
        <f t="shared" si="32"/>
        <v>#REF!</v>
      </c>
      <c r="BU32" s="11" t="e">
        <f t="shared" si="33"/>
        <v>#REF!</v>
      </c>
      <c r="BV32" s="11" t="e">
        <f t="shared" si="34"/>
        <v>#REF!</v>
      </c>
      <c r="BW32" s="11" t="e">
        <f t="shared" si="35"/>
        <v>#REF!</v>
      </c>
      <c r="BX32" s="11" t="e">
        <f t="shared" si="36"/>
        <v>#REF!</v>
      </c>
      <c r="BZ32" s="11" t="e">
        <f t="shared" si="37"/>
        <v>#REF!</v>
      </c>
      <c r="CA32" s="11" t="e">
        <f t="shared" si="38"/>
        <v>#REF!</v>
      </c>
      <c r="CB32" s="11" t="e">
        <f t="shared" si="39"/>
        <v>#REF!</v>
      </c>
      <c r="CC32" s="11" t="e">
        <f t="shared" si="40"/>
        <v>#REF!</v>
      </c>
      <c r="CD32" s="11" t="e">
        <f t="shared" si="41"/>
        <v>#REF!</v>
      </c>
      <c r="CF32" s="11" t="e">
        <f t="shared" si="42"/>
        <v>#REF!</v>
      </c>
      <c r="CG32" s="11" t="e">
        <f t="shared" si="43"/>
        <v>#REF!</v>
      </c>
      <c r="CH32" s="11" t="e">
        <f t="shared" si="44"/>
        <v>#REF!</v>
      </c>
      <c r="CI32" s="11" t="e">
        <f t="shared" si="45"/>
        <v>#REF!</v>
      </c>
      <c r="CJ32" s="11" t="e">
        <f t="shared" si="46"/>
        <v>#REF!</v>
      </c>
      <c r="CM32" s="209">
        <f t="shared" si="47"/>
        <v>0</v>
      </c>
      <c r="CN32" s="209" t="e">
        <f t="shared" si="48"/>
        <v>#REF!</v>
      </c>
      <c r="CO32" s="209" t="e">
        <f t="shared" si="49"/>
        <v>#REF!</v>
      </c>
      <c r="CP32" s="209" t="e">
        <f t="shared" si="50"/>
        <v>#REF!</v>
      </c>
      <c r="CQ32" s="209" t="e">
        <f t="shared" si="51"/>
        <v>#REF!</v>
      </c>
    </row>
    <row r="33" spans="1:95" x14ac:dyDescent="0.25">
      <c r="A33" s="15" t="s">
        <v>72</v>
      </c>
      <c r="B33" s="16" t="s">
        <v>73</v>
      </c>
      <c r="C33" s="17" t="s">
        <v>82</v>
      </c>
      <c r="D33" s="17" t="s">
        <v>83</v>
      </c>
      <c r="E33" s="18">
        <f>SUMIFS('ICB Core Baseline 2024-25'!Q:Q,'ICB Core Baseline 2024-25'!C:C,C33)</f>
        <v>2648722.1990535683</v>
      </c>
      <c r="F33" s="44" t="e">
        <f>SUMIFS(#REF!,#REF!,C33)</f>
        <v>#REF!</v>
      </c>
      <c r="H33" s="44" t="e">
        <f>SUMIFS(#REF!,#REF!,C33)</f>
        <v>#REF!</v>
      </c>
      <c r="I33" s="44" t="e">
        <f t="shared" si="6"/>
        <v>#REF!</v>
      </c>
      <c r="J33" s="44" t="e">
        <f t="shared" si="7"/>
        <v>#REF!</v>
      </c>
      <c r="K33" s="18" t="e">
        <f t="shared" si="0"/>
        <v>#REF!</v>
      </c>
      <c r="L33" s="18" t="e">
        <f t="shared" si="1"/>
        <v>#REF!</v>
      </c>
      <c r="M33" s="44" t="e">
        <f>SUMIFS(#REF!,#REF!,C33)</f>
        <v>#REF!</v>
      </c>
      <c r="N33" s="18" t="e">
        <f t="shared" si="2"/>
        <v>#REF!</v>
      </c>
      <c r="O33" s="44" t="e">
        <f t="shared" si="8"/>
        <v>#REF!</v>
      </c>
      <c r="P33" s="18" t="e">
        <f t="shared" si="3"/>
        <v>#REF!</v>
      </c>
      <c r="Q33" s="18" t="e">
        <f t="shared" si="9"/>
        <v>#REF!</v>
      </c>
      <c r="R33" s="18" t="e">
        <f t="shared" si="4"/>
        <v>#REF!</v>
      </c>
      <c r="S33" s="18" t="e">
        <f>(SUMIFS(#REF!,#REF!,C33)/SUMIFS(#REF!,#REF!,C33))*1000</f>
        <v>#REF!</v>
      </c>
      <c r="T33" s="18" t="e">
        <f t="shared" si="10"/>
        <v>#REF!</v>
      </c>
      <c r="U33" s="18"/>
      <c r="V33" s="18" t="e">
        <f t="shared" si="11"/>
        <v>#REF!</v>
      </c>
      <c r="W33" s="18" t="e">
        <f t="shared" si="12"/>
        <v>#REF!</v>
      </c>
      <c r="X33" s="44" t="e">
        <f t="shared" si="13"/>
        <v>#REF!</v>
      </c>
      <c r="Y33" s="44" t="e">
        <f ca="1">OFFSET(#REF!,MATCH(C33,#REF!,0)+1,0)</f>
        <v>#REF!</v>
      </c>
      <c r="Z33" s="44" t="e">
        <f t="shared" ca="1" si="14"/>
        <v>#REF!</v>
      </c>
      <c r="AA33" s="44" t="e">
        <f t="shared" si="5"/>
        <v>#REF!</v>
      </c>
      <c r="AB33" s="18" t="e">
        <f>SUMIFS(#REF!,#REF!,C33)/(1+1.8%)*(1+1.8%+2.3%)</f>
        <v>#REF!</v>
      </c>
      <c r="AC33" s="18" t="e">
        <f t="shared" si="15"/>
        <v>#REF!</v>
      </c>
      <c r="AD33" s="65"/>
      <c r="AE33" s="18" t="e">
        <f>(SUMIFS(#REF!,#REF!,C33)/(1+1.8%))*(1+1.8%+2.3%)</f>
        <v>#REF!</v>
      </c>
      <c r="AF33" s="18" t="e">
        <f>-SUMIFS(#REF!,#REF!,C33)/1000</f>
        <v>#REF!</v>
      </c>
      <c r="AG33" s="18" t="e">
        <f>SUMIFS(#REF!,#REF!,C33)</f>
        <v>#REF!</v>
      </c>
      <c r="AH33" s="18" t="e">
        <f>SUMIFS(#REF!,#REF!,C33)</f>
        <v>#REF!</v>
      </c>
      <c r="AI33" s="18" t="e">
        <f>SUMIFS(#REF!,#REF!,C33)</f>
        <v>#REF!</v>
      </c>
      <c r="AJ33" s="18" t="e">
        <f>SUMIFS(#REF!,#REF!,C33)</f>
        <v>#REF!</v>
      </c>
      <c r="AK33" s="18"/>
      <c r="AL33" s="18" t="e">
        <f t="shared" si="16"/>
        <v>#REF!</v>
      </c>
      <c r="AN33" s="18" t="e">
        <f t="shared" si="17"/>
        <v>#REF!</v>
      </c>
      <c r="AO33" s="18" t="e">
        <f t="shared" si="18"/>
        <v>#REF!</v>
      </c>
      <c r="AQ33" s="18" t="e">
        <f t="shared" si="19"/>
        <v>#REF!</v>
      </c>
      <c r="AS33" s="44" t="e">
        <f t="shared" si="20"/>
        <v>#REF!</v>
      </c>
      <c r="AT33" s="18" t="e">
        <f t="shared" si="21"/>
        <v>#REF!</v>
      </c>
      <c r="AV33" s="18" t="e">
        <f>'Share of £1bn'!$F$20*1000*$AO33/$AO$57</f>
        <v>#REF!</v>
      </c>
      <c r="AW33" s="18" t="e">
        <f>'Share of £1bn'!$F$27*1000*$AO33/$AO$57</f>
        <v>#REF!</v>
      </c>
      <c r="AX33" s="18" t="e">
        <f>'Share of £1bn'!$F$21*1000*$AO33/$AO$57</f>
        <v>#REF!</v>
      </c>
      <c r="AZ33" s="18" t="e">
        <f>'Share of £1bn'!$F$43*1000*AO33/$AO$57</f>
        <v>#REF!</v>
      </c>
      <c r="BA33" s="18" t="e">
        <f>'Share of £1bn'!$F$50*1000*$AO33/$AO$57</f>
        <v>#REF!</v>
      </c>
      <c r="BB33" s="18" t="e">
        <f>'Share of £1bn'!$F$44*1000*AO33/$AO$57</f>
        <v>#REF!</v>
      </c>
      <c r="BD33" s="18" t="e">
        <f>'Share of £1bn'!$F$67*1000*AO33/$AO$57</f>
        <v>#REF!</v>
      </c>
      <c r="BF33" s="11">
        <f>SUMIFS('20-11 M6 deficits'!$BO:$BO,'20-11 M6 deficits'!$C:$C,$C33)*1000</f>
        <v>-81600</v>
      </c>
      <c r="BH33" s="18" t="e">
        <f t="shared" si="22"/>
        <v>#REF!</v>
      </c>
      <c r="BI33" s="18" t="e">
        <f t="shared" si="23"/>
        <v>#REF!</v>
      </c>
      <c r="BJ33" s="18" t="e">
        <f t="shared" si="24"/>
        <v>#REF!</v>
      </c>
      <c r="BK33" s="18" t="e">
        <f t="shared" si="25"/>
        <v>#REF!</v>
      </c>
      <c r="BL33" s="18" t="e">
        <f t="shared" si="26"/>
        <v>#REF!</v>
      </c>
      <c r="BN33" s="18" t="e">
        <f t="shared" si="27"/>
        <v>#REF!</v>
      </c>
      <c r="BO33" s="18" t="e">
        <f t="shared" si="28"/>
        <v>#REF!</v>
      </c>
      <c r="BP33" s="18" t="e">
        <f t="shared" si="29"/>
        <v>#REF!</v>
      </c>
      <c r="BQ33" s="18" t="e">
        <f t="shared" si="30"/>
        <v>#REF!</v>
      </c>
      <c r="BR33" s="18" t="e">
        <f t="shared" si="31"/>
        <v>#REF!</v>
      </c>
      <c r="BT33" s="18" t="e">
        <f t="shared" si="32"/>
        <v>#REF!</v>
      </c>
      <c r="BU33" s="18" t="e">
        <f t="shared" si="33"/>
        <v>#REF!</v>
      </c>
      <c r="BV33" s="18" t="e">
        <f t="shared" si="34"/>
        <v>#REF!</v>
      </c>
      <c r="BW33" s="18" t="e">
        <f t="shared" si="35"/>
        <v>#REF!</v>
      </c>
      <c r="BX33" s="18" t="e">
        <f t="shared" si="36"/>
        <v>#REF!</v>
      </c>
      <c r="BZ33" s="18" t="e">
        <f t="shared" si="37"/>
        <v>#REF!</v>
      </c>
      <c r="CA33" s="18" t="e">
        <f t="shared" si="38"/>
        <v>#REF!</v>
      </c>
      <c r="CB33" s="18" t="e">
        <f t="shared" si="39"/>
        <v>#REF!</v>
      </c>
      <c r="CC33" s="18" t="e">
        <f t="shared" si="40"/>
        <v>#REF!</v>
      </c>
      <c r="CD33" s="18" t="e">
        <f t="shared" si="41"/>
        <v>#REF!</v>
      </c>
      <c r="CF33" s="18" t="e">
        <f t="shared" si="42"/>
        <v>#REF!</v>
      </c>
      <c r="CG33" s="18" t="e">
        <f t="shared" si="43"/>
        <v>#REF!</v>
      </c>
      <c r="CH33" s="18" t="e">
        <f t="shared" si="44"/>
        <v>#REF!</v>
      </c>
      <c r="CI33" s="18" t="e">
        <f t="shared" si="45"/>
        <v>#REF!</v>
      </c>
      <c r="CJ33" s="18" t="e">
        <f t="shared" si="46"/>
        <v>#REF!</v>
      </c>
      <c r="CM33" s="209">
        <f t="shared" si="47"/>
        <v>5.1617893953818536E-2</v>
      </c>
      <c r="CN33" s="209" t="e">
        <f t="shared" si="48"/>
        <v>#REF!</v>
      </c>
      <c r="CO33" s="209" t="e">
        <f t="shared" si="49"/>
        <v>#REF!</v>
      </c>
      <c r="CP33" s="209" t="e">
        <f t="shared" si="50"/>
        <v>#REF!</v>
      </c>
      <c r="CQ33" s="209" t="e">
        <f t="shared" si="51"/>
        <v>#REF!</v>
      </c>
    </row>
    <row r="34" spans="1:95" x14ac:dyDescent="0.25">
      <c r="A34" s="10" t="s">
        <v>84</v>
      </c>
      <c r="B34" s="4" t="s">
        <v>85</v>
      </c>
      <c r="C34" s="4" t="s">
        <v>86</v>
      </c>
      <c r="D34" s="4" t="s">
        <v>87</v>
      </c>
      <c r="E34" s="11">
        <f>SUMIFS('ICB Core Baseline 2024-25'!Q:Q,'ICB Core Baseline 2024-25'!C:C,C34)</f>
        <v>2769520.4685177435</v>
      </c>
      <c r="F34" s="43" t="e">
        <f>SUMIFS(#REF!,#REF!,C34)</f>
        <v>#REF!</v>
      </c>
      <c r="H34" s="43" t="e">
        <f>SUMIFS(#REF!,#REF!,C34)</f>
        <v>#REF!</v>
      </c>
      <c r="I34" s="43" t="e">
        <f t="shared" si="6"/>
        <v>#REF!</v>
      </c>
      <c r="J34" s="43" t="e">
        <f t="shared" si="7"/>
        <v>#REF!</v>
      </c>
      <c r="K34" s="11" t="e">
        <f t="shared" si="0"/>
        <v>#REF!</v>
      </c>
      <c r="L34" s="11" t="e">
        <f t="shared" si="1"/>
        <v>#REF!</v>
      </c>
      <c r="M34" s="43" t="e">
        <f>SUMIFS(#REF!,#REF!,C34)</f>
        <v>#REF!</v>
      </c>
      <c r="N34" s="11" t="e">
        <f t="shared" si="2"/>
        <v>#REF!</v>
      </c>
      <c r="O34" s="43" t="e">
        <f t="shared" si="8"/>
        <v>#REF!</v>
      </c>
      <c r="P34" s="11" t="e">
        <f t="shared" si="3"/>
        <v>#REF!</v>
      </c>
      <c r="Q34" s="11" t="e">
        <f t="shared" si="9"/>
        <v>#REF!</v>
      </c>
      <c r="R34" s="11" t="e">
        <f t="shared" si="4"/>
        <v>#REF!</v>
      </c>
      <c r="S34" s="11" t="e">
        <f>(SUMIFS(#REF!,#REF!,C34)/SUMIFS(#REF!,#REF!,C34))*1000</f>
        <v>#REF!</v>
      </c>
      <c r="T34" s="11" t="e">
        <f t="shared" si="10"/>
        <v>#REF!</v>
      </c>
      <c r="U34" s="11"/>
      <c r="V34" s="11" t="e">
        <f t="shared" si="11"/>
        <v>#REF!</v>
      </c>
      <c r="W34" s="11" t="e">
        <f t="shared" si="12"/>
        <v>#REF!</v>
      </c>
      <c r="X34" s="43" t="e">
        <f t="shared" si="13"/>
        <v>#REF!</v>
      </c>
      <c r="Y34" s="43" t="e">
        <f ca="1">OFFSET(#REF!,MATCH(C34,#REF!,0)+1,0)</f>
        <v>#REF!</v>
      </c>
      <c r="Z34" s="43" t="e">
        <f t="shared" ca="1" si="14"/>
        <v>#REF!</v>
      </c>
      <c r="AA34" s="43" t="e">
        <f t="shared" si="5"/>
        <v>#REF!</v>
      </c>
      <c r="AB34" s="11" t="e">
        <f>SUMIFS(#REF!,#REF!,C34)/(1+1.8%)*(1+1.8%+2.3%)</f>
        <v>#REF!</v>
      </c>
      <c r="AC34" s="11" t="e">
        <f t="shared" si="15"/>
        <v>#REF!</v>
      </c>
      <c r="AD34" s="64"/>
      <c r="AE34" s="11" t="e">
        <f>(SUMIFS(#REF!,#REF!,C34)/(1+1.8%))*(1+1.8%+2.3%)</f>
        <v>#REF!</v>
      </c>
      <c r="AF34" s="11" t="e">
        <f>-SUMIFS(#REF!,#REF!,C34)/1000</f>
        <v>#REF!</v>
      </c>
      <c r="AG34" s="11" t="e">
        <f>SUMIFS(#REF!,#REF!,C34)</f>
        <v>#REF!</v>
      </c>
      <c r="AH34" s="11" t="e">
        <f>SUMIFS(#REF!,#REF!,C34)</f>
        <v>#REF!</v>
      </c>
      <c r="AI34" s="11" t="e">
        <f>SUMIFS(#REF!,#REF!,C34)</f>
        <v>#REF!</v>
      </c>
      <c r="AJ34" s="11" t="e">
        <f>SUMIFS(#REF!,#REF!,C34)</f>
        <v>#REF!</v>
      </c>
      <c r="AK34" s="11"/>
      <c r="AL34" s="11" t="e">
        <f t="shared" si="16"/>
        <v>#REF!</v>
      </c>
      <c r="AN34" s="11" t="e">
        <f t="shared" si="17"/>
        <v>#REF!</v>
      </c>
      <c r="AO34" s="11" t="e">
        <f t="shared" si="18"/>
        <v>#REF!</v>
      </c>
      <c r="AQ34" s="11" t="e">
        <f t="shared" si="19"/>
        <v>#REF!</v>
      </c>
      <c r="AS34" s="43" t="e">
        <f t="shared" si="20"/>
        <v>#REF!</v>
      </c>
      <c r="AT34" s="11" t="e">
        <f t="shared" si="21"/>
        <v>#REF!</v>
      </c>
      <c r="AV34" s="11" t="e">
        <f>'Share of £1bn'!$F$20*1000*$AO34/$AO$57</f>
        <v>#REF!</v>
      </c>
      <c r="AW34" s="11" t="e">
        <f>'Share of £1bn'!$F$27*1000*$AO34/$AO$57</f>
        <v>#REF!</v>
      </c>
      <c r="AX34" s="11" t="e">
        <f>'Share of £1bn'!$F$21*1000*$AO34/$AO$57</f>
        <v>#REF!</v>
      </c>
      <c r="AZ34" s="11" t="e">
        <f>'Share of £1bn'!$F$43*1000*AO34/$AO$57</f>
        <v>#REF!</v>
      </c>
      <c r="BA34" s="11" t="e">
        <f>'Share of £1bn'!$F$50*1000*$AO34/$AO$57</f>
        <v>#REF!</v>
      </c>
      <c r="BB34" s="11" t="e">
        <f>'Share of £1bn'!$F$44*1000*AO34/$AO$57</f>
        <v>#REF!</v>
      </c>
      <c r="BD34" s="11" t="e">
        <f>'Share of £1bn'!$F$67*1000*AO34/$AO$57</f>
        <v>#REF!</v>
      </c>
      <c r="BF34" s="11">
        <f>SUMIFS('20-11 M6 deficits'!$BO:$BO,'20-11 M6 deficits'!$C:$C,$C34)*1000</f>
        <v>-20400</v>
      </c>
      <c r="BH34" s="11" t="e">
        <f t="shared" si="22"/>
        <v>#REF!</v>
      </c>
      <c r="BI34" s="11" t="e">
        <f t="shared" si="23"/>
        <v>#REF!</v>
      </c>
      <c r="BJ34" s="11" t="e">
        <f t="shared" si="24"/>
        <v>#REF!</v>
      </c>
      <c r="BK34" s="11" t="e">
        <f t="shared" si="25"/>
        <v>#REF!</v>
      </c>
      <c r="BL34" s="11" t="e">
        <f t="shared" si="26"/>
        <v>#REF!</v>
      </c>
      <c r="BN34" s="11" t="e">
        <f t="shared" si="27"/>
        <v>#REF!</v>
      </c>
      <c r="BO34" s="11" t="e">
        <f t="shared" si="28"/>
        <v>#REF!</v>
      </c>
      <c r="BP34" s="11" t="e">
        <f t="shared" si="29"/>
        <v>#REF!</v>
      </c>
      <c r="BQ34" s="11" t="e">
        <f t="shared" si="30"/>
        <v>#REF!</v>
      </c>
      <c r="BR34" s="11" t="e">
        <f t="shared" si="31"/>
        <v>#REF!</v>
      </c>
      <c r="BT34" s="11" t="e">
        <f t="shared" si="32"/>
        <v>#REF!</v>
      </c>
      <c r="BU34" s="11" t="e">
        <f t="shared" si="33"/>
        <v>#REF!</v>
      </c>
      <c r="BV34" s="11" t="e">
        <f t="shared" si="34"/>
        <v>#REF!</v>
      </c>
      <c r="BW34" s="11" t="e">
        <f t="shared" si="35"/>
        <v>#REF!</v>
      </c>
      <c r="BX34" s="11" t="e">
        <f t="shared" si="36"/>
        <v>#REF!</v>
      </c>
      <c r="BZ34" s="11" t="e">
        <f t="shared" si="37"/>
        <v>#REF!</v>
      </c>
      <c r="CA34" s="11" t="e">
        <f t="shared" si="38"/>
        <v>#REF!</v>
      </c>
      <c r="CB34" s="11" t="e">
        <f t="shared" si="39"/>
        <v>#REF!</v>
      </c>
      <c r="CC34" s="11" t="e">
        <f t="shared" si="40"/>
        <v>#REF!</v>
      </c>
      <c r="CD34" s="11" t="e">
        <f t="shared" si="41"/>
        <v>#REF!</v>
      </c>
      <c r="CF34" s="11" t="e">
        <f t="shared" si="42"/>
        <v>#REF!</v>
      </c>
      <c r="CG34" s="11" t="e">
        <f t="shared" si="43"/>
        <v>#REF!</v>
      </c>
      <c r="CH34" s="11" t="e">
        <f t="shared" si="44"/>
        <v>#REF!</v>
      </c>
      <c r="CI34" s="11" t="e">
        <f t="shared" si="45"/>
        <v>#REF!</v>
      </c>
      <c r="CJ34" s="11" t="e">
        <f t="shared" si="46"/>
        <v>#REF!</v>
      </c>
      <c r="CM34" s="209">
        <f t="shared" si="47"/>
        <v>1.2904473488454634E-2</v>
      </c>
      <c r="CN34" s="209" t="e">
        <f t="shared" si="48"/>
        <v>#REF!</v>
      </c>
      <c r="CO34" s="209" t="e">
        <f t="shared" si="49"/>
        <v>#REF!</v>
      </c>
      <c r="CP34" s="209" t="e">
        <f t="shared" si="50"/>
        <v>#REF!</v>
      </c>
      <c r="CQ34" s="209" t="e">
        <f t="shared" si="51"/>
        <v>#REF!</v>
      </c>
    </row>
    <row r="35" spans="1:95" x14ac:dyDescent="0.25">
      <c r="A35" s="13" t="s">
        <v>84</v>
      </c>
      <c r="B35" s="14" t="s">
        <v>85</v>
      </c>
      <c r="C35" s="4" t="s">
        <v>88</v>
      </c>
      <c r="D35" s="4" t="s">
        <v>89</v>
      </c>
      <c r="E35" s="11">
        <f>SUMIFS('ICB Core Baseline 2024-25'!Q:Q,'ICB Core Baseline 2024-25'!C:C,C35)</f>
        <v>1227431.9215465274</v>
      </c>
      <c r="F35" s="43" t="e">
        <f>SUMIFS(#REF!,#REF!,C35)</f>
        <v>#REF!</v>
      </c>
      <c r="H35" s="43" t="e">
        <f>SUMIFS(#REF!,#REF!,C35)</f>
        <v>#REF!</v>
      </c>
      <c r="I35" s="43" t="e">
        <f t="shared" si="6"/>
        <v>#REF!</v>
      </c>
      <c r="J35" s="43" t="e">
        <f t="shared" si="7"/>
        <v>#REF!</v>
      </c>
      <c r="K35" s="11" t="e">
        <f t="shared" si="0"/>
        <v>#REF!</v>
      </c>
      <c r="L35" s="11" t="e">
        <f t="shared" si="1"/>
        <v>#REF!</v>
      </c>
      <c r="M35" s="43" t="e">
        <f>SUMIFS(#REF!,#REF!,C35)</f>
        <v>#REF!</v>
      </c>
      <c r="N35" s="11" t="e">
        <f t="shared" si="2"/>
        <v>#REF!</v>
      </c>
      <c r="O35" s="43" t="e">
        <f t="shared" si="8"/>
        <v>#REF!</v>
      </c>
      <c r="P35" s="11" t="e">
        <f t="shared" si="3"/>
        <v>#REF!</v>
      </c>
      <c r="Q35" s="11" t="e">
        <f t="shared" si="9"/>
        <v>#REF!</v>
      </c>
      <c r="R35" s="11" t="e">
        <f t="shared" si="4"/>
        <v>#REF!</v>
      </c>
      <c r="S35" s="11" t="e">
        <f>(SUMIFS(#REF!,#REF!,C35)/SUMIFS(#REF!,#REF!,C35))*1000</f>
        <v>#REF!</v>
      </c>
      <c r="T35" s="11" t="e">
        <f t="shared" si="10"/>
        <v>#REF!</v>
      </c>
      <c r="U35" s="11"/>
      <c r="V35" s="11" t="e">
        <f t="shared" si="11"/>
        <v>#REF!</v>
      </c>
      <c r="W35" s="11" t="e">
        <f t="shared" si="12"/>
        <v>#REF!</v>
      </c>
      <c r="X35" s="43" t="e">
        <f t="shared" si="13"/>
        <v>#REF!</v>
      </c>
      <c r="Y35" s="43" t="e">
        <f ca="1">OFFSET(#REF!,MATCH(C35,#REF!,0)+1,0)</f>
        <v>#REF!</v>
      </c>
      <c r="Z35" s="43" t="e">
        <f t="shared" ca="1" si="14"/>
        <v>#REF!</v>
      </c>
      <c r="AA35" s="43" t="e">
        <f t="shared" si="5"/>
        <v>#REF!</v>
      </c>
      <c r="AB35" s="11" t="e">
        <f>SUMIFS(#REF!,#REF!,C35)/(1+1.8%)*(1+1.8%+2.3%)</f>
        <v>#REF!</v>
      </c>
      <c r="AC35" s="11" t="e">
        <f t="shared" si="15"/>
        <v>#REF!</v>
      </c>
      <c r="AD35" s="64"/>
      <c r="AE35" s="11" t="e">
        <f>(SUMIFS(#REF!,#REF!,C35)/(1+1.8%))*(1+1.8%+2.3%)</f>
        <v>#REF!</v>
      </c>
      <c r="AF35" s="11" t="e">
        <f>-SUMIFS(#REF!,#REF!,C35)/1000</f>
        <v>#REF!</v>
      </c>
      <c r="AG35" s="11" t="e">
        <f>SUMIFS(#REF!,#REF!,C35)</f>
        <v>#REF!</v>
      </c>
      <c r="AH35" s="11" t="e">
        <f>SUMIFS(#REF!,#REF!,C35)</f>
        <v>#REF!</v>
      </c>
      <c r="AI35" s="11" t="e">
        <f>SUMIFS(#REF!,#REF!,C35)</f>
        <v>#REF!</v>
      </c>
      <c r="AJ35" s="11" t="e">
        <f>SUMIFS(#REF!,#REF!,C35)</f>
        <v>#REF!</v>
      </c>
      <c r="AK35" s="11"/>
      <c r="AL35" s="11" t="e">
        <f t="shared" si="16"/>
        <v>#REF!</v>
      </c>
      <c r="AN35" s="11" t="e">
        <f t="shared" si="17"/>
        <v>#REF!</v>
      </c>
      <c r="AO35" s="11" t="e">
        <f t="shared" si="18"/>
        <v>#REF!</v>
      </c>
      <c r="AQ35" s="11" t="e">
        <f t="shared" si="19"/>
        <v>#REF!</v>
      </c>
      <c r="AS35" s="43" t="e">
        <f t="shared" si="20"/>
        <v>#REF!</v>
      </c>
      <c r="AT35" s="11" t="e">
        <f t="shared" si="21"/>
        <v>#REF!</v>
      </c>
      <c r="AV35" s="11" t="e">
        <f>'Share of £1bn'!$F$20*1000*$AO35/$AO$57</f>
        <v>#REF!</v>
      </c>
      <c r="AW35" s="11" t="e">
        <f>'Share of £1bn'!$F$27*1000*$AO35/$AO$57</f>
        <v>#REF!</v>
      </c>
      <c r="AX35" s="11" t="e">
        <f>'Share of £1bn'!$F$21*1000*$AO35/$AO$57</f>
        <v>#REF!</v>
      </c>
      <c r="AZ35" s="11" t="e">
        <f>'Share of £1bn'!$F$43*1000*AO35/$AO$57</f>
        <v>#REF!</v>
      </c>
      <c r="BA35" s="11" t="e">
        <f>'Share of £1bn'!$F$50*1000*$AO35/$AO$57</f>
        <v>#REF!</v>
      </c>
      <c r="BB35" s="11" t="e">
        <f>'Share of £1bn'!$F$44*1000*AO35/$AO$57</f>
        <v>#REF!</v>
      </c>
      <c r="BD35" s="11" t="e">
        <f>'Share of £1bn'!$F$67*1000*AO35/$AO$57</f>
        <v>#REF!</v>
      </c>
      <c r="BF35" s="11">
        <f>SUMIFS('20-11 M6 deficits'!$BO:$BO,'20-11 M6 deficits'!$C:$C,$C35)*1000</f>
        <v>-10000</v>
      </c>
      <c r="BH35" s="11" t="e">
        <f t="shared" si="22"/>
        <v>#REF!</v>
      </c>
      <c r="BI35" s="11" t="e">
        <f t="shared" si="23"/>
        <v>#REF!</v>
      </c>
      <c r="BJ35" s="11" t="e">
        <f t="shared" si="24"/>
        <v>#REF!</v>
      </c>
      <c r="BK35" s="11" t="e">
        <f t="shared" si="25"/>
        <v>#REF!</v>
      </c>
      <c r="BL35" s="11" t="e">
        <f t="shared" si="26"/>
        <v>#REF!</v>
      </c>
      <c r="BN35" s="11" t="e">
        <f t="shared" si="27"/>
        <v>#REF!</v>
      </c>
      <c r="BO35" s="11" t="e">
        <f t="shared" si="28"/>
        <v>#REF!</v>
      </c>
      <c r="BP35" s="11" t="e">
        <f t="shared" si="29"/>
        <v>#REF!</v>
      </c>
      <c r="BQ35" s="11" t="e">
        <f t="shared" si="30"/>
        <v>#REF!</v>
      </c>
      <c r="BR35" s="11" t="e">
        <f t="shared" si="31"/>
        <v>#REF!</v>
      </c>
      <c r="BT35" s="11" t="e">
        <f t="shared" si="32"/>
        <v>#REF!</v>
      </c>
      <c r="BU35" s="11" t="e">
        <f t="shared" si="33"/>
        <v>#REF!</v>
      </c>
      <c r="BV35" s="11" t="e">
        <f t="shared" si="34"/>
        <v>#REF!</v>
      </c>
      <c r="BW35" s="11" t="e">
        <f t="shared" si="35"/>
        <v>#REF!</v>
      </c>
      <c r="BX35" s="11" t="e">
        <f t="shared" si="36"/>
        <v>#REF!</v>
      </c>
      <c r="BZ35" s="11" t="e">
        <f t="shared" si="37"/>
        <v>#REF!</v>
      </c>
      <c r="CA35" s="11" t="e">
        <f t="shared" si="38"/>
        <v>#REF!</v>
      </c>
      <c r="CB35" s="11" t="e">
        <f t="shared" si="39"/>
        <v>#REF!</v>
      </c>
      <c r="CC35" s="11" t="e">
        <f t="shared" si="40"/>
        <v>#REF!</v>
      </c>
      <c r="CD35" s="11" t="e">
        <f t="shared" si="41"/>
        <v>#REF!</v>
      </c>
      <c r="CF35" s="11" t="e">
        <f t="shared" si="42"/>
        <v>#REF!</v>
      </c>
      <c r="CG35" s="11" t="e">
        <f t="shared" si="43"/>
        <v>#REF!</v>
      </c>
      <c r="CH35" s="11" t="e">
        <f t="shared" si="44"/>
        <v>#REF!</v>
      </c>
      <c r="CI35" s="11" t="e">
        <f t="shared" si="45"/>
        <v>#REF!</v>
      </c>
      <c r="CJ35" s="11" t="e">
        <f t="shared" si="46"/>
        <v>#REF!</v>
      </c>
      <c r="CM35" s="209">
        <f t="shared" si="47"/>
        <v>6.3257222982620754E-3</v>
      </c>
      <c r="CN35" s="209" t="e">
        <f t="shared" si="48"/>
        <v>#REF!</v>
      </c>
      <c r="CO35" s="209" t="e">
        <f t="shared" si="49"/>
        <v>#REF!</v>
      </c>
      <c r="CP35" s="209" t="e">
        <f t="shared" si="50"/>
        <v>#REF!</v>
      </c>
      <c r="CQ35" s="209" t="e">
        <f t="shared" si="51"/>
        <v>#REF!</v>
      </c>
    </row>
    <row r="36" spans="1:95" x14ac:dyDescent="0.25">
      <c r="A36" s="13" t="s">
        <v>84</v>
      </c>
      <c r="B36" s="14" t="s">
        <v>85</v>
      </c>
      <c r="C36" s="4" t="s">
        <v>90</v>
      </c>
      <c r="D36" s="4" t="s">
        <v>91</v>
      </c>
      <c r="E36" s="11">
        <f>SUMIFS('ICB Core Baseline 2024-25'!Q:Q,'ICB Core Baseline 2024-25'!C:C,C36)</f>
        <v>3206852.1433185297</v>
      </c>
      <c r="F36" s="43" t="e">
        <f>SUMIFS(#REF!,#REF!,C36)</f>
        <v>#REF!</v>
      </c>
      <c r="H36" s="43" t="e">
        <f>SUMIFS(#REF!,#REF!,C36)</f>
        <v>#REF!</v>
      </c>
      <c r="I36" s="43" t="e">
        <f t="shared" si="6"/>
        <v>#REF!</v>
      </c>
      <c r="J36" s="43" t="e">
        <f t="shared" si="7"/>
        <v>#REF!</v>
      </c>
      <c r="K36" s="11" t="e">
        <f t="shared" si="0"/>
        <v>#REF!</v>
      </c>
      <c r="L36" s="11" t="e">
        <f t="shared" si="1"/>
        <v>#REF!</v>
      </c>
      <c r="M36" s="43" t="e">
        <f>SUMIFS(#REF!,#REF!,C36)</f>
        <v>#REF!</v>
      </c>
      <c r="N36" s="11" t="e">
        <f t="shared" si="2"/>
        <v>#REF!</v>
      </c>
      <c r="O36" s="43" t="e">
        <f t="shared" si="8"/>
        <v>#REF!</v>
      </c>
      <c r="P36" s="11" t="e">
        <f t="shared" si="3"/>
        <v>#REF!</v>
      </c>
      <c r="Q36" s="11" t="e">
        <f t="shared" si="9"/>
        <v>#REF!</v>
      </c>
      <c r="R36" s="11" t="e">
        <f t="shared" si="4"/>
        <v>#REF!</v>
      </c>
      <c r="S36" s="11" t="e">
        <f>(SUMIFS(#REF!,#REF!,C36)/SUMIFS(#REF!,#REF!,C36))*1000</f>
        <v>#REF!</v>
      </c>
      <c r="T36" s="11" t="e">
        <f t="shared" si="10"/>
        <v>#REF!</v>
      </c>
      <c r="U36" s="11"/>
      <c r="V36" s="11" t="e">
        <f t="shared" si="11"/>
        <v>#REF!</v>
      </c>
      <c r="W36" s="11" t="e">
        <f t="shared" si="12"/>
        <v>#REF!</v>
      </c>
      <c r="X36" s="43" t="e">
        <f t="shared" si="13"/>
        <v>#REF!</v>
      </c>
      <c r="Y36" s="43" t="e">
        <f ca="1">OFFSET(#REF!,MATCH(C36,#REF!,0)+1,0)</f>
        <v>#REF!</v>
      </c>
      <c r="Z36" s="43" t="e">
        <f t="shared" ca="1" si="14"/>
        <v>#REF!</v>
      </c>
      <c r="AA36" s="43" t="e">
        <f t="shared" si="5"/>
        <v>#REF!</v>
      </c>
      <c r="AB36" s="11" t="e">
        <f>SUMIFS(#REF!,#REF!,C36)/(1+1.8%)*(1+1.8%+2.3%)</f>
        <v>#REF!</v>
      </c>
      <c r="AC36" s="11" t="e">
        <f t="shared" si="15"/>
        <v>#REF!</v>
      </c>
      <c r="AD36" s="64"/>
      <c r="AE36" s="11" t="e">
        <f>(SUMIFS(#REF!,#REF!,C36)/(1+1.8%))*(1+1.8%+2.3%)</f>
        <v>#REF!</v>
      </c>
      <c r="AF36" s="11" t="e">
        <f>-SUMIFS(#REF!,#REF!,C36)/1000</f>
        <v>#REF!</v>
      </c>
      <c r="AG36" s="11" t="e">
        <f>SUMIFS(#REF!,#REF!,C36)</f>
        <v>#REF!</v>
      </c>
      <c r="AH36" s="11" t="e">
        <f>SUMIFS(#REF!,#REF!,C36)</f>
        <v>#REF!</v>
      </c>
      <c r="AI36" s="11" t="e">
        <f>SUMIFS(#REF!,#REF!,C36)</f>
        <v>#REF!</v>
      </c>
      <c r="AJ36" s="11" t="e">
        <f>SUMIFS(#REF!,#REF!,C36)</f>
        <v>#REF!</v>
      </c>
      <c r="AK36" s="11"/>
      <c r="AL36" s="11" t="e">
        <f t="shared" si="16"/>
        <v>#REF!</v>
      </c>
      <c r="AN36" s="11" t="e">
        <f t="shared" si="17"/>
        <v>#REF!</v>
      </c>
      <c r="AO36" s="11" t="e">
        <f t="shared" si="18"/>
        <v>#REF!</v>
      </c>
      <c r="AQ36" s="11" t="e">
        <f t="shared" si="19"/>
        <v>#REF!</v>
      </c>
      <c r="AS36" s="43" t="e">
        <f t="shared" si="20"/>
        <v>#REF!</v>
      </c>
      <c r="AT36" s="11" t="e">
        <f t="shared" si="21"/>
        <v>#REF!</v>
      </c>
      <c r="AV36" s="11" t="e">
        <f>'Share of £1bn'!$F$20*1000*$AO36/$AO$57</f>
        <v>#REF!</v>
      </c>
      <c r="AW36" s="11" t="e">
        <f>'Share of £1bn'!$F$27*1000*$AO36/$AO$57</f>
        <v>#REF!</v>
      </c>
      <c r="AX36" s="11" t="e">
        <f>'Share of £1bn'!$F$21*1000*$AO36/$AO$57</f>
        <v>#REF!</v>
      </c>
      <c r="AZ36" s="11" t="e">
        <f>'Share of £1bn'!$F$43*1000*AO36/$AO$57</f>
        <v>#REF!</v>
      </c>
      <c r="BA36" s="11" t="e">
        <f>'Share of £1bn'!$F$50*1000*$AO36/$AO$57</f>
        <v>#REF!</v>
      </c>
      <c r="BB36" s="11" t="e">
        <f>'Share of £1bn'!$F$44*1000*AO36/$AO$57</f>
        <v>#REF!</v>
      </c>
      <c r="BD36" s="11" t="e">
        <f>'Share of £1bn'!$F$67*1000*AO36/$AO$57</f>
        <v>#REF!</v>
      </c>
      <c r="BF36" s="11">
        <f>SUMIFS('20-11 M6 deficits'!$BO:$BO,'20-11 M6 deficits'!$C:$C,$C36)*1000</f>
        <v>-130000</v>
      </c>
      <c r="BH36" s="11" t="e">
        <f t="shared" si="22"/>
        <v>#REF!</v>
      </c>
      <c r="BI36" s="11" t="e">
        <f t="shared" si="23"/>
        <v>#REF!</v>
      </c>
      <c r="BJ36" s="11" t="e">
        <f t="shared" si="24"/>
        <v>#REF!</v>
      </c>
      <c r="BK36" s="11" t="e">
        <f t="shared" si="25"/>
        <v>#REF!</v>
      </c>
      <c r="BL36" s="11" t="e">
        <f t="shared" si="26"/>
        <v>#REF!</v>
      </c>
      <c r="BN36" s="11" t="e">
        <f t="shared" si="27"/>
        <v>#REF!</v>
      </c>
      <c r="BO36" s="11" t="e">
        <f t="shared" si="28"/>
        <v>#REF!</v>
      </c>
      <c r="BP36" s="11" t="e">
        <f t="shared" si="29"/>
        <v>#REF!</v>
      </c>
      <c r="BQ36" s="11" t="e">
        <f t="shared" si="30"/>
        <v>#REF!</v>
      </c>
      <c r="BR36" s="11" t="e">
        <f t="shared" si="31"/>
        <v>#REF!</v>
      </c>
      <c r="BT36" s="11" t="e">
        <f t="shared" si="32"/>
        <v>#REF!</v>
      </c>
      <c r="BU36" s="11" t="e">
        <f t="shared" si="33"/>
        <v>#REF!</v>
      </c>
      <c r="BV36" s="11" t="e">
        <f t="shared" si="34"/>
        <v>#REF!</v>
      </c>
      <c r="BW36" s="11" t="e">
        <f t="shared" si="35"/>
        <v>#REF!</v>
      </c>
      <c r="BX36" s="11" t="e">
        <f t="shared" si="36"/>
        <v>#REF!</v>
      </c>
      <c r="BZ36" s="11" t="e">
        <f t="shared" si="37"/>
        <v>#REF!</v>
      </c>
      <c r="CA36" s="11" t="e">
        <f t="shared" si="38"/>
        <v>#REF!</v>
      </c>
      <c r="CB36" s="11" t="e">
        <f t="shared" si="39"/>
        <v>#REF!</v>
      </c>
      <c r="CC36" s="11" t="e">
        <f t="shared" si="40"/>
        <v>#REF!</v>
      </c>
      <c r="CD36" s="11" t="e">
        <f t="shared" si="41"/>
        <v>#REF!</v>
      </c>
      <c r="CF36" s="11" t="e">
        <f t="shared" si="42"/>
        <v>#REF!</v>
      </c>
      <c r="CG36" s="11" t="e">
        <f t="shared" si="43"/>
        <v>#REF!</v>
      </c>
      <c r="CH36" s="11" t="e">
        <f t="shared" si="44"/>
        <v>#REF!</v>
      </c>
      <c r="CI36" s="11" t="e">
        <f t="shared" si="45"/>
        <v>#REF!</v>
      </c>
      <c r="CJ36" s="11" t="e">
        <f t="shared" si="46"/>
        <v>#REF!</v>
      </c>
      <c r="CM36" s="209">
        <f t="shared" si="47"/>
        <v>8.2234389877406971E-2</v>
      </c>
      <c r="CN36" s="209" t="e">
        <f t="shared" si="48"/>
        <v>#REF!</v>
      </c>
      <c r="CO36" s="209" t="e">
        <f t="shared" si="49"/>
        <v>#REF!</v>
      </c>
      <c r="CP36" s="209" t="e">
        <f t="shared" si="50"/>
        <v>#REF!</v>
      </c>
      <c r="CQ36" s="209" t="e">
        <f t="shared" si="51"/>
        <v>#REF!</v>
      </c>
    </row>
    <row r="37" spans="1:95" x14ac:dyDescent="0.25">
      <c r="A37" s="13" t="s">
        <v>84</v>
      </c>
      <c r="B37" s="14" t="s">
        <v>85</v>
      </c>
      <c r="C37" s="4" t="s">
        <v>92</v>
      </c>
      <c r="D37" s="4" t="s">
        <v>93</v>
      </c>
      <c r="E37" s="11">
        <f>SUMIFS('ICB Core Baseline 2024-25'!Q:Q,'ICB Core Baseline 2024-25'!C:C,C37)</f>
        <v>3320649.430494213</v>
      </c>
      <c r="F37" s="43" t="e">
        <f>SUMIFS(#REF!,#REF!,C37)</f>
        <v>#REF!</v>
      </c>
      <c r="H37" s="43" t="e">
        <f>SUMIFS(#REF!,#REF!,C37)</f>
        <v>#REF!</v>
      </c>
      <c r="I37" s="43" t="e">
        <f t="shared" si="6"/>
        <v>#REF!</v>
      </c>
      <c r="J37" s="43" t="e">
        <f t="shared" si="7"/>
        <v>#REF!</v>
      </c>
      <c r="K37" s="11" t="e">
        <f t="shared" si="0"/>
        <v>#REF!</v>
      </c>
      <c r="L37" s="11" t="e">
        <f t="shared" si="1"/>
        <v>#REF!</v>
      </c>
      <c r="M37" s="43" t="e">
        <f>SUMIFS(#REF!,#REF!,C37)</f>
        <v>#REF!</v>
      </c>
      <c r="N37" s="11" t="e">
        <f t="shared" si="2"/>
        <v>#REF!</v>
      </c>
      <c r="O37" s="43" t="e">
        <f t="shared" si="8"/>
        <v>#REF!</v>
      </c>
      <c r="P37" s="11" t="e">
        <f t="shared" si="3"/>
        <v>#REF!</v>
      </c>
      <c r="Q37" s="11" t="e">
        <f t="shared" si="9"/>
        <v>#REF!</v>
      </c>
      <c r="R37" s="11" t="e">
        <f t="shared" si="4"/>
        <v>#REF!</v>
      </c>
      <c r="S37" s="11" t="e">
        <f>(SUMIFS(#REF!,#REF!,C37)/SUMIFS(#REF!,#REF!,C37))*1000</f>
        <v>#REF!</v>
      </c>
      <c r="T37" s="11" t="e">
        <f t="shared" si="10"/>
        <v>#REF!</v>
      </c>
      <c r="U37" s="11"/>
      <c r="V37" s="11" t="e">
        <f t="shared" si="11"/>
        <v>#REF!</v>
      </c>
      <c r="W37" s="11" t="e">
        <f t="shared" si="12"/>
        <v>#REF!</v>
      </c>
      <c r="X37" s="43" t="e">
        <f t="shared" si="13"/>
        <v>#REF!</v>
      </c>
      <c r="Y37" s="43" t="e">
        <f ca="1">OFFSET(#REF!,MATCH(C37,#REF!,0)+1,0)</f>
        <v>#REF!</v>
      </c>
      <c r="Z37" s="43" t="e">
        <f t="shared" ca="1" si="14"/>
        <v>#REF!</v>
      </c>
      <c r="AA37" s="43" t="e">
        <f t="shared" si="5"/>
        <v>#REF!</v>
      </c>
      <c r="AB37" s="11" t="e">
        <f>SUMIFS(#REF!,#REF!,C37)/(1+1.8%)*(1+1.8%+2.3%)</f>
        <v>#REF!</v>
      </c>
      <c r="AC37" s="11" t="e">
        <f t="shared" si="15"/>
        <v>#REF!</v>
      </c>
      <c r="AD37" s="64"/>
      <c r="AE37" s="11" t="e">
        <f>(SUMIFS(#REF!,#REF!,C37)/(1+1.8%))*(1+1.8%+2.3%)</f>
        <v>#REF!</v>
      </c>
      <c r="AF37" s="11" t="e">
        <f>-SUMIFS(#REF!,#REF!,C37)/1000</f>
        <v>#REF!</v>
      </c>
      <c r="AG37" s="11" t="e">
        <f>SUMIFS(#REF!,#REF!,C37)</f>
        <v>#REF!</v>
      </c>
      <c r="AH37" s="11" t="e">
        <f>SUMIFS(#REF!,#REF!,C37)</f>
        <v>#REF!</v>
      </c>
      <c r="AI37" s="11" t="e">
        <f>SUMIFS(#REF!,#REF!,C37)</f>
        <v>#REF!</v>
      </c>
      <c r="AJ37" s="11" t="e">
        <f>SUMIFS(#REF!,#REF!,C37)</f>
        <v>#REF!</v>
      </c>
      <c r="AK37" s="11"/>
      <c r="AL37" s="11" t="e">
        <f t="shared" si="16"/>
        <v>#REF!</v>
      </c>
      <c r="AN37" s="11" t="e">
        <f t="shared" si="17"/>
        <v>#REF!</v>
      </c>
      <c r="AO37" s="11" t="e">
        <f t="shared" si="18"/>
        <v>#REF!</v>
      </c>
      <c r="AQ37" s="11" t="e">
        <f t="shared" si="19"/>
        <v>#REF!</v>
      </c>
      <c r="AS37" s="43" t="e">
        <f t="shared" si="20"/>
        <v>#REF!</v>
      </c>
      <c r="AT37" s="11" t="e">
        <f t="shared" si="21"/>
        <v>#REF!</v>
      </c>
      <c r="AV37" s="11" t="e">
        <f>'Share of £1bn'!$F$20*1000*$AO37/$AO$57</f>
        <v>#REF!</v>
      </c>
      <c r="AW37" s="11" t="e">
        <f>'Share of £1bn'!$F$27*1000*$AO37/$AO$57</f>
        <v>#REF!</v>
      </c>
      <c r="AX37" s="11" t="e">
        <f>'Share of £1bn'!$F$21*1000*$AO37/$AO$57</f>
        <v>#REF!</v>
      </c>
      <c r="AZ37" s="11" t="e">
        <f>'Share of £1bn'!$F$43*1000*AO37/$AO$57</f>
        <v>#REF!</v>
      </c>
      <c r="BA37" s="11" t="e">
        <f>'Share of £1bn'!$F$50*1000*$AO37/$AO$57</f>
        <v>#REF!</v>
      </c>
      <c r="BB37" s="11" t="e">
        <f>'Share of £1bn'!$F$44*1000*AO37/$AO$57</f>
        <v>#REF!</v>
      </c>
      <c r="BD37" s="11" t="e">
        <f>'Share of £1bn'!$F$67*1000*AO37/$AO$57</f>
        <v>#REF!</v>
      </c>
      <c r="BF37" s="11">
        <f>SUMIFS('20-11 M6 deficits'!$BO:$BO,'20-11 M6 deficits'!$C:$C,$C37)*1000</f>
        <v>-100000</v>
      </c>
      <c r="BH37" s="11" t="e">
        <f t="shared" si="22"/>
        <v>#REF!</v>
      </c>
      <c r="BI37" s="11" t="e">
        <f t="shared" si="23"/>
        <v>#REF!</v>
      </c>
      <c r="BJ37" s="11" t="e">
        <f t="shared" si="24"/>
        <v>#REF!</v>
      </c>
      <c r="BK37" s="11" t="e">
        <f t="shared" si="25"/>
        <v>#REF!</v>
      </c>
      <c r="BL37" s="11" t="e">
        <f t="shared" si="26"/>
        <v>#REF!</v>
      </c>
      <c r="BN37" s="11" t="e">
        <f t="shared" si="27"/>
        <v>#REF!</v>
      </c>
      <c r="BO37" s="11" t="e">
        <f t="shared" si="28"/>
        <v>#REF!</v>
      </c>
      <c r="BP37" s="11" t="e">
        <f t="shared" si="29"/>
        <v>#REF!</v>
      </c>
      <c r="BQ37" s="11" t="e">
        <f t="shared" si="30"/>
        <v>#REF!</v>
      </c>
      <c r="BR37" s="11" t="e">
        <f t="shared" si="31"/>
        <v>#REF!</v>
      </c>
      <c r="BT37" s="11" t="e">
        <f t="shared" si="32"/>
        <v>#REF!</v>
      </c>
      <c r="BU37" s="11" t="e">
        <f t="shared" si="33"/>
        <v>#REF!</v>
      </c>
      <c r="BV37" s="11" t="e">
        <f t="shared" si="34"/>
        <v>#REF!</v>
      </c>
      <c r="BW37" s="11" t="e">
        <f t="shared" si="35"/>
        <v>#REF!</v>
      </c>
      <c r="BX37" s="11" t="e">
        <f t="shared" si="36"/>
        <v>#REF!</v>
      </c>
      <c r="BZ37" s="11" t="e">
        <f t="shared" si="37"/>
        <v>#REF!</v>
      </c>
      <c r="CA37" s="11" t="e">
        <f t="shared" si="38"/>
        <v>#REF!</v>
      </c>
      <c r="CB37" s="11" t="e">
        <f t="shared" si="39"/>
        <v>#REF!</v>
      </c>
      <c r="CC37" s="11" t="e">
        <f t="shared" si="40"/>
        <v>#REF!</v>
      </c>
      <c r="CD37" s="11" t="e">
        <f t="shared" si="41"/>
        <v>#REF!</v>
      </c>
      <c r="CF37" s="11" t="e">
        <f t="shared" si="42"/>
        <v>#REF!</v>
      </c>
      <c r="CG37" s="11" t="e">
        <f t="shared" si="43"/>
        <v>#REF!</v>
      </c>
      <c r="CH37" s="11" t="e">
        <f t="shared" si="44"/>
        <v>#REF!</v>
      </c>
      <c r="CI37" s="11" t="e">
        <f t="shared" si="45"/>
        <v>#REF!</v>
      </c>
      <c r="CJ37" s="11" t="e">
        <f t="shared" si="46"/>
        <v>#REF!</v>
      </c>
      <c r="CM37" s="209">
        <f t="shared" si="47"/>
        <v>6.325722298262075E-2</v>
      </c>
      <c r="CN37" s="209" t="e">
        <f t="shared" si="48"/>
        <v>#REF!</v>
      </c>
      <c r="CO37" s="209" t="e">
        <f t="shared" si="49"/>
        <v>#REF!</v>
      </c>
      <c r="CP37" s="209" t="e">
        <f t="shared" si="50"/>
        <v>#REF!</v>
      </c>
      <c r="CQ37" s="209" t="e">
        <f t="shared" si="51"/>
        <v>#REF!</v>
      </c>
    </row>
    <row r="38" spans="1:95" x14ac:dyDescent="0.25">
      <c r="A38" s="13" t="s">
        <v>84</v>
      </c>
      <c r="B38" s="14" t="s">
        <v>85</v>
      </c>
      <c r="C38" s="4" t="s">
        <v>94</v>
      </c>
      <c r="D38" s="4" t="s">
        <v>95</v>
      </c>
      <c r="E38" s="11">
        <f>SUMIFS('ICB Core Baseline 2024-25'!Q:Q,'ICB Core Baseline 2024-25'!C:C,C38)</f>
        <v>1831234.3662092758</v>
      </c>
      <c r="F38" s="43" t="e">
        <f>SUMIFS(#REF!,#REF!,C38)</f>
        <v>#REF!</v>
      </c>
      <c r="H38" s="43" t="e">
        <f>SUMIFS(#REF!,#REF!,C38)</f>
        <v>#REF!</v>
      </c>
      <c r="I38" s="43" t="e">
        <f t="shared" si="6"/>
        <v>#REF!</v>
      </c>
      <c r="J38" s="43" t="e">
        <f t="shared" si="7"/>
        <v>#REF!</v>
      </c>
      <c r="K38" s="11" t="e">
        <f t="shared" si="0"/>
        <v>#REF!</v>
      </c>
      <c r="L38" s="11" t="e">
        <f t="shared" si="1"/>
        <v>#REF!</v>
      </c>
      <c r="M38" s="43" t="e">
        <f>SUMIFS(#REF!,#REF!,C38)</f>
        <v>#REF!</v>
      </c>
      <c r="N38" s="11" t="e">
        <f t="shared" si="2"/>
        <v>#REF!</v>
      </c>
      <c r="O38" s="43" t="e">
        <f t="shared" si="8"/>
        <v>#REF!</v>
      </c>
      <c r="P38" s="11" t="e">
        <f t="shared" si="3"/>
        <v>#REF!</v>
      </c>
      <c r="Q38" s="11" t="e">
        <f t="shared" si="9"/>
        <v>#REF!</v>
      </c>
      <c r="R38" s="11" t="e">
        <f t="shared" si="4"/>
        <v>#REF!</v>
      </c>
      <c r="S38" s="11" t="e">
        <f>(SUMIFS(#REF!,#REF!,C38)/SUMIFS(#REF!,#REF!,C38))*1000</f>
        <v>#REF!</v>
      </c>
      <c r="T38" s="11" t="e">
        <f t="shared" si="10"/>
        <v>#REF!</v>
      </c>
      <c r="U38" s="11"/>
      <c r="V38" s="11" t="e">
        <f t="shared" si="11"/>
        <v>#REF!</v>
      </c>
      <c r="W38" s="11" t="e">
        <f t="shared" si="12"/>
        <v>#REF!</v>
      </c>
      <c r="X38" s="43" t="e">
        <f t="shared" si="13"/>
        <v>#REF!</v>
      </c>
      <c r="Y38" s="43" t="e">
        <f ca="1">OFFSET(#REF!,MATCH(C38,#REF!,0)+1,0)</f>
        <v>#REF!</v>
      </c>
      <c r="Z38" s="43" t="e">
        <f t="shared" ca="1" si="14"/>
        <v>#REF!</v>
      </c>
      <c r="AA38" s="43" t="e">
        <f t="shared" si="5"/>
        <v>#REF!</v>
      </c>
      <c r="AB38" s="11" t="e">
        <f>SUMIFS(#REF!,#REF!,C38)/(1+1.8%)*(1+1.8%+2.3%)</f>
        <v>#REF!</v>
      </c>
      <c r="AC38" s="11" t="e">
        <f t="shared" si="15"/>
        <v>#REF!</v>
      </c>
      <c r="AD38" s="64"/>
      <c r="AE38" s="11" t="e">
        <f>(SUMIFS(#REF!,#REF!,C38)/(1+1.8%))*(1+1.8%+2.3%)</f>
        <v>#REF!</v>
      </c>
      <c r="AF38" s="11" t="e">
        <f>-SUMIFS(#REF!,#REF!,C38)/1000</f>
        <v>#REF!</v>
      </c>
      <c r="AG38" s="11" t="e">
        <f>SUMIFS(#REF!,#REF!,C38)</f>
        <v>#REF!</v>
      </c>
      <c r="AH38" s="11" t="e">
        <f>SUMIFS(#REF!,#REF!,C38)</f>
        <v>#REF!</v>
      </c>
      <c r="AI38" s="11" t="e">
        <f>SUMIFS(#REF!,#REF!,C38)</f>
        <v>#REF!</v>
      </c>
      <c r="AJ38" s="11" t="e">
        <f>SUMIFS(#REF!,#REF!,C38)</f>
        <v>#REF!</v>
      </c>
      <c r="AK38" s="11"/>
      <c r="AL38" s="11" t="e">
        <f t="shared" si="16"/>
        <v>#REF!</v>
      </c>
      <c r="AN38" s="11" t="e">
        <f t="shared" si="17"/>
        <v>#REF!</v>
      </c>
      <c r="AO38" s="11" t="e">
        <f t="shared" si="18"/>
        <v>#REF!</v>
      </c>
      <c r="AQ38" s="11" t="e">
        <f t="shared" si="19"/>
        <v>#REF!</v>
      </c>
      <c r="AS38" s="43" t="e">
        <f t="shared" si="20"/>
        <v>#REF!</v>
      </c>
      <c r="AT38" s="11" t="e">
        <f t="shared" si="21"/>
        <v>#REF!</v>
      </c>
      <c r="AV38" s="11" t="e">
        <f>'Share of £1bn'!$F$20*1000*$AO38/$AO$57</f>
        <v>#REF!</v>
      </c>
      <c r="AW38" s="11" t="e">
        <f>'Share of £1bn'!$F$27*1000*$AO38/$AO$57</f>
        <v>#REF!</v>
      </c>
      <c r="AX38" s="11" t="e">
        <f>'Share of £1bn'!$F$21*1000*$AO38/$AO$57</f>
        <v>#REF!</v>
      </c>
      <c r="AZ38" s="11" t="e">
        <f>'Share of £1bn'!$F$43*1000*AO38/$AO$57</f>
        <v>#REF!</v>
      </c>
      <c r="BA38" s="11" t="e">
        <f>'Share of £1bn'!$F$50*1000*$AO38/$AO$57</f>
        <v>#REF!</v>
      </c>
      <c r="BB38" s="11" t="e">
        <f>'Share of £1bn'!$F$44*1000*AO38/$AO$57</f>
        <v>#REF!</v>
      </c>
      <c r="BD38" s="11" t="e">
        <f>'Share of £1bn'!$F$67*1000*AO38/$AO$57</f>
        <v>#REF!</v>
      </c>
      <c r="BF38" s="11">
        <f>SUMIFS('20-11 M6 deficits'!$BO:$BO,'20-11 M6 deficits'!$C:$C,$C38)*1000</f>
        <v>0</v>
      </c>
      <c r="BH38" s="11" t="e">
        <f t="shared" si="22"/>
        <v>#REF!</v>
      </c>
      <c r="BI38" s="11" t="e">
        <f t="shared" si="23"/>
        <v>#REF!</v>
      </c>
      <c r="BJ38" s="11" t="e">
        <f t="shared" si="24"/>
        <v>#REF!</v>
      </c>
      <c r="BK38" s="11" t="e">
        <f t="shared" si="25"/>
        <v>#REF!</v>
      </c>
      <c r="BL38" s="11" t="e">
        <f t="shared" si="26"/>
        <v>#REF!</v>
      </c>
      <c r="BN38" s="11" t="e">
        <f t="shared" si="27"/>
        <v>#REF!</v>
      </c>
      <c r="BO38" s="11" t="e">
        <f t="shared" si="28"/>
        <v>#REF!</v>
      </c>
      <c r="BP38" s="11" t="e">
        <f t="shared" si="29"/>
        <v>#REF!</v>
      </c>
      <c r="BQ38" s="11" t="e">
        <f t="shared" si="30"/>
        <v>#REF!</v>
      </c>
      <c r="BR38" s="11" t="e">
        <f t="shared" si="31"/>
        <v>#REF!</v>
      </c>
      <c r="BT38" s="11" t="e">
        <f t="shared" si="32"/>
        <v>#REF!</v>
      </c>
      <c r="BU38" s="11" t="e">
        <f t="shared" si="33"/>
        <v>#REF!</v>
      </c>
      <c r="BV38" s="11" t="e">
        <f t="shared" si="34"/>
        <v>#REF!</v>
      </c>
      <c r="BW38" s="11" t="e">
        <f t="shared" si="35"/>
        <v>#REF!</v>
      </c>
      <c r="BX38" s="11" t="e">
        <f t="shared" si="36"/>
        <v>#REF!</v>
      </c>
      <c r="BZ38" s="11" t="e">
        <f t="shared" si="37"/>
        <v>#REF!</v>
      </c>
      <c r="CA38" s="11" t="e">
        <f t="shared" si="38"/>
        <v>#REF!</v>
      </c>
      <c r="CB38" s="11" t="e">
        <f t="shared" si="39"/>
        <v>#REF!</v>
      </c>
      <c r="CC38" s="11" t="e">
        <f t="shared" si="40"/>
        <v>#REF!</v>
      </c>
      <c r="CD38" s="11" t="e">
        <f t="shared" si="41"/>
        <v>#REF!</v>
      </c>
      <c r="CF38" s="11" t="e">
        <f t="shared" si="42"/>
        <v>#REF!</v>
      </c>
      <c r="CG38" s="11" t="e">
        <f t="shared" si="43"/>
        <v>#REF!</v>
      </c>
      <c r="CH38" s="11" t="e">
        <f t="shared" si="44"/>
        <v>#REF!</v>
      </c>
      <c r="CI38" s="11" t="e">
        <f t="shared" si="45"/>
        <v>#REF!</v>
      </c>
      <c r="CJ38" s="11" t="e">
        <f t="shared" si="46"/>
        <v>#REF!</v>
      </c>
      <c r="CM38" s="209">
        <f t="shared" si="47"/>
        <v>0</v>
      </c>
      <c r="CN38" s="209" t="e">
        <f t="shared" si="48"/>
        <v>#REF!</v>
      </c>
      <c r="CO38" s="209" t="e">
        <f t="shared" si="49"/>
        <v>#REF!</v>
      </c>
      <c r="CP38" s="209" t="e">
        <f t="shared" si="50"/>
        <v>#REF!</v>
      </c>
      <c r="CQ38" s="209" t="e">
        <f t="shared" si="51"/>
        <v>#REF!</v>
      </c>
    </row>
    <row r="39" spans="1:95" x14ac:dyDescent="0.25">
      <c r="A39" s="15" t="s">
        <v>84</v>
      </c>
      <c r="B39" s="16" t="s">
        <v>85</v>
      </c>
      <c r="C39" s="17" t="s">
        <v>96</v>
      </c>
      <c r="D39" s="17" t="s">
        <v>97</v>
      </c>
      <c r="E39" s="18">
        <f>SUMIFS('ICB Core Baseline 2024-25'!Q:Q,'ICB Core Baseline 2024-25'!C:C,C39)</f>
        <v>3226653.8255152423</v>
      </c>
      <c r="F39" s="44" t="e">
        <f>SUMIFS(#REF!,#REF!,C39)</f>
        <v>#REF!</v>
      </c>
      <c r="H39" s="44" t="e">
        <f>SUMIFS(#REF!,#REF!,C39)</f>
        <v>#REF!</v>
      </c>
      <c r="I39" s="44" t="e">
        <f t="shared" si="6"/>
        <v>#REF!</v>
      </c>
      <c r="J39" s="44" t="e">
        <f t="shared" si="7"/>
        <v>#REF!</v>
      </c>
      <c r="K39" s="18" t="e">
        <f t="shared" si="0"/>
        <v>#REF!</v>
      </c>
      <c r="L39" s="18" t="e">
        <f t="shared" si="1"/>
        <v>#REF!</v>
      </c>
      <c r="M39" s="44" t="e">
        <f>SUMIFS(#REF!,#REF!,C39)</f>
        <v>#REF!</v>
      </c>
      <c r="N39" s="18" t="e">
        <f t="shared" si="2"/>
        <v>#REF!</v>
      </c>
      <c r="O39" s="44" t="e">
        <f t="shared" si="8"/>
        <v>#REF!</v>
      </c>
      <c r="P39" s="18" t="e">
        <f t="shared" si="3"/>
        <v>#REF!</v>
      </c>
      <c r="Q39" s="18" t="e">
        <f t="shared" si="9"/>
        <v>#REF!</v>
      </c>
      <c r="R39" s="18" t="e">
        <f t="shared" si="4"/>
        <v>#REF!</v>
      </c>
      <c r="S39" s="18" t="e">
        <f>(SUMIFS(#REF!,#REF!,C39)/SUMIFS(#REF!,#REF!,C39))*1000</f>
        <v>#REF!</v>
      </c>
      <c r="T39" s="18" t="e">
        <f t="shared" si="10"/>
        <v>#REF!</v>
      </c>
      <c r="U39" s="18"/>
      <c r="V39" s="18" t="e">
        <f t="shared" si="11"/>
        <v>#REF!</v>
      </c>
      <c r="W39" s="18" t="e">
        <f t="shared" si="12"/>
        <v>#REF!</v>
      </c>
      <c r="X39" s="44" t="e">
        <f t="shared" si="13"/>
        <v>#REF!</v>
      </c>
      <c r="Y39" s="44" t="e">
        <f ca="1">OFFSET(#REF!,MATCH(C39,#REF!,0)+1,0)</f>
        <v>#REF!</v>
      </c>
      <c r="Z39" s="44" t="e">
        <f t="shared" ca="1" si="14"/>
        <v>#REF!</v>
      </c>
      <c r="AA39" s="44" t="e">
        <f t="shared" si="5"/>
        <v>#REF!</v>
      </c>
      <c r="AB39" s="18" t="e">
        <f>SUMIFS(#REF!,#REF!,C39)/(1+1.8%)*(1+1.8%+2.3%)</f>
        <v>#REF!</v>
      </c>
      <c r="AC39" s="18" t="e">
        <f t="shared" si="15"/>
        <v>#REF!</v>
      </c>
      <c r="AD39" s="65"/>
      <c r="AE39" s="18" t="e">
        <f>(SUMIFS(#REF!,#REF!,C39)/(1+1.8%))*(1+1.8%+2.3%)</f>
        <v>#REF!</v>
      </c>
      <c r="AF39" s="18" t="e">
        <f>-SUMIFS(#REF!,#REF!,C39)/1000</f>
        <v>#REF!</v>
      </c>
      <c r="AG39" s="18" t="e">
        <f>SUMIFS(#REF!,#REF!,C39)</f>
        <v>#REF!</v>
      </c>
      <c r="AH39" s="18" t="e">
        <f>SUMIFS(#REF!,#REF!,C39)</f>
        <v>#REF!</v>
      </c>
      <c r="AI39" s="18" t="e">
        <f>SUMIFS(#REF!,#REF!,C39)</f>
        <v>#REF!</v>
      </c>
      <c r="AJ39" s="18" t="e">
        <f>SUMIFS(#REF!,#REF!,C39)</f>
        <v>#REF!</v>
      </c>
      <c r="AK39" s="18"/>
      <c r="AL39" s="18" t="e">
        <f t="shared" si="16"/>
        <v>#REF!</v>
      </c>
      <c r="AN39" s="18" t="e">
        <f t="shared" si="17"/>
        <v>#REF!</v>
      </c>
      <c r="AO39" s="18" t="e">
        <f t="shared" si="18"/>
        <v>#REF!</v>
      </c>
      <c r="AQ39" s="18" t="e">
        <f t="shared" si="19"/>
        <v>#REF!</v>
      </c>
      <c r="AS39" s="44" t="e">
        <f t="shared" si="20"/>
        <v>#REF!</v>
      </c>
      <c r="AT39" s="18" t="e">
        <f t="shared" si="21"/>
        <v>#REF!</v>
      </c>
      <c r="AV39" s="18" t="e">
        <f>'Share of £1bn'!$F$20*1000*$AO39/$AO$57</f>
        <v>#REF!</v>
      </c>
      <c r="AW39" s="18" t="e">
        <f>'Share of £1bn'!$F$27*1000*$AO39/$AO$57</f>
        <v>#REF!</v>
      </c>
      <c r="AX39" s="18" t="e">
        <f>'Share of £1bn'!$F$21*1000*$AO39/$AO$57</f>
        <v>#REF!</v>
      </c>
      <c r="AZ39" s="18" t="e">
        <f>'Share of £1bn'!$F$43*1000*AO39/$AO$57</f>
        <v>#REF!</v>
      </c>
      <c r="BA39" s="18" t="e">
        <f>'Share of £1bn'!$F$50*1000*$AO39/$AO$57</f>
        <v>#REF!</v>
      </c>
      <c r="BB39" s="18" t="e">
        <f>'Share of £1bn'!$F$44*1000*AO39/$AO$57</f>
        <v>#REF!</v>
      </c>
      <c r="BD39" s="18" t="e">
        <f>'Share of £1bn'!$F$67*1000*AO39/$AO$57</f>
        <v>#REF!</v>
      </c>
      <c r="BF39" s="11">
        <f>SUMIFS('20-11 M6 deficits'!$BO:$BO,'20-11 M6 deficits'!$C:$C,$C39)*1000</f>
        <v>-40000</v>
      </c>
      <c r="BH39" s="18" t="e">
        <f t="shared" si="22"/>
        <v>#REF!</v>
      </c>
      <c r="BI39" s="18" t="e">
        <f t="shared" si="23"/>
        <v>#REF!</v>
      </c>
      <c r="BJ39" s="18" t="e">
        <f t="shared" si="24"/>
        <v>#REF!</v>
      </c>
      <c r="BK39" s="18" t="e">
        <f t="shared" si="25"/>
        <v>#REF!</v>
      </c>
      <c r="BL39" s="18" t="e">
        <f t="shared" si="26"/>
        <v>#REF!</v>
      </c>
      <c r="BN39" s="18" t="e">
        <f t="shared" si="27"/>
        <v>#REF!</v>
      </c>
      <c r="BO39" s="18" t="e">
        <f t="shared" si="28"/>
        <v>#REF!</v>
      </c>
      <c r="BP39" s="18" t="e">
        <f t="shared" si="29"/>
        <v>#REF!</v>
      </c>
      <c r="BQ39" s="18" t="e">
        <f t="shared" si="30"/>
        <v>#REF!</v>
      </c>
      <c r="BR39" s="18" t="e">
        <f t="shared" si="31"/>
        <v>#REF!</v>
      </c>
      <c r="BT39" s="18" t="e">
        <f t="shared" si="32"/>
        <v>#REF!</v>
      </c>
      <c r="BU39" s="18" t="e">
        <f t="shared" si="33"/>
        <v>#REF!</v>
      </c>
      <c r="BV39" s="18" t="e">
        <f t="shared" si="34"/>
        <v>#REF!</v>
      </c>
      <c r="BW39" s="18" t="e">
        <f t="shared" si="35"/>
        <v>#REF!</v>
      </c>
      <c r="BX39" s="18" t="e">
        <f t="shared" si="36"/>
        <v>#REF!</v>
      </c>
      <c r="BZ39" s="18" t="e">
        <f t="shared" si="37"/>
        <v>#REF!</v>
      </c>
      <c r="CA39" s="18" t="e">
        <f t="shared" si="38"/>
        <v>#REF!</v>
      </c>
      <c r="CB39" s="18" t="e">
        <f t="shared" si="39"/>
        <v>#REF!</v>
      </c>
      <c r="CC39" s="18" t="e">
        <f t="shared" si="40"/>
        <v>#REF!</v>
      </c>
      <c r="CD39" s="18" t="e">
        <f t="shared" si="41"/>
        <v>#REF!</v>
      </c>
      <c r="CF39" s="18" t="e">
        <f t="shared" si="42"/>
        <v>#REF!</v>
      </c>
      <c r="CG39" s="18" t="e">
        <f t="shared" si="43"/>
        <v>#REF!</v>
      </c>
      <c r="CH39" s="18" t="e">
        <f t="shared" si="44"/>
        <v>#REF!</v>
      </c>
      <c r="CI39" s="18" t="e">
        <f t="shared" si="45"/>
        <v>#REF!</v>
      </c>
      <c r="CJ39" s="18" t="e">
        <f t="shared" si="46"/>
        <v>#REF!</v>
      </c>
      <c r="CM39" s="209">
        <f t="shared" si="47"/>
        <v>2.5302889193048302E-2</v>
      </c>
      <c r="CN39" s="209" t="e">
        <f t="shared" si="48"/>
        <v>#REF!</v>
      </c>
      <c r="CO39" s="209" t="e">
        <f t="shared" si="49"/>
        <v>#REF!</v>
      </c>
      <c r="CP39" s="209" t="e">
        <f t="shared" si="50"/>
        <v>#REF!</v>
      </c>
      <c r="CQ39" s="209" t="e">
        <f t="shared" si="51"/>
        <v>#REF!</v>
      </c>
    </row>
    <row r="40" spans="1:95" x14ac:dyDescent="0.25">
      <c r="A40" s="10" t="s">
        <v>98</v>
      </c>
      <c r="B40" s="4" t="s">
        <v>99</v>
      </c>
      <c r="C40" s="4" t="s">
        <v>100</v>
      </c>
      <c r="D40" s="4" t="s">
        <v>101</v>
      </c>
      <c r="E40" s="11">
        <f>SUMIFS('ICB Core Baseline 2024-25'!Q:Q,'ICB Core Baseline 2024-25'!C:C,C40)</f>
        <v>1531973.7598892734</v>
      </c>
      <c r="F40" s="43" t="e">
        <f>SUMIFS(#REF!,#REF!,C40)</f>
        <v>#REF!</v>
      </c>
      <c r="H40" s="43" t="e">
        <f>SUMIFS(#REF!,#REF!,C40)</f>
        <v>#REF!</v>
      </c>
      <c r="I40" s="43" t="e">
        <f t="shared" si="6"/>
        <v>#REF!</v>
      </c>
      <c r="J40" s="43" t="e">
        <f t="shared" si="7"/>
        <v>#REF!</v>
      </c>
      <c r="K40" s="11" t="e">
        <f t="shared" si="0"/>
        <v>#REF!</v>
      </c>
      <c r="L40" s="11" t="e">
        <f t="shared" si="1"/>
        <v>#REF!</v>
      </c>
      <c r="M40" s="43" t="e">
        <f>SUMIFS(#REF!,#REF!,C40)</f>
        <v>#REF!</v>
      </c>
      <c r="N40" s="11" t="e">
        <f t="shared" si="2"/>
        <v>#REF!</v>
      </c>
      <c r="O40" s="43" t="e">
        <f t="shared" si="8"/>
        <v>#REF!</v>
      </c>
      <c r="P40" s="11" t="e">
        <f t="shared" si="3"/>
        <v>#REF!</v>
      </c>
      <c r="Q40" s="11" t="e">
        <f t="shared" si="9"/>
        <v>#REF!</v>
      </c>
      <c r="R40" s="11" t="e">
        <f t="shared" si="4"/>
        <v>#REF!</v>
      </c>
      <c r="S40" s="11" t="e">
        <f>(SUMIFS(#REF!,#REF!,C40)/SUMIFS(#REF!,#REF!,C40))*1000</f>
        <v>#REF!</v>
      </c>
      <c r="T40" s="11" t="e">
        <f t="shared" si="10"/>
        <v>#REF!</v>
      </c>
      <c r="U40" s="11"/>
      <c r="V40" s="11" t="e">
        <f t="shared" si="11"/>
        <v>#REF!</v>
      </c>
      <c r="W40" s="11" t="e">
        <f t="shared" si="12"/>
        <v>#REF!</v>
      </c>
      <c r="X40" s="43" t="e">
        <f t="shared" si="13"/>
        <v>#REF!</v>
      </c>
      <c r="Y40" s="43" t="e">
        <f ca="1">OFFSET(#REF!,MATCH(C40,#REF!,0)+1,0)</f>
        <v>#REF!</v>
      </c>
      <c r="Z40" s="43" t="e">
        <f t="shared" ca="1" si="14"/>
        <v>#REF!</v>
      </c>
      <c r="AA40" s="43" t="e">
        <f t="shared" si="5"/>
        <v>#REF!</v>
      </c>
      <c r="AB40" s="11" t="e">
        <f>SUMIFS(#REF!,#REF!,C40)/(1+1.8%)*(1+1.8%+2.3%)</f>
        <v>#REF!</v>
      </c>
      <c r="AC40" s="11" t="e">
        <f t="shared" si="15"/>
        <v>#REF!</v>
      </c>
      <c r="AD40" s="64"/>
      <c r="AE40" s="11" t="e">
        <f>(SUMIFS(#REF!,#REF!,C40)/(1+1.8%))*(1+1.8%+2.3%)</f>
        <v>#REF!</v>
      </c>
      <c r="AF40" s="11" t="e">
        <f>-SUMIFS(#REF!,#REF!,C40)/1000</f>
        <v>#REF!</v>
      </c>
      <c r="AG40" s="11" t="e">
        <f>SUMIFS(#REF!,#REF!,C40)</f>
        <v>#REF!</v>
      </c>
      <c r="AH40" s="11" t="e">
        <f>SUMIFS(#REF!,#REF!,C40)</f>
        <v>#REF!</v>
      </c>
      <c r="AI40" s="11" t="e">
        <f>SUMIFS(#REF!,#REF!,C40)</f>
        <v>#REF!</v>
      </c>
      <c r="AJ40" s="11" t="e">
        <f>SUMIFS(#REF!,#REF!,C40)</f>
        <v>#REF!</v>
      </c>
      <c r="AK40" s="11"/>
      <c r="AL40" s="11" t="e">
        <f t="shared" si="16"/>
        <v>#REF!</v>
      </c>
      <c r="AN40" s="11" t="e">
        <f t="shared" si="17"/>
        <v>#REF!</v>
      </c>
      <c r="AO40" s="11" t="e">
        <f t="shared" si="18"/>
        <v>#REF!</v>
      </c>
      <c r="AQ40" s="11" t="e">
        <f t="shared" si="19"/>
        <v>#REF!</v>
      </c>
      <c r="AS40" s="43" t="e">
        <f t="shared" si="20"/>
        <v>#REF!</v>
      </c>
      <c r="AT40" s="11" t="e">
        <f t="shared" si="21"/>
        <v>#REF!</v>
      </c>
      <c r="AV40" s="11" t="e">
        <f>'Share of £1bn'!$F$20*1000*$AO40/$AO$57</f>
        <v>#REF!</v>
      </c>
      <c r="AW40" s="11" t="e">
        <f>'Share of £1bn'!$F$27*1000*$AO40/$AO$57</f>
        <v>#REF!</v>
      </c>
      <c r="AX40" s="11" t="e">
        <f>'Share of £1bn'!$F$21*1000*$AO40/$AO$57</f>
        <v>#REF!</v>
      </c>
      <c r="AZ40" s="11" t="e">
        <f>'Share of £1bn'!$F$43*1000*AO40/$AO$57</f>
        <v>#REF!</v>
      </c>
      <c r="BA40" s="11" t="e">
        <f>'Share of £1bn'!$F$50*1000*$AO40/$AO$57</f>
        <v>#REF!</v>
      </c>
      <c r="BB40" s="11" t="e">
        <f>'Share of £1bn'!$F$44*1000*AO40/$AO$57</f>
        <v>#REF!</v>
      </c>
      <c r="BD40" s="11" t="e">
        <f>'Share of £1bn'!$F$67*1000*AO40/$AO$57</f>
        <v>#REF!</v>
      </c>
      <c r="BF40" s="11">
        <f>SUMIFS('20-11 M6 deficits'!$BO:$BO,'20-11 M6 deficits'!$C:$C,$C40)*1000</f>
        <v>-10000</v>
      </c>
      <c r="BH40" s="11" t="e">
        <f t="shared" si="22"/>
        <v>#REF!</v>
      </c>
      <c r="BI40" s="11" t="e">
        <f t="shared" si="23"/>
        <v>#REF!</v>
      </c>
      <c r="BJ40" s="11" t="e">
        <f t="shared" si="24"/>
        <v>#REF!</v>
      </c>
      <c r="BK40" s="11" t="e">
        <f t="shared" si="25"/>
        <v>#REF!</v>
      </c>
      <c r="BL40" s="11" t="e">
        <f t="shared" si="26"/>
        <v>#REF!</v>
      </c>
      <c r="BN40" s="11" t="e">
        <f t="shared" si="27"/>
        <v>#REF!</v>
      </c>
      <c r="BO40" s="11" t="e">
        <f t="shared" si="28"/>
        <v>#REF!</v>
      </c>
      <c r="BP40" s="11" t="e">
        <f t="shared" si="29"/>
        <v>#REF!</v>
      </c>
      <c r="BQ40" s="11" t="e">
        <f t="shared" si="30"/>
        <v>#REF!</v>
      </c>
      <c r="BR40" s="11" t="e">
        <f t="shared" si="31"/>
        <v>#REF!</v>
      </c>
      <c r="BT40" s="11" t="e">
        <f t="shared" si="32"/>
        <v>#REF!</v>
      </c>
      <c r="BU40" s="11" t="e">
        <f t="shared" si="33"/>
        <v>#REF!</v>
      </c>
      <c r="BV40" s="11" t="e">
        <f t="shared" si="34"/>
        <v>#REF!</v>
      </c>
      <c r="BW40" s="11" t="e">
        <f t="shared" si="35"/>
        <v>#REF!</v>
      </c>
      <c r="BX40" s="11" t="e">
        <f t="shared" si="36"/>
        <v>#REF!</v>
      </c>
      <c r="BZ40" s="11" t="e">
        <f t="shared" si="37"/>
        <v>#REF!</v>
      </c>
      <c r="CA40" s="11" t="e">
        <f t="shared" si="38"/>
        <v>#REF!</v>
      </c>
      <c r="CB40" s="11" t="e">
        <f t="shared" si="39"/>
        <v>#REF!</v>
      </c>
      <c r="CC40" s="11" t="e">
        <f t="shared" si="40"/>
        <v>#REF!</v>
      </c>
      <c r="CD40" s="11" t="e">
        <f t="shared" si="41"/>
        <v>#REF!</v>
      </c>
      <c r="CF40" s="11" t="e">
        <f t="shared" si="42"/>
        <v>#REF!</v>
      </c>
      <c r="CG40" s="11" t="e">
        <f t="shared" si="43"/>
        <v>#REF!</v>
      </c>
      <c r="CH40" s="11" t="e">
        <f t="shared" si="44"/>
        <v>#REF!</v>
      </c>
      <c r="CI40" s="11" t="e">
        <f t="shared" si="45"/>
        <v>#REF!</v>
      </c>
      <c r="CJ40" s="11" t="e">
        <f t="shared" si="46"/>
        <v>#REF!</v>
      </c>
      <c r="CM40" s="209">
        <f t="shared" si="47"/>
        <v>6.3257222982620754E-3</v>
      </c>
      <c r="CN40" s="209" t="e">
        <f t="shared" si="48"/>
        <v>#REF!</v>
      </c>
      <c r="CO40" s="209" t="e">
        <f t="shared" si="49"/>
        <v>#REF!</v>
      </c>
      <c r="CP40" s="209" t="e">
        <f t="shared" si="50"/>
        <v>#REF!</v>
      </c>
      <c r="CQ40" s="209" t="e">
        <f t="shared" si="51"/>
        <v>#REF!</v>
      </c>
    </row>
    <row r="41" spans="1:95" x14ac:dyDescent="0.25">
      <c r="A41" s="13" t="s">
        <v>98</v>
      </c>
      <c r="B41" s="14" t="s">
        <v>99</v>
      </c>
      <c r="C41" s="4" t="s">
        <v>102</v>
      </c>
      <c r="D41" s="4" t="s">
        <v>103</v>
      </c>
      <c r="E41" s="11">
        <f>SUMIFS('ICB Core Baseline 2024-25'!Q:Q,'ICB Core Baseline 2024-25'!C:C,C41)</f>
        <v>1696336.7513857663</v>
      </c>
      <c r="F41" s="43" t="e">
        <f>SUMIFS(#REF!,#REF!,C41)</f>
        <v>#REF!</v>
      </c>
      <c r="H41" s="43" t="e">
        <f>SUMIFS(#REF!,#REF!,C41)</f>
        <v>#REF!</v>
      </c>
      <c r="I41" s="43" t="e">
        <f t="shared" si="6"/>
        <v>#REF!</v>
      </c>
      <c r="J41" s="43" t="e">
        <f t="shared" si="7"/>
        <v>#REF!</v>
      </c>
      <c r="K41" s="11" t="e">
        <f t="shared" si="0"/>
        <v>#REF!</v>
      </c>
      <c r="L41" s="11" t="e">
        <f t="shared" si="1"/>
        <v>#REF!</v>
      </c>
      <c r="M41" s="43" t="e">
        <f>SUMIFS(#REF!,#REF!,C41)</f>
        <v>#REF!</v>
      </c>
      <c r="N41" s="11" t="e">
        <f t="shared" si="2"/>
        <v>#REF!</v>
      </c>
      <c r="O41" s="43" t="e">
        <f t="shared" si="8"/>
        <v>#REF!</v>
      </c>
      <c r="P41" s="11" t="e">
        <f t="shared" si="3"/>
        <v>#REF!</v>
      </c>
      <c r="Q41" s="11" t="e">
        <f t="shared" si="9"/>
        <v>#REF!</v>
      </c>
      <c r="R41" s="11" t="e">
        <f t="shared" si="4"/>
        <v>#REF!</v>
      </c>
      <c r="S41" s="11" t="e">
        <f>(SUMIFS(#REF!,#REF!,C41)/SUMIFS(#REF!,#REF!,C41))*1000</f>
        <v>#REF!</v>
      </c>
      <c r="T41" s="11" t="e">
        <f t="shared" si="10"/>
        <v>#REF!</v>
      </c>
      <c r="U41" s="11"/>
      <c r="V41" s="11" t="e">
        <f t="shared" si="11"/>
        <v>#REF!</v>
      </c>
      <c r="W41" s="11" t="e">
        <f t="shared" si="12"/>
        <v>#REF!</v>
      </c>
      <c r="X41" s="43" t="e">
        <f t="shared" si="13"/>
        <v>#REF!</v>
      </c>
      <c r="Y41" s="43" t="e">
        <f ca="1">OFFSET(#REF!,MATCH(C41,#REF!,0)+1,0)</f>
        <v>#REF!</v>
      </c>
      <c r="Z41" s="43" t="e">
        <f t="shared" ca="1" si="14"/>
        <v>#REF!</v>
      </c>
      <c r="AA41" s="43" t="e">
        <f t="shared" si="5"/>
        <v>#REF!</v>
      </c>
      <c r="AB41" s="11" t="e">
        <f>SUMIFS(#REF!,#REF!,C41)/(1+1.8%)*(1+1.8%+2.3%)</f>
        <v>#REF!</v>
      </c>
      <c r="AC41" s="11" t="e">
        <f t="shared" si="15"/>
        <v>#REF!</v>
      </c>
      <c r="AD41" s="64"/>
      <c r="AE41" s="11" t="e">
        <f>(SUMIFS(#REF!,#REF!,C41)/(1+1.8%))*(1+1.8%+2.3%)</f>
        <v>#REF!</v>
      </c>
      <c r="AF41" s="11" t="e">
        <f>-SUMIFS(#REF!,#REF!,C41)/1000</f>
        <v>#REF!</v>
      </c>
      <c r="AG41" s="11" t="e">
        <f>SUMIFS(#REF!,#REF!,C41)</f>
        <v>#REF!</v>
      </c>
      <c r="AH41" s="11" t="e">
        <f>SUMIFS(#REF!,#REF!,C41)</f>
        <v>#REF!</v>
      </c>
      <c r="AI41" s="11" t="e">
        <f>SUMIFS(#REF!,#REF!,C41)</f>
        <v>#REF!</v>
      </c>
      <c r="AJ41" s="11" t="e">
        <f>SUMIFS(#REF!,#REF!,C41)</f>
        <v>#REF!</v>
      </c>
      <c r="AK41" s="11"/>
      <c r="AL41" s="11" t="e">
        <f t="shared" si="16"/>
        <v>#REF!</v>
      </c>
      <c r="AN41" s="11" t="e">
        <f t="shared" si="17"/>
        <v>#REF!</v>
      </c>
      <c r="AO41" s="11" t="e">
        <f t="shared" si="18"/>
        <v>#REF!</v>
      </c>
      <c r="AQ41" s="11" t="e">
        <f t="shared" si="19"/>
        <v>#REF!</v>
      </c>
      <c r="AS41" s="43" t="e">
        <f t="shared" si="20"/>
        <v>#REF!</v>
      </c>
      <c r="AT41" s="11" t="e">
        <f t="shared" si="21"/>
        <v>#REF!</v>
      </c>
      <c r="AV41" s="11" t="e">
        <f>'Share of £1bn'!$F$20*1000*$AO41/$AO$57</f>
        <v>#REF!</v>
      </c>
      <c r="AW41" s="11" t="e">
        <f>'Share of £1bn'!$F$27*1000*$AO41/$AO$57</f>
        <v>#REF!</v>
      </c>
      <c r="AX41" s="11" t="e">
        <f>'Share of £1bn'!$F$21*1000*$AO41/$AO$57</f>
        <v>#REF!</v>
      </c>
      <c r="AZ41" s="11" t="e">
        <f>'Share of £1bn'!$F$43*1000*AO41/$AO$57</f>
        <v>#REF!</v>
      </c>
      <c r="BA41" s="11" t="e">
        <f>'Share of £1bn'!$F$50*1000*$AO41/$AO$57</f>
        <v>#REF!</v>
      </c>
      <c r="BB41" s="11" t="e">
        <f>'Share of £1bn'!$F$44*1000*AO41/$AO$57</f>
        <v>#REF!</v>
      </c>
      <c r="BD41" s="11" t="e">
        <f>'Share of £1bn'!$F$67*1000*AO41/$AO$57</f>
        <v>#REF!</v>
      </c>
      <c r="BF41" s="11">
        <f>SUMIFS('20-11 M6 deficits'!$BO:$BO,'20-11 M6 deficits'!$C:$C,$C41)*1000</f>
        <v>0</v>
      </c>
      <c r="BH41" s="11" t="e">
        <f t="shared" si="22"/>
        <v>#REF!</v>
      </c>
      <c r="BI41" s="11" t="e">
        <f t="shared" si="23"/>
        <v>#REF!</v>
      </c>
      <c r="BJ41" s="11" t="e">
        <f t="shared" si="24"/>
        <v>#REF!</v>
      </c>
      <c r="BK41" s="11" t="e">
        <f t="shared" si="25"/>
        <v>#REF!</v>
      </c>
      <c r="BL41" s="11" t="e">
        <f t="shared" si="26"/>
        <v>#REF!</v>
      </c>
      <c r="BN41" s="11" t="e">
        <f t="shared" si="27"/>
        <v>#REF!</v>
      </c>
      <c r="BO41" s="11" t="e">
        <f t="shared" si="28"/>
        <v>#REF!</v>
      </c>
      <c r="BP41" s="11" t="e">
        <f t="shared" si="29"/>
        <v>#REF!</v>
      </c>
      <c r="BQ41" s="11" t="e">
        <f t="shared" si="30"/>
        <v>#REF!</v>
      </c>
      <c r="BR41" s="11" t="e">
        <f t="shared" si="31"/>
        <v>#REF!</v>
      </c>
      <c r="BT41" s="11" t="e">
        <f t="shared" si="32"/>
        <v>#REF!</v>
      </c>
      <c r="BU41" s="11" t="e">
        <f t="shared" si="33"/>
        <v>#REF!</v>
      </c>
      <c r="BV41" s="11" t="e">
        <f t="shared" si="34"/>
        <v>#REF!</v>
      </c>
      <c r="BW41" s="11" t="e">
        <f t="shared" si="35"/>
        <v>#REF!</v>
      </c>
      <c r="BX41" s="11" t="e">
        <f t="shared" si="36"/>
        <v>#REF!</v>
      </c>
      <c r="BZ41" s="11" t="e">
        <f t="shared" si="37"/>
        <v>#REF!</v>
      </c>
      <c r="CA41" s="11" t="e">
        <f t="shared" si="38"/>
        <v>#REF!</v>
      </c>
      <c r="CB41" s="11" t="e">
        <f t="shared" si="39"/>
        <v>#REF!</v>
      </c>
      <c r="CC41" s="11" t="e">
        <f t="shared" si="40"/>
        <v>#REF!</v>
      </c>
      <c r="CD41" s="11" t="e">
        <f t="shared" si="41"/>
        <v>#REF!</v>
      </c>
      <c r="CF41" s="11" t="e">
        <f t="shared" si="42"/>
        <v>#REF!</v>
      </c>
      <c r="CG41" s="11" t="e">
        <f t="shared" si="43"/>
        <v>#REF!</v>
      </c>
      <c r="CH41" s="11" t="e">
        <f t="shared" si="44"/>
        <v>#REF!</v>
      </c>
      <c r="CI41" s="11" t="e">
        <f t="shared" si="45"/>
        <v>#REF!</v>
      </c>
      <c r="CJ41" s="11" t="e">
        <f t="shared" si="46"/>
        <v>#REF!</v>
      </c>
      <c r="CM41" s="209">
        <f t="shared" si="47"/>
        <v>0</v>
      </c>
      <c r="CN41" s="209" t="e">
        <f t="shared" si="48"/>
        <v>#REF!</v>
      </c>
      <c r="CO41" s="209" t="e">
        <f t="shared" si="49"/>
        <v>#REF!</v>
      </c>
      <c r="CP41" s="209" t="e">
        <f t="shared" si="50"/>
        <v>#REF!</v>
      </c>
      <c r="CQ41" s="209" t="e">
        <f t="shared" si="51"/>
        <v>#REF!</v>
      </c>
    </row>
    <row r="42" spans="1:95" x14ac:dyDescent="0.25">
      <c r="A42" s="13" t="s">
        <v>98</v>
      </c>
      <c r="B42" s="14" t="s">
        <v>99</v>
      </c>
      <c r="C42" s="4" t="s">
        <v>104</v>
      </c>
      <c r="D42" s="4" t="s">
        <v>105</v>
      </c>
      <c r="E42" s="11">
        <f>SUMIFS('ICB Core Baseline 2024-25'!Q:Q,'ICB Core Baseline 2024-25'!C:C,C42)</f>
        <v>1099576.1345820946</v>
      </c>
      <c r="F42" s="43" t="e">
        <f>SUMIFS(#REF!,#REF!,C42)</f>
        <v>#REF!</v>
      </c>
      <c r="H42" s="43" t="e">
        <f>SUMIFS(#REF!,#REF!,C42)</f>
        <v>#REF!</v>
      </c>
      <c r="I42" s="43" t="e">
        <f t="shared" si="6"/>
        <v>#REF!</v>
      </c>
      <c r="J42" s="43" t="e">
        <f t="shared" si="7"/>
        <v>#REF!</v>
      </c>
      <c r="K42" s="11" t="e">
        <f t="shared" si="0"/>
        <v>#REF!</v>
      </c>
      <c r="L42" s="11" t="e">
        <f t="shared" si="1"/>
        <v>#REF!</v>
      </c>
      <c r="M42" s="43" t="e">
        <f>SUMIFS(#REF!,#REF!,C42)</f>
        <v>#REF!</v>
      </c>
      <c r="N42" s="11" t="e">
        <f t="shared" si="2"/>
        <v>#REF!</v>
      </c>
      <c r="O42" s="43" t="e">
        <f t="shared" si="8"/>
        <v>#REF!</v>
      </c>
      <c r="P42" s="11" t="e">
        <f t="shared" si="3"/>
        <v>#REF!</v>
      </c>
      <c r="Q42" s="11" t="e">
        <f t="shared" si="9"/>
        <v>#REF!</v>
      </c>
      <c r="R42" s="11" t="e">
        <f t="shared" si="4"/>
        <v>#REF!</v>
      </c>
      <c r="S42" s="11" t="e">
        <f>(SUMIFS(#REF!,#REF!,C42)/SUMIFS(#REF!,#REF!,C42))*1000</f>
        <v>#REF!</v>
      </c>
      <c r="T42" s="11" t="e">
        <f t="shared" si="10"/>
        <v>#REF!</v>
      </c>
      <c r="U42" s="11"/>
      <c r="V42" s="11" t="e">
        <f t="shared" si="11"/>
        <v>#REF!</v>
      </c>
      <c r="W42" s="11" t="e">
        <f t="shared" si="12"/>
        <v>#REF!</v>
      </c>
      <c r="X42" s="43" t="e">
        <f t="shared" si="13"/>
        <v>#REF!</v>
      </c>
      <c r="Y42" s="43" t="e">
        <f ca="1">OFFSET(#REF!,MATCH(C42,#REF!,0)+1,0)</f>
        <v>#REF!</v>
      </c>
      <c r="Z42" s="43" t="e">
        <f t="shared" ca="1" si="14"/>
        <v>#REF!</v>
      </c>
      <c r="AA42" s="43" t="e">
        <f t="shared" si="5"/>
        <v>#REF!</v>
      </c>
      <c r="AB42" s="11" t="e">
        <f>SUMIFS(#REF!,#REF!,C42)/(1+1.8%)*(1+1.8%+2.3%)</f>
        <v>#REF!</v>
      </c>
      <c r="AC42" s="11" t="e">
        <f t="shared" si="15"/>
        <v>#REF!</v>
      </c>
      <c r="AD42" s="64"/>
      <c r="AE42" s="11" t="e">
        <f>(SUMIFS(#REF!,#REF!,C42)/(1+1.8%))*(1+1.8%+2.3%)</f>
        <v>#REF!</v>
      </c>
      <c r="AF42" s="11" t="e">
        <f>-SUMIFS(#REF!,#REF!,C42)/1000</f>
        <v>#REF!</v>
      </c>
      <c r="AG42" s="11" t="e">
        <f>SUMIFS(#REF!,#REF!,C42)</f>
        <v>#REF!</v>
      </c>
      <c r="AH42" s="11" t="e">
        <f>SUMIFS(#REF!,#REF!,C42)</f>
        <v>#REF!</v>
      </c>
      <c r="AI42" s="11" t="e">
        <f>SUMIFS(#REF!,#REF!,C42)</f>
        <v>#REF!</v>
      </c>
      <c r="AJ42" s="11" t="e">
        <f>SUMIFS(#REF!,#REF!,C42)</f>
        <v>#REF!</v>
      </c>
      <c r="AK42" s="11"/>
      <c r="AL42" s="11" t="e">
        <f t="shared" si="16"/>
        <v>#REF!</v>
      </c>
      <c r="AN42" s="11" t="e">
        <f t="shared" si="17"/>
        <v>#REF!</v>
      </c>
      <c r="AO42" s="11" t="e">
        <f t="shared" si="18"/>
        <v>#REF!</v>
      </c>
      <c r="AQ42" s="11" t="e">
        <f t="shared" si="19"/>
        <v>#REF!</v>
      </c>
      <c r="AS42" s="43" t="e">
        <f t="shared" si="20"/>
        <v>#REF!</v>
      </c>
      <c r="AT42" s="11" t="e">
        <f t="shared" si="21"/>
        <v>#REF!</v>
      </c>
      <c r="AV42" s="11" t="e">
        <f>'Share of £1bn'!$F$20*1000*$AO42/$AO$57</f>
        <v>#REF!</v>
      </c>
      <c r="AW42" s="11" t="e">
        <f>'Share of £1bn'!$F$27*1000*$AO42/$AO$57</f>
        <v>#REF!</v>
      </c>
      <c r="AX42" s="11" t="e">
        <f>'Share of £1bn'!$F$21*1000*$AO42/$AO$57</f>
        <v>#REF!</v>
      </c>
      <c r="AZ42" s="11" t="e">
        <f>'Share of £1bn'!$F$43*1000*AO42/$AO$57</f>
        <v>#REF!</v>
      </c>
      <c r="BA42" s="11" t="e">
        <f>'Share of £1bn'!$F$50*1000*$AO42/$AO$57</f>
        <v>#REF!</v>
      </c>
      <c r="BB42" s="11" t="e">
        <f>'Share of £1bn'!$F$44*1000*AO42/$AO$57</f>
        <v>#REF!</v>
      </c>
      <c r="BD42" s="11" t="e">
        <f>'Share of £1bn'!$F$67*1000*AO42/$AO$57</f>
        <v>#REF!</v>
      </c>
      <c r="BF42" s="11">
        <f>SUMIFS('20-11 M6 deficits'!$BO:$BO,'20-11 M6 deficits'!$C:$C,$C42)*1000</f>
        <v>0</v>
      </c>
      <c r="BH42" s="11" t="e">
        <f t="shared" si="22"/>
        <v>#REF!</v>
      </c>
      <c r="BI42" s="11" t="e">
        <f t="shared" si="23"/>
        <v>#REF!</v>
      </c>
      <c r="BJ42" s="11" t="e">
        <f t="shared" si="24"/>
        <v>#REF!</v>
      </c>
      <c r="BK42" s="11" t="e">
        <f t="shared" si="25"/>
        <v>#REF!</v>
      </c>
      <c r="BL42" s="11" t="e">
        <f t="shared" si="26"/>
        <v>#REF!</v>
      </c>
      <c r="BN42" s="11" t="e">
        <f t="shared" si="27"/>
        <v>#REF!</v>
      </c>
      <c r="BO42" s="11" t="e">
        <f t="shared" si="28"/>
        <v>#REF!</v>
      </c>
      <c r="BP42" s="11" t="e">
        <f t="shared" si="29"/>
        <v>#REF!</v>
      </c>
      <c r="BQ42" s="11" t="e">
        <f t="shared" si="30"/>
        <v>#REF!</v>
      </c>
      <c r="BR42" s="11" t="e">
        <f t="shared" si="31"/>
        <v>#REF!</v>
      </c>
      <c r="BT42" s="11" t="e">
        <f t="shared" si="32"/>
        <v>#REF!</v>
      </c>
      <c r="BU42" s="11" t="e">
        <f t="shared" si="33"/>
        <v>#REF!</v>
      </c>
      <c r="BV42" s="11" t="e">
        <f t="shared" si="34"/>
        <v>#REF!</v>
      </c>
      <c r="BW42" s="11" t="e">
        <f t="shared" si="35"/>
        <v>#REF!</v>
      </c>
      <c r="BX42" s="11" t="e">
        <f t="shared" si="36"/>
        <v>#REF!</v>
      </c>
      <c r="BZ42" s="11" t="e">
        <f t="shared" si="37"/>
        <v>#REF!</v>
      </c>
      <c r="CA42" s="11" t="e">
        <f t="shared" si="38"/>
        <v>#REF!</v>
      </c>
      <c r="CB42" s="11" t="e">
        <f t="shared" si="39"/>
        <v>#REF!</v>
      </c>
      <c r="CC42" s="11" t="e">
        <f t="shared" si="40"/>
        <v>#REF!</v>
      </c>
      <c r="CD42" s="11" t="e">
        <f t="shared" si="41"/>
        <v>#REF!</v>
      </c>
      <c r="CF42" s="11" t="e">
        <f t="shared" si="42"/>
        <v>#REF!</v>
      </c>
      <c r="CG42" s="11" t="e">
        <f t="shared" si="43"/>
        <v>#REF!</v>
      </c>
      <c r="CH42" s="11" t="e">
        <f t="shared" si="44"/>
        <v>#REF!</v>
      </c>
      <c r="CI42" s="11" t="e">
        <f t="shared" si="45"/>
        <v>#REF!</v>
      </c>
      <c r="CJ42" s="11" t="e">
        <f t="shared" si="46"/>
        <v>#REF!</v>
      </c>
      <c r="CM42" s="209">
        <f t="shared" si="47"/>
        <v>0</v>
      </c>
      <c r="CN42" s="209" t="e">
        <f t="shared" si="48"/>
        <v>#REF!</v>
      </c>
      <c r="CO42" s="209" t="e">
        <f t="shared" si="49"/>
        <v>#REF!</v>
      </c>
      <c r="CP42" s="209" t="e">
        <f t="shared" si="50"/>
        <v>#REF!</v>
      </c>
      <c r="CQ42" s="209" t="e">
        <f t="shared" si="51"/>
        <v>#REF!</v>
      </c>
    </row>
    <row r="43" spans="1:95" x14ac:dyDescent="0.25">
      <c r="A43" s="13" t="s">
        <v>98</v>
      </c>
      <c r="B43" s="14" t="s">
        <v>99</v>
      </c>
      <c r="C43" s="4" t="s">
        <v>106</v>
      </c>
      <c r="D43" s="4" t="s">
        <v>107</v>
      </c>
      <c r="E43" s="11">
        <f>SUMIFS('ICB Core Baseline 2024-25'!Q:Q,'ICB Core Baseline 2024-25'!C:C,C43)</f>
        <v>2261976.4170612651</v>
      </c>
      <c r="F43" s="43" t="e">
        <f>SUMIFS(#REF!,#REF!,C43)</f>
        <v>#REF!</v>
      </c>
      <c r="H43" s="43" t="e">
        <f>SUMIFS(#REF!,#REF!,C43)</f>
        <v>#REF!</v>
      </c>
      <c r="I43" s="43" t="e">
        <f t="shared" si="6"/>
        <v>#REF!</v>
      </c>
      <c r="J43" s="43" t="e">
        <f t="shared" si="7"/>
        <v>#REF!</v>
      </c>
      <c r="K43" s="11" t="e">
        <f t="shared" si="0"/>
        <v>#REF!</v>
      </c>
      <c r="L43" s="11" t="e">
        <f t="shared" si="1"/>
        <v>#REF!</v>
      </c>
      <c r="M43" s="43" t="e">
        <f>SUMIFS(#REF!,#REF!,C43)</f>
        <v>#REF!</v>
      </c>
      <c r="N43" s="11" t="e">
        <f t="shared" si="2"/>
        <v>#REF!</v>
      </c>
      <c r="O43" s="43" t="e">
        <f t="shared" si="8"/>
        <v>#REF!</v>
      </c>
      <c r="P43" s="11" t="e">
        <f t="shared" si="3"/>
        <v>#REF!</v>
      </c>
      <c r="Q43" s="11" t="e">
        <f t="shared" si="9"/>
        <v>#REF!</v>
      </c>
      <c r="R43" s="11" t="e">
        <f t="shared" si="4"/>
        <v>#REF!</v>
      </c>
      <c r="S43" s="11" t="e">
        <f>(SUMIFS(#REF!,#REF!,C43)/SUMIFS(#REF!,#REF!,C43))*1000</f>
        <v>#REF!</v>
      </c>
      <c r="T43" s="11" t="e">
        <f t="shared" si="10"/>
        <v>#REF!</v>
      </c>
      <c r="U43" s="11"/>
      <c r="V43" s="11" t="e">
        <f t="shared" si="11"/>
        <v>#REF!</v>
      </c>
      <c r="W43" s="11" t="e">
        <f t="shared" si="12"/>
        <v>#REF!</v>
      </c>
      <c r="X43" s="43" t="e">
        <f t="shared" si="13"/>
        <v>#REF!</v>
      </c>
      <c r="Y43" s="43" t="e">
        <f ca="1">OFFSET(#REF!,MATCH(C43,#REF!,0)+1,0)</f>
        <v>#REF!</v>
      </c>
      <c r="Z43" s="43" t="e">
        <f t="shared" ca="1" si="14"/>
        <v>#REF!</v>
      </c>
      <c r="AA43" s="43" t="e">
        <f t="shared" si="5"/>
        <v>#REF!</v>
      </c>
      <c r="AB43" s="11" t="e">
        <f>SUMIFS(#REF!,#REF!,C43)/(1+1.8%)*(1+1.8%+2.3%)</f>
        <v>#REF!</v>
      </c>
      <c r="AC43" s="11" t="e">
        <f t="shared" si="15"/>
        <v>#REF!</v>
      </c>
      <c r="AD43" s="64"/>
      <c r="AE43" s="11" t="e">
        <f>(SUMIFS(#REF!,#REF!,C43)/(1+1.8%))*(1+1.8%+2.3%)</f>
        <v>#REF!</v>
      </c>
      <c r="AF43" s="11" t="e">
        <f>-SUMIFS(#REF!,#REF!,C43)/1000</f>
        <v>#REF!</v>
      </c>
      <c r="AG43" s="11" t="e">
        <f>SUMIFS(#REF!,#REF!,C43)</f>
        <v>#REF!</v>
      </c>
      <c r="AH43" s="11" t="e">
        <f>SUMIFS(#REF!,#REF!,C43)</f>
        <v>#REF!</v>
      </c>
      <c r="AI43" s="11" t="e">
        <f>SUMIFS(#REF!,#REF!,C43)</f>
        <v>#REF!</v>
      </c>
      <c r="AJ43" s="11" t="e">
        <f>SUMIFS(#REF!,#REF!,C43)</f>
        <v>#REF!</v>
      </c>
      <c r="AK43" s="11"/>
      <c r="AL43" s="11" t="e">
        <f t="shared" si="16"/>
        <v>#REF!</v>
      </c>
      <c r="AN43" s="11" t="e">
        <f t="shared" si="17"/>
        <v>#REF!</v>
      </c>
      <c r="AO43" s="11" t="e">
        <f t="shared" si="18"/>
        <v>#REF!</v>
      </c>
      <c r="AQ43" s="11" t="e">
        <f t="shared" si="19"/>
        <v>#REF!</v>
      </c>
      <c r="AS43" s="43" t="e">
        <f t="shared" si="20"/>
        <v>#REF!</v>
      </c>
      <c r="AT43" s="11" t="e">
        <f t="shared" si="21"/>
        <v>#REF!</v>
      </c>
      <c r="AV43" s="11" t="e">
        <f>'Share of £1bn'!$F$20*1000*$AO43/$AO$57</f>
        <v>#REF!</v>
      </c>
      <c r="AW43" s="11" t="e">
        <f>'Share of £1bn'!$F$27*1000*$AO43/$AO$57</f>
        <v>#REF!</v>
      </c>
      <c r="AX43" s="11" t="e">
        <f>'Share of £1bn'!$F$21*1000*$AO43/$AO$57</f>
        <v>#REF!</v>
      </c>
      <c r="AZ43" s="11" t="e">
        <f>'Share of £1bn'!$F$43*1000*AO43/$AO$57</f>
        <v>#REF!</v>
      </c>
      <c r="BA43" s="11" t="e">
        <f>'Share of £1bn'!$F$50*1000*$AO43/$AO$57</f>
        <v>#REF!</v>
      </c>
      <c r="BB43" s="11" t="e">
        <f>'Share of £1bn'!$F$44*1000*AO43/$AO$57</f>
        <v>#REF!</v>
      </c>
      <c r="BD43" s="11" t="e">
        <f>'Share of £1bn'!$F$67*1000*AO43/$AO$57</f>
        <v>#REF!</v>
      </c>
      <c r="BF43" s="11">
        <f>SUMIFS('20-11 M6 deficits'!$BO:$BO,'20-11 M6 deficits'!$C:$C,$C43)*1000</f>
        <v>-70000</v>
      </c>
      <c r="BH43" s="11" t="e">
        <f t="shared" si="22"/>
        <v>#REF!</v>
      </c>
      <c r="BI43" s="11" t="e">
        <f t="shared" si="23"/>
        <v>#REF!</v>
      </c>
      <c r="BJ43" s="11" t="e">
        <f t="shared" si="24"/>
        <v>#REF!</v>
      </c>
      <c r="BK43" s="11" t="e">
        <f t="shared" si="25"/>
        <v>#REF!</v>
      </c>
      <c r="BL43" s="11" t="e">
        <f t="shared" si="26"/>
        <v>#REF!</v>
      </c>
      <c r="BN43" s="11" t="e">
        <f t="shared" si="27"/>
        <v>#REF!</v>
      </c>
      <c r="BO43" s="11" t="e">
        <f t="shared" si="28"/>
        <v>#REF!</v>
      </c>
      <c r="BP43" s="11" t="e">
        <f t="shared" si="29"/>
        <v>#REF!</v>
      </c>
      <c r="BQ43" s="11" t="e">
        <f t="shared" si="30"/>
        <v>#REF!</v>
      </c>
      <c r="BR43" s="11" t="e">
        <f t="shared" si="31"/>
        <v>#REF!</v>
      </c>
      <c r="BT43" s="11" t="e">
        <f t="shared" si="32"/>
        <v>#REF!</v>
      </c>
      <c r="BU43" s="11" t="e">
        <f t="shared" si="33"/>
        <v>#REF!</v>
      </c>
      <c r="BV43" s="11" t="e">
        <f t="shared" si="34"/>
        <v>#REF!</v>
      </c>
      <c r="BW43" s="11" t="e">
        <f t="shared" si="35"/>
        <v>#REF!</v>
      </c>
      <c r="BX43" s="11" t="e">
        <f t="shared" si="36"/>
        <v>#REF!</v>
      </c>
      <c r="BZ43" s="11" t="e">
        <f t="shared" si="37"/>
        <v>#REF!</v>
      </c>
      <c r="CA43" s="11" t="e">
        <f t="shared" si="38"/>
        <v>#REF!</v>
      </c>
      <c r="CB43" s="11" t="e">
        <f t="shared" si="39"/>
        <v>#REF!</v>
      </c>
      <c r="CC43" s="11" t="e">
        <f t="shared" si="40"/>
        <v>#REF!</v>
      </c>
      <c r="CD43" s="11" t="e">
        <f t="shared" si="41"/>
        <v>#REF!</v>
      </c>
      <c r="CF43" s="11" t="e">
        <f t="shared" si="42"/>
        <v>#REF!</v>
      </c>
      <c r="CG43" s="11" t="e">
        <f t="shared" si="43"/>
        <v>#REF!</v>
      </c>
      <c r="CH43" s="11" t="e">
        <f t="shared" si="44"/>
        <v>#REF!</v>
      </c>
      <c r="CI43" s="11" t="e">
        <f t="shared" si="45"/>
        <v>#REF!</v>
      </c>
      <c r="CJ43" s="11" t="e">
        <f t="shared" si="46"/>
        <v>#REF!</v>
      </c>
      <c r="CM43" s="209">
        <f t="shared" si="47"/>
        <v>4.4280056087834523E-2</v>
      </c>
      <c r="CN43" s="209" t="e">
        <f t="shared" si="48"/>
        <v>#REF!</v>
      </c>
      <c r="CO43" s="209" t="e">
        <f t="shared" si="49"/>
        <v>#REF!</v>
      </c>
      <c r="CP43" s="209" t="e">
        <f t="shared" si="50"/>
        <v>#REF!</v>
      </c>
      <c r="CQ43" s="209" t="e">
        <f t="shared" si="51"/>
        <v>#REF!</v>
      </c>
    </row>
    <row r="44" spans="1:95" x14ac:dyDescent="0.25">
      <c r="A44" s="13" t="s">
        <v>98</v>
      </c>
      <c r="B44" s="14" t="s">
        <v>99</v>
      </c>
      <c r="C44" s="4" t="s">
        <v>108</v>
      </c>
      <c r="D44" s="4" t="s">
        <v>109</v>
      </c>
      <c r="E44" s="11">
        <f>SUMIFS('ICB Core Baseline 2024-25'!Q:Q,'ICB Core Baseline 2024-25'!C:C,C44)</f>
        <v>1451965.4129123772</v>
      </c>
      <c r="F44" s="43" t="e">
        <f>SUMIFS(#REF!,#REF!,C44)</f>
        <v>#REF!</v>
      </c>
      <c r="H44" s="43" t="e">
        <f>SUMIFS(#REF!,#REF!,C44)</f>
        <v>#REF!</v>
      </c>
      <c r="I44" s="43" t="e">
        <f t="shared" si="6"/>
        <v>#REF!</v>
      </c>
      <c r="J44" s="43" t="e">
        <f t="shared" si="7"/>
        <v>#REF!</v>
      </c>
      <c r="K44" s="11" t="e">
        <f t="shared" si="0"/>
        <v>#REF!</v>
      </c>
      <c r="L44" s="11" t="e">
        <f t="shared" si="1"/>
        <v>#REF!</v>
      </c>
      <c r="M44" s="43" t="e">
        <f>SUMIFS(#REF!,#REF!,C44)</f>
        <v>#REF!</v>
      </c>
      <c r="N44" s="11" t="e">
        <f t="shared" si="2"/>
        <v>#REF!</v>
      </c>
      <c r="O44" s="43" t="e">
        <f t="shared" si="8"/>
        <v>#REF!</v>
      </c>
      <c r="P44" s="11" t="e">
        <f t="shared" si="3"/>
        <v>#REF!</v>
      </c>
      <c r="Q44" s="11" t="e">
        <f t="shared" si="9"/>
        <v>#REF!</v>
      </c>
      <c r="R44" s="11" t="e">
        <f t="shared" si="4"/>
        <v>#REF!</v>
      </c>
      <c r="S44" s="11" t="e">
        <f>(SUMIFS(#REF!,#REF!,C44)/SUMIFS(#REF!,#REF!,C44))*1000</f>
        <v>#REF!</v>
      </c>
      <c r="T44" s="11" t="e">
        <f t="shared" si="10"/>
        <v>#REF!</v>
      </c>
      <c r="U44" s="11"/>
      <c r="V44" s="11" t="e">
        <f t="shared" si="11"/>
        <v>#REF!</v>
      </c>
      <c r="W44" s="11" t="e">
        <f t="shared" si="12"/>
        <v>#REF!</v>
      </c>
      <c r="X44" s="43" t="e">
        <f t="shared" si="13"/>
        <v>#REF!</v>
      </c>
      <c r="Y44" s="43" t="e">
        <f ca="1">OFFSET(#REF!,MATCH(C44,#REF!,0)+1,0)</f>
        <v>#REF!</v>
      </c>
      <c r="Z44" s="43" t="e">
        <f t="shared" ca="1" si="14"/>
        <v>#REF!</v>
      </c>
      <c r="AA44" s="43" t="e">
        <f t="shared" si="5"/>
        <v>#REF!</v>
      </c>
      <c r="AB44" s="11" t="e">
        <f>SUMIFS(#REF!,#REF!,C44)/(1+1.8%)*(1+1.8%+2.3%)</f>
        <v>#REF!</v>
      </c>
      <c r="AC44" s="11" t="e">
        <f t="shared" si="15"/>
        <v>#REF!</v>
      </c>
      <c r="AD44" s="64"/>
      <c r="AE44" s="11" t="e">
        <f>(SUMIFS(#REF!,#REF!,C44)/(1+1.8%))*(1+1.8%+2.3%)</f>
        <v>#REF!</v>
      </c>
      <c r="AF44" s="11" t="e">
        <f>-SUMIFS(#REF!,#REF!,C44)/1000</f>
        <v>#REF!</v>
      </c>
      <c r="AG44" s="11" t="e">
        <f>SUMIFS(#REF!,#REF!,C44)</f>
        <v>#REF!</v>
      </c>
      <c r="AH44" s="11" t="e">
        <f>SUMIFS(#REF!,#REF!,C44)</f>
        <v>#REF!</v>
      </c>
      <c r="AI44" s="11" t="e">
        <f>SUMIFS(#REF!,#REF!,C44)</f>
        <v>#REF!</v>
      </c>
      <c r="AJ44" s="11" t="e">
        <f>SUMIFS(#REF!,#REF!,C44)</f>
        <v>#REF!</v>
      </c>
      <c r="AK44" s="11"/>
      <c r="AL44" s="11" t="e">
        <f t="shared" si="16"/>
        <v>#REF!</v>
      </c>
      <c r="AN44" s="11" t="e">
        <f t="shared" si="17"/>
        <v>#REF!</v>
      </c>
      <c r="AO44" s="11" t="e">
        <f t="shared" si="18"/>
        <v>#REF!</v>
      </c>
      <c r="AQ44" s="11" t="e">
        <f t="shared" si="19"/>
        <v>#REF!</v>
      </c>
      <c r="AS44" s="43" t="e">
        <f t="shared" si="20"/>
        <v>#REF!</v>
      </c>
      <c r="AT44" s="11" t="e">
        <f t="shared" si="21"/>
        <v>#REF!</v>
      </c>
      <c r="AV44" s="11" t="e">
        <f>'Share of £1bn'!$F$20*1000*$AO44/$AO$57</f>
        <v>#REF!</v>
      </c>
      <c r="AW44" s="11" t="e">
        <f>'Share of £1bn'!$F$27*1000*$AO44/$AO$57</f>
        <v>#REF!</v>
      </c>
      <c r="AX44" s="11" t="e">
        <f>'Share of £1bn'!$F$21*1000*$AO44/$AO$57</f>
        <v>#REF!</v>
      </c>
      <c r="AZ44" s="11" t="e">
        <f>'Share of £1bn'!$F$43*1000*AO44/$AO$57</f>
        <v>#REF!</v>
      </c>
      <c r="BA44" s="11" t="e">
        <f>'Share of £1bn'!$F$50*1000*$AO44/$AO$57</f>
        <v>#REF!</v>
      </c>
      <c r="BB44" s="11" t="e">
        <f>'Share of £1bn'!$F$44*1000*AO44/$AO$57</f>
        <v>#REF!</v>
      </c>
      <c r="BD44" s="11" t="e">
        <f>'Share of £1bn'!$F$67*1000*AO44/$AO$57</f>
        <v>#REF!</v>
      </c>
      <c r="BF44" s="11">
        <f>SUMIFS('20-11 M6 deficits'!$BO:$BO,'20-11 M6 deficits'!$C:$C,$C44)*1000</f>
        <v>-20000</v>
      </c>
      <c r="BH44" s="11" t="e">
        <f t="shared" si="22"/>
        <v>#REF!</v>
      </c>
      <c r="BI44" s="11" t="e">
        <f t="shared" si="23"/>
        <v>#REF!</v>
      </c>
      <c r="BJ44" s="11" t="e">
        <f t="shared" si="24"/>
        <v>#REF!</v>
      </c>
      <c r="BK44" s="11" t="e">
        <f t="shared" si="25"/>
        <v>#REF!</v>
      </c>
      <c r="BL44" s="11" t="e">
        <f t="shared" si="26"/>
        <v>#REF!</v>
      </c>
      <c r="BN44" s="11" t="e">
        <f t="shared" si="27"/>
        <v>#REF!</v>
      </c>
      <c r="BO44" s="11" t="e">
        <f t="shared" si="28"/>
        <v>#REF!</v>
      </c>
      <c r="BP44" s="11" t="e">
        <f t="shared" si="29"/>
        <v>#REF!</v>
      </c>
      <c r="BQ44" s="11" t="e">
        <f t="shared" si="30"/>
        <v>#REF!</v>
      </c>
      <c r="BR44" s="11" t="e">
        <f t="shared" si="31"/>
        <v>#REF!</v>
      </c>
      <c r="BT44" s="11" t="e">
        <f t="shared" si="32"/>
        <v>#REF!</v>
      </c>
      <c r="BU44" s="11" t="e">
        <f t="shared" si="33"/>
        <v>#REF!</v>
      </c>
      <c r="BV44" s="11" t="e">
        <f t="shared" si="34"/>
        <v>#REF!</v>
      </c>
      <c r="BW44" s="11" t="e">
        <f t="shared" si="35"/>
        <v>#REF!</v>
      </c>
      <c r="BX44" s="11" t="e">
        <f t="shared" si="36"/>
        <v>#REF!</v>
      </c>
      <c r="BZ44" s="11" t="e">
        <f t="shared" si="37"/>
        <v>#REF!</v>
      </c>
      <c r="CA44" s="11" t="e">
        <f t="shared" si="38"/>
        <v>#REF!</v>
      </c>
      <c r="CB44" s="11" t="e">
        <f t="shared" si="39"/>
        <v>#REF!</v>
      </c>
      <c r="CC44" s="11" t="e">
        <f t="shared" si="40"/>
        <v>#REF!</v>
      </c>
      <c r="CD44" s="11" t="e">
        <f t="shared" si="41"/>
        <v>#REF!</v>
      </c>
      <c r="CF44" s="11" t="e">
        <f t="shared" si="42"/>
        <v>#REF!</v>
      </c>
      <c r="CG44" s="11" t="e">
        <f t="shared" si="43"/>
        <v>#REF!</v>
      </c>
      <c r="CH44" s="11" t="e">
        <f t="shared" si="44"/>
        <v>#REF!</v>
      </c>
      <c r="CI44" s="11" t="e">
        <f t="shared" si="45"/>
        <v>#REF!</v>
      </c>
      <c r="CJ44" s="11" t="e">
        <f t="shared" si="46"/>
        <v>#REF!</v>
      </c>
      <c r="CM44" s="209">
        <f t="shared" si="47"/>
        <v>1.2651444596524151E-2</v>
      </c>
      <c r="CN44" s="209" t="e">
        <f t="shared" si="48"/>
        <v>#REF!</v>
      </c>
      <c r="CO44" s="209" t="e">
        <f t="shared" si="49"/>
        <v>#REF!</v>
      </c>
      <c r="CP44" s="209" t="e">
        <f t="shared" si="50"/>
        <v>#REF!</v>
      </c>
      <c r="CQ44" s="209" t="e">
        <f t="shared" si="51"/>
        <v>#REF!</v>
      </c>
    </row>
    <row r="45" spans="1:95" x14ac:dyDescent="0.25">
      <c r="A45" s="13" t="s">
        <v>98</v>
      </c>
      <c r="B45" s="14" t="s">
        <v>99</v>
      </c>
      <c r="C45" s="4" t="s">
        <v>110</v>
      </c>
      <c r="D45" s="4" t="s">
        <v>111</v>
      </c>
      <c r="E45" s="11">
        <f>SUMIFS('ICB Core Baseline 2024-25'!Q:Q,'ICB Core Baseline 2024-25'!C:C,C45)</f>
        <v>1065172.6958849912</v>
      </c>
      <c r="F45" s="43" t="e">
        <f>SUMIFS(#REF!,#REF!,C45)</f>
        <v>#REF!</v>
      </c>
      <c r="H45" s="43" t="e">
        <f>SUMIFS(#REF!,#REF!,C45)</f>
        <v>#REF!</v>
      </c>
      <c r="I45" s="43" t="e">
        <f t="shared" si="6"/>
        <v>#REF!</v>
      </c>
      <c r="J45" s="43" t="e">
        <f t="shared" si="7"/>
        <v>#REF!</v>
      </c>
      <c r="K45" s="11" t="e">
        <f t="shared" si="0"/>
        <v>#REF!</v>
      </c>
      <c r="L45" s="11" t="e">
        <f t="shared" si="1"/>
        <v>#REF!</v>
      </c>
      <c r="M45" s="43" t="e">
        <f>SUMIFS(#REF!,#REF!,C45)</f>
        <v>#REF!</v>
      </c>
      <c r="N45" s="11" t="e">
        <f t="shared" si="2"/>
        <v>#REF!</v>
      </c>
      <c r="O45" s="43" t="e">
        <f t="shared" si="8"/>
        <v>#REF!</v>
      </c>
      <c r="P45" s="11" t="e">
        <f t="shared" si="3"/>
        <v>#REF!</v>
      </c>
      <c r="Q45" s="11" t="e">
        <f t="shared" si="9"/>
        <v>#REF!</v>
      </c>
      <c r="R45" s="11" t="e">
        <f t="shared" si="4"/>
        <v>#REF!</v>
      </c>
      <c r="S45" s="11" t="e">
        <f>(SUMIFS(#REF!,#REF!,C45)/SUMIFS(#REF!,#REF!,C45))*1000</f>
        <v>#REF!</v>
      </c>
      <c r="T45" s="11" t="e">
        <f t="shared" si="10"/>
        <v>#REF!</v>
      </c>
      <c r="U45" s="11"/>
      <c r="V45" s="11" t="e">
        <f t="shared" si="11"/>
        <v>#REF!</v>
      </c>
      <c r="W45" s="11" t="e">
        <f t="shared" si="12"/>
        <v>#REF!</v>
      </c>
      <c r="X45" s="43" t="e">
        <f t="shared" si="13"/>
        <v>#REF!</v>
      </c>
      <c r="Y45" s="43" t="e">
        <f ca="1">OFFSET(#REF!,MATCH(C45,#REF!,0)+1,0)</f>
        <v>#REF!</v>
      </c>
      <c r="Z45" s="43" t="e">
        <f t="shared" ca="1" si="14"/>
        <v>#REF!</v>
      </c>
      <c r="AA45" s="43" t="e">
        <f t="shared" si="5"/>
        <v>#REF!</v>
      </c>
      <c r="AB45" s="11" t="e">
        <f>SUMIFS(#REF!,#REF!,C45)/(1+1.8%)*(1+1.8%+2.3%)</f>
        <v>#REF!</v>
      </c>
      <c r="AC45" s="11" t="e">
        <f t="shared" si="15"/>
        <v>#REF!</v>
      </c>
      <c r="AD45" s="64"/>
      <c r="AE45" s="11" t="e">
        <f>(SUMIFS(#REF!,#REF!,C45)/(1+1.8%))*(1+1.8%+2.3%)</f>
        <v>#REF!</v>
      </c>
      <c r="AF45" s="11" t="e">
        <f>-SUMIFS(#REF!,#REF!,C45)/1000</f>
        <v>#REF!</v>
      </c>
      <c r="AG45" s="11" t="e">
        <f>SUMIFS(#REF!,#REF!,C45)</f>
        <v>#REF!</v>
      </c>
      <c r="AH45" s="11" t="e">
        <f>SUMIFS(#REF!,#REF!,C45)</f>
        <v>#REF!</v>
      </c>
      <c r="AI45" s="11" t="e">
        <f>SUMIFS(#REF!,#REF!,C45)</f>
        <v>#REF!</v>
      </c>
      <c r="AJ45" s="11" t="e">
        <f>SUMIFS(#REF!,#REF!,C45)</f>
        <v>#REF!</v>
      </c>
      <c r="AK45" s="11"/>
      <c r="AL45" s="11" t="e">
        <f t="shared" si="16"/>
        <v>#REF!</v>
      </c>
      <c r="AN45" s="11" t="e">
        <f t="shared" si="17"/>
        <v>#REF!</v>
      </c>
      <c r="AO45" s="11" t="e">
        <f t="shared" si="18"/>
        <v>#REF!</v>
      </c>
      <c r="AQ45" s="11" t="e">
        <f t="shared" si="19"/>
        <v>#REF!</v>
      </c>
      <c r="AS45" s="43" t="e">
        <f t="shared" si="20"/>
        <v>#REF!</v>
      </c>
      <c r="AT45" s="11" t="e">
        <f t="shared" si="21"/>
        <v>#REF!</v>
      </c>
      <c r="AV45" s="11" t="e">
        <f>'Share of £1bn'!$F$20*1000*$AO45/$AO$57</f>
        <v>#REF!</v>
      </c>
      <c r="AW45" s="11" t="e">
        <f>'Share of £1bn'!$F$27*1000*$AO45/$AO$57</f>
        <v>#REF!</v>
      </c>
      <c r="AX45" s="11" t="e">
        <f>'Share of £1bn'!$F$21*1000*$AO45/$AO$57</f>
        <v>#REF!</v>
      </c>
      <c r="AZ45" s="11" t="e">
        <f>'Share of £1bn'!$F$43*1000*AO45/$AO$57</f>
        <v>#REF!</v>
      </c>
      <c r="BA45" s="11" t="e">
        <f>'Share of £1bn'!$F$50*1000*$AO45/$AO$57</f>
        <v>#REF!</v>
      </c>
      <c r="BB45" s="11" t="e">
        <f>'Share of £1bn'!$F$44*1000*AO45/$AO$57</f>
        <v>#REF!</v>
      </c>
      <c r="BD45" s="11" t="e">
        <f>'Share of £1bn'!$F$67*1000*AO45/$AO$57</f>
        <v>#REF!</v>
      </c>
      <c r="BF45" s="11">
        <f>SUMIFS('20-11 M6 deficits'!$BO:$BO,'20-11 M6 deficits'!$C:$C,$C45)*1000</f>
        <v>0</v>
      </c>
      <c r="BH45" s="11" t="e">
        <f t="shared" si="22"/>
        <v>#REF!</v>
      </c>
      <c r="BI45" s="11" t="e">
        <f t="shared" si="23"/>
        <v>#REF!</v>
      </c>
      <c r="BJ45" s="11" t="e">
        <f t="shared" si="24"/>
        <v>#REF!</v>
      </c>
      <c r="BK45" s="11" t="e">
        <f t="shared" si="25"/>
        <v>#REF!</v>
      </c>
      <c r="BL45" s="11" t="e">
        <f t="shared" si="26"/>
        <v>#REF!</v>
      </c>
      <c r="BN45" s="11" t="e">
        <f t="shared" si="27"/>
        <v>#REF!</v>
      </c>
      <c r="BO45" s="11" t="e">
        <f t="shared" si="28"/>
        <v>#REF!</v>
      </c>
      <c r="BP45" s="11" t="e">
        <f t="shared" si="29"/>
        <v>#REF!</v>
      </c>
      <c r="BQ45" s="11" t="e">
        <f t="shared" si="30"/>
        <v>#REF!</v>
      </c>
      <c r="BR45" s="11" t="e">
        <f t="shared" si="31"/>
        <v>#REF!</v>
      </c>
      <c r="BT45" s="11" t="e">
        <f t="shared" si="32"/>
        <v>#REF!</v>
      </c>
      <c r="BU45" s="11" t="e">
        <f t="shared" si="33"/>
        <v>#REF!</v>
      </c>
      <c r="BV45" s="11" t="e">
        <f t="shared" si="34"/>
        <v>#REF!</v>
      </c>
      <c r="BW45" s="11" t="e">
        <f t="shared" si="35"/>
        <v>#REF!</v>
      </c>
      <c r="BX45" s="11" t="e">
        <f t="shared" si="36"/>
        <v>#REF!</v>
      </c>
      <c r="BZ45" s="11" t="e">
        <f t="shared" si="37"/>
        <v>#REF!</v>
      </c>
      <c r="CA45" s="11" t="e">
        <f t="shared" si="38"/>
        <v>#REF!</v>
      </c>
      <c r="CB45" s="11" t="e">
        <f t="shared" si="39"/>
        <v>#REF!</v>
      </c>
      <c r="CC45" s="11" t="e">
        <f t="shared" si="40"/>
        <v>#REF!</v>
      </c>
      <c r="CD45" s="11" t="e">
        <f t="shared" si="41"/>
        <v>#REF!</v>
      </c>
      <c r="CF45" s="11" t="e">
        <f t="shared" si="42"/>
        <v>#REF!</v>
      </c>
      <c r="CG45" s="11" t="e">
        <f t="shared" si="43"/>
        <v>#REF!</v>
      </c>
      <c r="CH45" s="11" t="e">
        <f t="shared" si="44"/>
        <v>#REF!</v>
      </c>
      <c r="CI45" s="11" t="e">
        <f t="shared" si="45"/>
        <v>#REF!</v>
      </c>
      <c r="CJ45" s="11" t="e">
        <f t="shared" si="46"/>
        <v>#REF!</v>
      </c>
      <c r="CM45" s="209">
        <f t="shared" si="47"/>
        <v>0</v>
      </c>
      <c r="CN45" s="209" t="e">
        <f t="shared" si="48"/>
        <v>#REF!</v>
      </c>
      <c r="CO45" s="209" t="e">
        <f t="shared" si="49"/>
        <v>#REF!</v>
      </c>
      <c r="CP45" s="209" t="e">
        <f t="shared" si="50"/>
        <v>#REF!</v>
      </c>
      <c r="CQ45" s="209" t="e">
        <f t="shared" si="51"/>
        <v>#REF!</v>
      </c>
    </row>
    <row r="46" spans="1:95" x14ac:dyDescent="0.25">
      <c r="A46" s="13" t="s">
        <v>98</v>
      </c>
      <c r="B46" s="14" t="s">
        <v>99</v>
      </c>
      <c r="C46" s="4" t="s">
        <v>112</v>
      </c>
      <c r="D46" s="4" t="s">
        <v>113</v>
      </c>
      <c r="E46" s="11">
        <f>SUMIFS('ICB Core Baseline 2024-25'!Q:Q,'ICB Core Baseline 2024-25'!C:C,C46)</f>
        <v>1058710.3515852729</v>
      </c>
      <c r="F46" s="43" t="e">
        <f>SUMIFS(#REF!,#REF!,C46)</f>
        <v>#REF!</v>
      </c>
      <c r="H46" s="43" t="e">
        <f>SUMIFS(#REF!,#REF!,C46)</f>
        <v>#REF!</v>
      </c>
      <c r="I46" s="43" t="e">
        <f t="shared" si="6"/>
        <v>#REF!</v>
      </c>
      <c r="J46" s="43" t="e">
        <f t="shared" si="7"/>
        <v>#REF!</v>
      </c>
      <c r="K46" s="11" t="e">
        <f t="shared" si="0"/>
        <v>#REF!</v>
      </c>
      <c r="L46" s="11" t="e">
        <f t="shared" si="1"/>
        <v>#REF!</v>
      </c>
      <c r="M46" s="43" t="e">
        <f>SUMIFS(#REF!,#REF!,C46)</f>
        <v>#REF!</v>
      </c>
      <c r="N46" s="11" t="e">
        <f t="shared" si="2"/>
        <v>#REF!</v>
      </c>
      <c r="O46" s="43" t="e">
        <f t="shared" si="8"/>
        <v>#REF!</v>
      </c>
      <c r="P46" s="11" t="e">
        <f t="shared" si="3"/>
        <v>#REF!</v>
      </c>
      <c r="Q46" s="11" t="e">
        <f t="shared" si="9"/>
        <v>#REF!</v>
      </c>
      <c r="R46" s="11" t="e">
        <f t="shared" si="4"/>
        <v>#REF!</v>
      </c>
      <c r="S46" s="11" t="e">
        <f>(SUMIFS(#REF!,#REF!,C46)/SUMIFS(#REF!,#REF!,C46))*1000</f>
        <v>#REF!</v>
      </c>
      <c r="T46" s="11" t="e">
        <f t="shared" si="10"/>
        <v>#REF!</v>
      </c>
      <c r="U46" s="11"/>
      <c r="V46" s="11" t="e">
        <f t="shared" si="11"/>
        <v>#REF!</v>
      </c>
      <c r="W46" s="11" t="e">
        <f t="shared" si="12"/>
        <v>#REF!</v>
      </c>
      <c r="X46" s="43" t="e">
        <f t="shared" si="13"/>
        <v>#REF!</v>
      </c>
      <c r="Y46" s="43" t="e">
        <f ca="1">OFFSET(#REF!,MATCH(C46,#REF!,0)+1,0)</f>
        <v>#REF!</v>
      </c>
      <c r="Z46" s="43" t="e">
        <f t="shared" ca="1" si="14"/>
        <v>#REF!</v>
      </c>
      <c r="AA46" s="43" t="e">
        <f t="shared" si="5"/>
        <v>#REF!</v>
      </c>
      <c r="AB46" s="11" t="e">
        <f>SUMIFS(#REF!,#REF!,C46)/(1+1.8%)*(1+1.8%+2.3%)</f>
        <v>#REF!</v>
      </c>
      <c r="AC46" s="11" t="e">
        <f t="shared" si="15"/>
        <v>#REF!</v>
      </c>
      <c r="AD46" s="64"/>
      <c r="AE46" s="11" t="e">
        <f>(SUMIFS(#REF!,#REF!,C46)/(1+1.8%))*(1+1.8%+2.3%)</f>
        <v>#REF!</v>
      </c>
      <c r="AF46" s="11" t="e">
        <f>-SUMIFS(#REF!,#REF!,C46)/1000</f>
        <v>#REF!</v>
      </c>
      <c r="AG46" s="11" t="e">
        <f>SUMIFS(#REF!,#REF!,C46)</f>
        <v>#REF!</v>
      </c>
      <c r="AH46" s="11" t="e">
        <f>SUMIFS(#REF!,#REF!,C46)</f>
        <v>#REF!</v>
      </c>
      <c r="AI46" s="11" t="e">
        <f>SUMIFS(#REF!,#REF!,C46)</f>
        <v>#REF!</v>
      </c>
      <c r="AJ46" s="11" t="e">
        <f>SUMIFS(#REF!,#REF!,C46)</f>
        <v>#REF!</v>
      </c>
      <c r="AK46" s="11"/>
      <c r="AL46" s="11" t="e">
        <f t="shared" si="16"/>
        <v>#REF!</v>
      </c>
      <c r="AN46" s="11" t="e">
        <f t="shared" si="17"/>
        <v>#REF!</v>
      </c>
      <c r="AO46" s="11" t="e">
        <f t="shared" si="18"/>
        <v>#REF!</v>
      </c>
      <c r="AQ46" s="11" t="e">
        <f t="shared" si="19"/>
        <v>#REF!</v>
      </c>
      <c r="AS46" s="43" t="e">
        <f t="shared" si="20"/>
        <v>#REF!</v>
      </c>
      <c r="AT46" s="11" t="e">
        <f t="shared" si="21"/>
        <v>#REF!</v>
      </c>
      <c r="AV46" s="11" t="e">
        <f>'Share of £1bn'!$F$20*1000*$AO46/$AO$57</f>
        <v>#REF!</v>
      </c>
      <c r="AW46" s="11" t="e">
        <f>'Share of £1bn'!$F$27*1000*$AO46/$AO$57</f>
        <v>#REF!</v>
      </c>
      <c r="AX46" s="11" t="e">
        <f>'Share of £1bn'!$F$21*1000*$AO46/$AO$57</f>
        <v>#REF!</v>
      </c>
      <c r="AZ46" s="11" t="e">
        <f>'Share of £1bn'!$F$43*1000*AO46/$AO$57</f>
        <v>#REF!</v>
      </c>
      <c r="BA46" s="11" t="e">
        <f>'Share of £1bn'!$F$50*1000*$AO46/$AO$57</f>
        <v>#REF!</v>
      </c>
      <c r="BB46" s="11" t="e">
        <f>'Share of £1bn'!$F$44*1000*AO46/$AO$57</f>
        <v>#REF!</v>
      </c>
      <c r="BD46" s="11" t="e">
        <f>'Share of £1bn'!$F$67*1000*AO46/$AO$57</f>
        <v>#REF!</v>
      </c>
      <c r="BF46" s="11">
        <f>SUMIFS('20-11 M6 deficits'!$BO:$BO,'20-11 M6 deficits'!$C:$C,$C46)*1000</f>
        <v>0</v>
      </c>
      <c r="BH46" s="11" t="e">
        <f t="shared" si="22"/>
        <v>#REF!</v>
      </c>
      <c r="BI46" s="11" t="e">
        <f t="shared" si="23"/>
        <v>#REF!</v>
      </c>
      <c r="BJ46" s="11" t="e">
        <f t="shared" si="24"/>
        <v>#REF!</v>
      </c>
      <c r="BK46" s="11" t="e">
        <f t="shared" si="25"/>
        <v>#REF!</v>
      </c>
      <c r="BL46" s="11" t="e">
        <f t="shared" si="26"/>
        <v>#REF!</v>
      </c>
      <c r="BN46" s="11" t="e">
        <f t="shared" si="27"/>
        <v>#REF!</v>
      </c>
      <c r="BO46" s="11" t="e">
        <f t="shared" si="28"/>
        <v>#REF!</v>
      </c>
      <c r="BP46" s="11" t="e">
        <f t="shared" si="29"/>
        <v>#REF!</v>
      </c>
      <c r="BQ46" s="11" t="e">
        <f t="shared" si="30"/>
        <v>#REF!</v>
      </c>
      <c r="BR46" s="11" t="e">
        <f t="shared" si="31"/>
        <v>#REF!</v>
      </c>
      <c r="BT46" s="11" t="e">
        <f t="shared" si="32"/>
        <v>#REF!</v>
      </c>
      <c r="BU46" s="11" t="e">
        <f t="shared" si="33"/>
        <v>#REF!</v>
      </c>
      <c r="BV46" s="11" t="e">
        <f t="shared" si="34"/>
        <v>#REF!</v>
      </c>
      <c r="BW46" s="11" t="e">
        <f t="shared" si="35"/>
        <v>#REF!</v>
      </c>
      <c r="BX46" s="11" t="e">
        <f t="shared" si="36"/>
        <v>#REF!</v>
      </c>
      <c r="BZ46" s="11" t="e">
        <f t="shared" si="37"/>
        <v>#REF!</v>
      </c>
      <c r="CA46" s="11" t="e">
        <f t="shared" si="38"/>
        <v>#REF!</v>
      </c>
      <c r="CB46" s="11" t="e">
        <f t="shared" si="39"/>
        <v>#REF!</v>
      </c>
      <c r="CC46" s="11" t="e">
        <f t="shared" si="40"/>
        <v>#REF!</v>
      </c>
      <c r="CD46" s="11" t="e">
        <f t="shared" si="41"/>
        <v>#REF!</v>
      </c>
      <c r="CF46" s="11" t="e">
        <f t="shared" si="42"/>
        <v>#REF!</v>
      </c>
      <c r="CG46" s="11" t="e">
        <f t="shared" si="43"/>
        <v>#REF!</v>
      </c>
      <c r="CH46" s="11" t="e">
        <f t="shared" si="44"/>
        <v>#REF!</v>
      </c>
      <c r="CI46" s="11" t="e">
        <f t="shared" si="45"/>
        <v>#REF!</v>
      </c>
      <c r="CJ46" s="11" t="e">
        <f t="shared" si="46"/>
        <v>#REF!</v>
      </c>
      <c r="CM46" s="209">
        <f t="shared" si="47"/>
        <v>0</v>
      </c>
      <c r="CN46" s="209" t="e">
        <f t="shared" si="48"/>
        <v>#REF!</v>
      </c>
      <c r="CO46" s="209" t="e">
        <f t="shared" si="49"/>
        <v>#REF!</v>
      </c>
      <c r="CP46" s="209" t="e">
        <f t="shared" si="50"/>
        <v>#REF!</v>
      </c>
      <c r="CQ46" s="209" t="e">
        <f t="shared" si="51"/>
        <v>#REF!</v>
      </c>
    </row>
    <row r="47" spans="1:95" x14ac:dyDescent="0.25">
      <c r="A47" s="4"/>
      <c r="B47" s="4"/>
      <c r="C47" s="4"/>
      <c r="D47" s="4"/>
      <c r="AD47" s="63"/>
    </row>
    <row r="48" spans="1:95" x14ac:dyDescent="0.25">
      <c r="A48" s="4"/>
      <c r="B48" s="4"/>
      <c r="C48" s="4"/>
      <c r="D48" s="4"/>
      <c r="AD48" s="63"/>
    </row>
    <row r="49" spans="1:95" ht="114.75" x14ac:dyDescent="0.25">
      <c r="A49" s="4"/>
      <c r="B49" s="5" t="s">
        <v>114</v>
      </c>
      <c r="C49" s="5" t="s">
        <v>13</v>
      </c>
      <c r="D49" s="5" t="s">
        <v>14</v>
      </c>
      <c r="E49" s="27" t="s">
        <v>142</v>
      </c>
      <c r="F49" s="42" t="s">
        <v>146</v>
      </c>
      <c r="G49" s="36" t="s">
        <v>147</v>
      </c>
      <c r="H49" s="42" t="s">
        <v>127</v>
      </c>
      <c r="I49" s="42" t="s">
        <v>381</v>
      </c>
      <c r="J49" s="47" t="s">
        <v>128</v>
      </c>
      <c r="K49" s="47" t="s">
        <v>355</v>
      </c>
      <c r="L49" s="47" t="s">
        <v>356</v>
      </c>
      <c r="M49" s="42" t="s">
        <v>131</v>
      </c>
      <c r="N49" s="47" t="s">
        <v>357</v>
      </c>
      <c r="O49" s="47" t="s">
        <v>358</v>
      </c>
      <c r="P49" s="47" t="s">
        <v>359</v>
      </c>
      <c r="Q49" s="47" t="s">
        <v>355</v>
      </c>
      <c r="R49" s="47" t="s">
        <v>148</v>
      </c>
      <c r="S49" s="59" t="s">
        <v>149</v>
      </c>
      <c r="T49" s="59" t="s">
        <v>150</v>
      </c>
      <c r="U49" s="47" t="s">
        <v>361</v>
      </c>
      <c r="V49" s="59"/>
      <c r="W49" s="59"/>
      <c r="X49" s="42" t="s">
        <v>364</v>
      </c>
      <c r="Y49" s="42"/>
      <c r="Z49" s="42"/>
      <c r="AA49" s="42" t="s">
        <v>151</v>
      </c>
      <c r="AB49" s="27" t="s">
        <v>152</v>
      </c>
      <c r="AC49" s="27" t="s">
        <v>153</v>
      </c>
      <c r="AD49" s="62" t="s">
        <v>154</v>
      </c>
      <c r="AE49" s="47" t="s">
        <v>155</v>
      </c>
      <c r="AF49" s="47" t="s">
        <v>382</v>
      </c>
      <c r="AG49" s="47" t="s">
        <v>156</v>
      </c>
      <c r="AH49" s="47" t="s">
        <v>5</v>
      </c>
      <c r="AI49" s="59" t="s">
        <v>6</v>
      </c>
      <c r="AJ49" s="59" t="s">
        <v>157</v>
      </c>
      <c r="AK49" s="59" t="s">
        <v>158</v>
      </c>
      <c r="AL49" s="27" t="s">
        <v>383</v>
      </c>
      <c r="AN49" s="59" t="str">
        <f>AN3</f>
        <v>Changing base growth</v>
      </c>
      <c r="AO49" s="59" t="str">
        <f>AO3</f>
        <v>Impact of changing base growth (scaled up to £500m)</v>
      </c>
      <c r="AQ49" s="59" t="str">
        <f>AQ3</f>
        <v>Capacity</v>
      </c>
      <c r="AS49" s="59" t="s">
        <v>358</v>
      </c>
      <c r="AT49" s="59" t="str">
        <f>AT3</f>
        <v>Impact of changing convergence</v>
      </c>
      <c r="AV49" s="59" t="str">
        <f>AV3</f>
        <v>Base growth 1 - GDP Deflator (ICB Core)</v>
      </c>
      <c r="AW49" s="59" t="str">
        <f>AW3</f>
        <v>Base growth 1 - GDP Deflator (Other streams) - purely notional</v>
      </c>
      <c r="AX49" s="59" t="str">
        <f>AX3</f>
        <v>Base growth 1 - GDP Deflator (ICB Core leakage)</v>
      </c>
      <c r="AZ49" s="59" t="str">
        <f>AZ3</f>
        <v>Base growth 2 - UEC (ICB Core)</v>
      </c>
      <c r="BA49" s="59" t="str">
        <f>BA3</f>
        <v>Base growth 2 - UEC (Other streams) - purely notional</v>
      </c>
      <c r="BB49" s="59" t="str">
        <f>BB3</f>
        <v>Base growth 2 - UEC (ICB Core Leakage)</v>
      </c>
      <c r="BD49" s="59" t="str">
        <f>BD3</f>
        <v>Base growth 3 - Prescribing/CHC</v>
      </c>
      <c r="BF49" s="59" t="str">
        <f>BF3</f>
        <v>Deficits</v>
      </c>
      <c r="BH49" s="59" t="str">
        <f>BH3</f>
        <v>Base growth 1 - GDP Deflator (ICB Core leakage)</v>
      </c>
      <c r="BI49" s="59" t="str">
        <f>BI3</f>
        <v>New</v>
      </c>
      <c r="BJ49" s="59" t="str">
        <f>BJ3</f>
        <v>Good</v>
      </c>
      <c r="BK49" s="59" t="str">
        <f>BK3</f>
        <v>Good</v>
      </c>
      <c r="BL49" s="59" t="str">
        <f>BL3</f>
        <v>Bad</v>
      </c>
      <c r="BN49" s="59" t="str">
        <f>BN3</f>
        <v>Base growth 2 - UEC (ICB Core)</v>
      </c>
      <c r="BO49" s="59" t="str">
        <f>BO3</f>
        <v>New</v>
      </c>
      <c r="BP49" s="59" t="str">
        <f>BP3</f>
        <v>Good</v>
      </c>
      <c r="BQ49" s="59" t="str">
        <f>BQ3</f>
        <v>Good</v>
      </c>
      <c r="BR49" s="59" t="str">
        <f>BR3</f>
        <v>Bad</v>
      </c>
      <c r="BT49" s="59" t="str">
        <f>BT3</f>
        <v>Base growth 3 - Prescribing/CHC</v>
      </c>
      <c r="BU49" s="59" t="str">
        <f>BU3</f>
        <v>New</v>
      </c>
      <c r="BV49" s="59" t="str">
        <f>BV3</f>
        <v>Good</v>
      </c>
      <c r="BW49" s="59" t="str">
        <f>BW3</f>
        <v>Good</v>
      </c>
      <c r="BX49" s="59" t="str">
        <f>BX3</f>
        <v>Bad</v>
      </c>
      <c r="BZ49" s="59" t="str">
        <f>BZ3</f>
        <v>Convergence</v>
      </c>
      <c r="CA49" s="59" t="str">
        <f>CA3</f>
        <v>New</v>
      </c>
      <c r="CB49" s="59" t="str">
        <f>CB3</f>
        <v>Good</v>
      </c>
      <c r="CC49" s="59" t="str">
        <f>CC3</f>
        <v>Good</v>
      </c>
      <c r="CD49" s="59" t="str">
        <f>CD3</f>
        <v>Bad</v>
      </c>
      <c r="CF49" s="59" t="str">
        <f>CF3</f>
        <v>Capacity</v>
      </c>
      <c r="CG49" s="59" t="str">
        <f>CG3</f>
        <v>New</v>
      </c>
      <c r="CH49" s="59" t="str">
        <f>CH3</f>
        <v>Good</v>
      </c>
      <c r="CI49" s="59" t="str">
        <f>CI3</f>
        <v>Good</v>
      </c>
      <c r="CJ49" s="59" t="str">
        <f>CJ3</f>
        <v>Bad</v>
      </c>
    </row>
    <row r="50" spans="1:95" x14ac:dyDescent="0.25">
      <c r="A50" s="4"/>
      <c r="B50" s="21">
        <v>1</v>
      </c>
      <c r="C50" s="22" t="s">
        <v>17</v>
      </c>
      <c r="D50" s="22" t="s">
        <v>18</v>
      </c>
      <c r="E50" s="23">
        <f>SUMIFS(E$5:E$46,$A$5:$A$46,$C50)</f>
        <v>16103414.606958285</v>
      </c>
      <c r="F50" s="45" t="e">
        <f>SUMIFS(#REF!,#REF!,C50)</f>
        <v>#REF!</v>
      </c>
      <c r="H50" s="45" t="e" cm="1">
        <f t="array" ref="H50">SUMPRODUCT((H$5:H$46)*($E$5:$E$46)*($A$5:$A$46=$C50))/SUMPRODUCT(($E$5:$E$46)*($A$5:$A$46=$C50))</f>
        <v>#REF!</v>
      </c>
      <c r="I50" s="45" t="e" cm="1">
        <f t="array" ref="I50">SUMPRODUCT((I$5:I$46)*($E$5:$E$46)*($A$5:$A$46=$C50))/SUMPRODUCT(($E$5:$E$46)*($A$5:$A$46=$C50))</f>
        <v>#REF!</v>
      </c>
      <c r="J50" s="45" t="e" cm="1">
        <f t="array" ref="J50">SUMPRODUCT((J$5:J$46)*($E$5:$E$46)*($A$5:$A$46=$C50))/SUMPRODUCT(($E$5:$E$46)*($A$5:$A$46=$C50))</f>
        <v>#REF!</v>
      </c>
      <c r="K50" s="23" t="e">
        <f t="shared" ref="K50:L56" si="52">SUMIFS(K$5:K$46,$A$5:$A$46,$C50)</f>
        <v>#REF!</v>
      </c>
      <c r="L50" s="23" t="e">
        <f t="shared" si="52"/>
        <v>#REF!</v>
      </c>
      <c r="M50" s="45" t="e">
        <f>SUMIFS(#REF!,#REF!,C50)</f>
        <v>#REF!</v>
      </c>
      <c r="N50" s="23" t="e">
        <f t="shared" ref="N50:N56" si="53">SUMIFS(N$5:N$46,$A$5:$A$46,$C50)</f>
        <v>#REF!</v>
      </c>
      <c r="O50" s="45" t="e" cm="1">
        <f t="array" ref="O50">SUMPRODUCT((O$5:O$46)*($L$5:$L$46)*($A$5:$A$46=$C50))/SUMPRODUCT(($L$5:$L$46)*($A$5:$A$46=$C50))</f>
        <v>#REF!</v>
      </c>
      <c r="P50" s="23" t="e">
        <f t="shared" ref="P50:AQ56" si="54">SUMIFS(P$5:P$46,$A$5:$A$46,$C50)</f>
        <v>#REF!</v>
      </c>
      <c r="Q50" s="23" t="e">
        <f t="shared" si="54"/>
        <v>#REF!</v>
      </c>
      <c r="R50" s="23" t="e">
        <f t="shared" si="54"/>
        <v>#REF!</v>
      </c>
      <c r="S50" s="23" t="e">
        <f t="shared" si="54"/>
        <v>#REF!</v>
      </c>
      <c r="T50" s="23" t="e">
        <f t="shared" ref="T50:T57" si="55">(R50/S50)*1000</f>
        <v>#REF!</v>
      </c>
      <c r="U50" s="23"/>
      <c r="V50" s="23" t="e">
        <f t="shared" si="54"/>
        <v>#REF!</v>
      </c>
      <c r="W50" s="23" t="e">
        <f t="shared" si="54"/>
        <v>#REF!</v>
      </c>
      <c r="X50" s="45"/>
      <c r="Y50" s="45"/>
      <c r="Z50" s="45"/>
      <c r="AA50" s="45" t="e">
        <f t="shared" ref="AA50:AA57" si="56">R50/E50-1</f>
        <v>#REF!</v>
      </c>
      <c r="AB50" s="23" t="e">
        <f t="shared" si="54"/>
        <v>#REF!</v>
      </c>
      <c r="AC50" s="23" t="e">
        <f t="shared" si="54"/>
        <v>#REF!</v>
      </c>
      <c r="AD50" s="66"/>
      <c r="AE50" s="23" t="e">
        <f t="shared" si="54"/>
        <v>#REF!</v>
      </c>
      <c r="AF50" s="23" t="e">
        <f t="shared" si="54"/>
        <v>#REF!</v>
      </c>
      <c r="AG50" s="23" t="e">
        <f t="shared" si="54"/>
        <v>#REF!</v>
      </c>
      <c r="AH50" s="23" t="e">
        <f t="shared" si="54"/>
        <v>#REF!</v>
      </c>
      <c r="AI50" s="23" t="e">
        <f t="shared" si="54"/>
        <v>#REF!</v>
      </c>
      <c r="AJ50" s="23" t="e">
        <f t="shared" si="54"/>
        <v>#REF!</v>
      </c>
      <c r="AK50" s="23">
        <f t="shared" si="54"/>
        <v>0</v>
      </c>
      <c r="AL50" s="23" t="e">
        <f t="shared" si="54"/>
        <v>#REF!</v>
      </c>
      <c r="AN50" s="23" t="e">
        <f t="shared" si="54"/>
        <v>#REF!</v>
      </c>
      <c r="AO50" s="23" t="e">
        <f t="shared" si="54"/>
        <v>#REF!</v>
      </c>
      <c r="AQ50" s="23" t="e">
        <f t="shared" si="54"/>
        <v>#REF!</v>
      </c>
      <c r="AS50" s="45" t="e" cm="1">
        <f t="array" ref="AS50">SUMPRODUCT((AS$5:AS$46)*($L$5:$L$46)*($A$5:$A$46=$C50))/SUMPRODUCT(($L$5:$L$46)*($A$5:$A$46=$C50))</f>
        <v>#REF!</v>
      </c>
      <c r="AT50" s="23" t="e">
        <f t="shared" ref="AT50:BI56" si="57">SUMIFS(AT$5:AT$46,$A$5:$A$46,$C50)</f>
        <v>#REF!</v>
      </c>
      <c r="AV50" s="23" t="e">
        <f t="shared" si="57"/>
        <v>#REF!</v>
      </c>
      <c r="AW50" s="23" t="e">
        <f t="shared" si="57"/>
        <v>#REF!</v>
      </c>
      <c r="AX50" s="23" t="e">
        <f t="shared" si="57"/>
        <v>#REF!</v>
      </c>
      <c r="AZ50" s="23" t="e">
        <f t="shared" si="57"/>
        <v>#REF!</v>
      </c>
      <c r="BA50" s="23" t="e">
        <f t="shared" si="57"/>
        <v>#REF!</v>
      </c>
      <c r="BB50" s="23" t="e">
        <f t="shared" si="57"/>
        <v>#REF!</v>
      </c>
      <c r="BD50" s="23" t="e">
        <f t="shared" si="57"/>
        <v>#REF!</v>
      </c>
      <c r="BF50" s="23">
        <f t="shared" si="57"/>
        <v>-105017.77082265612</v>
      </c>
      <c r="BH50" s="23" t="e">
        <f t="shared" si="57"/>
        <v>#REF!</v>
      </c>
      <c r="BI50" s="23" t="e">
        <f t="shared" si="57"/>
        <v>#REF!</v>
      </c>
      <c r="BJ50" s="23" t="e">
        <f t="shared" ref="BJ50:BL56" si="58">SUMIFS(BJ$5:BJ$46,$A$5:$A$46,$C50)</f>
        <v>#REF!</v>
      </c>
      <c r="BK50" s="23" t="e">
        <f t="shared" si="58"/>
        <v>#REF!</v>
      </c>
      <c r="BL50" s="23" t="e">
        <f t="shared" si="58"/>
        <v>#REF!</v>
      </c>
      <c r="BN50" s="23" t="e">
        <f t="shared" ref="BN50:CC56" si="59">SUMIFS(BN$5:BN$46,$A$5:$A$46,$C50)</f>
        <v>#REF!</v>
      </c>
      <c r="BO50" s="23" t="e">
        <f t="shared" si="59"/>
        <v>#REF!</v>
      </c>
      <c r="BP50" s="23" t="e">
        <f t="shared" si="59"/>
        <v>#REF!</v>
      </c>
      <c r="BQ50" s="23" t="e">
        <f t="shared" si="59"/>
        <v>#REF!</v>
      </c>
      <c r="BR50" s="23" t="e">
        <f t="shared" si="59"/>
        <v>#REF!</v>
      </c>
      <c r="BT50" s="23" t="e">
        <f t="shared" si="59"/>
        <v>#REF!</v>
      </c>
      <c r="BU50" s="23" t="e">
        <f t="shared" si="59"/>
        <v>#REF!</v>
      </c>
      <c r="BV50" s="23" t="e">
        <f t="shared" si="59"/>
        <v>#REF!</v>
      </c>
      <c r="BW50" s="23" t="e">
        <f t="shared" si="59"/>
        <v>#REF!</v>
      </c>
      <c r="BX50" s="23" t="e">
        <f t="shared" si="59"/>
        <v>#REF!</v>
      </c>
      <c r="BZ50" s="23" t="e">
        <f t="shared" si="59"/>
        <v>#REF!</v>
      </c>
      <c r="CA50" s="23" t="e">
        <f t="shared" si="59"/>
        <v>#REF!</v>
      </c>
      <c r="CB50" s="23" t="e">
        <f t="shared" si="59"/>
        <v>#REF!</v>
      </c>
      <c r="CC50" s="23" t="e">
        <f t="shared" si="59"/>
        <v>#REF!</v>
      </c>
      <c r="CD50" s="23" t="e">
        <f t="shared" ref="CD50:CD56" si="60">SUMIFS(CD$5:CD$46,$A$5:$A$46,$C50)</f>
        <v>#REF!</v>
      </c>
      <c r="CF50" s="23" t="e">
        <f t="shared" ref="CF50:CJ56" si="61">SUMIFS(CF$5:CF$46,$A$5:$A$46,$C50)</f>
        <v>#REF!</v>
      </c>
      <c r="CG50" s="23" t="e">
        <f t="shared" si="61"/>
        <v>#REF!</v>
      </c>
      <c r="CH50" s="23" t="e">
        <f t="shared" si="61"/>
        <v>#REF!</v>
      </c>
      <c r="CI50" s="23" t="e">
        <f t="shared" si="61"/>
        <v>#REF!</v>
      </c>
      <c r="CJ50" s="23" t="e">
        <f t="shared" si="61"/>
        <v>#REF!</v>
      </c>
      <c r="CM50" s="209">
        <f>SUMIFS(BF$5:BF$46,BF$5:BF$46,"&lt;0",$A$5:$A$46,$C50)/$BF$59</f>
        <v>6.6431325460665214E-2</v>
      </c>
      <c r="CN50" s="209" t="e">
        <f t="shared" ref="CN50:CN56" si="62">R50/$R$57</f>
        <v>#REF!</v>
      </c>
      <c r="CO50" s="209" t="e">
        <f t="shared" ref="CO50:CO56" si="63">AO50/$AO$57</f>
        <v>#REF!</v>
      </c>
      <c r="CP50" s="209" t="e">
        <f t="shared" ref="CP50:CP56" si="64">BZ50/$BZ$57</f>
        <v>#REF!</v>
      </c>
      <c r="CQ50" s="209" t="e">
        <f t="shared" ref="CQ50:CQ56" si="65">CF50/$CF$57</f>
        <v>#REF!</v>
      </c>
    </row>
    <row r="51" spans="1:95" x14ac:dyDescent="0.25">
      <c r="A51" s="4"/>
      <c r="B51" s="21">
        <v>2</v>
      </c>
      <c r="C51" s="22" t="s">
        <v>27</v>
      </c>
      <c r="D51" s="22" t="s">
        <v>28</v>
      </c>
      <c r="E51" s="23">
        <f t="shared" ref="E51:E56" si="66">SUMIFS(E$5:E$46,$A$5:$A$46,$C51)</f>
        <v>14450049.427944031</v>
      </c>
      <c r="F51" s="45" t="e">
        <f>SUMIFS(#REF!,#REF!,C51)</f>
        <v>#REF!</v>
      </c>
      <c r="H51" s="45" t="e" cm="1">
        <f t="array" ref="H51">SUMPRODUCT((H$5:H$46)*($E$5:$E$46)*($A$5:$A$46=$C51))/SUMPRODUCT(($E$5:$E$46)*($A$5:$A$46=$C51))</f>
        <v>#REF!</v>
      </c>
      <c r="I51" s="45" t="e" cm="1">
        <f t="array" ref="I51">SUMPRODUCT((I$5:I$46)*($E$5:$E$46)*($A$5:$A$46=$C51))/SUMPRODUCT(($E$5:$E$46)*($A$5:$A$46=$C51))</f>
        <v>#REF!</v>
      </c>
      <c r="J51" s="45" t="e" cm="1">
        <f t="array" ref="J51">SUMPRODUCT((J$5:J$46)*($E$5:$E$46)*($A$5:$A$46=$C51))/SUMPRODUCT(($E$5:$E$46)*($A$5:$A$46=$C51))</f>
        <v>#REF!</v>
      </c>
      <c r="K51" s="23" t="e">
        <f t="shared" si="52"/>
        <v>#REF!</v>
      </c>
      <c r="L51" s="23" t="e">
        <f t="shared" si="52"/>
        <v>#REF!</v>
      </c>
      <c r="M51" s="45" t="e">
        <f>SUMIFS(#REF!,#REF!,C51)</f>
        <v>#REF!</v>
      </c>
      <c r="N51" s="23" t="e">
        <f t="shared" si="53"/>
        <v>#REF!</v>
      </c>
      <c r="O51" s="45" t="e" cm="1">
        <f t="array" ref="O51">SUMPRODUCT((O$5:O$46)*($L$5:$L$46)*($A$5:$A$46=$C51))/SUMPRODUCT(($L$5:$L$46)*($A$5:$A$46=$C51))</f>
        <v>#REF!</v>
      </c>
      <c r="P51" s="23" t="e">
        <f t="shared" si="54"/>
        <v>#REF!</v>
      </c>
      <c r="Q51" s="23" t="e">
        <f t="shared" si="54"/>
        <v>#REF!</v>
      </c>
      <c r="R51" s="23" t="e">
        <f t="shared" si="54"/>
        <v>#REF!</v>
      </c>
      <c r="S51" s="23" t="e">
        <f t="shared" si="54"/>
        <v>#REF!</v>
      </c>
      <c r="T51" s="23" t="e">
        <f t="shared" si="55"/>
        <v>#REF!</v>
      </c>
      <c r="U51" s="23"/>
      <c r="V51" s="23" t="e">
        <f t="shared" si="54"/>
        <v>#REF!</v>
      </c>
      <c r="W51" s="23" t="e">
        <f t="shared" si="54"/>
        <v>#REF!</v>
      </c>
      <c r="X51" s="45"/>
      <c r="Y51" s="45"/>
      <c r="Z51" s="45"/>
      <c r="AA51" s="45" t="e">
        <f t="shared" si="56"/>
        <v>#REF!</v>
      </c>
      <c r="AB51" s="23" t="e">
        <f t="shared" si="54"/>
        <v>#REF!</v>
      </c>
      <c r="AC51" s="23" t="e">
        <f t="shared" si="54"/>
        <v>#REF!</v>
      </c>
      <c r="AD51" s="66"/>
      <c r="AE51" s="23" t="e">
        <f t="shared" si="54"/>
        <v>#REF!</v>
      </c>
      <c r="AF51" s="23" t="e">
        <f t="shared" si="54"/>
        <v>#REF!</v>
      </c>
      <c r="AG51" s="23" t="e">
        <f t="shared" si="54"/>
        <v>#REF!</v>
      </c>
      <c r="AH51" s="23" t="e">
        <f t="shared" si="54"/>
        <v>#REF!</v>
      </c>
      <c r="AI51" s="23" t="e">
        <f t="shared" si="54"/>
        <v>#REF!</v>
      </c>
      <c r="AJ51" s="23" t="e">
        <f t="shared" si="54"/>
        <v>#REF!</v>
      </c>
      <c r="AK51" s="23">
        <f t="shared" si="54"/>
        <v>0</v>
      </c>
      <c r="AL51" s="23" t="e">
        <f t="shared" si="54"/>
        <v>#REF!</v>
      </c>
      <c r="AN51" s="23" t="e">
        <f t="shared" si="54"/>
        <v>#REF!</v>
      </c>
      <c r="AO51" s="23" t="e">
        <f t="shared" si="54"/>
        <v>#REF!</v>
      </c>
      <c r="AQ51" s="23" t="e">
        <f t="shared" si="54"/>
        <v>#REF!</v>
      </c>
      <c r="AS51" s="45" t="e" cm="1">
        <f t="array" ref="AS51">SUMPRODUCT((AS$5:AS$46)*($L$5:$L$46)*($A$5:$A$46=$C51))/SUMPRODUCT(($L$5:$L$46)*($A$5:$A$46=$C51))</f>
        <v>#REF!</v>
      </c>
      <c r="AT51" s="23" t="e">
        <f t="shared" si="57"/>
        <v>#REF!</v>
      </c>
      <c r="AV51" s="23" t="e">
        <f t="shared" si="57"/>
        <v>#REF!</v>
      </c>
      <c r="AW51" s="23" t="e">
        <f t="shared" si="57"/>
        <v>#REF!</v>
      </c>
      <c r="AX51" s="23" t="e">
        <f t="shared" si="57"/>
        <v>#REF!</v>
      </c>
      <c r="AZ51" s="23" t="e">
        <f t="shared" si="57"/>
        <v>#REF!</v>
      </c>
      <c r="BA51" s="23" t="e">
        <f t="shared" si="57"/>
        <v>#REF!</v>
      </c>
      <c r="BB51" s="23" t="e">
        <f t="shared" si="57"/>
        <v>#REF!</v>
      </c>
      <c r="BD51" s="23" t="e">
        <f t="shared" si="57"/>
        <v>#REF!</v>
      </c>
      <c r="BF51" s="23">
        <f t="shared" si="57"/>
        <v>-421165.06055570475</v>
      </c>
      <c r="BH51" s="23" t="e">
        <f t="shared" si="57"/>
        <v>#REF!</v>
      </c>
      <c r="BI51" s="23" t="e">
        <f t="shared" si="57"/>
        <v>#REF!</v>
      </c>
      <c r="BJ51" s="23" t="e">
        <f t="shared" si="58"/>
        <v>#REF!</v>
      </c>
      <c r="BK51" s="23" t="e">
        <f t="shared" si="58"/>
        <v>#REF!</v>
      </c>
      <c r="BL51" s="23" t="e">
        <f t="shared" si="58"/>
        <v>#REF!</v>
      </c>
      <c r="BN51" s="23" t="e">
        <f t="shared" si="59"/>
        <v>#REF!</v>
      </c>
      <c r="BO51" s="23" t="e">
        <f t="shared" si="59"/>
        <v>#REF!</v>
      </c>
      <c r="BP51" s="23" t="e">
        <f t="shared" si="59"/>
        <v>#REF!</v>
      </c>
      <c r="BQ51" s="23" t="e">
        <f t="shared" si="59"/>
        <v>#REF!</v>
      </c>
      <c r="BR51" s="23" t="e">
        <f t="shared" si="59"/>
        <v>#REF!</v>
      </c>
      <c r="BT51" s="23" t="e">
        <f t="shared" si="59"/>
        <v>#REF!</v>
      </c>
      <c r="BU51" s="23" t="e">
        <f t="shared" si="59"/>
        <v>#REF!</v>
      </c>
      <c r="BV51" s="23" t="e">
        <f t="shared" si="59"/>
        <v>#REF!</v>
      </c>
      <c r="BW51" s="23" t="e">
        <f t="shared" si="59"/>
        <v>#REF!</v>
      </c>
      <c r="BX51" s="23" t="e">
        <f t="shared" si="59"/>
        <v>#REF!</v>
      </c>
      <c r="BZ51" s="23" t="e">
        <f t="shared" si="59"/>
        <v>#REF!</v>
      </c>
      <c r="CA51" s="23" t="e">
        <f t="shared" si="59"/>
        <v>#REF!</v>
      </c>
      <c r="CB51" s="23" t="e">
        <f t="shared" si="59"/>
        <v>#REF!</v>
      </c>
      <c r="CC51" s="23" t="e">
        <f t="shared" si="59"/>
        <v>#REF!</v>
      </c>
      <c r="CD51" s="23" t="e">
        <f t="shared" si="60"/>
        <v>#REF!</v>
      </c>
      <c r="CF51" s="23" t="e">
        <f t="shared" si="61"/>
        <v>#REF!</v>
      </c>
      <c r="CG51" s="23" t="e">
        <f t="shared" si="61"/>
        <v>#REF!</v>
      </c>
      <c r="CH51" s="23" t="e">
        <f t="shared" si="61"/>
        <v>#REF!</v>
      </c>
      <c r="CI51" s="23" t="e">
        <f t="shared" si="61"/>
        <v>#REF!</v>
      </c>
      <c r="CJ51" s="23" t="e">
        <f t="shared" si="61"/>
        <v>#REF!</v>
      </c>
      <c r="CM51" s="209">
        <f t="shared" ref="CM51:CM56" si="67">SUMIFS(BF$5:BF$46,BF$5:BF$46,"&lt;0",$A$5:$A$46,$C51)/$BF$59</f>
        <v>0.26641732148061187</v>
      </c>
      <c r="CN51" s="209" t="e">
        <f t="shared" si="62"/>
        <v>#REF!</v>
      </c>
      <c r="CO51" s="209" t="e">
        <f t="shared" si="63"/>
        <v>#REF!</v>
      </c>
      <c r="CP51" s="209" t="e">
        <f t="shared" si="64"/>
        <v>#REF!</v>
      </c>
      <c r="CQ51" s="209" t="e">
        <f t="shared" si="65"/>
        <v>#REF!</v>
      </c>
    </row>
    <row r="52" spans="1:95" x14ac:dyDescent="0.25">
      <c r="A52" s="4"/>
      <c r="B52" s="21">
        <v>3</v>
      </c>
      <c r="C52" s="22" t="s">
        <v>34</v>
      </c>
      <c r="D52" s="22" t="s">
        <v>35</v>
      </c>
      <c r="E52" s="23">
        <f t="shared" si="66"/>
        <v>19536186.067950472</v>
      </c>
      <c r="F52" s="45" t="e">
        <f>SUMIFS(#REF!,#REF!,C52)</f>
        <v>#REF!</v>
      </c>
      <c r="H52" s="45" t="e" cm="1">
        <f t="array" ref="H52">SUMPRODUCT((H$5:H$46)*($E$5:$E$46)*($A$5:$A$46=$C52))/SUMPRODUCT(($E$5:$E$46)*($A$5:$A$46=$C52))</f>
        <v>#REF!</v>
      </c>
      <c r="I52" s="45" t="e" cm="1">
        <f t="array" ref="I52">SUMPRODUCT((I$5:I$46)*($E$5:$E$46)*($A$5:$A$46=$C52))/SUMPRODUCT(($E$5:$E$46)*($A$5:$A$46=$C52))</f>
        <v>#REF!</v>
      </c>
      <c r="J52" s="45" t="e" cm="1">
        <f t="array" ref="J52">SUMPRODUCT((J$5:J$46)*($E$5:$E$46)*($A$5:$A$46=$C52))/SUMPRODUCT(($E$5:$E$46)*($A$5:$A$46=$C52))</f>
        <v>#REF!</v>
      </c>
      <c r="K52" s="23" t="e">
        <f t="shared" si="52"/>
        <v>#REF!</v>
      </c>
      <c r="L52" s="23" t="e">
        <f t="shared" si="52"/>
        <v>#REF!</v>
      </c>
      <c r="M52" s="45" t="e">
        <f>SUMIFS(#REF!,#REF!,C52)</f>
        <v>#REF!</v>
      </c>
      <c r="N52" s="23" t="e">
        <f t="shared" si="53"/>
        <v>#REF!</v>
      </c>
      <c r="O52" s="45" t="e" cm="1">
        <f t="array" ref="O52">SUMPRODUCT((O$5:O$46)*($L$5:$L$46)*($A$5:$A$46=$C52))/SUMPRODUCT(($L$5:$L$46)*($A$5:$A$46=$C52))</f>
        <v>#REF!</v>
      </c>
      <c r="P52" s="23" t="e">
        <f t="shared" si="54"/>
        <v>#REF!</v>
      </c>
      <c r="Q52" s="23" t="e">
        <f t="shared" si="54"/>
        <v>#REF!</v>
      </c>
      <c r="R52" s="23" t="e">
        <f t="shared" si="54"/>
        <v>#REF!</v>
      </c>
      <c r="S52" s="23" t="e">
        <f t="shared" si="54"/>
        <v>#REF!</v>
      </c>
      <c r="T52" s="23" t="e">
        <f t="shared" si="55"/>
        <v>#REF!</v>
      </c>
      <c r="U52" s="23"/>
      <c r="V52" s="23" t="e">
        <f t="shared" si="54"/>
        <v>#REF!</v>
      </c>
      <c r="W52" s="23" t="e">
        <f t="shared" si="54"/>
        <v>#REF!</v>
      </c>
      <c r="X52" s="45"/>
      <c r="Y52" s="45"/>
      <c r="Z52" s="45"/>
      <c r="AA52" s="45" t="e">
        <f t="shared" si="56"/>
        <v>#REF!</v>
      </c>
      <c r="AB52" s="23" t="e">
        <f t="shared" si="54"/>
        <v>#REF!</v>
      </c>
      <c r="AC52" s="23" t="e">
        <f t="shared" si="54"/>
        <v>#REF!</v>
      </c>
      <c r="AD52" s="66"/>
      <c r="AE52" s="23" t="e">
        <f t="shared" si="54"/>
        <v>#REF!</v>
      </c>
      <c r="AF52" s="23" t="e">
        <f t="shared" si="54"/>
        <v>#REF!</v>
      </c>
      <c r="AG52" s="23" t="e">
        <f t="shared" si="54"/>
        <v>#REF!</v>
      </c>
      <c r="AH52" s="23" t="e">
        <f t="shared" si="54"/>
        <v>#REF!</v>
      </c>
      <c r="AI52" s="23" t="e">
        <f t="shared" si="54"/>
        <v>#REF!</v>
      </c>
      <c r="AJ52" s="23" t="e">
        <f t="shared" si="54"/>
        <v>#REF!</v>
      </c>
      <c r="AK52" s="23">
        <f t="shared" si="54"/>
        <v>0</v>
      </c>
      <c r="AL52" s="23" t="e">
        <f t="shared" si="54"/>
        <v>#REF!</v>
      </c>
      <c r="AN52" s="23" t="e">
        <f t="shared" si="54"/>
        <v>#REF!</v>
      </c>
      <c r="AO52" s="23" t="e">
        <f t="shared" si="54"/>
        <v>#REF!</v>
      </c>
      <c r="AQ52" s="23" t="e">
        <f t="shared" si="54"/>
        <v>#REF!</v>
      </c>
      <c r="AS52" s="45" t="e" cm="1">
        <f t="array" ref="AS52">SUMPRODUCT((AS$5:AS$46)*($L$5:$L$46)*($A$5:$A$46=$C52))/SUMPRODUCT(($L$5:$L$46)*($A$5:$A$46=$C52))</f>
        <v>#REF!</v>
      </c>
      <c r="AT52" s="23" t="e">
        <f t="shared" si="57"/>
        <v>#REF!</v>
      </c>
      <c r="AV52" s="23" t="e">
        <f t="shared" si="57"/>
        <v>#REF!</v>
      </c>
      <c r="AW52" s="23" t="e">
        <f t="shared" si="57"/>
        <v>#REF!</v>
      </c>
      <c r="AX52" s="23" t="e">
        <f t="shared" si="57"/>
        <v>#REF!</v>
      </c>
      <c r="AZ52" s="23" t="e">
        <f t="shared" si="57"/>
        <v>#REF!</v>
      </c>
      <c r="BA52" s="23" t="e">
        <f t="shared" si="57"/>
        <v>#REF!</v>
      </c>
      <c r="BB52" s="23" t="e">
        <f t="shared" si="57"/>
        <v>#REF!</v>
      </c>
      <c r="BD52" s="23" t="e">
        <f t="shared" si="57"/>
        <v>#REF!</v>
      </c>
      <c r="BF52" s="23">
        <f t="shared" si="57"/>
        <v>-497354.00760084507</v>
      </c>
      <c r="BH52" s="23" t="e">
        <f t="shared" si="57"/>
        <v>#REF!</v>
      </c>
      <c r="BI52" s="23" t="e">
        <f t="shared" si="57"/>
        <v>#REF!</v>
      </c>
      <c r="BJ52" s="23" t="e">
        <f t="shared" si="58"/>
        <v>#REF!</v>
      </c>
      <c r="BK52" s="23" t="e">
        <f t="shared" si="58"/>
        <v>#REF!</v>
      </c>
      <c r="BL52" s="23" t="e">
        <f t="shared" si="58"/>
        <v>#REF!</v>
      </c>
      <c r="BN52" s="23" t="e">
        <f t="shared" si="59"/>
        <v>#REF!</v>
      </c>
      <c r="BO52" s="23" t="e">
        <f t="shared" si="59"/>
        <v>#REF!</v>
      </c>
      <c r="BP52" s="23" t="e">
        <f t="shared" si="59"/>
        <v>#REF!</v>
      </c>
      <c r="BQ52" s="23" t="e">
        <f t="shared" si="59"/>
        <v>#REF!</v>
      </c>
      <c r="BR52" s="23" t="e">
        <f t="shared" si="59"/>
        <v>#REF!</v>
      </c>
      <c r="BT52" s="23" t="e">
        <f t="shared" si="59"/>
        <v>#REF!</v>
      </c>
      <c r="BU52" s="23" t="e">
        <f t="shared" si="59"/>
        <v>#REF!</v>
      </c>
      <c r="BV52" s="23" t="e">
        <f t="shared" si="59"/>
        <v>#REF!</v>
      </c>
      <c r="BW52" s="23" t="e">
        <f t="shared" si="59"/>
        <v>#REF!</v>
      </c>
      <c r="BX52" s="23" t="e">
        <f t="shared" si="59"/>
        <v>#REF!</v>
      </c>
      <c r="BZ52" s="23" t="e">
        <f t="shared" si="59"/>
        <v>#REF!</v>
      </c>
      <c r="CA52" s="23" t="e">
        <f t="shared" si="59"/>
        <v>#REF!</v>
      </c>
      <c r="CB52" s="23" t="e">
        <f t="shared" si="59"/>
        <v>#REF!</v>
      </c>
      <c r="CC52" s="23" t="e">
        <f t="shared" si="59"/>
        <v>#REF!</v>
      </c>
      <c r="CD52" s="23" t="e">
        <f t="shared" si="60"/>
        <v>#REF!</v>
      </c>
      <c r="CF52" s="23" t="e">
        <f t="shared" si="61"/>
        <v>#REF!</v>
      </c>
      <c r="CG52" s="23" t="e">
        <f t="shared" si="61"/>
        <v>#REF!</v>
      </c>
      <c r="CH52" s="23" t="e">
        <f t="shared" si="61"/>
        <v>#REF!</v>
      </c>
      <c r="CI52" s="23" t="e">
        <f t="shared" si="61"/>
        <v>#REF!</v>
      </c>
      <c r="CJ52" s="23" t="e">
        <f t="shared" si="61"/>
        <v>#REF!</v>
      </c>
      <c r="CM52" s="209">
        <f t="shared" si="67"/>
        <v>0.31461233360106711</v>
      </c>
      <c r="CN52" s="209" t="e">
        <f t="shared" si="62"/>
        <v>#REF!</v>
      </c>
      <c r="CO52" s="209" t="e">
        <f t="shared" si="63"/>
        <v>#REF!</v>
      </c>
      <c r="CP52" s="209" t="e">
        <f t="shared" si="64"/>
        <v>#REF!</v>
      </c>
      <c r="CQ52" s="209" t="e">
        <f t="shared" si="65"/>
        <v>#REF!</v>
      </c>
    </row>
    <row r="53" spans="1:95" x14ac:dyDescent="0.25">
      <c r="A53" s="4"/>
      <c r="B53" s="21">
        <v>4</v>
      </c>
      <c r="C53" s="22" t="s">
        <v>58</v>
      </c>
      <c r="D53" s="22" t="s">
        <v>59</v>
      </c>
      <c r="E53" s="23">
        <f t="shared" si="66"/>
        <v>11559699.774078418</v>
      </c>
      <c r="F53" s="45" t="e">
        <f>SUMIFS(#REF!,#REF!,C53)</f>
        <v>#REF!</v>
      </c>
      <c r="H53" s="45" t="e" cm="1">
        <f t="array" ref="H53">SUMPRODUCT((H$5:H$46)*($E$5:$E$46)*($A$5:$A$46=$C53))/SUMPRODUCT(($E$5:$E$46)*($A$5:$A$46=$C53))</f>
        <v>#REF!</v>
      </c>
      <c r="I53" s="45" t="e" cm="1">
        <f t="array" ref="I53">SUMPRODUCT((I$5:I$46)*($E$5:$E$46)*($A$5:$A$46=$C53))/SUMPRODUCT(($E$5:$E$46)*($A$5:$A$46=$C53))</f>
        <v>#REF!</v>
      </c>
      <c r="J53" s="45" t="e" cm="1">
        <f t="array" ref="J53">SUMPRODUCT((J$5:J$46)*($E$5:$E$46)*($A$5:$A$46=$C53))/SUMPRODUCT(($E$5:$E$46)*($A$5:$A$46=$C53))</f>
        <v>#REF!</v>
      </c>
      <c r="K53" s="23" t="e">
        <f t="shared" si="52"/>
        <v>#REF!</v>
      </c>
      <c r="L53" s="23" t="e">
        <f t="shared" si="52"/>
        <v>#REF!</v>
      </c>
      <c r="M53" s="45" t="e">
        <f>SUMIFS(#REF!,#REF!,C53)</f>
        <v>#REF!</v>
      </c>
      <c r="N53" s="23" t="e">
        <f t="shared" si="53"/>
        <v>#REF!</v>
      </c>
      <c r="O53" s="45" t="e" cm="1">
        <f t="array" ref="O53">SUMPRODUCT((O$5:O$46)*($L$5:$L$46)*($A$5:$A$46=$C53))/SUMPRODUCT(($L$5:$L$46)*($A$5:$A$46=$C53))</f>
        <v>#REF!</v>
      </c>
      <c r="P53" s="23" t="e">
        <f t="shared" si="54"/>
        <v>#REF!</v>
      </c>
      <c r="Q53" s="23" t="e">
        <f t="shared" si="54"/>
        <v>#REF!</v>
      </c>
      <c r="R53" s="23" t="e">
        <f t="shared" si="54"/>
        <v>#REF!</v>
      </c>
      <c r="S53" s="23" t="e">
        <f t="shared" si="54"/>
        <v>#REF!</v>
      </c>
      <c r="T53" s="23" t="e">
        <f t="shared" si="55"/>
        <v>#REF!</v>
      </c>
      <c r="U53" s="23"/>
      <c r="V53" s="23" t="e">
        <f t="shared" si="54"/>
        <v>#REF!</v>
      </c>
      <c r="W53" s="23" t="e">
        <f t="shared" si="54"/>
        <v>#REF!</v>
      </c>
      <c r="X53" s="45"/>
      <c r="Y53" s="45"/>
      <c r="Z53" s="45"/>
      <c r="AA53" s="45" t="e">
        <f t="shared" si="56"/>
        <v>#REF!</v>
      </c>
      <c r="AB53" s="23" t="e">
        <f t="shared" si="54"/>
        <v>#REF!</v>
      </c>
      <c r="AC53" s="23" t="e">
        <f t="shared" si="54"/>
        <v>#REF!</v>
      </c>
      <c r="AD53" s="66"/>
      <c r="AE53" s="23" t="e">
        <f t="shared" si="54"/>
        <v>#REF!</v>
      </c>
      <c r="AF53" s="23" t="e">
        <f t="shared" si="54"/>
        <v>#REF!</v>
      </c>
      <c r="AG53" s="23" t="e">
        <f t="shared" si="54"/>
        <v>#REF!</v>
      </c>
      <c r="AH53" s="23" t="e">
        <f t="shared" si="54"/>
        <v>#REF!</v>
      </c>
      <c r="AI53" s="23" t="e">
        <f t="shared" si="54"/>
        <v>#REF!</v>
      </c>
      <c r="AJ53" s="23" t="e">
        <f t="shared" si="54"/>
        <v>#REF!</v>
      </c>
      <c r="AK53" s="23">
        <f t="shared" si="54"/>
        <v>0</v>
      </c>
      <c r="AL53" s="23" t="e">
        <f t="shared" si="54"/>
        <v>#REF!</v>
      </c>
      <c r="AN53" s="23" t="e">
        <f t="shared" si="54"/>
        <v>#REF!</v>
      </c>
      <c r="AO53" s="23" t="e">
        <f t="shared" si="54"/>
        <v>#REF!</v>
      </c>
      <c r="AQ53" s="23" t="e">
        <f t="shared" si="54"/>
        <v>#REF!</v>
      </c>
      <c r="AS53" s="45" t="e" cm="1">
        <f t="array" ref="AS53">SUMPRODUCT((AS$5:AS$46)*($L$5:$L$46)*($A$5:$A$46=$C53))/SUMPRODUCT(($L$5:$L$46)*($A$5:$A$46=$C53))</f>
        <v>#REF!</v>
      </c>
      <c r="AT53" s="23" t="e">
        <f t="shared" si="57"/>
        <v>#REF!</v>
      </c>
      <c r="AV53" s="23" t="e">
        <f t="shared" si="57"/>
        <v>#REF!</v>
      </c>
      <c r="AW53" s="23" t="e">
        <f t="shared" si="57"/>
        <v>#REF!</v>
      </c>
      <c r="AX53" s="23" t="e">
        <f t="shared" si="57"/>
        <v>#REF!</v>
      </c>
      <c r="AZ53" s="23" t="e">
        <f t="shared" si="57"/>
        <v>#REF!</v>
      </c>
      <c r="BA53" s="23" t="e">
        <f t="shared" si="57"/>
        <v>#REF!</v>
      </c>
      <c r="BB53" s="23" t="e">
        <f t="shared" si="57"/>
        <v>#REF!</v>
      </c>
      <c r="BD53" s="23" t="e">
        <f t="shared" si="57"/>
        <v>#REF!</v>
      </c>
      <c r="BF53" s="23">
        <f t="shared" si="57"/>
        <v>-50310.300445076602</v>
      </c>
      <c r="BH53" s="23" t="e">
        <f t="shared" si="57"/>
        <v>#REF!</v>
      </c>
      <c r="BI53" s="23" t="e">
        <f t="shared" si="57"/>
        <v>#REF!</v>
      </c>
      <c r="BJ53" s="23" t="e">
        <f t="shared" si="58"/>
        <v>#REF!</v>
      </c>
      <c r="BK53" s="23" t="e">
        <f t="shared" si="58"/>
        <v>#REF!</v>
      </c>
      <c r="BL53" s="23" t="e">
        <f t="shared" si="58"/>
        <v>#REF!</v>
      </c>
      <c r="BN53" s="23" t="e">
        <f t="shared" si="59"/>
        <v>#REF!</v>
      </c>
      <c r="BO53" s="23" t="e">
        <f t="shared" si="59"/>
        <v>#REF!</v>
      </c>
      <c r="BP53" s="23" t="e">
        <f t="shared" si="59"/>
        <v>#REF!</v>
      </c>
      <c r="BQ53" s="23" t="e">
        <f t="shared" si="59"/>
        <v>#REF!</v>
      </c>
      <c r="BR53" s="23" t="e">
        <f t="shared" si="59"/>
        <v>#REF!</v>
      </c>
      <c r="BT53" s="23" t="e">
        <f t="shared" si="59"/>
        <v>#REF!</v>
      </c>
      <c r="BU53" s="23" t="e">
        <f t="shared" si="59"/>
        <v>#REF!</v>
      </c>
      <c r="BV53" s="23" t="e">
        <f t="shared" si="59"/>
        <v>#REF!</v>
      </c>
      <c r="BW53" s="23" t="e">
        <f t="shared" si="59"/>
        <v>#REF!</v>
      </c>
      <c r="BX53" s="23" t="e">
        <f t="shared" si="59"/>
        <v>#REF!</v>
      </c>
      <c r="BZ53" s="23" t="e">
        <f t="shared" si="59"/>
        <v>#REF!</v>
      </c>
      <c r="CA53" s="23" t="e">
        <f t="shared" si="59"/>
        <v>#REF!</v>
      </c>
      <c r="CB53" s="23" t="e">
        <f t="shared" si="59"/>
        <v>#REF!</v>
      </c>
      <c r="CC53" s="23" t="e">
        <f t="shared" si="59"/>
        <v>#REF!</v>
      </c>
      <c r="CD53" s="23" t="e">
        <f t="shared" si="60"/>
        <v>#REF!</v>
      </c>
      <c r="CF53" s="23" t="e">
        <f t="shared" si="61"/>
        <v>#REF!</v>
      </c>
      <c r="CG53" s="23" t="e">
        <f t="shared" si="61"/>
        <v>#REF!</v>
      </c>
      <c r="CH53" s="23" t="e">
        <f t="shared" si="61"/>
        <v>#REF!</v>
      </c>
      <c r="CI53" s="23" t="e">
        <f t="shared" si="61"/>
        <v>#REF!</v>
      </c>
      <c r="CJ53" s="23" t="e">
        <f t="shared" si="61"/>
        <v>#REF!</v>
      </c>
      <c r="CM53" s="209">
        <f t="shared" si="67"/>
        <v>3.1824898935768543E-2</v>
      </c>
      <c r="CN53" s="209" t="e">
        <f t="shared" si="62"/>
        <v>#REF!</v>
      </c>
      <c r="CO53" s="209" t="e">
        <f t="shared" si="63"/>
        <v>#REF!</v>
      </c>
      <c r="CP53" s="209" t="e">
        <f t="shared" si="64"/>
        <v>#REF!</v>
      </c>
      <c r="CQ53" s="209" t="e">
        <f t="shared" si="65"/>
        <v>#REF!</v>
      </c>
    </row>
    <row r="54" spans="1:95" x14ac:dyDescent="0.25">
      <c r="A54" s="4"/>
      <c r="B54" s="21">
        <v>5</v>
      </c>
      <c r="C54" s="22" t="s">
        <v>72</v>
      </c>
      <c r="D54" s="22" t="s">
        <v>73</v>
      </c>
      <c r="E54" s="23">
        <f t="shared" si="66"/>
        <v>16796669.95379521</v>
      </c>
      <c r="F54" s="45" t="e">
        <f>SUMIFS(#REF!,#REF!,C54)</f>
        <v>#REF!</v>
      </c>
      <c r="H54" s="45" t="e" cm="1">
        <f t="array" ref="H54">SUMPRODUCT((H$5:H$46)*($E$5:$E$46)*($A$5:$A$46=$C54))/SUMPRODUCT(($E$5:$E$46)*($A$5:$A$46=$C54))</f>
        <v>#REF!</v>
      </c>
      <c r="I54" s="45" t="e" cm="1">
        <f t="array" ref="I54">SUMPRODUCT((I$5:I$46)*($E$5:$E$46)*($A$5:$A$46=$C54))/SUMPRODUCT(($E$5:$E$46)*($A$5:$A$46=$C54))</f>
        <v>#REF!</v>
      </c>
      <c r="J54" s="45" t="e" cm="1">
        <f t="array" ref="J54">SUMPRODUCT((J$5:J$46)*($E$5:$E$46)*($A$5:$A$46=$C54))/SUMPRODUCT(($E$5:$E$46)*($A$5:$A$46=$C54))</f>
        <v>#REF!</v>
      </c>
      <c r="K54" s="23" t="e">
        <f t="shared" si="52"/>
        <v>#REF!</v>
      </c>
      <c r="L54" s="23" t="e">
        <f t="shared" si="52"/>
        <v>#REF!</v>
      </c>
      <c r="M54" s="45" t="e">
        <f>SUMIFS(#REF!,#REF!,C54)</f>
        <v>#REF!</v>
      </c>
      <c r="N54" s="23" t="e">
        <f t="shared" si="53"/>
        <v>#REF!</v>
      </c>
      <c r="O54" s="45" t="e" cm="1">
        <f t="array" ref="O54">SUMPRODUCT((O$5:O$46)*($L$5:$L$46)*($A$5:$A$46=$C54))/SUMPRODUCT(($L$5:$L$46)*($A$5:$A$46=$C54))</f>
        <v>#REF!</v>
      </c>
      <c r="P54" s="23" t="e">
        <f t="shared" si="54"/>
        <v>#REF!</v>
      </c>
      <c r="Q54" s="23" t="e">
        <f t="shared" si="54"/>
        <v>#REF!</v>
      </c>
      <c r="R54" s="23" t="e">
        <f t="shared" si="54"/>
        <v>#REF!</v>
      </c>
      <c r="S54" s="23" t="e">
        <f t="shared" si="54"/>
        <v>#REF!</v>
      </c>
      <c r="T54" s="23" t="e">
        <f t="shared" si="55"/>
        <v>#REF!</v>
      </c>
      <c r="U54" s="23"/>
      <c r="V54" s="23" t="e">
        <f t="shared" si="54"/>
        <v>#REF!</v>
      </c>
      <c r="W54" s="23" t="e">
        <f t="shared" si="54"/>
        <v>#REF!</v>
      </c>
      <c r="X54" s="45"/>
      <c r="Y54" s="45"/>
      <c r="Z54" s="45"/>
      <c r="AA54" s="45" t="e">
        <f t="shared" si="56"/>
        <v>#REF!</v>
      </c>
      <c r="AB54" s="23" t="e">
        <f t="shared" si="54"/>
        <v>#REF!</v>
      </c>
      <c r="AC54" s="23" t="e">
        <f t="shared" si="54"/>
        <v>#REF!</v>
      </c>
      <c r="AD54" s="66"/>
      <c r="AE54" s="23" t="e">
        <f t="shared" si="54"/>
        <v>#REF!</v>
      </c>
      <c r="AF54" s="23" t="e">
        <f t="shared" si="54"/>
        <v>#REF!</v>
      </c>
      <c r="AG54" s="23" t="e">
        <f t="shared" si="54"/>
        <v>#REF!</v>
      </c>
      <c r="AH54" s="23" t="e">
        <f t="shared" si="54"/>
        <v>#REF!</v>
      </c>
      <c r="AI54" s="23" t="e">
        <f t="shared" si="54"/>
        <v>#REF!</v>
      </c>
      <c r="AJ54" s="23" t="e">
        <f t="shared" si="54"/>
        <v>#REF!</v>
      </c>
      <c r="AK54" s="23">
        <f t="shared" si="54"/>
        <v>0</v>
      </c>
      <c r="AL54" s="23" t="e">
        <f t="shared" si="54"/>
        <v>#REF!</v>
      </c>
      <c r="AN54" s="23" t="e">
        <f t="shared" si="54"/>
        <v>#REF!</v>
      </c>
      <c r="AO54" s="23" t="e">
        <f t="shared" si="54"/>
        <v>#REF!</v>
      </c>
      <c r="AQ54" s="23" t="e">
        <f t="shared" si="54"/>
        <v>#REF!</v>
      </c>
      <c r="AS54" s="45" t="e" cm="1">
        <f t="array" ref="AS54">SUMPRODUCT((AS$5:AS$46)*($L$5:$L$46)*($A$5:$A$46=$C54))/SUMPRODUCT(($L$5:$L$46)*($A$5:$A$46=$C54))</f>
        <v>#REF!</v>
      </c>
      <c r="AT54" s="23" t="e">
        <f t="shared" si="57"/>
        <v>#REF!</v>
      </c>
      <c r="AV54" s="23" t="e">
        <f t="shared" si="57"/>
        <v>#REF!</v>
      </c>
      <c r="AW54" s="23" t="e">
        <f t="shared" si="57"/>
        <v>#REF!</v>
      </c>
      <c r="AX54" s="23" t="e">
        <f t="shared" si="57"/>
        <v>#REF!</v>
      </c>
      <c r="AZ54" s="23" t="e">
        <f t="shared" si="57"/>
        <v>#REF!</v>
      </c>
      <c r="BA54" s="23" t="e">
        <f t="shared" si="57"/>
        <v>#REF!</v>
      </c>
      <c r="BB54" s="23" t="e">
        <f t="shared" si="57"/>
        <v>#REF!</v>
      </c>
      <c r="BD54" s="23" t="e">
        <f t="shared" si="57"/>
        <v>#REF!</v>
      </c>
      <c r="BF54" s="23">
        <f t="shared" si="57"/>
        <v>-106600</v>
      </c>
      <c r="BH54" s="23" t="e">
        <f t="shared" si="57"/>
        <v>#REF!</v>
      </c>
      <c r="BI54" s="23" t="e">
        <f t="shared" si="57"/>
        <v>#REF!</v>
      </c>
      <c r="BJ54" s="23" t="e">
        <f t="shared" si="58"/>
        <v>#REF!</v>
      </c>
      <c r="BK54" s="23" t="e">
        <f t="shared" si="58"/>
        <v>#REF!</v>
      </c>
      <c r="BL54" s="23" t="e">
        <f t="shared" si="58"/>
        <v>#REF!</v>
      </c>
      <c r="BN54" s="23" t="e">
        <f t="shared" si="59"/>
        <v>#REF!</v>
      </c>
      <c r="BO54" s="23" t="e">
        <f t="shared" si="59"/>
        <v>#REF!</v>
      </c>
      <c r="BP54" s="23" t="e">
        <f t="shared" si="59"/>
        <v>#REF!</v>
      </c>
      <c r="BQ54" s="23" t="e">
        <f t="shared" si="59"/>
        <v>#REF!</v>
      </c>
      <c r="BR54" s="23" t="e">
        <f t="shared" si="59"/>
        <v>#REF!</v>
      </c>
      <c r="BT54" s="23" t="e">
        <f t="shared" si="59"/>
        <v>#REF!</v>
      </c>
      <c r="BU54" s="23" t="e">
        <f t="shared" si="59"/>
        <v>#REF!</v>
      </c>
      <c r="BV54" s="23" t="e">
        <f t="shared" si="59"/>
        <v>#REF!</v>
      </c>
      <c r="BW54" s="23" t="e">
        <f t="shared" si="59"/>
        <v>#REF!</v>
      </c>
      <c r="BX54" s="23" t="e">
        <f t="shared" si="59"/>
        <v>#REF!</v>
      </c>
      <c r="BZ54" s="23" t="e">
        <f t="shared" si="59"/>
        <v>#REF!</v>
      </c>
      <c r="CA54" s="23" t="e">
        <f t="shared" si="59"/>
        <v>#REF!</v>
      </c>
      <c r="CB54" s="23" t="e">
        <f t="shared" si="59"/>
        <v>#REF!</v>
      </c>
      <c r="CC54" s="23" t="e">
        <f t="shared" si="59"/>
        <v>#REF!</v>
      </c>
      <c r="CD54" s="23" t="e">
        <f t="shared" si="60"/>
        <v>#REF!</v>
      </c>
      <c r="CF54" s="23" t="e">
        <f t="shared" si="61"/>
        <v>#REF!</v>
      </c>
      <c r="CG54" s="23" t="e">
        <f t="shared" si="61"/>
        <v>#REF!</v>
      </c>
      <c r="CH54" s="23" t="e">
        <f t="shared" si="61"/>
        <v>#REF!</v>
      </c>
      <c r="CI54" s="23" t="e">
        <f t="shared" si="61"/>
        <v>#REF!</v>
      </c>
      <c r="CJ54" s="23" t="e">
        <f t="shared" si="61"/>
        <v>#REF!</v>
      </c>
      <c r="CM54" s="209">
        <f t="shared" si="67"/>
        <v>6.7432199699473727E-2</v>
      </c>
      <c r="CN54" s="209" t="e">
        <f t="shared" si="62"/>
        <v>#REF!</v>
      </c>
      <c r="CO54" s="209" t="e">
        <f t="shared" si="63"/>
        <v>#REF!</v>
      </c>
      <c r="CP54" s="209" t="e">
        <f t="shared" si="64"/>
        <v>#REF!</v>
      </c>
      <c r="CQ54" s="209" t="e">
        <f t="shared" si="65"/>
        <v>#REF!</v>
      </c>
    </row>
    <row r="55" spans="1:95" x14ac:dyDescent="0.25">
      <c r="A55" s="4"/>
      <c r="B55" s="21">
        <v>6</v>
      </c>
      <c r="C55" s="22" t="s">
        <v>84</v>
      </c>
      <c r="D55" s="22" t="s">
        <v>85</v>
      </c>
      <c r="E55" s="23">
        <f t="shared" si="66"/>
        <v>15582342.155601533</v>
      </c>
      <c r="F55" s="45" t="e">
        <f>SUMIFS(#REF!,#REF!,C55)</f>
        <v>#REF!</v>
      </c>
      <c r="H55" s="45" t="e" cm="1">
        <f t="array" ref="H55">SUMPRODUCT((H$5:H$46)*($E$5:$E$46)*($A$5:$A$46=$C55))/SUMPRODUCT(($E$5:$E$46)*($A$5:$A$46=$C55))</f>
        <v>#REF!</v>
      </c>
      <c r="I55" s="45" t="e" cm="1">
        <f t="array" ref="I55">SUMPRODUCT((I$5:I$46)*($E$5:$E$46)*($A$5:$A$46=$C55))/SUMPRODUCT(($E$5:$E$46)*($A$5:$A$46=$C55))</f>
        <v>#REF!</v>
      </c>
      <c r="J55" s="45" t="e" cm="1">
        <f t="array" ref="J55">SUMPRODUCT((J$5:J$46)*($E$5:$E$46)*($A$5:$A$46=$C55))/SUMPRODUCT(($E$5:$E$46)*($A$5:$A$46=$C55))</f>
        <v>#REF!</v>
      </c>
      <c r="K55" s="23" t="e">
        <f t="shared" si="52"/>
        <v>#REF!</v>
      </c>
      <c r="L55" s="23" t="e">
        <f t="shared" si="52"/>
        <v>#REF!</v>
      </c>
      <c r="M55" s="45" t="e">
        <f>SUMIFS(#REF!,#REF!,C55)</f>
        <v>#REF!</v>
      </c>
      <c r="N55" s="23" t="e">
        <f t="shared" si="53"/>
        <v>#REF!</v>
      </c>
      <c r="O55" s="45" t="e" cm="1">
        <f t="array" ref="O55">SUMPRODUCT((O$5:O$46)*($L$5:$L$46)*($A$5:$A$46=$C55))/SUMPRODUCT(($L$5:$L$46)*($A$5:$A$46=$C55))</f>
        <v>#REF!</v>
      </c>
      <c r="P55" s="23" t="e">
        <f t="shared" si="54"/>
        <v>#REF!</v>
      </c>
      <c r="Q55" s="23" t="e">
        <f t="shared" si="54"/>
        <v>#REF!</v>
      </c>
      <c r="R55" s="23" t="e">
        <f t="shared" si="54"/>
        <v>#REF!</v>
      </c>
      <c r="S55" s="23" t="e">
        <f t="shared" si="54"/>
        <v>#REF!</v>
      </c>
      <c r="T55" s="23" t="e">
        <f t="shared" si="55"/>
        <v>#REF!</v>
      </c>
      <c r="U55" s="23"/>
      <c r="V55" s="23" t="e">
        <f t="shared" si="54"/>
        <v>#REF!</v>
      </c>
      <c r="W55" s="23" t="e">
        <f t="shared" si="54"/>
        <v>#REF!</v>
      </c>
      <c r="X55" s="45"/>
      <c r="Y55" s="45"/>
      <c r="Z55" s="45"/>
      <c r="AA55" s="45" t="e">
        <f t="shared" si="56"/>
        <v>#REF!</v>
      </c>
      <c r="AB55" s="23" t="e">
        <f t="shared" si="54"/>
        <v>#REF!</v>
      </c>
      <c r="AC55" s="23" t="e">
        <f t="shared" si="54"/>
        <v>#REF!</v>
      </c>
      <c r="AD55" s="66"/>
      <c r="AE55" s="23" t="e">
        <f t="shared" si="54"/>
        <v>#REF!</v>
      </c>
      <c r="AF55" s="23" t="e">
        <f t="shared" si="54"/>
        <v>#REF!</v>
      </c>
      <c r="AG55" s="23" t="e">
        <f t="shared" si="54"/>
        <v>#REF!</v>
      </c>
      <c r="AH55" s="23" t="e">
        <f t="shared" si="54"/>
        <v>#REF!</v>
      </c>
      <c r="AI55" s="23" t="e">
        <f t="shared" si="54"/>
        <v>#REF!</v>
      </c>
      <c r="AJ55" s="23" t="e">
        <f t="shared" si="54"/>
        <v>#REF!</v>
      </c>
      <c r="AK55" s="23">
        <f t="shared" si="54"/>
        <v>0</v>
      </c>
      <c r="AL55" s="23" t="e">
        <f t="shared" si="54"/>
        <v>#REF!</v>
      </c>
      <c r="AN55" s="23" t="e">
        <f t="shared" si="54"/>
        <v>#REF!</v>
      </c>
      <c r="AO55" s="23" t="e">
        <f t="shared" si="54"/>
        <v>#REF!</v>
      </c>
      <c r="AQ55" s="23" t="e">
        <f t="shared" si="54"/>
        <v>#REF!</v>
      </c>
      <c r="AS55" s="45" t="e" cm="1">
        <f t="array" ref="AS55">SUMPRODUCT((AS$5:AS$46)*($L$5:$L$46)*($A$5:$A$46=$C55))/SUMPRODUCT(($L$5:$L$46)*($A$5:$A$46=$C55))</f>
        <v>#REF!</v>
      </c>
      <c r="AT55" s="23" t="e">
        <f t="shared" si="57"/>
        <v>#REF!</v>
      </c>
      <c r="AV55" s="23" t="e">
        <f t="shared" si="57"/>
        <v>#REF!</v>
      </c>
      <c r="AW55" s="23" t="e">
        <f t="shared" si="57"/>
        <v>#REF!</v>
      </c>
      <c r="AX55" s="23" t="e">
        <f t="shared" si="57"/>
        <v>#REF!</v>
      </c>
      <c r="AZ55" s="23" t="e">
        <f t="shared" si="57"/>
        <v>#REF!</v>
      </c>
      <c r="BA55" s="23" t="e">
        <f t="shared" si="57"/>
        <v>#REF!</v>
      </c>
      <c r="BB55" s="23" t="e">
        <f t="shared" si="57"/>
        <v>#REF!</v>
      </c>
      <c r="BD55" s="23" t="e">
        <f t="shared" si="57"/>
        <v>#REF!</v>
      </c>
      <c r="BF55" s="23">
        <f t="shared" si="57"/>
        <v>-300400</v>
      </c>
      <c r="BH55" s="23" t="e">
        <f t="shared" si="57"/>
        <v>#REF!</v>
      </c>
      <c r="BI55" s="23" t="e">
        <f t="shared" si="57"/>
        <v>#REF!</v>
      </c>
      <c r="BJ55" s="23" t="e">
        <f t="shared" si="58"/>
        <v>#REF!</v>
      </c>
      <c r="BK55" s="23" t="e">
        <f t="shared" si="58"/>
        <v>#REF!</v>
      </c>
      <c r="BL55" s="23" t="e">
        <f t="shared" si="58"/>
        <v>#REF!</v>
      </c>
      <c r="BN55" s="23" t="e">
        <f t="shared" si="59"/>
        <v>#REF!</v>
      </c>
      <c r="BO55" s="23" t="e">
        <f t="shared" si="59"/>
        <v>#REF!</v>
      </c>
      <c r="BP55" s="23" t="e">
        <f t="shared" si="59"/>
        <v>#REF!</v>
      </c>
      <c r="BQ55" s="23" t="e">
        <f t="shared" si="59"/>
        <v>#REF!</v>
      </c>
      <c r="BR55" s="23" t="e">
        <f t="shared" si="59"/>
        <v>#REF!</v>
      </c>
      <c r="BT55" s="23" t="e">
        <f t="shared" si="59"/>
        <v>#REF!</v>
      </c>
      <c r="BU55" s="23" t="e">
        <f t="shared" si="59"/>
        <v>#REF!</v>
      </c>
      <c r="BV55" s="23" t="e">
        <f t="shared" si="59"/>
        <v>#REF!</v>
      </c>
      <c r="BW55" s="23" t="e">
        <f t="shared" si="59"/>
        <v>#REF!</v>
      </c>
      <c r="BX55" s="23" t="e">
        <f t="shared" si="59"/>
        <v>#REF!</v>
      </c>
      <c r="BZ55" s="23" t="e">
        <f t="shared" si="59"/>
        <v>#REF!</v>
      </c>
      <c r="CA55" s="23" t="e">
        <f t="shared" si="59"/>
        <v>#REF!</v>
      </c>
      <c r="CB55" s="23" t="e">
        <f t="shared" si="59"/>
        <v>#REF!</v>
      </c>
      <c r="CC55" s="23" t="e">
        <f t="shared" si="59"/>
        <v>#REF!</v>
      </c>
      <c r="CD55" s="23" t="e">
        <f t="shared" si="60"/>
        <v>#REF!</v>
      </c>
      <c r="CF55" s="23" t="e">
        <f t="shared" si="61"/>
        <v>#REF!</v>
      </c>
      <c r="CG55" s="23" t="e">
        <f t="shared" si="61"/>
        <v>#REF!</v>
      </c>
      <c r="CH55" s="23" t="e">
        <f t="shared" si="61"/>
        <v>#REF!</v>
      </c>
      <c r="CI55" s="23" t="e">
        <f t="shared" si="61"/>
        <v>#REF!</v>
      </c>
      <c r="CJ55" s="23" t="e">
        <f t="shared" si="61"/>
        <v>#REF!</v>
      </c>
      <c r="CM55" s="209">
        <f t="shared" si="67"/>
        <v>0.19002469783979273</v>
      </c>
      <c r="CN55" s="209" t="e">
        <f t="shared" si="62"/>
        <v>#REF!</v>
      </c>
      <c r="CO55" s="209" t="e">
        <f t="shared" si="63"/>
        <v>#REF!</v>
      </c>
      <c r="CP55" s="209" t="e">
        <f t="shared" si="64"/>
        <v>#REF!</v>
      </c>
      <c r="CQ55" s="209" t="e">
        <f t="shared" si="65"/>
        <v>#REF!</v>
      </c>
    </row>
    <row r="56" spans="1:95" x14ac:dyDescent="0.25">
      <c r="A56" s="4"/>
      <c r="B56" s="21">
        <v>7</v>
      </c>
      <c r="C56" s="22" t="s">
        <v>98</v>
      </c>
      <c r="D56" s="22" t="s">
        <v>99</v>
      </c>
      <c r="E56" s="23">
        <f t="shared" si="66"/>
        <v>10165711.523301041</v>
      </c>
      <c r="F56" s="45" t="e">
        <f>SUMIFS(#REF!,#REF!,C56)</f>
        <v>#REF!</v>
      </c>
      <c r="H56" s="45" t="e" cm="1">
        <f t="array" ref="H56">SUMPRODUCT((H$5:H$46)*($E$5:$E$46)*($A$5:$A$46=$C56))/SUMPRODUCT(($E$5:$E$46)*($A$5:$A$46=$C56))</f>
        <v>#REF!</v>
      </c>
      <c r="I56" s="45" t="e" cm="1">
        <f t="array" ref="I56">SUMPRODUCT((I$5:I$46)*($E$5:$E$46)*($A$5:$A$46=$C56))/SUMPRODUCT(($E$5:$E$46)*($A$5:$A$46=$C56))</f>
        <v>#REF!</v>
      </c>
      <c r="J56" s="45" t="e" cm="1">
        <f t="array" ref="J56">SUMPRODUCT((J$5:J$46)*($E$5:$E$46)*($A$5:$A$46=$C56))/SUMPRODUCT(($E$5:$E$46)*($A$5:$A$46=$C56))</f>
        <v>#REF!</v>
      </c>
      <c r="K56" s="23" t="e">
        <f t="shared" si="52"/>
        <v>#REF!</v>
      </c>
      <c r="L56" s="23" t="e">
        <f t="shared" si="52"/>
        <v>#REF!</v>
      </c>
      <c r="M56" s="45" t="e">
        <f>SUMIFS(#REF!,#REF!,C56)</f>
        <v>#REF!</v>
      </c>
      <c r="N56" s="23" t="e">
        <f t="shared" si="53"/>
        <v>#REF!</v>
      </c>
      <c r="O56" s="45" t="e" cm="1">
        <f t="array" ref="O56">SUMPRODUCT((O$5:O$46)*($L$5:$L$46)*($A$5:$A$46=$C56))/SUMPRODUCT(($L$5:$L$46)*($A$5:$A$46=$C56))</f>
        <v>#REF!</v>
      </c>
      <c r="P56" s="23" t="e">
        <f t="shared" si="54"/>
        <v>#REF!</v>
      </c>
      <c r="Q56" s="23" t="e">
        <f t="shared" si="54"/>
        <v>#REF!</v>
      </c>
      <c r="R56" s="23" t="e">
        <f t="shared" si="54"/>
        <v>#REF!</v>
      </c>
      <c r="S56" s="23" t="e">
        <f t="shared" si="54"/>
        <v>#REF!</v>
      </c>
      <c r="T56" s="23" t="e">
        <f t="shared" si="55"/>
        <v>#REF!</v>
      </c>
      <c r="U56" s="23"/>
      <c r="V56" s="23" t="e">
        <f t="shared" si="54"/>
        <v>#REF!</v>
      </c>
      <c r="W56" s="23" t="e">
        <f t="shared" si="54"/>
        <v>#REF!</v>
      </c>
      <c r="X56" s="45"/>
      <c r="Y56" s="45"/>
      <c r="Z56" s="45"/>
      <c r="AA56" s="45" t="e">
        <f t="shared" si="56"/>
        <v>#REF!</v>
      </c>
      <c r="AB56" s="23" t="e">
        <f t="shared" si="54"/>
        <v>#REF!</v>
      </c>
      <c r="AC56" s="23" t="e">
        <f t="shared" si="54"/>
        <v>#REF!</v>
      </c>
      <c r="AD56" s="66"/>
      <c r="AE56" s="23" t="e">
        <f t="shared" si="54"/>
        <v>#REF!</v>
      </c>
      <c r="AF56" s="23" t="e">
        <f t="shared" si="54"/>
        <v>#REF!</v>
      </c>
      <c r="AG56" s="23" t="e">
        <f t="shared" si="54"/>
        <v>#REF!</v>
      </c>
      <c r="AH56" s="23" t="e">
        <f t="shared" si="54"/>
        <v>#REF!</v>
      </c>
      <c r="AI56" s="23" t="e">
        <f t="shared" si="54"/>
        <v>#REF!</v>
      </c>
      <c r="AJ56" s="23" t="e">
        <f t="shared" si="54"/>
        <v>#REF!</v>
      </c>
      <c r="AK56" s="23">
        <f t="shared" si="54"/>
        <v>0</v>
      </c>
      <c r="AL56" s="23" t="e">
        <f t="shared" si="54"/>
        <v>#REF!</v>
      </c>
      <c r="AN56" s="23" t="e">
        <f t="shared" si="54"/>
        <v>#REF!</v>
      </c>
      <c r="AO56" s="23" t="e">
        <f t="shared" si="54"/>
        <v>#REF!</v>
      </c>
      <c r="AQ56" s="23" t="e">
        <f t="shared" si="54"/>
        <v>#REF!</v>
      </c>
      <c r="AS56" s="45" t="e" cm="1">
        <f t="array" ref="AS56">SUMPRODUCT((AS$5:AS$46)*($L$5:$L$46)*($A$5:$A$46=$C56))/SUMPRODUCT(($L$5:$L$46)*($A$5:$A$46=$C56))</f>
        <v>#REF!</v>
      </c>
      <c r="AT56" s="23" t="e">
        <f t="shared" si="57"/>
        <v>#REF!</v>
      </c>
      <c r="AV56" s="23" t="e">
        <f t="shared" si="57"/>
        <v>#REF!</v>
      </c>
      <c r="AW56" s="23" t="e">
        <f t="shared" si="57"/>
        <v>#REF!</v>
      </c>
      <c r="AX56" s="23" t="e">
        <f t="shared" si="57"/>
        <v>#REF!</v>
      </c>
      <c r="AZ56" s="23" t="e">
        <f t="shared" si="57"/>
        <v>#REF!</v>
      </c>
      <c r="BA56" s="23" t="e">
        <f t="shared" si="57"/>
        <v>#REF!</v>
      </c>
      <c r="BB56" s="23" t="e">
        <f t="shared" si="57"/>
        <v>#REF!</v>
      </c>
      <c r="BD56" s="23" t="e">
        <f t="shared" si="57"/>
        <v>#REF!</v>
      </c>
      <c r="BF56" s="23">
        <f t="shared" si="57"/>
        <v>-100000</v>
      </c>
      <c r="BH56" s="23" t="e">
        <f t="shared" si="57"/>
        <v>#REF!</v>
      </c>
      <c r="BI56" s="23" t="e">
        <f t="shared" si="57"/>
        <v>#REF!</v>
      </c>
      <c r="BJ56" s="23" t="e">
        <f t="shared" si="58"/>
        <v>#REF!</v>
      </c>
      <c r="BK56" s="23" t="e">
        <f t="shared" si="58"/>
        <v>#REF!</v>
      </c>
      <c r="BL56" s="23" t="e">
        <f t="shared" si="58"/>
        <v>#REF!</v>
      </c>
      <c r="BN56" s="23" t="e">
        <f t="shared" si="59"/>
        <v>#REF!</v>
      </c>
      <c r="BO56" s="23" t="e">
        <f t="shared" si="59"/>
        <v>#REF!</v>
      </c>
      <c r="BP56" s="23" t="e">
        <f t="shared" si="59"/>
        <v>#REF!</v>
      </c>
      <c r="BQ56" s="23" t="e">
        <f t="shared" si="59"/>
        <v>#REF!</v>
      </c>
      <c r="BR56" s="23" t="e">
        <f t="shared" si="59"/>
        <v>#REF!</v>
      </c>
      <c r="BT56" s="23" t="e">
        <f t="shared" si="59"/>
        <v>#REF!</v>
      </c>
      <c r="BU56" s="23" t="e">
        <f t="shared" si="59"/>
        <v>#REF!</v>
      </c>
      <c r="BV56" s="23" t="e">
        <f t="shared" si="59"/>
        <v>#REF!</v>
      </c>
      <c r="BW56" s="23" t="e">
        <f t="shared" si="59"/>
        <v>#REF!</v>
      </c>
      <c r="BX56" s="23" t="e">
        <f t="shared" si="59"/>
        <v>#REF!</v>
      </c>
      <c r="BZ56" s="23" t="e">
        <f t="shared" si="59"/>
        <v>#REF!</v>
      </c>
      <c r="CA56" s="23" t="e">
        <f t="shared" si="59"/>
        <v>#REF!</v>
      </c>
      <c r="CB56" s="23" t="e">
        <f t="shared" si="59"/>
        <v>#REF!</v>
      </c>
      <c r="CC56" s="23" t="e">
        <f t="shared" si="59"/>
        <v>#REF!</v>
      </c>
      <c r="CD56" s="23" t="e">
        <f t="shared" si="60"/>
        <v>#REF!</v>
      </c>
      <c r="CF56" s="23" t="e">
        <f t="shared" si="61"/>
        <v>#REF!</v>
      </c>
      <c r="CG56" s="23" t="e">
        <f t="shared" si="61"/>
        <v>#REF!</v>
      </c>
      <c r="CH56" s="23" t="e">
        <f t="shared" si="61"/>
        <v>#REF!</v>
      </c>
      <c r="CI56" s="23" t="e">
        <f t="shared" si="61"/>
        <v>#REF!</v>
      </c>
      <c r="CJ56" s="23" t="e">
        <f t="shared" si="61"/>
        <v>#REF!</v>
      </c>
      <c r="CM56" s="209">
        <f t="shared" si="67"/>
        <v>6.325722298262075E-2</v>
      </c>
      <c r="CN56" s="209" t="e">
        <f t="shared" si="62"/>
        <v>#REF!</v>
      </c>
      <c r="CO56" s="209" t="e">
        <f t="shared" si="63"/>
        <v>#REF!</v>
      </c>
      <c r="CP56" s="209" t="e">
        <f t="shared" si="64"/>
        <v>#REF!</v>
      </c>
      <c r="CQ56" s="209" t="e">
        <f t="shared" si="65"/>
        <v>#REF!</v>
      </c>
    </row>
    <row r="57" spans="1:95" x14ac:dyDescent="0.25">
      <c r="A57" s="22"/>
      <c r="B57" s="37"/>
      <c r="C57" s="38" t="s">
        <v>115</v>
      </c>
      <c r="D57" s="38" t="s">
        <v>116</v>
      </c>
      <c r="E57" s="33">
        <f>SUM(E50:E56)</f>
        <v>104194073.50962898</v>
      </c>
      <c r="F57" s="46" t="e">
        <f>SUMIFS(#REF!,#REF!,C57)</f>
        <v>#REF!</v>
      </c>
      <c r="H57" s="46" t="e">
        <f>SUMPRODUCT(H5:H46,E5:E46)/E57</f>
        <v>#REF!</v>
      </c>
      <c r="I57" s="46" t="e">
        <f t="shared" ref="I57" si="68">H57-$H$57</f>
        <v>#REF!</v>
      </c>
      <c r="J57" s="46" t="e">
        <f>$J$2+I57</f>
        <v>#REF!</v>
      </c>
      <c r="K57" s="33" t="e">
        <f>SUM(K50:K56)</f>
        <v>#REF!</v>
      </c>
      <c r="L57" s="33" t="e">
        <f>SUM(L50:L56)</f>
        <v>#REF!</v>
      </c>
      <c r="M57" s="46" t="e">
        <f>SUMIFS(#REF!,#REF!,C57)</f>
        <v>#REF!</v>
      </c>
      <c r="N57" s="33" t="e">
        <f t="shared" ref="N57:Q57" si="69">SUM(N50:N56)</f>
        <v>#REF!</v>
      </c>
      <c r="O57" s="46" t="e">
        <f>P57/L57</f>
        <v>#REF!</v>
      </c>
      <c r="P57" s="33" t="e">
        <f t="shared" si="69"/>
        <v>#REF!</v>
      </c>
      <c r="Q57" s="33" t="e">
        <f t="shared" si="69"/>
        <v>#REF!</v>
      </c>
      <c r="R57" s="33" t="e">
        <f t="shared" ref="R57:S57" si="70">SUM(R50:R56)</f>
        <v>#REF!</v>
      </c>
      <c r="S57" s="33" t="e">
        <f t="shared" si="70"/>
        <v>#REF!</v>
      </c>
      <c r="T57" s="33" t="e">
        <f t="shared" si="55"/>
        <v>#REF!</v>
      </c>
      <c r="U57" s="33"/>
      <c r="V57" s="33" t="e">
        <f t="shared" ref="V57:W57" si="71">SUM(V50:V56)</f>
        <v>#REF!</v>
      </c>
      <c r="W57" s="33" t="e">
        <f t="shared" si="71"/>
        <v>#REF!</v>
      </c>
      <c r="X57" s="46"/>
      <c r="Y57" s="46"/>
      <c r="Z57" s="46"/>
      <c r="AA57" s="46" t="e">
        <f t="shared" si="56"/>
        <v>#REF!</v>
      </c>
      <c r="AB57" s="33" t="e">
        <f t="shared" ref="AB57:AC57" si="72">SUM(AB50:AB56)</f>
        <v>#REF!</v>
      </c>
      <c r="AC57" s="33" t="e">
        <f t="shared" si="72"/>
        <v>#REF!</v>
      </c>
      <c r="AD57" s="67"/>
      <c r="AE57" s="33" t="e">
        <f t="shared" ref="AE57:AQ57" si="73">SUM(AE50:AE56)</f>
        <v>#REF!</v>
      </c>
      <c r="AF57" s="33" t="e">
        <f t="shared" si="73"/>
        <v>#REF!</v>
      </c>
      <c r="AG57" s="33" t="e">
        <f t="shared" si="73"/>
        <v>#REF!</v>
      </c>
      <c r="AH57" s="33" t="e">
        <f t="shared" si="73"/>
        <v>#REF!</v>
      </c>
      <c r="AI57" s="33" t="e">
        <f t="shared" si="73"/>
        <v>#REF!</v>
      </c>
      <c r="AJ57" s="33" t="e">
        <f t="shared" si="73"/>
        <v>#REF!</v>
      </c>
      <c r="AK57" s="33">
        <f t="shared" si="73"/>
        <v>0</v>
      </c>
      <c r="AL57" s="33" t="e">
        <f t="shared" si="73"/>
        <v>#REF!</v>
      </c>
      <c r="AN57" s="33" t="e">
        <f t="shared" si="73"/>
        <v>#REF!</v>
      </c>
      <c r="AO57" s="33" t="e">
        <f t="shared" si="73"/>
        <v>#REF!</v>
      </c>
      <c r="AQ57" s="33" t="e">
        <f t="shared" si="73"/>
        <v>#REF!</v>
      </c>
      <c r="AS57" s="46" t="e" cm="1">
        <f t="array" ref="AS57">SUMPRODUCT((AS$5:AS$46)*($L$5:$L$46))/SUMPRODUCT(($L$5:$L$46))</f>
        <v>#REF!</v>
      </c>
      <c r="AT57" s="33" t="e">
        <f t="shared" ref="AT57:AX57" si="74">SUM(AT50:AT56)</f>
        <v>#REF!</v>
      </c>
      <c r="AV57" s="33" t="e">
        <f t="shared" si="74"/>
        <v>#REF!</v>
      </c>
      <c r="AW57" s="33" t="e">
        <f t="shared" si="74"/>
        <v>#REF!</v>
      </c>
      <c r="AX57" s="33" t="e">
        <f t="shared" si="74"/>
        <v>#REF!</v>
      </c>
      <c r="AZ57" s="33" t="e">
        <f t="shared" ref="AZ57:BB57" si="75">SUM(AZ50:AZ56)</f>
        <v>#REF!</v>
      </c>
      <c r="BA57" s="33" t="e">
        <f t="shared" si="75"/>
        <v>#REF!</v>
      </c>
      <c r="BB57" s="33" t="e">
        <f t="shared" si="75"/>
        <v>#REF!</v>
      </c>
      <c r="BD57" s="33" t="e">
        <f t="shared" ref="BD57:BF57" si="76">SUM(BD50:BD56)</f>
        <v>#REF!</v>
      </c>
      <c r="BF57" s="33">
        <f t="shared" si="76"/>
        <v>-1580847.1394242826</v>
      </c>
      <c r="BH57" s="33" t="e">
        <f t="shared" ref="BH57:BL57" si="77">SUM(BH50:BH56)</f>
        <v>#REF!</v>
      </c>
      <c r="BI57" s="33" t="e">
        <f t="shared" si="77"/>
        <v>#REF!</v>
      </c>
      <c r="BJ57" s="33" t="e">
        <f t="shared" si="77"/>
        <v>#REF!</v>
      </c>
      <c r="BK57" s="33" t="e">
        <f t="shared" si="77"/>
        <v>#REF!</v>
      </c>
      <c r="BL57" s="33" t="e">
        <f t="shared" si="77"/>
        <v>#REF!</v>
      </c>
      <c r="BN57" s="33" t="e">
        <f t="shared" ref="BN57:BR57" si="78">SUM(BN50:BN56)</f>
        <v>#REF!</v>
      </c>
      <c r="BO57" s="33" t="e">
        <f t="shared" si="78"/>
        <v>#REF!</v>
      </c>
      <c r="BP57" s="33" t="e">
        <f t="shared" si="78"/>
        <v>#REF!</v>
      </c>
      <c r="BQ57" s="33" t="e">
        <f t="shared" si="78"/>
        <v>#REF!</v>
      </c>
      <c r="BR57" s="33" t="e">
        <f t="shared" si="78"/>
        <v>#REF!</v>
      </c>
      <c r="BT57" s="33" t="e">
        <f t="shared" ref="BT57:BX57" si="79">SUM(BT50:BT56)</f>
        <v>#REF!</v>
      </c>
      <c r="BU57" s="33" t="e">
        <f t="shared" si="79"/>
        <v>#REF!</v>
      </c>
      <c r="BV57" s="33" t="e">
        <f t="shared" si="79"/>
        <v>#REF!</v>
      </c>
      <c r="BW57" s="33" t="e">
        <f t="shared" si="79"/>
        <v>#REF!</v>
      </c>
      <c r="BX57" s="33" t="e">
        <f t="shared" si="79"/>
        <v>#REF!</v>
      </c>
      <c r="BZ57" s="33" t="e">
        <f t="shared" ref="BZ57:CD57" si="80">SUM(BZ50:BZ56)</f>
        <v>#REF!</v>
      </c>
      <c r="CA57" s="33" t="e">
        <f t="shared" si="80"/>
        <v>#REF!</v>
      </c>
      <c r="CB57" s="33" t="e">
        <f t="shared" si="80"/>
        <v>#REF!</v>
      </c>
      <c r="CC57" s="33" t="e">
        <f t="shared" si="80"/>
        <v>#REF!</v>
      </c>
      <c r="CD57" s="33" t="e">
        <f t="shared" si="80"/>
        <v>#REF!</v>
      </c>
      <c r="CF57" s="33" t="e">
        <f t="shared" ref="CF57:CJ57" si="81">SUM(CF50:CF56)</f>
        <v>#REF!</v>
      </c>
      <c r="CG57" s="33" t="e">
        <f t="shared" si="81"/>
        <v>#REF!</v>
      </c>
      <c r="CH57" s="33" t="e">
        <f t="shared" si="81"/>
        <v>#REF!</v>
      </c>
      <c r="CI57" s="33" t="e">
        <f t="shared" si="81"/>
        <v>#REF!</v>
      </c>
      <c r="CJ57" s="33" t="e">
        <f t="shared" si="81"/>
        <v>#REF!</v>
      </c>
    </row>
    <row r="59" spans="1:95" x14ac:dyDescent="0.25">
      <c r="D59" s="22" t="s">
        <v>252</v>
      </c>
      <c r="E59" s="58" t="e">
        <f>E57-#REF!</f>
        <v>#REF!</v>
      </c>
      <c r="L59" s="58" t="e">
        <f>L57-E57</f>
        <v>#REF!</v>
      </c>
      <c r="N59" s="60"/>
      <c r="O59" s="41" t="e">
        <f>O57-M57</f>
        <v>#REF!</v>
      </c>
      <c r="AB59" s="58" t="e">
        <f>AB57-#REF!</f>
        <v>#REF!</v>
      </c>
      <c r="AC59" s="33" t="e">
        <f>AC57-#REF!</f>
        <v>#REF!</v>
      </c>
      <c r="AE59" s="58" t="e">
        <f>AE57-#REF!</f>
        <v>#REF!</v>
      </c>
      <c r="AH59" s="58" t="e">
        <f>AH57-#REF!</f>
        <v>#REF!</v>
      </c>
      <c r="AI59" s="58"/>
      <c r="AJ59" s="58"/>
      <c r="AK59" s="58"/>
      <c r="AN59" s="58"/>
      <c r="AO59" s="58"/>
      <c r="AQ59" s="58"/>
      <c r="AT59" s="58"/>
      <c r="AV59" s="58"/>
      <c r="AW59" s="58"/>
      <c r="AX59" s="58"/>
      <c r="AZ59" s="58"/>
      <c r="BA59" s="58"/>
      <c r="BB59" s="58"/>
      <c r="BD59" s="58"/>
      <c r="BF59" s="58">
        <f>SUMIFS(BF$5:BF$46,BF$5:BF$46,"&lt;0")</f>
        <v>-1580847.1394242826</v>
      </c>
      <c r="BH59" s="58"/>
      <c r="BI59" s="58">
        <f>SUMIFS(BI$5:BI$46,BI$5:BI$46,"&lt;0")</f>
        <v>0</v>
      </c>
      <c r="BJ59" s="58"/>
      <c r="BK59" s="58"/>
      <c r="BL59" s="58"/>
      <c r="BN59" s="58"/>
      <c r="BO59" s="58">
        <f>SUMIFS(BO$5:BO$46,BO$5:BO$46,"&lt;0")</f>
        <v>0</v>
      </c>
      <c r="BP59" s="58"/>
      <c r="BQ59" s="58"/>
      <c r="BR59" s="58"/>
      <c r="BT59" s="58"/>
      <c r="BU59" s="58">
        <f>SUMIFS(BU$5:BU$46,BU$5:BU$46,"&lt;0")</f>
        <v>0</v>
      </c>
      <c r="BV59" s="58"/>
      <c r="BW59" s="58"/>
      <c r="BX59" s="58"/>
      <c r="BZ59" s="58"/>
      <c r="CA59" s="58">
        <f>SUMIFS(CA$5:CA$46,CA$5:CA$46,"&lt;0")</f>
        <v>0</v>
      </c>
      <c r="CB59" s="58"/>
      <c r="CC59" s="58"/>
      <c r="CD59" s="58"/>
      <c r="CF59" s="58"/>
      <c r="CG59" s="58">
        <f>SUMIFS(CG$5:CG$46,CG$5:CG$46,"&lt;0")</f>
        <v>0</v>
      </c>
      <c r="CH59" s="58"/>
      <c r="CI59" s="58"/>
      <c r="CJ59" s="58"/>
    </row>
    <row r="60" spans="1:95" x14ac:dyDescent="0.25">
      <c r="D60" s="22" t="s">
        <v>384</v>
      </c>
      <c r="H60" s="48"/>
      <c r="N60" s="60"/>
      <c r="O60" s="48" t="e">
        <f>Q57/O59*0.1%</f>
        <v>#REF!</v>
      </c>
      <c r="R60" s="58" t="e">
        <f>R57-#REF!</f>
        <v>#REF!</v>
      </c>
      <c r="S60" s="58"/>
      <c r="T60" s="58"/>
      <c r="BF60" s="58">
        <f>SUMIFS(BF$5:BF$46,BF$5:BF$46,"&gt;0")</f>
        <v>0</v>
      </c>
      <c r="BI60" s="58">
        <f>SUMIFS(BI$5:BI$46,BI$5:BI$46,"&gt;0")</f>
        <v>0</v>
      </c>
      <c r="BO60" s="58">
        <f>SUMIFS(BO$5:BO$46,BO$5:BO$46,"&gt;0")</f>
        <v>0</v>
      </c>
      <c r="BU60" s="58">
        <f>SUMIFS(BU$5:BU$46,BU$5:BU$46,"&gt;0")</f>
        <v>0</v>
      </c>
      <c r="CA60" s="58">
        <f>SUMIFS(CA$5:CA$46,CA$5:CA$46,"&gt;0")</f>
        <v>0</v>
      </c>
      <c r="CG60" s="58">
        <f>SUMIFS(CG$5:CG$46,CG$5:CG$46,"&gt;0")</f>
        <v>0</v>
      </c>
    </row>
    <row r="61" spans="1:95" x14ac:dyDescent="0.25">
      <c r="D61" s="22" t="s">
        <v>115</v>
      </c>
      <c r="H61" s="48"/>
      <c r="L61">
        <v>107818948.98651202</v>
      </c>
      <c r="N61" s="60"/>
      <c r="R61" s="58"/>
      <c r="S61" s="58"/>
      <c r="T61" s="58"/>
      <c r="AA61" s="41" t="s">
        <v>385</v>
      </c>
      <c r="AB61">
        <v>38.700000000000003</v>
      </c>
      <c r="AE61">
        <v>4.7</v>
      </c>
      <c r="BF61" s="58">
        <f>SUM(BF59:BF60)</f>
        <v>-1580847.1394242826</v>
      </c>
      <c r="BI61" s="58">
        <f>SUM(BI59:BI60)</f>
        <v>0</v>
      </c>
      <c r="BO61" s="58">
        <f>SUM(BO59:BO60)</f>
        <v>0</v>
      </c>
      <c r="BU61" s="58">
        <f>SUM(BU59:BU60)</f>
        <v>0</v>
      </c>
      <c r="CA61" s="58">
        <f>SUM(CA59:CA60)</f>
        <v>0</v>
      </c>
      <c r="CG61" s="58">
        <f>SUM(CG59:CG60)</f>
        <v>0</v>
      </c>
    </row>
    <row r="62" spans="1:95" x14ac:dyDescent="0.25">
      <c r="L62" s="58" t="e">
        <f>L57-L61</f>
        <v>#REF!</v>
      </c>
      <c r="N62" s="60"/>
      <c r="O62" s="80">
        <v>305</v>
      </c>
      <c r="R62" s="58">
        <v>106793243.06720334</v>
      </c>
      <c r="S62" s="58"/>
      <c r="T62" s="58"/>
      <c r="AA62" s="41" t="s">
        <v>386</v>
      </c>
      <c r="AB62">
        <v>16.899999999999999</v>
      </c>
      <c r="AE62">
        <v>2.1</v>
      </c>
    </row>
    <row r="63" spans="1:95" x14ac:dyDescent="0.25">
      <c r="D63" s="22" t="s">
        <v>252</v>
      </c>
      <c r="N63" s="60"/>
      <c r="O63" s="80">
        <v>50</v>
      </c>
      <c r="R63" s="58" t="e">
        <f>R57-R62</f>
        <v>#REF!</v>
      </c>
      <c r="S63" s="58"/>
      <c r="T63" s="58"/>
      <c r="AA63" s="41" t="s">
        <v>115</v>
      </c>
      <c r="AB63">
        <f>SUM(AB61:AB62)</f>
        <v>55.6</v>
      </c>
      <c r="AE63">
        <f>SUM(AE61:AE62)</f>
        <v>6.8000000000000007</v>
      </c>
      <c r="BF63">
        <f>COUNTIFS(BF$5:BF$46,"&lt;0")</f>
        <v>27</v>
      </c>
      <c r="BI63">
        <f>COUNTIFS(BI$5:BI$46,"&lt;0")</f>
        <v>0</v>
      </c>
      <c r="BO63">
        <f>COUNTIFS(BO$5:BO$46,"&lt;0")</f>
        <v>0</v>
      </c>
      <c r="BU63">
        <f>COUNTIFS(BU$5:BU$46,"&lt;0")</f>
        <v>0</v>
      </c>
      <c r="CA63">
        <f>COUNTIFS(CA$5:CA$46,"&lt;0")</f>
        <v>0</v>
      </c>
      <c r="CG63">
        <f>COUNTIFS(CG$5:CG$46,"&lt;0")</f>
        <v>0</v>
      </c>
    </row>
    <row r="64" spans="1:95" x14ac:dyDescent="0.25">
      <c r="D64" s="22" t="s">
        <v>257</v>
      </c>
      <c r="N64" s="60"/>
      <c r="O64" s="80">
        <v>150</v>
      </c>
      <c r="AA64" s="41" t="s">
        <v>387</v>
      </c>
      <c r="AB64" s="41" t="e">
        <f>(AB59/1000)/AB63-1</f>
        <v>#REF!</v>
      </c>
      <c r="AE64" s="41" t="e">
        <f>(AE59/1000)/AE63-1</f>
        <v>#REF!</v>
      </c>
      <c r="BF64">
        <f>COUNTIFS(BF$5:BF$46,0)</f>
        <v>15</v>
      </c>
      <c r="BI64">
        <f>COUNTIFS(BI$5:BI$46,0)</f>
        <v>0</v>
      </c>
      <c r="BO64">
        <f>COUNTIFS(BO$5:BO$46,0)</f>
        <v>0</v>
      </c>
      <c r="BU64">
        <f>COUNTIFS(BU$5:BU$46,0)</f>
        <v>0</v>
      </c>
      <c r="CA64">
        <f>COUNTIFS(CA$5:CA$46,0)</f>
        <v>0</v>
      </c>
      <c r="CG64">
        <f>COUNTIFS(CG$5:CG$46,0)</f>
        <v>0</v>
      </c>
    </row>
    <row r="65" spans="4:85" x14ac:dyDescent="0.25">
      <c r="D65" s="22" t="s">
        <v>384</v>
      </c>
      <c r="N65" s="60"/>
      <c r="O65" s="81">
        <f>SUM(O62:O64)</f>
        <v>505</v>
      </c>
      <c r="AE65" t="s">
        <v>388</v>
      </c>
      <c r="BF65">
        <f>COUNTIFS(BF$5:BF$46,"&gt;0")</f>
        <v>0</v>
      </c>
      <c r="BI65">
        <f>COUNTIFS(BI$5:BI$46,"&gt;0")</f>
        <v>0</v>
      </c>
      <c r="BO65">
        <f>COUNTIFS(BO$5:BO$46,"&gt;0")</f>
        <v>0</v>
      </c>
      <c r="BU65">
        <f>COUNTIFS(BU$5:BU$46,"&gt;0")</f>
        <v>0</v>
      </c>
      <c r="CA65">
        <f>COUNTIFS(CA$5:CA$46,"&gt;0")</f>
        <v>0</v>
      </c>
      <c r="CG65">
        <f>COUNTIFS(CG$5:CG$46,"&gt;0")</f>
        <v>0</v>
      </c>
    </row>
    <row r="66" spans="4:85" x14ac:dyDescent="0.25">
      <c r="N66" s="60"/>
    </row>
    <row r="67" spans="4:85" x14ac:dyDescent="0.25">
      <c r="AC67" s="58"/>
      <c r="AE67">
        <f>300/(1+1.8%)*2.3%</f>
        <v>6.7779960707269149</v>
      </c>
    </row>
    <row r="68" spans="4:85" x14ac:dyDescent="0.25">
      <c r="AE68">
        <f>500/(1+1.8%)*2.3%</f>
        <v>11.296660117878192</v>
      </c>
    </row>
    <row r="69" spans="4:85" x14ac:dyDescent="0.25">
      <c r="AE69">
        <f>AE68/AE67-1</f>
        <v>0.66666666666666674</v>
      </c>
    </row>
    <row r="72" spans="4:85" x14ac:dyDescent="0.25">
      <c r="AE72" t="e">
        <f>AE59/1000-AE63</f>
        <v>#REF!</v>
      </c>
    </row>
  </sheetData>
  <conditionalFormatting sqref="CM5:CM46">
    <cfRule type="colorScale" priority="2">
      <colorScale>
        <cfvo type="min"/>
        <cfvo type="percentile" val="50"/>
        <cfvo type="max"/>
        <color rgb="FF63BE7B"/>
        <color rgb="FFFFEB84"/>
        <color rgb="FFF8696B"/>
      </colorScale>
    </cfRule>
  </conditionalFormatting>
  <conditionalFormatting sqref="CM50:CM56">
    <cfRule type="colorScale" priority="3">
      <colorScale>
        <cfvo type="min"/>
        <cfvo type="percentile" val="50"/>
        <cfvo type="max"/>
        <color rgb="FF63BE7B"/>
        <color rgb="FFFFEB84"/>
        <color rgb="FFF8696B"/>
      </colorScale>
    </cfRule>
  </conditionalFormatting>
  <conditionalFormatting sqref="CN5:CQ46">
    <cfRule type="colorScale" priority="1">
      <colorScale>
        <cfvo type="min"/>
        <cfvo type="percentile" val="50"/>
        <cfvo type="max"/>
        <color rgb="FFF8696B"/>
        <color rgb="FFFFEB84"/>
        <color rgb="FF63BE7B"/>
      </colorScale>
    </cfRule>
  </conditionalFormatting>
  <conditionalFormatting sqref="CN50:CQ56">
    <cfRule type="colorScale" priority="4">
      <colorScale>
        <cfvo type="min"/>
        <cfvo type="percentile" val="50"/>
        <cfvo type="max"/>
        <color rgb="FFF8696B"/>
        <color rgb="FFFFEB84"/>
        <color rgb="FF63BE7B"/>
      </colorScale>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2C6FA-5A7D-4A4C-B435-F786CEFAD012}">
  <sheetPr codeName="Sheet39"/>
  <dimension ref="A1:AM60"/>
  <sheetViews>
    <sheetView topLeftCell="P1" workbookViewId="0">
      <selection activeCell="J5" sqref="J4:BB61"/>
    </sheetView>
  </sheetViews>
  <sheetFormatPr defaultRowHeight="15" x14ac:dyDescent="0.25"/>
  <cols>
    <col min="1" max="1" width="4.7109375" customWidth="1"/>
    <col min="2" max="2" width="6.5703125" bestFit="1" customWidth="1"/>
    <col min="3" max="3" width="22.28515625" bestFit="1" customWidth="1"/>
    <col min="4" max="4" width="8.42578125" bestFit="1" customWidth="1"/>
    <col min="5" max="5" width="55.5703125" bestFit="1" customWidth="1"/>
    <col min="6" max="6" width="13.28515625" customWidth="1"/>
    <col min="7" max="10" width="11.7109375" customWidth="1"/>
    <col min="11" max="11" width="3.7109375" customWidth="1"/>
    <col min="12" max="21" width="11.7109375" customWidth="1"/>
    <col min="23" max="23" width="11.7109375" style="241" customWidth="1"/>
    <col min="24" max="24" width="11.7109375" customWidth="1"/>
    <col min="26" max="27" width="11.7109375" style="241" customWidth="1"/>
    <col min="30" max="30" width="11.28515625" bestFit="1" customWidth="1"/>
    <col min="31" max="31" width="11.28515625" customWidth="1"/>
    <col min="32" max="32" width="10.5703125" customWidth="1"/>
    <col min="34" max="36" width="13.28515625" customWidth="1"/>
    <col min="37" max="37" width="9.28515625" bestFit="1" customWidth="1"/>
    <col min="39" max="39" width="9.28515625" bestFit="1" customWidth="1"/>
  </cols>
  <sheetData>
    <row r="1" spans="1:39" ht="25.5" x14ac:dyDescent="0.35">
      <c r="A1" s="39" t="s">
        <v>310</v>
      </c>
      <c r="B1" s="39"/>
      <c r="C1" s="39"/>
      <c r="D1" s="39"/>
      <c r="E1" s="39"/>
      <c r="U1" s="243" t="s">
        <v>311</v>
      </c>
    </row>
    <row r="2" spans="1:39" x14ac:dyDescent="0.25">
      <c r="A2" s="4"/>
      <c r="B2" s="4"/>
      <c r="C2" s="4"/>
      <c r="D2" s="4"/>
      <c r="E2" s="4"/>
      <c r="Z2" s="241">
        <f>'Op 2 - Acute'!E12</f>
        <v>5.1792224977327828E-3</v>
      </c>
      <c r="AA2" s="241" t="str">
        <f>'Op 1 - Convergence'!C7</f>
        <v>On</v>
      </c>
      <c r="AD2" t="str">
        <f>'Op 1 - Convergence'!C8</f>
        <v>On</v>
      </c>
      <c r="AE2" t="str">
        <f>'Op 1 - Convergence'!D12</f>
        <v>Not in floor</v>
      </c>
    </row>
    <row r="3" spans="1:39" ht="102" x14ac:dyDescent="0.25">
      <c r="A3" s="5" t="s">
        <v>114</v>
      </c>
      <c r="B3" s="5" t="s">
        <v>13</v>
      </c>
      <c r="C3" s="5" t="s">
        <v>14</v>
      </c>
      <c r="D3" s="5" t="s">
        <v>15</v>
      </c>
      <c r="E3" s="5" t="s">
        <v>16</v>
      </c>
      <c r="F3" s="8" t="s">
        <v>312</v>
      </c>
      <c r="G3" s="8" t="s">
        <v>313</v>
      </c>
      <c r="H3" s="8" t="s">
        <v>314</v>
      </c>
      <c r="I3" s="8" t="s">
        <v>315</v>
      </c>
      <c r="J3" s="8" t="s">
        <v>316</v>
      </c>
      <c r="K3" s="40" t="s">
        <v>147</v>
      </c>
      <c r="L3" s="8" t="s">
        <v>317</v>
      </c>
      <c r="M3" s="8" t="s">
        <v>318</v>
      </c>
      <c r="N3" s="8" t="s">
        <v>319</v>
      </c>
      <c r="O3" s="8" t="s">
        <v>320</v>
      </c>
      <c r="P3" s="8" t="s">
        <v>321</v>
      </c>
      <c r="Q3" s="8" t="s">
        <v>322</v>
      </c>
      <c r="R3" s="8" t="s">
        <v>323</v>
      </c>
      <c r="S3" s="8" t="s">
        <v>324</v>
      </c>
      <c r="T3" s="8" t="s">
        <v>325</v>
      </c>
      <c r="U3" s="8" t="s">
        <v>326</v>
      </c>
      <c r="W3" s="261" t="s">
        <v>327</v>
      </c>
      <c r="X3" s="8" t="s">
        <v>328</v>
      </c>
      <c r="Z3" s="261" t="s">
        <v>1</v>
      </c>
      <c r="AA3" s="261" t="s">
        <v>2</v>
      </c>
      <c r="AD3" t="s">
        <v>329</v>
      </c>
      <c r="AE3" t="s">
        <v>330</v>
      </c>
      <c r="AH3" t="s">
        <v>1</v>
      </c>
      <c r="AJ3" t="s">
        <v>1</v>
      </c>
      <c r="AK3" t="s">
        <v>2</v>
      </c>
    </row>
    <row r="4" spans="1:39" x14ac:dyDescent="0.25">
      <c r="A4" s="244">
        <v>1</v>
      </c>
      <c r="B4" s="10" t="s">
        <v>17</v>
      </c>
      <c r="C4" s="4" t="s">
        <v>18</v>
      </c>
      <c r="D4" s="4" t="s">
        <v>19</v>
      </c>
      <c r="E4" s="4" t="s">
        <v>20</v>
      </c>
      <c r="F4" s="245">
        <v>340469.92096067203</v>
      </c>
      <c r="G4" s="245">
        <v>178003.15861086579</v>
      </c>
      <c r="H4" s="245">
        <v>518473.07957153779</v>
      </c>
      <c r="I4" s="245">
        <v>556632.7577288131</v>
      </c>
      <c r="J4" s="75">
        <v>-6.855449598937613E-2</v>
      </c>
      <c r="K4" s="245"/>
      <c r="L4" s="75">
        <v>4.5842130413503934E-2</v>
      </c>
      <c r="M4" s="54">
        <v>1.0126218019110228E-3</v>
      </c>
      <c r="N4" s="245">
        <v>542790</v>
      </c>
      <c r="O4" s="245">
        <v>304.72077466709004</v>
      </c>
      <c r="P4" s="75">
        <v>-6.7611423054502073E-2</v>
      </c>
      <c r="Q4" s="75">
        <v>4.6901028012018564E-2</v>
      </c>
      <c r="R4" s="245">
        <v>193952.60961174962</v>
      </c>
      <c r="S4" s="245">
        <v>348837.39038825041</v>
      </c>
      <c r="T4" s="245">
        <v>195.83632681507353</v>
      </c>
      <c r="U4" s="75">
        <v>2.4576236878631308E-2</v>
      </c>
      <c r="V4" s="41"/>
      <c r="W4" s="54">
        <v>-7.6E-3</v>
      </c>
      <c r="X4" s="245">
        <f>H4*(1+L4)*(1+W4)</f>
        <v>538119.95857637841</v>
      </c>
      <c r="Z4" s="54">
        <f>L4+$Z$2</f>
        <v>5.1021352911236717E-2</v>
      </c>
      <c r="AA4" s="54">
        <f>IF($AA$2="ON",M4,W4)</f>
        <v>1.0126218019110228E-3</v>
      </c>
      <c r="AC4" s="69">
        <f>H4*(1+Z4)*(1+AA4)</f>
        <v>545478.08176840341</v>
      </c>
      <c r="AD4" s="223">
        <f>IF($AA$2="On",N4-H4*(1+L4)*(1+M4),0)</f>
        <v>-7.5149613432586193E-2</v>
      </c>
      <c r="AE4" s="223">
        <f>IF($AE$2="In floor",0,IF(AD4&lt;-1,-AH4,0))</f>
        <v>0</v>
      </c>
      <c r="AF4" s="69">
        <f>IF($AD$2="On",SUM(AC4:AE4),AC4)</f>
        <v>545478.00661878998</v>
      </c>
      <c r="AG4" s="69"/>
      <c r="AH4" s="223">
        <f>H4*(Z4-L4)*(1+AA4)</f>
        <v>2688.0066187900125</v>
      </c>
      <c r="AI4" s="223"/>
      <c r="AJ4" s="223">
        <f>AH4+AE4</f>
        <v>2688.0066187900125</v>
      </c>
      <c r="AK4" s="223">
        <f>H4*(1+Z4)*(AA4-W4)</f>
        <v>4693.2439383694755</v>
      </c>
      <c r="AM4" s="48">
        <f t="shared" ref="AM4:AM45" si="0">IF(U4=1.8%,S4*0.2%,0)</f>
        <v>0</v>
      </c>
    </row>
    <row r="5" spans="1:39" x14ac:dyDescent="0.25">
      <c r="A5" s="244">
        <v>2</v>
      </c>
      <c r="B5" s="13" t="s">
        <v>17</v>
      </c>
      <c r="C5" s="14" t="s">
        <v>18</v>
      </c>
      <c r="D5" s="4" t="s">
        <v>21</v>
      </c>
      <c r="E5" s="4" t="s">
        <v>22</v>
      </c>
      <c r="F5" s="245">
        <v>632219.03070435999</v>
      </c>
      <c r="G5" s="245">
        <v>312707.64401268255</v>
      </c>
      <c r="H5" s="245">
        <v>944926.6747170426</v>
      </c>
      <c r="I5" s="245">
        <v>1010955.6111500415</v>
      </c>
      <c r="J5" s="75">
        <v>-6.5313388347373436E-2</v>
      </c>
      <c r="K5" s="245"/>
      <c r="L5" s="75">
        <v>4.4782653050400079E-2</v>
      </c>
      <c r="M5" s="54">
        <v>9.6474724294495317E-4</v>
      </c>
      <c r="N5" s="245">
        <v>988195</v>
      </c>
      <c r="O5" s="245">
        <v>312.62557331175805</v>
      </c>
      <c r="P5" s="75">
        <v>-6.4412066802323031E-2</v>
      </c>
      <c r="Q5" s="75">
        <v>4.5790140590447503E-2</v>
      </c>
      <c r="R5" s="245">
        <v>340365.34332371672</v>
      </c>
      <c r="S5" s="245">
        <v>647829.65667628322</v>
      </c>
      <c r="T5" s="245">
        <v>204.94752333980887</v>
      </c>
      <c r="U5" s="75">
        <v>2.4691800173321843E-2</v>
      </c>
      <c r="W5" s="54">
        <v>-7.6E-3</v>
      </c>
      <c r="X5" s="245">
        <f t="shared" ref="X5:X45" si="1">H5*(1+L5)*(1+W5)</f>
        <v>979739.95136303199</v>
      </c>
      <c r="Z5" s="54">
        <f t="shared" ref="Z5:Z45" si="2">L5+$Z$2</f>
        <v>4.9961875548132861E-2</v>
      </c>
      <c r="AA5" s="54">
        <f t="shared" ref="AA5:AA45" si="3">IF($AA$2="ON",M5,W5)</f>
        <v>9.6474724294495317E-4</v>
      </c>
      <c r="AC5" s="69">
        <f t="shared" ref="AC5:AC45" si="4">H5*(1+Z5)*(1+AA5)</f>
        <v>993094.14506095834</v>
      </c>
      <c r="AD5" s="223">
        <f t="shared" ref="AD5:AD45" si="5">IF($AA$2="On",N5-H5*(1+L5)*(1+M5),0)</f>
        <v>-0.4381095451535657</v>
      </c>
      <c r="AE5" s="223">
        <f t="shared" ref="AE5:AE45" si="6">IF($AE$2="In floor",0,IF(AD5&lt;-1,-AH5,0))</f>
        <v>0</v>
      </c>
      <c r="AF5" s="69">
        <f t="shared" ref="AF5:AF45" si="7">IF($AD$2="On",SUM(AC5:AE5),AC5)</f>
        <v>993093.70695141319</v>
      </c>
      <c r="AG5" s="69"/>
      <c r="AH5" s="223">
        <f t="shared" ref="AH5:AH45" si="8">H5*(Z5-L5)*(1+AA5)</f>
        <v>4898.7069514131417</v>
      </c>
      <c r="AI5" s="223"/>
      <c r="AJ5" s="223">
        <f t="shared" ref="AJ5:AJ45" si="9">AH5+AE5</f>
        <v>4898.7069514131417</v>
      </c>
      <c r="AK5" s="223">
        <f t="shared" ref="AK5:AK45" si="10">H5*(1+Z5)*(AA5-W5)</f>
        <v>8497.4024952661166</v>
      </c>
      <c r="AM5" s="48">
        <f t="shared" si="0"/>
        <v>0</v>
      </c>
    </row>
    <row r="6" spans="1:39" x14ac:dyDescent="0.25">
      <c r="A6" s="244">
        <v>3</v>
      </c>
      <c r="B6" s="13" t="s">
        <v>17</v>
      </c>
      <c r="C6" s="14" t="s">
        <v>18</v>
      </c>
      <c r="D6" s="4" t="s">
        <v>23</v>
      </c>
      <c r="E6" s="4" t="s">
        <v>24</v>
      </c>
      <c r="F6" s="245">
        <v>338550.89971950202</v>
      </c>
      <c r="G6" s="245">
        <v>146295.6365761818</v>
      </c>
      <c r="H6" s="245">
        <v>484846.53629568382</v>
      </c>
      <c r="I6" s="245">
        <v>461725.4418771104</v>
      </c>
      <c r="J6" s="75">
        <v>5.0075417816649592E-2</v>
      </c>
      <c r="K6" s="245"/>
      <c r="L6" s="75">
        <v>4.6016763433807784E-2</v>
      </c>
      <c r="M6" s="54">
        <v>-7.7999999999999996E-3</v>
      </c>
      <c r="N6" s="245">
        <v>502671.97274236067</v>
      </c>
      <c r="O6" s="245">
        <v>336.83494002106016</v>
      </c>
      <c r="P6" s="75">
        <v>4.0787867428303093E-2</v>
      </c>
      <c r="Q6" s="75">
        <v>3.6765110426211223E-2</v>
      </c>
      <c r="R6" s="245">
        <v>158027.15682790763</v>
      </c>
      <c r="S6" s="245">
        <v>344644.81591445307</v>
      </c>
      <c r="T6" s="245">
        <v>230.69943262768058</v>
      </c>
      <c r="U6" s="75">
        <v>1.8000000000000016E-2</v>
      </c>
      <c r="W6" s="54">
        <v>-8.6999999999999994E-3</v>
      </c>
      <c r="X6" s="245">
        <f t="shared" si="1"/>
        <v>502745.33349757793</v>
      </c>
      <c r="Z6" s="54">
        <f t="shared" si="2"/>
        <v>5.1195985931540566E-2</v>
      </c>
      <c r="AA6" s="54">
        <f t="shared" si="3"/>
        <v>-7.7999999999999996E-3</v>
      </c>
      <c r="AC6" s="69">
        <f t="shared" si="4"/>
        <v>505693.31663140852</v>
      </c>
      <c r="AD6" s="223">
        <f t="shared" si="5"/>
        <v>-529.80259940953692</v>
      </c>
      <c r="AE6" s="223">
        <f t="shared" si="6"/>
        <v>-2491.5412896383223</v>
      </c>
      <c r="AF6" s="69">
        <f t="shared" si="7"/>
        <v>502671.97274236067</v>
      </c>
      <c r="AG6" s="69"/>
      <c r="AH6" s="223">
        <f t="shared" si="8"/>
        <v>2491.5412896383223</v>
      </c>
      <c r="AI6" s="223"/>
      <c r="AJ6" s="223">
        <f t="shared" si="9"/>
        <v>0</v>
      </c>
      <c r="AK6" s="223">
        <f t="shared" si="10"/>
        <v>458.70185947215032</v>
      </c>
      <c r="AM6" s="48">
        <f t="shared" si="0"/>
        <v>689.28963182890618</v>
      </c>
    </row>
    <row r="7" spans="1:39" x14ac:dyDescent="0.25">
      <c r="A7" s="246">
        <v>4</v>
      </c>
      <c r="B7" s="15" t="s">
        <v>17</v>
      </c>
      <c r="C7" s="16" t="s">
        <v>18</v>
      </c>
      <c r="D7" s="17" t="s">
        <v>25</v>
      </c>
      <c r="E7" s="17" t="s">
        <v>26</v>
      </c>
      <c r="F7" s="247">
        <v>483559.027201947</v>
      </c>
      <c r="G7" s="247">
        <v>213473.28510783444</v>
      </c>
      <c r="H7" s="247">
        <v>697032.31230978144</v>
      </c>
      <c r="I7" s="247">
        <v>772062.39396838204</v>
      </c>
      <c r="J7" s="78">
        <v>-9.7181370631132302E-2</v>
      </c>
      <c r="K7" s="247"/>
      <c r="L7" s="78">
        <v>4.5494016106689239E-2</v>
      </c>
      <c r="M7" s="248">
        <v>1.4354707626459721E-3</v>
      </c>
      <c r="N7" s="247">
        <v>729789</v>
      </c>
      <c r="O7" s="247">
        <v>276.65075551954271</v>
      </c>
      <c r="P7" s="78">
        <v>-9.5885649876689016E-2</v>
      </c>
      <c r="Q7" s="78">
        <v>4.6994503858324155E-2</v>
      </c>
      <c r="R7" s="247">
        <v>232621.70127573685</v>
      </c>
      <c r="S7" s="247">
        <v>497167.29872426309</v>
      </c>
      <c r="T7" s="247">
        <v>188.46777467415589</v>
      </c>
      <c r="U7" s="78">
        <v>2.8141903587362682E-2</v>
      </c>
      <c r="W7" s="248">
        <v>-7.6E-3</v>
      </c>
      <c r="X7" s="247">
        <f t="shared" si="1"/>
        <v>723204.66390508355</v>
      </c>
      <c r="Z7" s="248">
        <f t="shared" si="2"/>
        <v>5.0673238604422022E-2</v>
      </c>
      <c r="AA7" s="248">
        <f t="shared" si="3"/>
        <v>1.4354707626459721E-3</v>
      </c>
      <c r="AC7" s="69">
        <f t="shared" si="4"/>
        <v>733404.46858865139</v>
      </c>
      <c r="AD7" s="223">
        <f t="shared" si="5"/>
        <v>-0.20098299940582365</v>
      </c>
      <c r="AE7" s="223">
        <f t="shared" si="6"/>
        <v>0</v>
      </c>
      <c r="AF7" s="69">
        <f t="shared" si="7"/>
        <v>733404.26760565198</v>
      </c>
      <c r="AG7" s="69"/>
      <c r="AH7" s="223">
        <f t="shared" si="8"/>
        <v>3615.267605652055</v>
      </c>
      <c r="AI7" s="223"/>
      <c r="AJ7" s="223">
        <f t="shared" si="9"/>
        <v>3615.267605652055</v>
      </c>
      <c r="AK7" s="223">
        <f t="shared" si="10"/>
        <v>6617.1558993013487</v>
      </c>
      <c r="AM7" s="48">
        <f t="shared" si="0"/>
        <v>0</v>
      </c>
    </row>
    <row r="8" spans="1:39" x14ac:dyDescent="0.25">
      <c r="A8" s="244">
        <v>5</v>
      </c>
      <c r="B8" s="10" t="s">
        <v>27</v>
      </c>
      <c r="C8" s="4" t="s">
        <v>28</v>
      </c>
      <c r="D8" s="4" t="s">
        <v>29</v>
      </c>
      <c r="E8" s="4" t="s">
        <v>30</v>
      </c>
      <c r="F8" s="245">
        <v>656461.58820716804</v>
      </c>
      <c r="G8" s="245">
        <v>285285.46328207728</v>
      </c>
      <c r="H8" s="245">
        <v>941747.05148924538</v>
      </c>
      <c r="I8" s="245">
        <v>887624.7498719322</v>
      </c>
      <c r="J8" s="75">
        <v>6.0974304316234962E-2</v>
      </c>
      <c r="K8" s="245"/>
      <c r="L8" s="75">
        <v>4.6486278485531107E-2</v>
      </c>
      <c r="M8" s="54">
        <v>-7.7999999999999996E-3</v>
      </c>
      <c r="N8" s="245">
        <v>976578.64335209492</v>
      </c>
      <c r="O8" s="245">
        <v>357.07030091764886</v>
      </c>
      <c r="P8" s="75">
        <v>5.1342645494017125E-2</v>
      </c>
      <c r="Q8" s="75">
        <v>3.6986143792824278E-2</v>
      </c>
      <c r="R8" s="245">
        <v>308300.74655719788</v>
      </c>
      <c r="S8" s="245">
        <v>668277.89679489704</v>
      </c>
      <c r="T8" s="245">
        <v>244.0303912357337</v>
      </c>
      <c r="U8" s="75">
        <v>1.8000000000000016E-2</v>
      </c>
      <c r="W8" s="54">
        <v>-8.6999999999999994E-3</v>
      </c>
      <c r="X8" s="245">
        <f t="shared" si="1"/>
        <v>976951.29649316915</v>
      </c>
      <c r="Z8" s="54">
        <f t="shared" si="2"/>
        <v>5.166550098326389E-2</v>
      </c>
      <c r="AA8" s="54">
        <f t="shared" si="3"/>
        <v>-7.7999999999999996E-3</v>
      </c>
      <c r="AC8" s="69">
        <f t="shared" si="4"/>
        <v>982677.74220325798</v>
      </c>
      <c r="AD8" s="223">
        <f t="shared" si="5"/>
        <v>-1259.625971543137</v>
      </c>
      <c r="AE8" s="223">
        <f t="shared" si="6"/>
        <v>-4839.4728796198897</v>
      </c>
      <c r="AF8" s="69">
        <f t="shared" si="7"/>
        <v>976578.64335209492</v>
      </c>
      <c r="AG8" s="69"/>
      <c r="AH8" s="223">
        <f t="shared" si="8"/>
        <v>4839.4728796198897</v>
      </c>
      <c r="AI8" s="223"/>
      <c r="AJ8" s="223">
        <f t="shared" si="9"/>
        <v>0</v>
      </c>
      <c r="AK8" s="223">
        <f t="shared" si="10"/>
        <v>891.36259623355375</v>
      </c>
      <c r="AM8" s="48">
        <f t="shared" si="0"/>
        <v>1336.5557935897941</v>
      </c>
    </row>
    <row r="9" spans="1:39" x14ac:dyDescent="0.25">
      <c r="A9" s="244">
        <v>6</v>
      </c>
      <c r="B9" s="13" t="s">
        <v>27</v>
      </c>
      <c r="C9" s="14" t="s">
        <v>28</v>
      </c>
      <c r="D9" s="4" t="s">
        <v>31</v>
      </c>
      <c r="E9" s="4" t="s">
        <v>8</v>
      </c>
      <c r="F9" s="245">
        <v>833679.61241630698</v>
      </c>
      <c r="G9" s="245">
        <v>283212.33324573527</v>
      </c>
      <c r="H9" s="245">
        <v>1116891.9456620421</v>
      </c>
      <c r="I9" s="245">
        <v>1026930.2315623323</v>
      </c>
      <c r="J9" s="75">
        <v>8.7602556955447275E-2</v>
      </c>
      <c r="K9" s="245"/>
      <c r="L9" s="75">
        <v>4.5696442536330872E-2</v>
      </c>
      <c r="M9" s="54">
        <v>-7.7999999999999996E-3</v>
      </c>
      <c r="N9" s="245">
        <v>1154515.2768018316</v>
      </c>
      <c r="O9" s="245">
        <v>363.62264290971615</v>
      </c>
      <c r="P9" s="75">
        <v>7.511052696143028E-2</v>
      </c>
      <c r="Q9" s="75">
        <v>3.3685739507672841E-2</v>
      </c>
      <c r="R9" s="245">
        <v>305829.43136203103</v>
      </c>
      <c r="S9" s="245">
        <v>848685.84543980053</v>
      </c>
      <c r="T9" s="245">
        <v>266.30657920892554</v>
      </c>
      <c r="U9" s="75">
        <v>1.8000000000000016E-2</v>
      </c>
      <c r="W9" s="54">
        <v>-8.6999999999999994E-3</v>
      </c>
      <c r="X9" s="245">
        <f t="shared" si="1"/>
        <v>1157768.9438480746</v>
      </c>
      <c r="Z9" s="54">
        <f t="shared" si="2"/>
        <v>5.0875665034063655E-2</v>
      </c>
      <c r="AA9" s="54">
        <f t="shared" si="3"/>
        <v>-7.7999999999999996E-3</v>
      </c>
      <c r="AC9" s="69">
        <f t="shared" si="4"/>
        <v>1164559.592552671</v>
      </c>
      <c r="AD9" s="223">
        <f t="shared" si="5"/>
        <v>-4304.8039870918728</v>
      </c>
      <c r="AE9" s="223">
        <f t="shared" si="6"/>
        <v>-5739.5117637478161</v>
      </c>
      <c r="AF9" s="69">
        <f t="shared" si="7"/>
        <v>1154515.2768018313</v>
      </c>
      <c r="AG9" s="69"/>
      <c r="AH9" s="223">
        <f t="shared" si="8"/>
        <v>5739.5117637478161</v>
      </c>
      <c r="AI9" s="223"/>
      <c r="AJ9" s="223">
        <f t="shared" si="9"/>
        <v>0</v>
      </c>
      <c r="AK9" s="223">
        <f t="shared" si="10"/>
        <v>1056.3431095519086</v>
      </c>
      <c r="AM9" s="48">
        <f t="shared" si="0"/>
        <v>1697.3716908796011</v>
      </c>
    </row>
    <row r="10" spans="1:39" x14ac:dyDescent="0.25">
      <c r="A10" s="246">
        <v>7</v>
      </c>
      <c r="B10" s="15" t="s">
        <v>27</v>
      </c>
      <c r="C10" s="16" t="s">
        <v>28</v>
      </c>
      <c r="D10" s="17" t="s">
        <v>32</v>
      </c>
      <c r="E10" s="17" t="s">
        <v>33</v>
      </c>
      <c r="F10" s="247">
        <v>423281.82473633997</v>
      </c>
      <c r="G10" s="247">
        <v>178553.38736999765</v>
      </c>
      <c r="H10" s="247">
        <v>601835.21210633765</v>
      </c>
      <c r="I10" s="247">
        <v>633029.47029281431</v>
      </c>
      <c r="J10" s="78">
        <v>-4.927773452955897E-2</v>
      </c>
      <c r="K10" s="247"/>
      <c r="L10" s="78">
        <v>4.5527869843340119E-2</v>
      </c>
      <c r="M10" s="248">
        <v>7.2788381875271268E-4</v>
      </c>
      <c r="N10" s="247">
        <v>629693</v>
      </c>
      <c r="O10" s="247">
        <v>345.04296807400209</v>
      </c>
      <c r="P10" s="78">
        <v>-4.8586471068344683E-2</v>
      </c>
      <c r="Q10" s="78">
        <v>4.6288065791571187E-2</v>
      </c>
      <c r="R10" s="247">
        <v>194438.22941714883</v>
      </c>
      <c r="S10" s="247">
        <v>435254.7705828512</v>
      </c>
      <c r="T10" s="247">
        <v>238.49971003373997</v>
      </c>
      <c r="U10" s="78">
        <v>2.8285990909175274E-2</v>
      </c>
      <c r="W10" s="248">
        <v>-7.6E-3</v>
      </c>
      <c r="X10" s="247">
        <f t="shared" si="1"/>
        <v>624453.29760669603</v>
      </c>
      <c r="Z10" s="248">
        <f t="shared" si="2"/>
        <v>5.0707092341072901E-2</v>
      </c>
      <c r="AA10" s="248">
        <f t="shared" si="3"/>
        <v>7.2788381875271268E-4</v>
      </c>
      <c r="AC10" s="69">
        <f t="shared" si="4"/>
        <v>632812.80495198607</v>
      </c>
      <c r="AD10" s="223">
        <f t="shared" si="5"/>
        <v>-0.49763965210877359</v>
      </c>
      <c r="AE10" s="223">
        <f t="shared" si="6"/>
        <v>0</v>
      </c>
      <c r="AF10" s="69">
        <f t="shared" si="7"/>
        <v>632812.30731233396</v>
      </c>
      <c r="AG10" s="69"/>
      <c r="AH10" s="223">
        <f t="shared" si="8"/>
        <v>3119.3073123340096</v>
      </c>
      <c r="AI10" s="223"/>
      <c r="AJ10" s="223">
        <f t="shared" si="9"/>
        <v>3119.3073123340096</v>
      </c>
      <c r="AK10" s="223">
        <f t="shared" si="10"/>
        <v>5266.1583671966891</v>
      </c>
      <c r="AM10" s="48">
        <f t="shared" si="0"/>
        <v>0</v>
      </c>
    </row>
    <row r="11" spans="1:39" x14ac:dyDescent="0.25">
      <c r="A11" s="244">
        <v>8</v>
      </c>
      <c r="B11" s="10" t="s">
        <v>34</v>
      </c>
      <c r="C11" s="4" t="s">
        <v>35</v>
      </c>
      <c r="D11" s="4" t="s">
        <v>36</v>
      </c>
      <c r="E11" s="4" t="s">
        <v>37</v>
      </c>
      <c r="F11" s="245">
        <v>410779.90850156202</v>
      </c>
      <c r="G11" s="245">
        <v>134182.18185765084</v>
      </c>
      <c r="H11" s="245">
        <v>544962.09035921283</v>
      </c>
      <c r="I11" s="245">
        <v>465992.61050089134</v>
      </c>
      <c r="J11" s="75">
        <v>0.16946509038724433</v>
      </c>
      <c r="K11" s="245"/>
      <c r="L11" s="75">
        <v>4.4561699049711079E-2</v>
      </c>
      <c r="M11" s="54">
        <v>-1.0303635738090147E-2</v>
      </c>
      <c r="N11" s="245">
        <v>562549.29546539253</v>
      </c>
      <c r="O11" s="245">
        <v>356.16439522778205</v>
      </c>
      <c r="P11" s="75">
        <v>0.15570623875196032</v>
      </c>
      <c r="Q11" s="75">
        <v>3.2272345943526126E-2</v>
      </c>
      <c r="R11" s="245">
        <v>144375.34861080238</v>
      </c>
      <c r="S11" s="245">
        <v>418173.94685459015</v>
      </c>
      <c r="T11" s="245">
        <v>264.36580374822682</v>
      </c>
      <c r="U11" s="75">
        <v>1.8000000000000016E-2</v>
      </c>
      <c r="W11" s="54">
        <v>-1.0803247351104562E-2</v>
      </c>
      <c r="X11" s="245">
        <f t="shared" si="1"/>
        <v>563096.81598811154</v>
      </c>
      <c r="Z11" s="54">
        <f t="shared" si="2"/>
        <v>4.9740921547443862E-2</v>
      </c>
      <c r="AA11" s="54">
        <f t="shared" si="3"/>
        <v>-1.0303635738090147E-2</v>
      </c>
      <c r="AC11" s="69">
        <f t="shared" si="4"/>
        <v>566174.61627751903</v>
      </c>
      <c r="AD11" s="223">
        <f t="shared" si="5"/>
        <v>-831.92269828810822</v>
      </c>
      <c r="AE11" s="223">
        <f t="shared" si="6"/>
        <v>-2793.398113838532</v>
      </c>
      <c r="AF11" s="69">
        <f t="shared" si="7"/>
        <v>562549.29546539241</v>
      </c>
      <c r="AG11" s="69"/>
      <c r="AH11" s="223">
        <f t="shared" si="8"/>
        <v>2793.398113838532</v>
      </c>
      <c r="AI11" s="223"/>
      <c r="AJ11" s="223">
        <f t="shared" si="9"/>
        <v>0</v>
      </c>
      <c r="AK11" s="223">
        <f t="shared" si="10"/>
        <v>285.81231931389829</v>
      </c>
      <c r="AM11" s="48">
        <f t="shared" si="0"/>
        <v>836.34789370918031</v>
      </c>
    </row>
    <row r="12" spans="1:39" x14ac:dyDescent="0.25">
      <c r="A12" s="244">
        <v>9</v>
      </c>
      <c r="B12" s="13" t="s">
        <v>34</v>
      </c>
      <c r="C12" s="14" t="s">
        <v>35</v>
      </c>
      <c r="D12" s="4" t="s">
        <v>38</v>
      </c>
      <c r="E12" s="4" t="s">
        <v>39</v>
      </c>
      <c r="F12" s="245">
        <v>286749.12745323998</v>
      </c>
      <c r="G12" s="245">
        <v>126079.12107806749</v>
      </c>
      <c r="H12" s="245">
        <v>412828.24853130744</v>
      </c>
      <c r="I12" s="245">
        <v>402614.85385812121</v>
      </c>
      <c r="J12" s="75">
        <v>2.536765490720172E-2</v>
      </c>
      <c r="K12" s="245"/>
      <c r="L12" s="75">
        <v>4.5903890925765412E-2</v>
      </c>
      <c r="M12" s="54">
        <v>-7.7999999999999996E-3</v>
      </c>
      <c r="N12" s="245">
        <v>428085.38827573595</v>
      </c>
      <c r="O12" s="245">
        <v>329.05458048125905</v>
      </c>
      <c r="P12" s="75">
        <v>1.659702001896024E-2</v>
      </c>
      <c r="Q12" s="75">
        <v>3.6957596285399186E-2</v>
      </c>
      <c r="R12" s="245">
        <v>136174.77652833762</v>
      </c>
      <c r="S12" s="245">
        <v>291910.61174739833</v>
      </c>
      <c r="T12" s="245">
        <v>224.21115210993148</v>
      </c>
      <c r="U12" s="75">
        <v>1.8000000000000016E-2</v>
      </c>
      <c r="W12" s="54">
        <v>-8.6999999999999994E-3</v>
      </c>
      <c r="X12" s="245">
        <f t="shared" si="1"/>
        <v>428022.19698158361</v>
      </c>
      <c r="Z12" s="54">
        <f t="shared" si="2"/>
        <v>5.1083113423498194E-2</v>
      </c>
      <c r="AA12" s="54">
        <f t="shared" si="3"/>
        <v>-7.7999999999999996E-3</v>
      </c>
      <c r="AC12" s="69">
        <f t="shared" si="4"/>
        <v>430532.24972940772</v>
      </c>
      <c r="AD12" s="223">
        <f t="shared" si="5"/>
        <v>-325.40951012831647</v>
      </c>
      <c r="AE12" s="223">
        <f t="shared" si="6"/>
        <v>-2121.4519435435232</v>
      </c>
      <c r="AF12" s="69">
        <f t="shared" si="7"/>
        <v>428085.3882757359</v>
      </c>
      <c r="AG12" s="69"/>
      <c r="AH12" s="223">
        <f t="shared" si="8"/>
        <v>2121.4519435435232</v>
      </c>
      <c r="AI12" s="223"/>
      <c r="AJ12" s="223">
        <f t="shared" si="9"/>
        <v>0</v>
      </c>
      <c r="AK12" s="223">
        <f t="shared" si="10"/>
        <v>390.52512069791055</v>
      </c>
      <c r="AM12" s="48">
        <f t="shared" si="0"/>
        <v>583.82122349479664</v>
      </c>
    </row>
    <row r="13" spans="1:39" x14ac:dyDescent="0.25">
      <c r="A13" s="244">
        <v>10</v>
      </c>
      <c r="B13" s="13" t="s">
        <v>34</v>
      </c>
      <c r="C13" s="14" t="s">
        <v>35</v>
      </c>
      <c r="D13" s="4" t="s">
        <v>40</v>
      </c>
      <c r="E13" s="4" t="s">
        <v>41</v>
      </c>
      <c r="F13" s="245">
        <v>217587.63253251501</v>
      </c>
      <c r="G13" s="245">
        <v>95467.567461257422</v>
      </c>
      <c r="H13" s="245">
        <v>313055.19999377243</v>
      </c>
      <c r="I13" s="245">
        <v>311549.16418860533</v>
      </c>
      <c r="J13" s="75">
        <v>4.8340229353187603E-3</v>
      </c>
      <c r="K13" s="245"/>
      <c r="L13" s="75">
        <v>4.9265711599797424E-2</v>
      </c>
      <c r="M13" s="54">
        <v>-4.8340229353187603E-3</v>
      </c>
      <c r="N13" s="245">
        <v>326890</v>
      </c>
      <c r="O13" s="245">
        <v>304.66672497940584</v>
      </c>
      <c r="P13" s="75">
        <v>-2.4030321850943004E-5</v>
      </c>
      <c r="Q13" s="75">
        <v>4.4192845244234169E-2</v>
      </c>
      <c r="R13" s="245">
        <v>103752.56975950321</v>
      </c>
      <c r="S13" s="245">
        <v>223137.43024049679</v>
      </c>
      <c r="T13" s="245">
        <v>207.96766524424973</v>
      </c>
      <c r="U13" s="75">
        <v>2.550603471064683E-2</v>
      </c>
      <c r="W13" s="54">
        <v>-8.4121585982709357E-3</v>
      </c>
      <c r="X13" s="245">
        <f t="shared" si="1"/>
        <v>325714.87742597109</v>
      </c>
      <c r="Z13" s="54">
        <f t="shared" si="2"/>
        <v>5.4444934097530207E-2</v>
      </c>
      <c r="AA13" s="54">
        <f t="shared" si="3"/>
        <v>-4.8340229353187603E-3</v>
      </c>
      <c r="AC13" s="69">
        <f t="shared" si="4"/>
        <v>328503.76131872891</v>
      </c>
      <c r="AD13" s="223">
        <f t="shared" si="5"/>
        <v>-0.21658424928318709</v>
      </c>
      <c r="AE13" s="223">
        <f t="shared" si="6"/>
        <v>0</v>
      </c>
      <c r="AF13" s="69">
        <f t="shared" si="7"/>
        <v>328503.54473447963</v>
      </c>
      <c r="AG13" s="69"/>
      <c r="AH13" s="223">
        <f t="shared" si="8"/>
        <v>1613.5447344796401</v>
      </c>
      <c r="AI13" s="223"/>
      <c r="AJ13" s="223">
        <f t="shared" si="9"/>
        <v>1613.5447344796401</v>
      </c>
      <c r="AK13" s="223">
        <f t="shared" si="10"/>
        <v>1181.1406849493565</v>
      </c>
      <c r="AM13" s="48">
        <f t="shared" si="0"/>
        <v>0</v>
      </c>
    </row>
    <row r="14" spans="1:39" x14ac:dyDescent="0.25">
      <c r="A14" s="244">
        <v>11</v>
      </c>
      <c r="B14" s="13" t="s">
        <v>34</v>
      </c>
      <c r="C14" s="14" t="s">
        <v>35</v>
      </c>
      <c r="D14" s="4" t="s">
        <v>42</v>
      </c>
      <c r="E14" s="4" t="s">
        <v>43</v>
      </c>
      <c r="F14" s="245">
        <v>220334.603605059</v>
      </c>
      <c r="G14" s="245">
        <v>101767.4993358691</v>
      </c>
      <c r="H14" s="245">
        <v>322102.10294092807</v>
      </c>
      <c r="I14" s="245">
        <v>350328.11184992513</v>
      </c>
      <c r="J14" s="75">
        <v>-8.0570208196962034E-2</v>
      </c>
      <c r="K14" s="245"/>
      <c r="L14" s="75">
        <v>4.7155575384280946E-2</v>
      </c>
      <c r="M14" s="54">
        <v>1.1901064726286827E-3</v>
      </c>
      <c r="N14" s="245">
        <v>337692</v>
      </c>
      <c r="O14" s="245">
        <v>301.55849640626326</v>
      </c>
      <c r="P14" s="75">
        <v>-7.9477147791668812E-2</v>
      </c>
      <c r="Q14" s="75">
        <v>4.8400482073012174E-2</v>
      </c>
      <c r="R14" s="245">
        <v>111044.89743129243</v>
      </c>
      <c r="S14" s="245">
        <v>226647.10256870755</v>
      </c>
      <c r="T14" s="245">
        <v>202.39555413055558</v>
      </c>
      <c r="U14" s="75">
        <v>2.8649603196071016E-2</v>
      </c>
      <c r="W14" s="54">
        <v>-7.6E-3</v>
      </c>
      <c r="X14" s="245">
        <f t="shared" si="1"/>
        <v>334727.60123926873</v>
      </c>
      <c r="Z14" s="54">
        <f t="shared" si="2"/>
        <v>5.2334797882013728E-2</v>
      </c>
      <c r="AA14" s="54">
        <f t="shared" si="3"/>
        <v>1.1901064726286827E-3</v>
      </c>
      <c r="AC14" s="69">
        <f t="shared" si="4"/>
        <v>339362.64899475657</v>
      </c>
      <c r="AD14" s="223">
        <f t="shared" si="5"/>
        <v>-0.42515525099588558</v>
      </c>
      <c r="AE14" s="223">
        <f t="shared" si="6"/>
        <v>0</v>
      </c>
      <c r="AF14" s="69">
        <f t="shared" si="7"/>
        <v>339362.22383950558</v>
      </c>
      <c r="AG14" s="69"/>
      <c r="AH14" s="223">
        <f t="shared" si="8"/>
        <v>1670.2238395055906</v>
      </c>
      <c r="AI14" s="223"/>
      <c r="AJ14" s="223">
        <f t="shared" si="9"/>
        <v>1670.2238395055906</v>
      </c>
      <c r="AK14" s="223">
        <f t="shared" si="10"/>
        <v>2979.4879096508312</v>
      </c>
      <c r="AM14" s="48">
        <f t="shared" si="0"/>
        <v>0</v>
      </c>
    </row>
    <row r="15" spans="1:39" x14ac:dyDescent="0.25">
      <c r="A15" s="244">
        <v>12</v>
      </c>
      <c r="B15" s="13" t="s">
        <v>34</v>
      </c>
      <c r="C15" s="14" t="s">
        <v>35</v>
      </c>
      <c r="D15" s="4" t="s">
        <v>44</v>
      </c>
      <c r="E15" s="4" t="s">
        <v>45</v>
      </c>
      <c r="F15" s="245">
        <v>166532.93561281278</v>
      </c>
      <c r="G15" s="245">
        <v>88264.187473495389</v>
      </c>
      <c r="H15" s="245">
        <v>254797.12308630819</v>
      </c>
      <c r="I15" s="245">
        <v>255274.02212638748</v>
      </c>
      <c r="J15" s="75">
        <v>-1.8681847690839026E-3</v>
      </c>
      <c r="K15" s="245"/>
      <c r="L15" s="75">
        <v>4.8738353118090494E-2</v>
      </c>
      <c r="M15" s="54">
        <v>2.7595048287795687E-5</v>
      </c>
      <c r="N15" s="245">
        <v>267223</v>
      </c>
      <c r="O15" s="245">
        <v>323.51589655823949</v>
      </c>
      <c r="P15" s="75">
        <v>-1.8402269151950312E-3</v>
      </c>
      <c r="Q15" s="75">
        <v>4.8767728470320071E-2</v>
      </c>
      <c r="R15" s="245">
        <v>96344.324291956975</v>
      </c>
      <c r="S15" s="245">
        <v>170878.67570804301</v>
      </c>
      <c r="T15" s="245">
        <v>206.87578529682023</v>
      </c>
      <c r="U15" s="75">
        <v>2.6095379146705344E-2</v>
      </c>
      <c r="W15" s="54">
        <v>-7.6E-3</v>
      </c>
      <c r="X15" s="245">
        <f t="shared" si="1"/>
        <v>265184.67732890201</v>
      </c>
      <c r="Z15" s="54">
        <f t="shared" si="2"/>
        <v>5.3917575615823277E-2</v>
      </c>
      <c r="AA15" s="54">
        <f t="shared" si="3"/>
        <v>2.7595048287795687E-5</v>
      </c>
      <c r="AC15" s="69">
        <f t="shared" si="4"/>
        <v>268542.57647788769</v>
      </c>
      <c r="AD15" s="223">
        <f t="shared" si="5"/>
        <v>0.11093019135296345</v>
      </c>
      <c r="AE15" s="223">
        <f t="shared" si="6"/>
        <v>0</v>
      </c>
      <c r="AF15" s="69">
        <f t="shared" si="7"/>
        <v>268542.68740807904</v>
      </c>
      <c r="AG15" s="69"/>
      <c r="AH15" s="223">
        <f t="shared" si="8"/>
        <v>1319.6874080790506</v>
      </c>
      <c r="AI15" s="223"/>
      <c r="AJ15" s="223">
        <f t="shared" si="9"/>
        <v>1319.6874080790506</v>
      </c>
      <c r="AK15" s="223">
        <f t="shared" si="10"/>
        <v>2048.2775042805456</v>
      </c>
      <c r="AM15" s="48">
        <f t="shared" si="0"/>
        <v>0</v>
      </c>
    </row>
    <row r="16" spans="1:39" x14ac:dyDescent="0.25">
      <c r="A16" s="244">
        <v>13</v>
      </c>
      <c r="B16" s="13" t="s">
        <v>34</v>
      </c>
      <c r="C16" s="14" t="s">
        <v>35</v>
      </c>
      <c r="D16" s="4" t="s">
        <v>46</v>
      </c>
      <c r="E16" s="4" t="s">
        <v>47</v>
      </c>
      <c r="F16" s="245">
        <v>264944.15775333234</v>
      </c>
      <c r="G16" s="245">
        <v>94846.66415394198</v>
      </c>
      <c r="H16" s="245">
        <v>359790.82190727431</v>
      </c>
      <c r="I16" s="245">
        <v>331371.71101393778</v>
      </c>
      <c r="J16" s="75">
        <v>8.5762030821457724E-2</v>
      </c>
      <c r="K16" s="245"/>
      <c r="L16" s="75">
        <v>5.0020054139896963E-2</v>
      </c>
      <c r="M16" s="54">
        <v>-7.7999999999999996E-3</v>
      </c>
      <c r="N16" s="245">
        <v>372557.72113862413</v>
      </c>
      <c r="O16" s="245">
        <v>310.82318142886095</v>
      </c>
      <c r="P16" s="75">
        <v>7.0731413997118464E-2</v>
      </c>
      <c r="Q16" s="75">
        <v>3.5484227095265108E-2</v>
      </c>
      <c r="R16" s="245">
        <v>102844.56854573179</v>
      </c>
      <c r="S16" s="245">
        <v>269713.15259289235</v>
      </c>
      <c r="T16" s="245">
        <v>223.64976126445782</v>
      </c>
      <c r="U16" s="75">
        <v>1.8000000000000016E-2</v>
      </c>
      <c r="W16" s="54">
        <v>-8.6999999999999994E-3</v>
      </c>
      <c r="X16" s="245">
        <f t="shared" si="1"/>
        <v>374500.82636692055</v>
      </c>
      <c r="Z16" s="54">
        <f t="shared" si="2"/>
        <v>5.5199276637629746E-2</v>
      </c>
      <c r="AA16" s="54">
        <f t="shared" si="3"/>
        <v>-7.7999999999999996E-3</v>
      </c>
      <c r="AC16" s="69">
        <f t="shared" si="4"/>
        <v>376689.73710027826</v>
      </c>
      <c r="AD16" s="223">
        <f t="shared" si="5"/>
        <v>-2283.1140487647499</v>
      </c>
      <c r="AE16" s="223">
        <f t="shared" si="6"/>
        <v>-1848.9019128893847</v>
      </c>
      <c r="AF16" s="69">
        <f t="shared" si="7"/>
        <v>372557.72113862413</v>
      </c>
      <c r="AG16" s="69"/>
      <c r="AH16" s="223">
        <f t="shared" si="8"/>
        <v>1848.9019128893847</v>
      </c>
      <c r="AI16" s="223"/>
      <c r="AJ16" s="223">
        <f t="shared" si="9"/>
        <v>0</v>
      </c>
      <c r="AK16" s="223">
        <f t="shared" si="10"/>
        <v>341.68591351567261</v>
      </c>
      <c r="AM16" s="48">
        <f t="shared" si="0"/>
        <v>539.42630518578471</v>
      </c>
    </row>
    <row r="17" spans="1:39" x14ac:dyDescent="0.25">
      <c r="A17" s="244">
        <v>14</v>
      </c>
      <c r="B17" s="13" t="s">
        <v>34</v>
      </c>
      <c r="C17" s="14" t="s">
        <v>35</v>
      </c>
      <c r="D17" s="4" t="s">
        <v>48</v>
      </c>
      <c r="E17" s="4" t="s">
        <v>49</v>
      </c>
      <c r="F17" s="245">
        <v>165219.35948591257</v>
      </c>
      <c r="G17" s="245">
        <v>79397.900751294699</v>
      </c>
      <c r="H17" s="245">
        <v>244617.26023720729</v>
      </c>
      <c r="I17" s="245">
        <v>246950.74431256208</v>
      </c>
      <c r="J17" s="75">
        <v>-9.4491882656621007E-3</v>
      </c>
      <c r="K17" s="245"/>
      <c r="L17" s="75">
        <v>4.865628745225381E-2</v>
      </c>
      <c r="M17" s="54">
        <v>1.3957442046767929E-4</v>
      </c>
      <c r="N17" s="245">
        <v>256555</v>
      </c>
      <c r="O17" s="245">
        <v>314.66108651314022</v>
      </c>
      <c r="P17" s="75">
        <v>-9.311826716278726E-3</v>
      </c>
      <c r="Q17" s="75">
        <v>4.8801706597549899E-2</v>
      </c>
      <c r="R17" s="245">
        <v>86669.182007483047</v>
      </c>
      <c r="S17" s="245">
        <v>169885.81799251697</v>
      </c>
      <c r="T17" s="245">
        <v>208.36255801952396</v>
      </c>
      <c r="U17" s="75">
        <v>2.8244017657036657E-2</v>
      </c>
      <c r="W17" s="54">
        <v>-7.6E-3</v>
      </c>
      <c r="X17" s="245">
        <f t="shared" si="1"/>
        <v>254569.88031454172</v>
      </c>
      <c r="Z17" s="54">
        <f t="shared" si="2"/>
        <v>5.3835509949986593E-2</v>
      </c>
      <c r="AA17" s="54">
        <f t="shared" si="3"/>
        <v>1.3957442046767929E-4</v>
      </c>
      <c r="AC17" s="69">
        <f t="shared" si="4"/>
        <v>257822.33556577531</v>
      </c>
      <c r="AD17" s="223">
        <f t="shared" si="5"/>
        <v>-0.23151758883614093</v>
      </c>
      <c r="AE17" s="223">
        <f t="shared" si="6"/>
        <v>0</v>
      </c>
      <c r="AF17" s="69">
        <f t="shared" si="7"/>
        <v>257822.10404818648</v>
      </c>
      <c r="AG17" s="69"/>
      <c r="AH17" s="223">
        <f t="shared" si="8"/>
        <v>1267.1040481864636</v>
      </c>
      <c r="AI17" s="223"/>
      <c r="AJ17" s="223">
        <f t="shared" si="9"/>
        <v>1267.1040481864636</v>
      </c>
      <c r="AK17" s="223">
        <f t="shared" si="10"/>
        <v>1995.1566805326811</v>
      </c>
      <c r="AM17" s="48">
        <f t="shared" si="0"/>
        <v>0</v>
      </c>
    </row>
    <row r="18" spans="1:39" x14ac:dyDescent="0.25">
      <c r="A18" s="244">
        <v>15</v>
      </c>
      <c r="B18" s="13" t="s">
        <v>34</v>
      </c>
      <c r="C18" s="14" t="s">
        <v>35</v>
      </c>
      <c r="D18" s="4" t="s">
        <v>50</v>
      </c>
      <c r="E18" s="4" t="s">
        <v>51</v>
      </c>
      <c r="F18" s="245">
        <v>161848.85166701238</v>
      </c>
      <c r="G18" s="245">
        <v>65537.846735118539</v>
      </c>
      <c r="H18" s="245">
        <v>227386.69840213092</v>
      </c>
      <c r="I18" s="245">
        <v>251721.69411984814</v>
      </c>
      <c r="J18" s="75">
        <v>-9.6674209200781069E-2</v>
      </c>
      <c r="K18" s="245"/>
      <c r="L18" s="75">
        <v>5.0786431777659846E-2</v>
      </c>
      <c r="M18" s="54">
        <v>1.4279794564369466E-3</v>
      </c>
      <c r="N18" s="245">
        <v>239276</v>
      </c>
      <c r="O18" s="245">
        <v>289.84364108316163</v>
      </c>
      <c r="P18" s="75">
        <v>-9.5384473290569982E-2</v>
      </c>
      <c r="Q18" s="75">
        <v>5.2286706660575888E-2</v>
      </c>
      <c r="R18" s="245">
        <v>71777.535853923939</v>
      </c>
      <c r="S18" s="245">
        <v>167498.46414607606</v>
      </c>
      <c r="T18" s="245">
        <v>202.89692540804799</v>
      </c>
      <c r="U18" s="75">
        <v>3.4906719577394218E-2</v>
      </c>
      <c r="W18" s="54">
        <v>-7.6E-3</v>
      </c>
      <c r="X18" s="245">
        <f t="shared" si="1"/>
        <v>237118.95253107569</v>
      </c>
      <c r="Z18" s="54">
        <f t="shared" si="2"/>
        <v>5.5965654275392629E-2</v>
      </c>
      <c r="AA18" s="54">
        <f t="shared" si="3"/>
        <v>1.4279794564369466E-3</v>
      </c>
      <c r="AC18" s="69">
        <f t="shared" si="4"/>
        <v>240455.4195314378</v>
      </c>
      <c r="AD18" s="223">
        <f t="shared" si="5"/>
        <v>-5.1515540020773187E-2</v>
      </c>
      <c r="AE18" s="223">
        <f t="shared" si="6"/>
        <v>0</v>
      </c>
      <c r="AF18" s="69">
        <f t="shared" si="7"/>
        <v>240455.36801589778</v>
      </c>
      <c r="AG18" s="69"/>
      <c r="AH18" s="223">
        <f t="shared" si="8"/>
        <v>1179.3680158978052</v>
      </c>
      <c r="AI18" s="223"/>
      <c r="AJ18" s="223">
        <f t="shared" si="9"/>
        <v>1179.3680158978052</v>
      </c>
      <c r="AK18" s="223">
        <f t="shared" si="10"/>
        <v>2167.7311122234132</v>
      </c>
      <c r="AM18" s="48">
        <f t="shared" si="0"/>
        <v>0</v>
      </c>
    </row>
    <row r="19" spans="1:39" x14ac:dyDescent="0.25">
      <c r="A19" s="244">
        <v>16</v>
      </c>
      <c r="B19" s="13" t="s">
        <v>34</v>
      </c>
      <c r="C19" s="14" t="s">
        <v>35</v>
      </c>
      <c r="D19" s="4" t="s">
        <v>52</v>
      </c>
      <c r="E19" s="4" t="s">
        <v>53</v>
      </c>
      <c r="F19" s="245">
        <v>284417.56187980756</v>
      </c>
      <c r="G19" s="245">
        <v>121263.93790013848</v>
      </c>
      <c r="H19" s="245">
        <v>405681.49977994605</v>
      </c>
      <c r="I19" s="245">
        <v>386045.27316086693</v>
      </c>
      <c r="J19" s="75">
        <v>5.0865087553854327E-2</v>
      </c>
      <c r="K19" s="245"/>
      <c r="L19" s="75">
        <v>4.8091707313601573E-2</v>
      </c>
      <c r="M19" s="54">
        <v>-7.7999999999999996E-3</v>
      </c>
      <c r="N19" s="245">
        <v>420785.03341238678</v>
      </c>
      <c r="O19" s="245">
        <v>335.83920075928751</v>
      </c>
      <c r="P19" s="75">
        <v>3.9974666984222695E-2</v>
      </c>
      <c r="Q19" s="75">
        <v>3.7230028090098566E-2</v>
      </c>
      <c r="R19" s="245">
        <v>131247.95541874267</v>
      </c>
      <c r="S19" s="245">
        <v>289537.07799364411</v>
      </c>
      <c r="T19" s="245">
        <v>230.48983908400578</v>
      </c>
      <c r="U19" s="75">
        <v>1.8000000000000016E-2</v>
      </c>
      <c r="W19" s="54">
        <v>-8.6999999999999994E-3</v>
      </c>
      <c r="X19" s="245">
        <f t="shared" si="1"/>
        <v>421492.25041305594</v>
      </c>
      <c r="Z19" s="54">
        <f t="shared" si="2"/>
        <v>5.3270929811334355E-2</v>
      </c>
      <c r="AA19" s="54">
        <f t="shared" si="3"/>
        <v>-7.7999999999999996E-3</v>
      </c>
      <c r="AC19" s="69">
        <f t="shared" si="4"/>
        <v>423959.64874273265</v>
      </c>
      <c r="AD19" s="223">
        <f t="shared" si="5"/>
        <v>-1089.8892748260405</v>
      </c>
      <c r="AE19" s="223">
        <f t="shared" si="6"/>
        <v>-2084.7260555197945</v>
      </c>
      <c r="AF19" s="69">
        <f t="shared" si="7"/>
        <v>420785.03341238684</v>
      </c>
      <c r="AG19" s="69"/>
      <c r="AH19" s="223">
        <f t="shared" si="8"/>
        <v>2084.7260555197945</v>
      </c>
      <c r="AI19" s="223"/>
      <c r="AJ19" s="223">
        <f t="shared" si="9"/>
        <v>0</v>
      </c>
      <c r="AK19" s="223">
        <f t="shared" si="10"/>
        <v>384.56327743243224</v>
      </c>
      <c r="AM19" s="48">
        <f t="shared" si="0"/>
        <v>579.07415598728824</v>
      </c>
    </row>
    <row r="20" spans="1:39" x14ac:dyDescent="0.25">
      <c r="A20" s="244">
        <v>17</v>
      </c>
      <c r="B20" s="13" t="s">
        <v>34</v>
      </c>
      <c r="C20" s="14" t="s">
        <v>35</v>
      </c>
      <c r="D20" s="4" t="s">
        <v>54</v>
      </c>
      <c r="E20" s="4" t="s">
        <v>55</v>
      </c>
      <c r="F20" s="245">
        <v>104267.72502064651</v>
      </c>
      <c r="G20" s="245">
        <v>50204.010052273348</v>
      </c>
      <c r="H20" s="245">
        <v>154471.73507291987</v>
      </c>
      <c r="I20" s="245">
        <v>166986.00346393083</v>
      </c>
      <c r="J20" s="75">
        <v>-7.4942019878414867E-2</v>
      </c>
      <c r="K20" s="245"/>
      <c r="L20" s="75">
        <v>5.273477274982441E-2</v>
      </c>
      <c r="M20" s="54">
        <v>1.1069722286324174E-3</v>
      </c>
      <c r="N20" s="245">
        <v>162798</v>
      </c>
      <c r="O20" s="245">
        <v>307.89353071810547</v>
      </c>
      <c r="P20" s="75">
        <v>-7.3916756441929188E-2</v>
      </c>
      <c r="Q20" s="75">
        <v>5.3901543367462335E-2</v>
      </c>
      <c r="R20" s="245">
        <v>55068.182200873511</v>
      </c>
      <c r="S20" s="245">
        <v>107729.81779912648</v>
      </c>
      <c r="T20" s="245">
        <v>203.74521779009117</v>
      </c>
      <c r="U20" s="75">
        <v>3.3203877592940856E-2</v>
      </c>
      <c r="W20" s="54">
        <v>-7.6E-3</v>
      </c>
      <c r="X20" s="245">
        <f t="shared" si="1"/>
        <v>161381.8718896826</v>
      </c>
      <c r="Z20" s="54">
        <f t="shared" si="2"/>
        <v>5.7913995247557193E-2</v>
      </c>
      <c r="AA20" s="54">
        <f t="shared" si="3"/>
        <v>1.1069722286324174E-3</v>
      </c>
      <c r="AC20" s="69">
        <f t="shared" si="4"/>
        <v>163598.70938159578</v>
      </c>
      <c r="AD20" s="223">
        <f t="shared" si="5"/>
        <v>0.21972987789195031</v>
      </c>
      <c r="AE20" s="223">
        <f t="shared" si="6"/>
        <v>0</v>
      </c>
      <c r="AF20" s="69">
        <f t="shared" si="7"/>
        <v>163598.92911147367</v>
      </c>
      <c r="AG20" s="69"/>
      <c r="AH20" s="223">
        <f t="shared" si="8"/>
        <v>800.92911147369068</v>
      </c>
      <c r="AI20" s="223"/>
      <c r="AJ20" s="223">
        <f t="shared" si="9"/>
        <v>800.92911147369068</v>
      </c>
      <c r="AK20" s="223">
        <f t="shared" si="10"/>
        <v>1422.8743368499336</v>
      </c>
      <c r="AM20" s="48">
        <f t="shared" si="0"/>
        <v>0</v>
      </c>
    </row>
    <row r="21" spans="1:39" x14ac:dyDescent="0.25">
      <c r="A21" s="246">
        <v>18</v>
      </c>
      <c r="B21" s="15" t="s">
        <v>34</v>
      </c>
      <c r="C21" s="16" t="s">
        <v>35</v>
      </c>
      <c r="D21" s="17" t="s">
        <v>56</v>
      </c>
      <c r="E21" s="17" t="s">
        <v>57</v>
      </c>
      <c r="F21" s="247">
        <v>267217.54103889439</v>
      </c>
      <c r="G21" s="247">
        <v>122739.92886337009</v>
      </c>
      <c r="H21" s="247">
        <v>389957.46990226448</v>
      </c>
      <c r="I21" s="247">
        <v>381147.36814734543</v>
      </c>
      <c r="J21" s="78">
        <v>2.3114686053697708E-2</v>
      </c>
      <c r="K21" s="247"/>
      <c r="L21" s="78">
        <v>4.5661993491080466E-2</v>
      </c>
      <c r="M21" s="248">
        <v>-7.7999999999999996E-3</v>
      </c>
      <c r="N21" s="247">
        <v>404564.88705847628</v>
      </c>
      <c r="O21" s="247">
        <v>342.83204689886293</v>
      </c>
      <c r="P21" s="78">
        <v>1.5088572071636941E-2</v>
      </c>
      <c r="Q21" s="78">
        <v>3.7459000746601578E-2</v>
      </c>
      <c r="R21" s="247">
        <v>132537.43028088182</v>
      </c>
      <c r="S21" s="247">
        <v>272027.45677759446</v>
      </c>
      <c r="T21" s="247">
        <v>230.50827597737589</v>
      </c>
      <c r="U21" s="78">
        <v>1.8000000000000016E-2</v>
      </c>
      <c r="W21" s="248">
        <v>-8.6999999999999994E-3</v>
      </c>
      <c r="X21" s="247">
        <f t="shared" si="1"/>
        <v>404216.16111815366</v>
      </c>
      <c r="Z21" s="248">
        <f t="shared" si="2"/>
        <v>5.0841215988813249E-2</v>
      </c>
      <c r="AA21" s="248">
        <f t="shared" si="3"/>
        <v>-7.7999999999999996E-3</v>
      </c>
      <c r="AC21" s="69">
        <f t="shared" si="4"/>
        <v>406587.07147753972</v>
      </c>
      <c r="AD21" s="223">
        <f t="shared" si="5"/>
        <v>-18.261394496657886</v>
      </c>
      <c r="AE21" s="223">
        <f t="shared" si="6"/>
        <v>-2003.9230245668041</v>
      </c>
      <c r="AF21" s="69">
        <f t="shared" si="7"/>
        <v>404564.88705847628</v>
      </c>
      <c r="AG21" s="69"/>
      <c r="AH21" s="223">
        <f t="shared" si="8"/>
        <v>2003.9230245668041</v>
      </c>
      <c r="AI21" s="223"/>
      <c r="AJ21" s="223">
        <f t="shared" si="9"/>
        <v>0</v>
      </c>
      <c r="AK21" s="223">
        <f t="shared" si="10"/>
        <v>368.80504367041488</v>
      </c>
      <c r="AM21" s="48">
        <f t="shared" si="0"/>
        <v>544.05491355518893</v>
      </c>
    </row>
    <row r="22" spans="1:39" x14ac:dyDescent="0.25">
      <c r="A22" s="244">
        <v>19</v>
      </c>
      <c r="B22" s="10" t="s">
        <v>58</v>
      </c>
      <c r="C22" s="4" t="s">
        <v>59</v>
      </c>
      <c r="D22" s="4" t="s">
        <v>60</v>
      </c>
      <c r="E22" s="4" t="s">
        <v>61</v>
      </c>
      <c r="F22" s="245">
        <v>215401.3318750975</v>
      </c>
      <c r="G22" s="245">
        <v>97657.04703425942</v>
      </c>
      <c r="H22" s="245">
        <v>313058.37890935689</v>
      </c>
      <c r="I22" s="245">
        <v>352197.72267391061</v>
      </c>
      <c r="J22" s="75">
        <v>-0.11112889506327583</v>
      </c>
      <c r="K22" s="245"/>
      <c r="L22" s="75">
        <v>4.661366087608565E-2</v>
      </c>
      <c r="M22" s="54">
        <v>1.6414903258977196E-3</v>
      </c>
      <c r="N22" s="245">
        <v>328189</v>
      </c>
      <c r="O22" s="245">
        <v>302.51041150357133</v>
      </c>
      <c r="P22" s="75">
        <v>-0.10966985498679893</v>
      </c>
      <c r="Q22" s="75">
        <v>4.8331627932642007E-2</v>
      </c>
      <c r="R22" s="245">
        <v>106552.72692249846</v>
      </c>
      <c r="S22" s="245">
        <v>221636.27307750154</v>
      </c>
      <c r="T22" s="245">
        <v>204.29472094674992</v>
      </c>
      <c r="U22" s="75">
        <v>2.8945694755589724E-2</v>
      </c>
      <c r="W22" s="54">
        <v>-7.6E-3</v>
      </c>
      <c r="X22" s="245">
        <f t="shared" si="1"/>
        <v>325161.02708051604</v>
      </c>
      <c r="Z22" s="54">
        <f t="shared" si="2"/>
        <v>5.1792883373818432E-2</v>
      </c>
      <c r="AA22" s="54">
        <f t="shared" si="3"/>
        <v>1.6414903258977196E-3</v>
      </c>
      <c r="AC22" s="69">
        <f t="shared" si="4"/>
        <v>329813.07276388031</v>
      </c>
      <c r="AD22" s="223">
        <f t="shared" si="5"/>
        <v>-1.2253957742359489E-2</v>
      </c>
      <c r="AE22" s="223">
        <f t="shared" si="6"/>
        <v>0</v>
      </c>
      <c r="AF22" s="69">
        <f t="shared" si="7"/>
        <v>329813.06050992256</v>
      </c>
      <c r="AG22" s="69"/>
      <c r="AH22" s="223">
        <f t="shared" si="8"/>
        <v>1624.060509922622</v>
      </c>
      <c r="AI22" s="223"/>
      <c r="AJ22" s="223">
        <f t="shared" si="9"/>
        <v>1624.060509922622</v>
      </c>
      <c r="AK22" s="223">
        <f t="shared" si="10"/>
        <v>3042.9693166067873</v>
      </c>
      <c r="AM22" s="48">
        <f t="shared" si="0"/>
        <v>0</v>
      </c>
    </row>
    <row r="23" spans="1:39" x14ac:dyDescent="0.25">
      <c r="A23" s="244">
        <v>20</v>
      </c>
      <c r="B23" s="13" t="s">
        <v>58</v>
      </c>
      <c r="C23" s="14" t="s">
        <v>59</v>
      </c>
      <c r="D23" s="4" t="s">
        <v>62</v>
      </c>
      <c r="E23" s="4" t="s">
        <v>63</v>
      </c>
      <c r="F23" s="245">
        <v>225281.4780183362</v>
      </c>
      <c r="G23" s="245">
        <v>96534.13785101012</v>
      </c>
      <c r="H23" s="245">
        <v>321815.61586934631</v>
      </c>
      <c r="I23" s="245">
        <v>289548.07963351405</v>
      </c>
      <c r="J23" s="75">
        <v>0.11144103002400785</v>
      </c>
      <c r="K23" s="245"/>
      <c r="L23" s="75">
        <v>4.7823358631854163E-2</v>
      </c>
      <c r="M23" s="54">
        <v>-7.8017691220965239E-3</v>
      </c>
      <c r="N23" s="245">
        <v>333791.62968579959</v>
      </c>
      <c r="O23" s="245">
        <v>327.22179717439286</v>
      </c>
      <c r="P23" s="75">
        <v>0.10018742637447731</v>
      </c>
      <c r="Q23" s="75">
        <v>3.7213898971625525E-2</v>
      </c>
      <c r="R23" s="245">
        <v>104455.08506313332</v>
      </c>
      <c r="S23" s="245">
        <v>229336.54462266626</v>
      </c>
      <c r="T23" s="245">
        <v>224.2962453536403</v>
      </c>
      <c r="U23" s="75">
        <v>1.8000000000000016E-2</v>
      </c>
      <c r="W23" s="54">
        <v>-8.6999999999999994E-3</v>
      </c>
      <c r="X23" s="245">
        <f t="shared" si="1"/>
        <v>334272.22798091761</v>
      </c>
      <c r="Z23" s="54">
        <f t="shared" si="2"/>
        <v>5.3002581129586945E-2</v>
      </c>
      <c r="AA23" s="54">
        <f t="shared" si="3"/>
        <v>-7.8017691220965239E-3</v>
      </c>
      <c r="AC23" s="69">
        <f t="shared" si="4"/>
        <v>336228.86779265938</v>
      </c>
      <c r="AD23" s="223">
        <f t="shared" si="5"/>
        <v>-783.48706420714734</v>
      </c>
      <c r="AE23" s="223">
        <f t="shared" si="6"/>
        <v>-1653.751042652628</v>
      </c>
      <c r="AF23" s="69">
        <f t="shared" si="7"/>
        <v>333791.62968579959</v>
      </c>
      <c r="AG23" s="69"/>
      <c r="AH23" s="223">
        <f t="shared" si="8"/>
        <v>1653.751042652628</v>
      </c>
      <c r="AI23" s="223"/>
      <c r="AJ23" s="223">
        <f t="shared" si="9"/>
        <v>0</v>
      </c>
      <c r="AK23" s="223">
        <f t="shared" si="10"/>
        <v>304.38589960664473</v>
      </c>
      <c r="AM23" s="48">
        <f t="shared" si="0"/>
        <v>458.67308924533251</v>
      </c>
    </row>
    <row r="24" spans="1:39" x14ac:dyDescent="0.25">
      <c r="A24" s="244">
        <v>21</v>
      </c>
      <c r="B24" s="13" t="s">
        <v>58</v>
      </c>
      <c r="C24" s="14" t="s">
        <v>59</v>
      </c>
      <c r="D24" s="4" t="s">
        <v>64</v>
      </c>
      <c r="E24" s="4" t="s">
        <v>65</v>
      </c>
      <c r="F24" s="245">
        <v>353396.97367806395</v>
      </c>
      <c r="G24" s="245">
        <v>155929.0304516154</v>
      </c>
      <c r="H24" s="245">
        <v>509326.00412967935</v>
      </c>
      <c r="I24" s="245">
        <v>517065.39012524346</v>
      </c>
      <c r="J24" s="75">
        <v>-1.4967905691172789E-2</v>
      </c>
      <c r="K24" s="245"/>
      <c r="L24" s="75">
        <v>4.6064218600991191E-2</v>
      </c>
      <c r="M24" s="54">
        <v>2.2109166456680293E-4</v>
      </c>
      <c r="N24" s="245">
        <v>532906</v>
      </c>
      <c r="O24" s="245">
        <v>328.68894698209925</v>
      </c>
      <c r="P24" s="75">
        <v>-1.4749205260612519E-2</v>
      </c>
      <c r="Q24" s="75">
        <v>4.6296469607149504E-2</v>
      </c>
      <c r="R24" s="245">
        <v>169802.48071403764</v>
      </c>
      <c r="S24" s="245">
        <v>363103.51928596233</v>
      </c>
      <c r="T24" s="245">
        <v>223.95715829733075</v>
      </c>
      <c r="U24" s="75">
        <v>2.7466408404336784E-2</v>
      </c>
      <c r="W24" s="54">
        <v>-7.6E-3</v>
      </c>
      <c r="X24" s="245">
        <f t="shared" si="1"/>
        <v>528738.52193830279</v>
      </c>
      <c r="Z24" s="54">
        <f t="shared" si="2"/>
        <v>5.1243441098723974E-2</v>
      </c>
      <c r="AA24" s="54">
        <f t="shared" si="3"/>
        <v>2.2109166456680293E-4</v>
      </c>
      <c r="AC24" s="69">
        <f t="shared" si="4"/>
        <v>535543.99936419481</v>
      </c>
      <c r="AD24" s="223">
        <f t="shared" si="5"/>
        <v>0.49655558366794139</v>
      </c>
      <c r="AE24" s="223">
        <f t="shared" si="6"/>
        <v>0</v>
      </c>
      <c r="AF24" s="69">
        <f t="shared" si="7"/>
        <v>535544.49591977848</v>
      </c>
      <c r="AG24" s="69"/>
      <c r="AH24" s="223">
        <f t="shared" si="8"/>
        <v>2638.4959197784392</v>
      </c>
      <c r="AI24" s="223"/>
      <c r="AJ24" s="223">
        <f t="shared" si="9"/>
        <v>2638.4959197784392</v>
      </c>
      <c r="AK24" s="223">
        <f t="shared" si="10"/>
        <v>4187.6128631376005</v>
      </c>
      <c r="AM24" s="48">
        <f t="shared" si="0"/>
        <v>0</v>
      </c>
    </row>
    <row r="25" spans="1:39" x14ac:dyDescent="0.25">
      <c r="A25" s="244">
        <v>22</v>
      </c>
      <c r="B25" s="13" t="s">
        <v>58</v>
      </c>
      <c r="C25" s="14" t="s">
        <v>59</v>
      </c>
      <c r="D25" s="4" t="s">
        <v>66</v>
      </c>
      <c r="E25" s="4" t="s">
        <v>67</v>
      </c>
      <c r="F25" s="245">
        <v>264012.42820264836</v>
      </c>
      <c r="G25" s="245">
        <v>127875.16578077592</v>
      </c>
      <c r="H25" s="245">
        <v>391887.59398342425</v>
      </c>
      <c r="I25" s="245">
        <v>408911.44752427546</v>
      </c>
      <c r="J25" s="75">
        <v>-4.1632127552116427E-2</v>
      </c>
      <c r="K25" s="245"/>
      <c r="L25" s="75">
        <v>4.7069404152651151E-2</v>
      </c>
      <c r="M25" s="54">
        <v>6.1495018540792183E-4</v>
      </c>
      <c r="N25" s="245">
        <v>410585.99999999994</v>
      </c>
      <c r="O25" s="245">
        <v>324.18643546037396</v>
      </c>
      <c r="P25" s="75">
        <v>-4.1042415155332579E-2</v>
      </c>
      <c r="Q25" s="75">
        <v>4.7713697253112253E-2</v>
      </c>
      <c r="R25" s="245">
        <v>139441.20390912454</v>
      </c>
      <c r="S25" s="245">
        <v>271144.7960908754</v>
      </c>
      <c r="T25" s="245">
        <v>214.08782797837927</v>
      </c>
      <c r="U25" s="75">
        <v>2.701527324597186E-2</v>
      </c>
      <c r="W25" s="54">
        <v>-7.6E-3</v>
      </c>
      <c r="X25" s="245">
        <f t="shared" si="1"/>
        <v>407214.97485463461</v>
      </c>
      <c r="Z25" s="54">
        <f t="shared" si="2"/>
        <v>5.2248626650383934E-2</v>
      </c>
      <c r="AA25" s="54">
        <f t="shared" si="3"/>
        <v>6.1495018540792183E-4</v>
      </c>
      <c r="AC25" s="69">
        <f t="shared" si="4"/>
        <v>412616.76538595848</v>
      </c>
      <c r="AD25" s="223">
        <f t="shared" si="5"/>
        <v>0.15580519702052698</v>
      </c>
      <c r="AE25" s="223">
        <f t="shared" si="6"/>
        <v>0</v>
      </c>
      <c r="AF25" s="69">
        <f t="shared" si="7"/>
        <v>412616.9211911555</v>
      </c>
      <c r="AG25" s="69"/>
      <c r="AH25" s="223">
        <f t="shared" si="8"/>
        <v>2030.9211911556415</v>
      </c>
      <c r="AI25" s="223"/>
      <c r="AJ25" s="223">
        <f t="shared" si="9"/>
        <v>2030.9211911556415</v>
      </c>
      <c r="AK25" s="223">
        <f t="shared" si="10"/>
        <v>3387.5430031119554</v>
      </c>
      <c r="AM25" s="48">
        <f t="shared" si="0"/>
        <v>0</v>
      </c>
    </row>
    <row r="26" spans="1:39" x14ac:dyDescent="0.25">
      <c r="A26" s="244">
        <v>23</v>
      </c>
      <c r="B26" s="13" t="s">
        <v>58</v>
      </c>
      <c r="C26" s="14" t="s">
        <v>59</v>
      </c>
      <c r="D26" s="4" t="s">
        <v>68</v>
      </c>
      <c r="E26" s="4" t="s">
        <v>69</v>
      </c>
      <c r="F26" s="245">
        <v>212340.75368856272</v>
      </c>
      <c r="G26" s="245">
        <v>117451.84689111999</v>
      </c>
      <c r="H26" s="245">
        <v>329792.60057968274</v>
      </c>
      <c r="I26" s="245">
        <v>362631.50583898759</v>
      </c>
      <c r="J26" s="75">
        <v>-9.0557231598860866E-2</v>
      </c>
      <c r="K26" s="245"/>
      <c r="L26" s="75">
        <v>4.8800163486483195E-2</v>
      </c>
      <c r="M26" s="54">
        <v>1.3376252821102018E-3</v>
      </c>
      <c r="N26" s="245">
        <v>346349</v>
      </c>
      <c r="O26" s="245">
        <v>316.53984348386632</v>
      </c>
      <c r="P26" s="75">
        <v>-8.9341263759146305E-2</v>
      </c>
      <c r="Q26" s="75">
        <v>5.0202458730777444E-2</v>
      </c>
      <c r="R26" s="245">
        <v>128379.35025281728</v>
      </c>
      <c r="S26" s="245">
        <v>217969.64974718273</v>
      </c>
      <c r="T26" s="245">
        <v>199.20969546672973</v>
      </c>
      <c r="U26" s="75">
        <v>2.6508788166382136E-2</v>
      </c>
      <c r="W26" s="54">
        <v>-7.6E-3</v>
      </c>
      <c r="X26" s="245">
        <f t="shared" si="1"/>
        <v>343257.79575072869</v>
      </c>
      <c r="Z26" s="54">
        <f t="shared" si="2"/>
        <v>5.3979385984215977E-2</v>
      </c>
      <c r="AA26" s="54">
        <f t="shared" si="3"/>
        <v>1.3376252821102018E-3</v>
      </c>
      <c r="AC26" s="69">
        <f t="shared" si="4"/>
        <v>348059.55398955639</v>
      </c>
      <c r="AD26" s="223">
        <f t="shared" si="5"/>
        <v>-0.19997642718954012</v>
      </c>
      <c r="AE26" s="223">
        <f t="shared" si="6"/>
        <v>0</v>
      </c>
      <c r="AF26" s="69">
        <f t="shared" si="7"/>
        <v>348059.3540131292</v>
      </c>
      <c r="AG26" s="69"/>
      <c r="AH26" s="223">
        <f t="shared" si="8"/>
        <v>1710.354013129195</v>
      </c>
      <c r="AI26" s="223"/>
      <c r="AJ26" s="223">
        <f t="shared" si="9"/>
        <v>1710.354013129195</v>
      </c>
      <c r="AK26" s="223">
        <f t="shared" si="10"/>
        <v>3106.6703086690027</v>
      </c>
      <c r="AM26" s="48">
        <f t="shared" si="0"/>
        <v>0</v>
      </c>
    </row>
    <row r="27" spans="1:39" x14ac:dyDescent="0.25">
      <c r="A27" s="246">
        <v>24</v>
      </c>
      <c r="B27" s="15" t="s">
        <v>58</v>
      </c>
      <c r="C27" s="16" t="s">
        <v>59</v>
      </c>
      <c r="D27" s="17" t="s">
        <v>70</v>
      </c>
      <c r="E27" s="17" t="s">
        <v>71</v>
      </c>
      <c r="F27" s="247">
        <v>214825.0295943963</v>
      </c>
      <c r="G27" s="247">
        <v>111070.02297750764</v>
      </c>
      <c r="H27" s="247">
        <v>325895.05257190391</v>
      </c>
      <c r="I27" s="247">
        <v>346758.62199155206</v>
      </c>
      <c r="J27" s="78">
        <v>-6.0167413573804174E-2</v>
      </c>
      <c r="K27" s="247"/>
      <c r="L27" s="78">
        <v>4.7688292443842872E-2</v>
      </c>
      <c r="M27" s="248">
        <v>8.8873579872679573E-4</v>
      </c>
      <c r="N27" s="247">
        <v>341740</v>
      </c>
      <c r="O27" s="247">
        <v>322.84214798320403</v>
      </c>
      <c r="P27" s="78">
        <v>-5.9331814685779083E-2</v>
      </c>
      <c r="Q27" s="78">
        <v>4.8619785121162939E-2</v>
      </c>
      <c r="R27" s="247">
        <v>121220.81557916554</v>
      </c>
      <c r="S27" s="247">
        <v>220519.18442083447</v>
      </c>
      <c r="T27" s="247">
        <v>208.32471226642042</v>
      </c>
      <c r="U27" s="78">
        <v>2.6506012065675488E-2</v>
      </c>
      <c r="W27" s="248">
        <v>-7.6E-3</v>
      </c>
      <c r="X27" s="247">
        <f t="shared" si="1"/>
        <v>338841.51426825271</v>
      </c>
      <c r="Z27" s="248">
        <f t="shared" si="2"/>
        <v>5.2867514941575655E-2</v>
      </c>
      <c r="AA27" s="248">
        <f t="shared" si="3"/>
        <v>8.8873579872679573E-4</v>
      </c>
      <c r="AC27" s="69">
        <f t="shared" si="4"/>
        <v>343429.26099451835</v>
      </c>
      <c r="AD27" s="223">
        <f t="shared" si="5"/>
        <v>0.12207569752354175</v>
      </c>
      <c r="AE27" s="223">
        <f t="shared" si="6"/>
        <v>0</v>
      </c>
      <c r="AF27" s="69">
        <f t="shared" si="7"/>
        <v>343429.38307021587</v>
      </c>
      <c r="AG27" s="69"/>
      <c r="AH27" s="223">
        <f t="shared" si="8"/>
        <v>1689.3830702158705</v>
      </c>
      <c r="AI27" s="223"/>
      <c r="AJ27" s="223">
        <f t="shared" si="9"/>
        <v>1689.3830702158705</v>
      </c>
      <c r="AK27" s="223">
        <f t="shared" si="10"/>
        <v>2912.6916487955182</v>
      </c>
      <c r="AM27" s="48">
        <f t="shared" si="0"/>
        <v>0</v>
      </c>
    </row>
    <row r="28" spans="1:39" x14ac:dyDescent="0.25">
      <c r="A28" s="244">
        <v>25</v>
      </c>
      <c r="B28" s="10" t="s">
        <v>72</v>
      </c>
      <c r="C28" s="4" t="s">
        <v>73</v>
      </c>
      <c r="D28" s="4" t="s">
        <v>74</v>
      </c>
      <c r="E28" s="4" t="s">
        <v>75</v>
      </c>
      <c r="F28" s="245">
        <v>519117.57979195454</v>
      </c>
      <c r="G28" s="245">
        <v>175431.34680375853</v>
      </c>
      <c r="H28" s="245">
        <v>694548.92659571301</v>
      </c>
      <c r="I28" s="245">
        <v>566567.54444987886</v>
      </c>
      <c r="J28" s="75">
        <v>0.22588901076234524</v>
      </c>
      <c r="K28" s="245"/>
      <c r="L28" s="75">
        <v>4.9899049787031302E-2</v>
      </c>
      <c r="M28" s="54">
        <v>-1.2736507926734629E-2</v>
      </c>
      <c r="N28" s="245">
        <v>717717.96816950373</v>
      </c>
      <c r="O28" s="245">
        <v>408.38884092314009</v>
      </c>
      <c r="P28" s="75">
        <v>0.20657572569697602</v>
      </c>
      <c r="Q28" s="75">
        <v>3.3358400951466916E-2</v>
      </c>
      <c r="R28" s="245">
        <v>189256.27194129393</v>
      </c>
      <c r="S28" s="245">
        <v>528461.69622820977</v>
      </c>
      <c r="T28" s="245">
        <v>299.78075254982178</v>
      </c>
      <c r="U28" s="75">
        <v>1.8000000000000016E-2</v>
      </c>
      <c r="W28" s="54">
        <v>-1.1832180180451207E-2</v>
      </c>
      <c r="X28" s="245">
        <f t="shared" si="1"/>
        <v>720578.15822932241</v>
      </c>
      <c r="Z28" s="54">
        <f t="shared" si="2"/>
        <v>5.5078272284764085E-2</v>
      </c>
      <c r="AA28" s="54">
        <f t="shared" si="3"/>
        <v>-1.2736507926734629E-2</v>
      </c>
      <c r="AC28" s="69">
        <f t="shared" si="4"/>
        <v>723470.12413910823</v>
      </c>
      <c r="AD28" s="223">
        <f t="shared" si="5"/>
        <v>-2200.7486078883521</v>
      </c>
      <c r="AE28" s="223">
        <f t="shared" si="6"/>
        <v>-3551.4073617160843</v>
      </c>
      <c r="AF28" s="69">
        <f t="shared" si="7"/>
        <v>717717.96816950385</v>
      </c>
      <c r="AG28" s="69"/>
      <c r="AH28" s="223">
        <f t="shared" si="8"/>
        <v>3551.4073617160843</v>
      </c>
      <c r="AI28" s="223"/>
      <c r="AJ28" s="223">
        <f t="shared" si="9"/>
        <v>0</v>
      </c>
      <c r="AK28" s="223">
        <f t="shared" si="10"/>
        <v>-662.69452088435457</v>
      </c>
      <c r="AM28" s="48">
        <f t="shared" si="0"/>
        <v>1056.9233924564196</v>
      </c>
    </row>
    <row r="29" spans="1:39" x14ac:dyDescent="0.25">
      <c r="A29" s="244">
        <v>26</v>
      </c>
      <c r="B29" s="13" t="s">
        <v>72</v>
      </c>
      <c r="C29" s="14" t="s">
        <v>73</v>
      </c>
      <c r="D29" s="4" t="s">
        <v>76</v>
      </c>
      <c r="E29" s="4" t="s">
        <v>77</v>
      </c>
      <c r="F29" s="245">
        <v>587091.44454259949</v>
      </c>
      <c r="G29" s="245">
        <v>190385.26054006696</v>
      </c>
      <c r="H29" s="245">
        <v>777476.70508266648</v>
      </c>
      <c r="I29" s="245">
        <v>762851.98649754655</v>
      </c>
      <c r="J29" s="75">
        <v>1.917110900145369E-2</v>
      </c>
      <c r="K29" s="245"/>
      <c r="L29" s="75">
        <v>5.0852225633180703E-2</v>
      </c>
      <c r="M29" s="54">
        <v>-7.7999999999999996E-3</v>
      </c>
      <c r="N29" s="245">
        <v>804261.91722753015</v>
      </c>
      <c r="O29" s="245">
        <v>339.84956293065238</v>
      </c>
      <c r="P29" s="75">
        <v>3.2647996828214509E-3</v>
      </c>
      <c r="Q29" s="75">
        <v>3.4451465837829431E-2</v>
      </c>
      <c r="R29" s="245">
        <v>206602.82668316385</v>
      </c>
      <c r="S29" s="245">
        <v>597659.09054436628</v>
      </c>
      <c r="T29" s="245">
        <v>250.56027423151346</v>
      </c>
      <c r="U29" s="75">
        <v>1.8000000000000016E-2</v>
      </c>
      <c r="W29" s="54">
        <v>-8.6999999999999994E-3</v>
      </c>
      <c r="X29" s="245">
        <f t="shared" si="1"/>
        <v>809905.11171861971</v>
      </c>
      <c r="Z29" s="54">
        <f t="shared" si="2"/>
        <v>5.6031448130913486E-2</v>
      </c>
      <c r="AA29" s="54">
        <f t="shared" si="3"/>
        <v>-7.7999999999999996E-3</v>
      </c>
      <c r="AC29" s="69">
        <f t="shared" si="4"/>
        <v>814635.73992059857</v>
      </c>
      <c r="AD29" s="223">
        <f t="shared" si="5"/>
        <v>-6378.5063044122653</v>
      </c>
      <c r="AE29" s="223">
        <f t="shared" si="6"/>
        <v>-3995.3163886563689</v>
      </c>
      <c r="AF29" s="69">
        <f t="shared" si="7"/>
        <v>804261.91722752992</v>
      </c>
      <c r="AG29" s="69"/>
      <c r="AH29" s="223">
        <f t="shared" si="8"/>
        <v>3995.3163886563689</v>
      </c>
      <c r="AI29" s="223"/>
      <c r="AJ29" s="223">
        <f t="shared" si="9"/>
        <v>0</v>
      </c>
      <c r="AK29" s="223">
        <f t="shared" si="10"/>
        <v>738.93586568084925</v>
      </c>
      <c r="AM29" s="48">
        <f t="shared" si="0"/>
        <v>1195.3181810887327</v>
      </c>
    </row>
    <row r="30" spans="1:39" x14ac:dyDescent="0.25">
      <c r="A30" s="244">
        <v>27</v>
      </c>
      <c r="B30" s="13" t="s">
        <v>72</v>
      </c>
      <c r="C30" s="14" t="s">
        <v>73</v>
      </c>
      <c r="D30" s="4" t="s">
        <v>78</v>
      </c>
      <c r="E30" s="4" t="s">
        <v>79</v>
      </c>
      <c r="F30" s="245">
        <v>618903.41749570286</v>
      </c>
      <c r="G30" s="245">
        <v>222666.03533366945</v>
      </c>
      <c r="H30" s="245">
        <v>841569.45282937237</v>
      </c>
      <c r="I30" s="245">
        <v>855946.08207718923</v>
      </c>
      <c r="J30" s="75">
        <v>-1.6796185587914625E-2</v>
      </c>
      <c r="K30" s="245"/>
      <c r="L30" s="75">
        <v>4.750155113525234E-2</v>
      </c>
      <c r="M30" s="54">
        <v>2.4809727604009298E-4</v>
      </c>
      <c r="N30" s="245">
        <v>881764</v>
      </c>
      <c r="O30" s="245">
        <v>317.82772856727416</v>
      </c>
      <c r="P30" s="75">
        <v>-1.6552273486041713E-2</v>
      </c>
      <c r="Q30" s="75">
        <v>4.7761414147688974E-2</v>
      </c>
      <c r="R30" s="245">
        <v>242816.76531323575</v>
      </c>
      <c r="S30" s="245">
        <v>638947.23468676419</v>
      </c>
      <c r="T30" s="245">
        <v>230.30555599325365</v>
      </c>
      <c r="U30" s="75">
        <v>3.2386017954409763E-2</v>
      </c>
      <c r="W30" s="54">
        <v>-7.6E-3</v>
      </c>
      <c r="X30" s="245">
        <f t="shared" si="1"/>
        <v>874845.56289188936</v>
      </c>
      <c r="Z30" s="54">
        <f t="shared" si="2"/>
        <v>5.2680773632985123E-2</v>
      </c>
      <c r="AA30" s="54">
        <f t="shared" si="3"/>
        <v>2.4809727604009298E-4</v>
      </c>
      <c r="AC30" s="69">
        <f t="shared" si="4"/>
        <v>886123.77303524525</v>
      </c>
      <c r="AD30" s="223">
        <f t="shared" si="5"/>
        <v>-1.621624210383743E-2</v>
      </c>
      <c r="AE30" s="223">
        <f t="shared" si="6"/>
        <v>0</v>
      </c>
      <c r="AF30" s="69">
        <f t="shared" si="7"/>
        <v>886123.75681900315</v>
      </c>
      <c r="AG30" s="69"/>
      <c r="AH30" s="223">
        <f t="shared" si="8"/>
        <v>4359.756819003228</v>
      </c>
      <c r="AI30" s="223"/>
      <c r="AJ30" s="223">
        <f t="shared" si="9"/>
        <v>4359.756819003228</v>
      </c>
      <c r="AK30" s="223">
        <f t="shared" si="10"/>
        <v>6952.6606332279425</v>
      </c>
      <c r="AM30" s="48">
        <f t="shared" si="0"/>
        <v>0</v>
      </c>
    </row>
    <row r="31" spans="1:39" x14ac:dyDescent="0.25">
      <c r="A31" s="244">
        <v>28</v>
      </c>
      <c r="B31" s="13" t="s">
        <v>72</v>
      </c>
      <c r="C31" s="14" t="s">
        <v>73</v>
      </c>
      <c r="D31" s="4" t="s">
        <v>80</v>
      </c>
      <c r="E31" s="4" t="s">
        <v>81</v>
      </c>
      <c r="F31" s="245">
        <v>662181.49835869868</v>
      </c>
      <c r="G31" s="245">
        <v>200634.77557067154</v>
      </c>
      <c r="H31" s="245">
        <v>862816.27392937022</v>
      </c>
      <c r="I31" s="245">
        <v>689332.83993470273</v>
      </c>
      <c r="J31" s="75">
        <v>0.25166860469189412</v>
      </c>
      <c r="K31" s="245"/>
      <c r="L31" s="75">
        <v>4.9596879983528908E-2</v>
      </c>
      <c r="M31" s="54">
        <v>-1.3848065873945702E-2</v>
      </c>
      <c r="N31" s="245">
        <v>890240.54433287994</v>
      </c>
      <c r="O31" s="245">
        <v>430.7322400976542</v>
      </c>
      <c r="P31" s="75">
        <v>0.23042704836034988</v>
      </c>
      <c r="Q31" s="75">
        <v>3.1784600305017952E-2</v>
      </c>
      <c r="R31" s="245">
        <v>216139.77900372478</v>
      </c>
      <c r="S31" s="245">
        <v>674100.76532915526</v>
      </c>
      <c r="T31" s="245">
        <v>325.12298358217981</v>
      </c>
      <c r="U31" s="75">
        <v>1.8000000000000016E-2</v>
      </c>
      <c r="W31" s="54">
        <v>-1.2978007348500567E-2</v>
      </c>
      <c r="X31" s="245">
        <f t="shared" si="1"/>
        <v>893856.26536583249</v>
      </c>
      <c r="Z31" s="54">
        <f t="shared" si="2"/>
        <v>5.477610248126169E-2</v>
      </c>
      <c r="AA31" s="54">
        <f t="shared" si="3"/>
        <v>-1.3848065873945702E-2</v>
      </c>
      <c r="AC31" s="69">
        <f>H31*(1+Z31)*(1+AA31)</f>
        <v>897475.16666414007</v>
      </c>
      <c r="AD31" s="223">
        <f t="shared" si="5"/>
        <v>-2827.7879676365992</v>
      </c>
      <c r="AE31" s="223">
        <f t="shared" si="6"/>
        <v>-4406.8343636236013</v>
      </c>
      <c r="AF31" s="69">
        <f t="shared" si="7"/>
        <v>890240.54433287983</v>
      </c>
      <c r="AG31" s="69"/>
      <c r="AH31" s="223">
        <f t="shared" si="8"/>
        <v>4406.8343636236013</v>
      </c>
      <c r="AI31" s="223"/>
      <c r="AJ31" s="223">
        <f t="shared" si="9"/>
        <v>0</v>
      </c>
      <c r="AK31" s="223">
        <f t="shared" si="10"/>
        <v>-791.82111103745638</v>
      </c>
      <c r="AM31" s="48">
        <f t="shared" si="0"/>
        <v>1348.2015306583105</v>
      </c>
    </row>
    <row r="32" spans="1:39" x14ac:dyDescent="0.25">
      <c r="A32" s="246">
        <v>29</v>
      </c>
      <c r="B32" s="15" t="s">
        <v>72</v>
      </c>
      <c r="C32" s="16" t="s">
        <v>73</v>
      </c>
      <c r="D32" s="17" t="s">
        <v>82</v>
      </c>
      <c r="E32" s="17" t="s">
        <v>83</v>
      </c>
      <c r="F32" s="247">
        <v>430252.11224097438</v>
      </c>
      <c r="G32" s="247">
        <v>134999.1129481775</v>
      </c>
      <c r="H32" s="247">
        <v>565251.22518915194</v>
      </c>
      <c r="I32" s="247">
        <v>534689.44240284723</v>
      </c>
      <c r="J32" s="78">
        <v>5.7158006802907391E-2</v>
      </c>
      <c r="K32" s="247"/>
      <c r="L32" s="78">
        <v>4.8149003676862145E-2</v>
      </c>
      <c r="M32" s="248">
        <v>-7.7999999999999996E-3</v>
      </c>
      <c r="N32" s="247">
        <v>584118.53395401046</v>
      </c>
      <c r="O32" s="247">
        <v>337.91699690213932</v>
      </c>
      <c r="P32" s="78">
        <v>4.2260674590118619E-2</v>
      </c>
      <c r="Q32" s="78">
        <v>3.3378625156530894E-2</v>
      </c>
      <c r="R32" s="247">
        <v>146121.88369269852</v>
      </c>
      <c r="S32" s="247">
        <v>437996.65026131191</v>
      </c>
      <c r="T32" s="247">
        <v>251.77769808674233</v>
      </c>
      <c r="U32" s="78">
        <v>1.8000000000000016E-2</v>
      </c>
      <c r="W32" s="248">
        <v>-8.6999999999999994E-3</v>
      </c>
      <c r="X32" s="247">
        <f t="shared" si="1"/>
        <v>587313.04118510569</v>
      </c>
      <c r="Z32" s="248">
        <f t="shared" si="2"/>
        <v>5.3328226174594928E-2</v>
      </c>
      <c r="AA32" s="248">
        <f t="shared" si="3"/>
        <v>-7.7999999999999996E-3</v>
      </c>
      <c r="AC32" s="69">
        <f t="shared" si="4"/>
        <v>590750.98882260814</v>
      </c>
      <c r="AD32" s="223">
        <f t="shared" si="5"/>
        <v>-3727.7279887534678</v>
      </c>
      <c r="AE32" s="223">
        <f t="shared" si="6"/>
        <v>-2904.7268798441837</v>
      </c>
      <c r="AF32" s="69">
        <f t="shared" si="7"/>
        <v>584118.53395401046</v>
      </c>
      <c r="AG32" s="69"/>
      <c r="AH32" s="223">
        <f t="shared" si="8"/>
        <v>2904.7268798441837</v>
      </c>
      <c r="AI32" s="223"/>
      <c r="AJ32" s="223">
        <f t="shared" si="9"/>
        <v>0</v>
      </c>
      <c r="AK32" s="223">
        <f t="shared" si="10"/>
        <v>535.85556333435522</v>
      </c>
      <c r="AM32" s="48">
        <f t="shared" si="0"/>
        <v>875.99330052262383</v>
      </c>
    </row>
    <row r="33" spans="1:39" x14ac:dyDescent="0.25">
      <c r="A33" s="244">
        <v>30</v>
      </c>
      <c r="B33" s="10" t="s">
        <v>84</v>
      </c>
      <c r="C33" s="4" t="s">
        <v>85</v>
      </c>
      <c r="D33" s="4" t="s">
        <v>86</v>
      </c>
      <c r="E33" s="4" t="s">
        <v>87</v>
      </c>
      <c r="F33" s="245">
        <v>408729.9822829123</v>
      </c>
      <c r="G33" s="245">
        <v>168368.60691046776</v>
      </c>
      <c r="H33" s="245">
        <v>577098.58919338009</v>
      </c>
      <c r="I33" s="245">
        <v>554768.73001401825</v>
      </c>
      <c r="J33" s="75">
        <v>4.0250753099940528E-2</v>
      </c>
      <c r="K33" s="245"/>
      <c r="L33" s="75">
        <v>4.6417551145683467E-2</v>
      </c>
      <c r="M33" s="54">
        <v>-7.7999999999999996E-3</v>
      </c>
      <c r="N33" s="245">
        <v>598026.96160672291</v>
      </c>
      <c r="O33" s="245">
        <v>306.60382500619693</v>
      </c>
      <c r="P33" s="75">
        <v>3.0157847546225192E-2</v>
      </c>
      <c r="Q33" s="75">
        <v>3.6264812989050599E-2</v>
      </c>
      <c r="R33" s="245">
        <v>181939.8396427182</v>
      </c>
      <c r="S33" s="245">
        <v>416087.12196400471</v>
      </c>
      <c r="T33" s="245">
        <v>212.91557594093192</v>
      </c>
      <c r="U33" s="75">
        <v>1.8000000000000016E-2</v>
      </c>
      <c r="W33" s="54">
        <v>-8.6999999999999994E-3</v>
      </c>
      <c r="X33" s="245">
        <f t="shared" si="1"/>
        <v>598632.28346884728</v>
      </c>
      <c r="Z33" s="54">
        <f t="shared" si="2"/>
        <v>5.1596773643416249E-2</v>
      </c>
      <c r="AA33" s="54">
        <f t="shared" si="3"/>
        <v>-7.7999999999999996E-3</v>
      </c>
      <c r="AC33" s="69">
        <f t="shared" si="4"/>
        <v>602141.38935706031</v>
      </c>
      <c r="AD33" s="223">
        <f t="shared" si="5"/>
        <v>-1148.8193453503773</v>
      </c>
      <c r="AE33" s="223">
        <f t="shared" si="6"/>
        <v>-2965.6084049870337</v>
      </c>
      <c r="AF33" s="69">
        <f t="shared" si="7"/>
        <v>598026.96160672291</v>
      </c>
      <c r="AG33" s="69"/>
      <c r="AH33" s="223">
        <f t="shared" si="8"/>
        <v>2965.6084049870337</v>
      </c>
      <c r="AI33" s="223"/>
      <c r="AJ33" s="223">
        <f t="shared" si="9"/>
        <v>0</v>
      </c>
      <c r="AK33" s="223">
        <f t="shared" si="10"/>
        <v>546.1875130229331</v>
      </c>
      <c r="AM33" s="48">
        <f t="shared" si="0"/>
        <v>832.17424392800945</v>
      </c>
    </row>
    <row r="34" spans="1:39" x14ac:dyDescent="0.25">
      <c r="A34" s="244">
        <v>31</v>
      </c>
      <c r="B34" s="13" t="s">
        <v>84</v>
      </c>
      <c r="C34" s="14" t="s">
        <v>85</v>
      </c>
      <c r="D34" s="4" t="s">
        <v>88</v>
      </c>
      <c r="E34" s="4" t="s">
        <v>89</v>
      </c>
      <c r="F34" s="245">
        <v>149682.1038893176</v>
      </c>
      <c r="G34" s="245">
        <v>73480.373885464505</v>
      </c>
      <c r="H34" s="245">
        <v>223162.47777478211</v>
      </c>
      <c r="I34" s="245">
        <v>242322.31602513581</v>
      </c>
      <c r="J34" s="75">
        <v>-7.9067576460297051E-2</v>
      </c>
      <c r="K34" s="245"/>
      <c r="L34" s="75">
        <v>4.5415789849324817E-2</v>
      </c>
      <c r="M34" s="54">
        <v>1.1679110260014369E-3</v>
      </c>
      <c r="N34" s="245">
        <v>233570</v>
      </c>
      <c r="O34" s="245">
        <v>287.03757087792013</v>
      </c>
      <c r="P34" s="75">
        <v>-7.7992201890798918E-2</v>
      </c>
      <c r="Q34" s="75">
        <v>4.6636523886068648E-2</v>
      </c>
      <c r="R34" s="245">
        <v>80044.138680234042</v>
      </c>
      <c r="S34" s="245">
        <v>153525.86131976597</v>
      </c>
      <c r="T34" s="245">
        <v>188.67016440538626</v>
      </c>
      <c r="U34" s="75">
        <v>2.5679472231968647E-2</v>
      </c>
      <c r="W34" s="54">
        <v>-7.6E-3</v>
      </c>
      <c r="X34" s="245">
        <f t="shared" si="1"/>
        <v>231524.51637510202</v>
      </c>
      <c r="Z34" s="54">
        <f t="shared" si="2"/>
        <v>5.05950123470576E-2</v>
      </c>
      <c r="AA34" s="54">
        <f t="shared" si="3"/>
        <v>1.1679110260014369E-3</v>
      </c>
      <c r="AC34" s="69">
        <f t="shared" si="4"/>
        <v>234727.20678789879</v>
      </c>
      <c r="AD34" s="223">
        <f t="shared" si="5"/>
        <v>-4.8781304067233577E-2</v>
      </c>
      <c r="AE34" s="223">
        <f t="shared" si="6"/>
        <v>0</v>
      </c>
      <c r="AF34" s="69">
        <f t="shared" si="7"/>
        <v>234727.15800659472</v>
      </c>
      <c r="AG34" s="69"/>
      <c r="AH34" s="223">
        <f t="shared" si="8"/>
        <v>1157.1580065947048</v>
      </c>
      <c r="AI34" s="223"/>
      <c r="AJ34" s="223">
        <f t="shared" si="9"/>
        <v>1157.1580065947048</v>
      </c>
      <c r="AK34" s="223">
        <f t="shared" si="10"/>
        <v>2055.6664290099152</v>
      </c>
      <c r="AM34" s="48">
        <f t="shared" si="0"/>
        <v>0</v>
      </c>
    </row>
    <row r="35" spans="1:39" x14ac:dyDescent="0.25">
      <c r="A35" s="244">
        <v>32</v>
      </c>
      <c r="B35" s="13" t="s">
        <v>84</v>
      </c>
      <c r="C35" s="14" t="s">
        <v>85</v>
      </c>
      <c r="D35" s="4" t="s">
        <v>90</v>
      </c>
      <c r="E35" s="4" t="s">
        <v>91</v>
      </c>
      <c r="F35" s="245">
        <v>423725.55508800212</v>
      </c>
      <c r="G35" s="245">
        <v>196268.45116821025</v>
      </c>
      <c r="H35" s="245">
        <v>619994.00625621236</v>
      </c>
      <c r="I35" s="245">
        <v>592484.46841431514</v>
      </c>
      <c r="J35" s="75">
        <v>4.6430816854190038E-2</v>
      </c>
      <c r="K35" s="245"/>
      <c r="L35" s="75">
        <v>4.6514811528313382E-2</v>
      </c>
      <c r="M35" s="54">
        <v>-7.7999999999999996E-3</v>
      </c>
      <c r="N35" s="245">
        <v>643460.77690428821</v>
      </c>
      <c r="O35" s="245">
        <v>332.82027545122816</v>
      </c>
      <c r="P35" s="75">
        <v>3.776669676141875E-2</v>
      </c>
      <c r="Q35" s="75">
        <v>3.7849995985893781E-2</v>
      </c>
      <c r="R35" s="245">
        <v>212108.16182470202</v>
      </c>
      <c r="S35" s="245">
        <v>431352.61507958616</v>
      </c>
      <c r="T35" s="245">
        <v>223.00270308027604</v>
      </c>
      <c r="U35" s="75">
        <v>1.8000000000000016E-2</v>
      </c>
      <c r="W35" s="54">
        <v>-8.6999999999999994E-3</v>
      </c>
      <c r="X35" s="245">
        <f t="shared" si="1"/>
        <v>643188.06428363267</v>
      </c>
      <c r="Z35" s="54">
        <f t="shared" si="2"/>
        <v>5.1694034026046165E-2</v>
      </c>
      <c r="AA35" s="54">
        <f t="shared" si="3"/>
        <v>-7.7999999999999996E-3</v>
      </c>
      <c r="AC35" s="69">
        <f t="shared" si="4"/>
        <v>646958.0543309754</v>
      </c>
      <c r="AD35" s="223">
        <f t="shared" si="5"/>
        <v>-311.2369988898281</v>
      </c>
      <c r="AE35" s="223">
        <f t="shared" si="6"/>
        <v>-3186.040427797494</v>
      </c>
      <c r="AF35" s="69">
        <f t="shared" si="7"/>
        <v>643460.7769042881</v>
      </c>
      <c r="AG35" s="69"/>
      <c r="AH35" s="223">
        <f t="shared" si="8"/>
        <v>3186.040427797494</v>
      </c>
      <c r="AI35" s="223"/>
      <c r="AJ35" s="223">
        <f t="shared" si="9"/>
        <v>0</v>
      </c>
      <c r="AK35" s="223">
        <f t="shared" si="10"/>
        <v>586.83959776040899</v>
      </c>
      <c r="AM35" s="48">
        <f t="shared" si="0"/>
        <v>862.70523015917229</v>
      </c>
    </row>
    <row r="36" spans="1:39" x14ac:dyDescent="0.25">
      <c r="A36" s="244">
        <v>33</v>
      </c>
      <c r="B36" s="13" t="s">
        <v>84</v>
      </c>
      <c r="C36" s="14" t="s">
        <v>85</v>
      </c>
      <c r="D36" s="4" t="s">
        <v>92</v>
      </c>
      <c r="E36" s="4" t="s">
        <v>93</v>
      </c>
      <c r="F36" s="245">
        <v>423289.57047475222</v>
      </c>
      <c r="G36" s="245">
        <v>190656.00150667373</v>
      </c>
      <c r="H36" s="245">
        <v>613945.57198142598</v>
      </c>
      <c r="I36" s="245">
        <v>633600.87376469444</v>
      </c>
      <c r="J36" s="75">
        <v>-3.1021582509003887E-2</v>
      </c>
      <c r="K36" s="245"/>
      <c r="L36" s="75">
        <v>4.8691780028701004E-2</v>
      </c>
      <c r="M36" s="54">
        <v>4.5822130737081411E-4</v>
      </c>
      <c r="N36" s="245">
        <v>644135</v>
      </c>
      <c r="O36" s="245">
        <v>323.6437922153612</v>
      </c>
      <c r="P36" s="75">
        <v>-3.0577118099906153E-2</v>
      </c>
      <c r="Q36" s="75">
        <v>4.9172808464342799E-2</v>
      </c>
      <c r="R36" s="245">
        <v>208189.96843086308</v>
      </c>
      <c r="S36" s="245">
        <v>435945.03156913689</v>
      </c>
      <c r="T36" s="245">
        <v>219.03933680747176</v>
      </c>
      <c r="U36" s="75">
        <v>2.9897880734908178E-2</v>
      </c>
      <c r="W36" s="54">
        <v>-7.6E-3</v>
      </c>
      <c r="X36" s="245">
        <f t="shared" si="1"/>
        <v>638946.49319405376</v>
      </c>
      <c r="Z36" s="54">
        <f t="shared" si="2"/>
        <v>5.3871002526433787E-2</v>
      </c>
      <c r="AA36" s="54">
        <f t="shared" si="3"/>
        <v>4.5822130737081411E-4</v>
      </c>
      <c r="AC36" s="69">
        <f t="shared" si="4"/>
        <v>647315.91353233205</v>
      </c>
      <c r="AD36" s="223">
        <f t="shared" si="5"/>
        <v>0.30422057118266821</v>
      </c>
      <c r="AE36" s="223">
        <f t="shared" si="6"/>
        <v>0</v>
      </c>
      <c r="AF36" s="69">
        <f t="shared" si="7"/>
        <v>647316.21775290323</v>
      </c>
      <c r="AG36" s="69"/>
      <c r="AH36" s="223">
        <f t="shared" si="8"/>
        <v>3181.2177529033129</v>
      </c>
      <c r="AI36" s="223"/>
      <c r="AJ36" s="223">
        <f t="shared" si="9"/>
        <v>3181.2177529033129</v>
      </c>
      <c r="AK36" s="223">
        <f t="shared" si="10"/>
        <v>5213.8258009515266</v>
      </c>
      <c r="AM36" s="48">
        <f t="shared" si="0"/>
        <v>0</v>
      </c>
    </row>
    <row r="37" spans="1:39" x14ac:dyDescent="0.25">
      <c r="A37" s="244">
        <v>34</v>
      </c>
      <c r="B37" s="13" t="s">
        <v>84</v>
      </c>
      <c r="C37" s="14" t="s">
        <v>85</v>
      </c>
      <c r="D37" s="4" t="s">
        <v>94</v>
      </c>
      <c r="E37" s="4" t="s">
        <v>95</v>
      </c>
      <c r="F37" s="245">
        <v>248343.14258779713</v>
      </c>
      <c r="G37" s="245">
        <v>104043.19078370059</v>
      </c>
      <c r="H37" s="245">
        <v>352386.33337149769</v>
      </c>
      <c r="I37" s="245">
        <v>353623.63679092546</v>
      </c>
      <c r="J37" s="75">
        <v>-3.4989273642906937E-3</v>
      </c>
      <c r="K37" s="245"/>
      <c r="L37" s="75">
        <v>4.4828939471693863E-2</v>
      </c>
      <c r="M37" s="54">
        <v>5.1682826651267564E-5</v>
      </c>
      <c r="N37" s="245">
        <v>368202</v>
      </c>
      <c r="O37" s="245">
        <v>326.28155212101467</v>
      </c>
      <c r="P37" s="75">
        <v>-3.4486913310440848E-3</v>
      </c>
      <c r="Q37" s="75">
        <v>4.4881611829789447E-2</v>
      </c>
      <c r="R37" s="245">
        <v>113146.99943317592</v>
      </c>
      <c r="S37" s="245">
        <v>255055.00056682405</v>
      </c>
      <c r="T37" s="245">
        <v>226.0165383707031</v>
      </c>
      <c r="U37" s="75">
        <v>2.7026548464707645E-2</v>
      </c>
      <c r="W37" s="54">
        <v>-7.6E-3</v>
      </c>
      <c r="X37" s="245">
        <f t="shared" si="1"/>
        <v>365385.24484460615</v>
      </c>
      <c r="Z37" s="54">
        <f t="shared" si="2"/>
        <v>5.0008161969426645E-2</v>
      </c>
      <c r="AA37" s="54">
        <f t="shared" si="3"/>
        <v>5.1682826651267564E-5</v>
      </c>
      <c r="AC37" s="69">
        <f t="shared" si="4"/>
        <v>370027.6492930713</v>
      </c>
      <c r="AD37" s="223">
        <f t="shared" si="5"/>
        <v>-0.46774171339347959</v>
      </c>
      <c r="AE37" s="223">
        <f t="shared" si="6"/>
        <v>0</v>
      </c>
      <c r="AF37" s="69">
        <f t="shared" si="7"/>
        <v>370027.18155135791</v>
      </c>
      <c r="AG37" s="69"/>
      <c r="AH37" s="223">
        <f t="shared" si="8"/>
        <v>1825.181551357934</v>
      </c>
      <c r="AI37" s="223"/>
      <c r="AJ37" s="223">
        <f t="shared" si="9"/>
        <v>1825.181551357934</v>
      </c>
      <c r="AK37" s="223">
        <f t="shared" si="10"/>
        <v>2831.1878856892185</v>
      </c>
      <c r="AM37" s="48">
        <f t="shared" si="0"/>
        <v>0</v>
      </c>
    </row>
    <row r="38" spans="1:39" x14ac:dyDescent="0.25">
      <c r="A38" s="246">
        <v>35</v>
      </c>
      <c r="B38" s="15" t="s">
        <v>84</v>
      </c>
      <c r="C38" s="16" t="s">
        <v>85</v>
      </c>
      <c r="D38" s="17" t="s">
        <v>96</v>
      </c>
      <c r="E38" s="17" t="s">
        <v>97</v>
      </c>
      <c r="F38" s="247">
        <v>390439.27085392177</v>
      </c>
      <c r="G38" s="247">
        <v>200540.12730084799</v>
      </c>
      <c r="H38" s="247">
        <v>590979.39815476979</v>
      </c>
      <c r="I38" s="247">
        <v>576261.67009925761</v>
      </c>
      <c r="J38" s="78">
        <v>2.5540008678656578E-2</v>
      </c>
      <c r="K38" s="247"/>
      <c r="L38" s="78">
        <v>4.8592455642142873E-2</v>
      </c>
      <c r="M38" s="248">
        <v>-7.7999999999999996E-3</v>
      </c>
      <c r="N38" s="247">
        <v>614622.05944598129</v>
      </c>
      <c r="O38" s="247">
        <v>334.57682096478987</v>
      </c>
      <c r="P38" s="78">
        <v>1.7142219095930056E-2</v>
      </c>
      <c r="Q38" s="78">
        <v>4.0005897608328844E-2</v>
      </c>
      <c r="R38" s="247">
        <v>217154.88171668892</v>
      </c>
      <c r="S38" s="247">
        <v>397467.17772929237</v>
      </c>
      <c r="T38" s="247">
        <v>216.28119558749469</v>
      </c>
      <c r="U38" s="78">
        <v>1.8000000000000016E-2</v>
      </c>
      <c r="W38" s="248">
        <v>-8.6999999999999994E-3</v>
      </c>
      <c r="X38" s="247">
        <f t="shared" si="1"/>
        <v>614305.17846142396</v>
      </c>
      <c r="Z38" s="248">
        <f t="shared" si="2"/>
        <v>5.3771678139875656E-2</v>
      </c>
      <c r="AA38" s="248">
        <f t="shared" si="3"/>
        <v>-7.7999999999999996E-3</v>
      </c>
      <c r="AC38" s="69">
        <f t="shared" si="4"/>
        <v>617899.84479295625</v>
      </c>
      <c r="AD38" s="223">
        <f t="shared" si="5"/>
        <v>-240.84589995327406</v>
      </c>
      <c r="AE38" s="223">
        <f t="shared" si="6"/>
        <v>-3036.9394470217294</v>
      </c>
      <c r="AF38" s="69">
        <f t="shared" si="7"/>
        <v>614622.05944598129</v>
      </c>
      <c r="AG38" s="69"/>
      <c r="AH38" s="223">
        <f t="shared" si="8"/>
        <v>3036.9394470217294</v>
      </c>
      <c r="AI38" s="223"/>
      <c r="AJ38" s="223">
        <f t="shared" si="9"/>
        <v>0</v>
      </c>
      <c r="AK38" s="223">
        <f t="shared" si="10"/>
        <v>560.48161692568078</v>
      </c>
      <c r="AM38" s="48">
        <f t="shared" si="0"/>
        <v>794.93435545858472</v>
      </c>
    </row>
    <row r="39" spans="1:39" x14ac:dyDescent="0.25">
      <c r="A39" s="244">
        <v>36</v>
      </c>
      <c r="B39" s="10" t="s">
        <v>98</v>
      </c>
      <c r="C39" s="4" t="s">
        <v>99</v>
      </c>
      <c r="D39" s="4" t="s">
        <v>100</v>
      </c>
      <c r="E39" s="4" t="s">
        <v>101</v>
      </c>
      <c r="F39" s="245">
        <v>188664.90512205023</v>
      </c>
      <c r="G39" s="245">
        <v>95992.245448609654</v>
      </c>
      <c r="H39" s="245">
        <v>284657.1505706599</v>
      </c>
      <c r="I39" s="245">
        <v>297455.51604424382</v>
      </c>
      <c r="J39" s="75">
        <v>-4.3026149401379055E-2</v>
      </c>
      <c r="K39" s="245"/>
      <c r="L39" s="75">
        <v>4.9134287250760078E-2</v>
      </c>
      <c r="M39" s="54">
        <v>6.3554135009422541E-4</v>
      </c>
      <c r="N39" s="245">
        <v>298833</v>
      </c>
      <c r="O39" s="245">
        <v>301.25901731109167</v>
      </c>
      <c r="P39" s="75">
        <v>-4.241916138178814E-2</v>
      </c>
      <c r="Q39" s="75">
        <v>4.9799730661679753E-2</v>
      </c>
      <c r="R39" s="245">
        <v>104882.95145672037</v>
      </c>
      <c r="S39" s="245">
        <v>193950.04854327964</v>
      </c>
      <c r="T39" s="245">
        <v>195.52459410970997</v>
      </c>
      <c r="U39" s="75">
        <v>2.8013389230023389E-2</v>
      </c>
      <c r="W39" s="54">
        <v>-7.6E-3</v>
      </c>
      <c r="X39" s="245">
        <f t="shared" si="1"/>
        <v>296373.88559129322</v>
      </c>
      <c r="Z39" s="54">
        <f t="shared" si="2"/>
        <v>5.4313509748492861E-2</v>
      </c>
      <c r="AA39" s="54">
        <f t="shared" si="3"/>
        <v>6.3554135009422541E-4</v>
      </c>
      <c r="AC39" s="69">
        <f t="shared" si="4"/>
        <v>300308.61681547813</v>
      </c>
      <c r="AD39" s="223">
        <f t="shared" si="5"/>
        <v>-0.37711676198523492</v>
      </c>
      <c r="AE39" s="223">
        <f t="shared" si="6"/>
        <v>0</v>
      </c>
      <c r="AF39" s="69">
        <f t="shared" si="7"/>
        <v>300308.23969871615</v>
      </c>
      <c r="AG39" s="69"/>
      <c r="AH39" s="223">
        <f t="shared" si="8"/>
        <v>1475.2396987161544</v>
      </c>
      <c r="AI39" s="223"/>
      <c r="AJ39" s="223">
        <f t="shared" si="9"/>
        <v>1475.2396987161544</v>
      </c>
      <c r="AK39" s="223">
        <f t="shared" si="10"/>
        <v>2471.6332064684952</v>
      </c>
      <c r="AM39" s="48">
        <f t="shared" si="0"/>
        <v>0</v>
      </c>
    </row>
    <row r="40" spans="1:39" x14ac:dyDescent="0.25">
      <c r="A40" s="244">
        <v>37</v>
      </c>
      <c r="B40" s="13" t="s">
        <v>98</v>
      </c>
      <c r="C40" s="14" t="s">
        <v>99</v>
      </c>
      <c r="D40" s="4" t="s">
        <v>102</v>
      </c>
      <c r="E40" s="4" t="s">
        <v>103</v>
      </c>
      <c r="F40" s="245">
        <v>281613.19586086075</v>
      </c>
      <c r="G40" s="245">
        <v>94566.573520020524</v>
      </c>
      <c r="H40" s="245">
        <v>376179.76938088128</v>
      </c>
      <c r="I40" s="245">
        <v>317436.33654626424</v>
      </c>
      <c r="J40" s="75">
        <v>0.18505579252126858</v>
      </c>
      <c r="K40" s="245"/>
      <c r="L40" s="75">
        <v>4.6949407263728427E-2</v>
      </c>
      <c r="M40" s="54">
        <v>-1.097587165099996E-2</v>
      </c>
      <c r="N40" s="245">
        <v>388595.80956282374</v>
      </c>
      <c r="O40" s="245">
        <v>362.35899510660784</v>
      </c>
      <c r="P40" s="75">
        <v>0.16927261740515442</v>
      </c>
      <c r="Q40" s="75">
        <v>3.3005603151857077E-2</v>
      </c>
      <c r="R40" s="245">
        <v>101913.57617646745</v>
      </c>
      <c r="S40" s="245">
        <v>286682.23338635627</v>
      </c>
      <c r="T40" s="245">
        <v>266.69341597769056</v>
      </c>
      <c r="U40" s="75">
        <v>1.8000000000000016E-2</v>
      </c>
      <c r="W40" s="54">
        <v>-1.165896439544725E-2</v>
      </c>
      <c r="X40" s="245">
        <f t="shared" si="1"/>
        <v>389249.40620614705</v>
      </c>
      <c r="Z40" s="54">
        <f t="shared" si="2"/>
        <v>5.2128629761461209E-2</v>
      </c>
      <c r="AA40" s="54">
        <f t="shared" si="3"/>
        <v>-1.097587165099996E-2</v>
      </c>
      <c r="AC40" s="69">
        <f t="shared" si="4"/>
        <v>391445.370491674</v>
      </c>
      <c r="AD40" s="223">
        <f t="shared" si="5"/>
        <v>-922.62670033919858</v>
      </c>
      <c r="AE40" s="223">
        <f t="shared" si="6"/>
        <v>-1926.9342285110813</v>
      </c>
      <c r="AF40" s="69">
        <f t="shared" si="7"/>
        <v>388595.80956282374</v>
      </c>
      <c r="AG40" s="69"/>
      <c r="AH40" s="223">
        <f t="shared" si="8"/>
        <v>1926.9342285110813</v>
      </c>
      <c r="AI40" s="223"/>
      <c r="AJ40" s="223">
        <f t="shared" si="9"/>
        <v>0</v>
      </c>
      <c r="AK40" s="223">
        <f t="shared" si="10"/>
        <v>270.36093940064916</v>
      </c>
      <c r="AM40" s="48">
        <f t="shared" si="0"/>
        <v>573.36446677271249</v>
      </c>
    </row>
    <row r="41" spans="1:39" x14ac:dyDescent="0.25">
      <c r="A41" s="244">
        <v>38</v>
      </c>
      <c r="B41" s="13" t="s">
        <v>98</v>
      </c>
      <c r="C41" s="14" t="s">
        <v>99</v>
      </c>
      <c r="D41" s="4" t="s">
        <v>104</v>
      </c>
      <c r="E41" s="4" t="s">
        <v>105</v>
      </c>
      <c r="F41" s="245">
        <v>136301.59114967679</v>
      </c>
      <c r="G41" s="245">
        <v>67498.305403613427</v>
      </c>
      <c r="H41" s="245">
        <v>203799.89655329022</v>
      </c>
      <c r="I41" s="245">
        <v>219997.59560761249</v>
      </c>
      <c r="J41" s="75">
        <v>-7.3626709462827344E-2</v>
      </c>
      <c r="K41" s="245"/>
      <c r="L41" s="75">
        <v>5.1933369491447889E-2</v>
      </c>
      <c r="M41" s="54">
        <v>1.08754371436968E-3</v>
      </c>
      <c r="N41" s="245">
        <v>214617</v>
      </c>
      <c r="O41" s="245">
        <v>352.93530613327312</v>
      </c>
      <c r="P41" s="75">
        <v>-7.2619513522864665E-2</v>
      </c>
      <c r="Q41" s="75">
        <v>5.3077080163685508E-2</v>
      </c>
      <c r="R41" s="245">
        <v>73980.169596780746</v>
      </c>
      <c r="S41" s="245">
        <v>140636.83040321924</v>
      </c>
      <c r="T41" s="245">
        <v>231.27572742128251</v>
      </c>
      <c r="U41" s="75">
        <v>3.1806226302830032E-2</v>
      </c>
      <c r="W41" s="54">
        <v>-7.6E-3</v>
      </c>
      <c r="X41" s="245">
        <f t="shared" si="1"/>
        <v>212754.59415299795</v>
      </c>
      <c r="Z41" s="54">
        <f t="shared" si="2"/>
        <v>5.7112591989180672E-2</v>
      </c>
      <c r="AA41" s="54">
        <f t="shared" si="3"/>
        <v>1.08754371436968E-3</v>
      </c>
      <c r="AC41" s="69">
        <f t="shared" si="4"/>
        <v>215673.73669799534</v>
      </c>
      <c r="AD41" s="223">
        <f t="shared" si="5"/>
        <v>-6.3759141776245087E-2</v>
      </c>
      <c r="AE41" s="223">
        <f t="shared" si="6"/>
        <v>0</v>
      </c>
      <c r="AF41" s="69">
        <f t="shared" si="7"/>
        <v>215673.67293885356</v>
      </c>
      <c r="AG41" s="69"/>
      <c r="AH41" s="223">
        <f t="shared" si="8"/>
        <v>1056.6729388536</v>
      </c>
      <c r="AI41" s="223"/>
      <c r="AJ41" s="223">
        <f t="shared" si="9"/>
        <v>1056.6729388536</v>
      </c>
      <c r="AK41" s="223">
        <f t="shared" si="10"/>
        <v>1871.6395258034377</v>
      </c>
      <c r="AM41" s="48">
        <f t="shared" si="0"/>
        <v>0</v>
      </c>
    </row>
    <row r="42" spans="1:39" x14ac:dyDescent="0.25">
      <c r="A42" s="244">
        <v>39</v>
      </c>
      <c r="B42" s="13" t="s">
        <v>98</v>
      </c>
      <c r="C42" s="14" t="s">
        <v>99</v>
      </c>
      <c r="D42" s="4" t="s">
        <v>106</v>
      </c>
      <c r="E42" s="4" t="s">
        <v>107</v>
      </c>
      <c r="F42" s="245">
        <v>289635.69871315442</v>
      </c>
      <c r="G42" s="245">
        <v>142851.75928993348</v>
      </c>
      <c r="H42" s="245">
        <v>432487.4580030879</v>
      </c>
      <c r="I42" s="245">
        <v>414632.16863335361</v>
      </c>
      <c r="J42" s="75">
        <v>4.3062962115520742E-2</v>
      </c>
      <c r="K42" s="245"/>
      <c r="L42" s="75">
        <v>4.9728409781172545E-2</v>
      </c>
      <c r="M42" s="54">
        <v>-7.7999999999999996E-3</v>
      </c>
      <c r="N42" s="245">
        <v>449703.64891895751</v>
      </c>
      <c r="O42" s="245">
        <v>349.84747145571043</v>
      </c>
      <c r="P42" s="75">
        <v>3.3204923938927378E-2</v>
      </c>
      <c r="Q42" s="75">
        <v>3.9807376138400574E-2</v>
      </c>
      <c r="R42" s="245">
        <v>154854.5076289663</v>
      </c>
      <c r="S42" s="245">
        <v>294849.14128999121</v>
      </c>
      <c r="T42" s="245">
        <v>228.99664680042301</v>
      </c>
      <c r="U42" s="75">
        <v>1.8000000000000016E-2</v>
      </c>
      <c r="W42" s="54">
        <v>-8.6999999999999994E-3</v>
      </c>
      <c r="X42" s="245">
        <f t="shared" si="1"/>
        <v>450044.62050748611</v>
      </c>
      <c r="Z42" s="54">
        <f t="shared" si="2"/>
        <v>5.4907632278905327E-2</v>
      </c>
      <c r="AA42" s="54">
        <f t="shared" si="3"/>
        <v>-7.7999999999999996E-3</v>
      </c>
      <c r="AC42" s="69">
        <f t="shared" si="4"/>
        <v>452675.69261392351</v>
      </c>
      <c r="AD42" s="223">
        <f t="shared" si="5"/>
        <v>-749.56652291445062</v>
      </c>
      <c r="AE42" s="223">
        <f t="shared" si="6"/>
        <v>-2222.4771720515355</v>
      </c>
      <c r="AF42" s="69">
        <f t="shared" si="7"/>
        <v>449703.64891895751</v>
      </c>
      <c r="AG42" s="69"/>
      <c r="AH42" s="223">
        <f t="shared" si="8"/>
        <v>2222.4771720515355</v>
      </c>
      <c r="AI42" s="223"/>
      <c r="AJ42" s="223">
        <f t="shared" si="9"/>
        <v>0</v>
      </c>
      <c r="AK42" s="223">
        <f t="shared" si="10"/>
        <v>410.61088828112383</v>
      </c>
      <c r="AM42" s="48">
        <f t="shared" si="0"/>
        <v>589.69828257998245</v>
      </c>
    </row>
    <row r="43" spans="1:39" x14ac:dyDescent="0.25">
      <c r="A43" s="244">
        <v>40</v>
      </c>
      <c r="B43" s="13" t="s">
        <v>98</v>
      </c>
      <c r="C43" s="14" t="s">
        <v>99</v>
      </c>
      <c r="D43" s="4" t="s">
        <v>108</v>
      </c>
      <c r="E43" s="4" t="s">
        <v>109</v>
      </c>
      <c r="F43" s="245">
        <v>152458.84586998943</v>
      </c>
      <c r="G43" s="245">
        <v>87119.611503117019</v>
      </c>
      <c r="H43" s="245">
        <v>239578.45737310644</v>
      </c>
      <c r="I43" s="245">
        <v>268255.03526958398</v>
      </c>
      <c r="J43" s="75">
        <v>-0.10690042730291682</v>
      </c>
      <c r="K43" s="245"/>
      <c r="L43" s="75">
        <v>4.6856928029370026E-2</v>
      </c>
      <c r="M43" s="54">
        <v>1.5790314224950772E-3</v>
      </c>
      <c r="N43" s="245">
        <v>251200.00000000003</v>
      </c>
      <c r="O43" s="245">
        <v>304.82497023257361</v>
      </c>
      <c r="P43" s="75">
        <v>-0.10549160473896924</v>
      </c>
      <c r="Q43" s="75">
        <v>4.8508295588508776E-2</v>
      </c>
      <c r="R43" s="245">
        <v>95071.444650463265</v>
      </c>
      <c r="S43" s="245">
        <v>156128.55534953676</v>
      </c>
      <c r="T43" s="245">
        <v>189.45812992387445</v>
      </c>
      <c r="U43" s="75">
        <v>2.4070164368663161E-2</v>
      </c>
      <c r="W43" s="54">
        <v>-7.6E-3</v>
      </c>
      <c r="X43" s="245">
        <f t="shared" si="1"/>
        <v>248898.25471152764</v>
      </c>
      <c r="Z43" s="54">
        <f t="shared" si="2"/>
        <v>5.2036150527102809E-2</v>
      </c>
      <c r="AA43" s="54">
        <f t="shared" si="3"/>
        <v>1.5790314224950772E-3</v>
      </c>
      <c r="AC43" s="69">
        <f t="shared" si="4"/>
        <v>252443.18533162499</v>
      </c>
      <c r="AD43" s="223">
        <f t="shared" si="5"/>
        <v>-0.39588545070728287</v>
      </c>
      <c r="AE43" s="223">
        <f t="shared" si="6"/>
        <v>0</v>
      </c>
      <c r="AF43" s="69">
        <f t="shared" si="7"/>
        <v>252442.78944617428</v>
      </c>
      <c r="AG43" s="69"/>
      <c r="AH43" s="223">
        <f t="shared" si="8"/>
        <v>1242.7894461742601</v>
      </c>
      <c r="AI43" s="223"/>
      <c r="AJ43" s="223">
        <f t="shared" si="9"/>
        <v>1242.7894461742601</v>
      </c>
      <c r="AK43" s="223">
        <f t="shared" si="10"/>
        <v>2313.5307927350959</v>
      </c>
      <c r="AM43" s="48">
        <f t="shared" si="0"/>
        <v>0</v>
      </c>
    </row>
    <row r="44" spans="1:39" x14ac:dyDescent="0.25">
      <c r="A44" s="244">
        <v>41</v>
      </c>
      <c r="B44" s="13" t="s">
        <v>98</v>
      </c>
      <c r="C44" s="14" t="s">
        <v>99</v>
      </c>
      <c r="D44" s="4" t="s">
        <v>110</v>
      </c>
      <c r="E44" s="4" t="s">
        <v>111</v>
      </c>
      <c r="F44" s="245">
        <v>140329.77799926963</v>
      </c>
      <c r="G44" s="245">
        <v>68805.700524776519</v>
      </c>
      <c r="H44" s="245">
        <v>209135.47852404614</v>
      </c>
      <c r="I44" s="245">
        <v>203161.48164592529</v>
      </c>
      <c r="J44" s="75">
        <v>2.940516494427059E-2</v>
      </c>
      <c r="K44" s="245"/>
      <c r="L44" s="75">
        <v>5.031363608854722E-2</v>
      </c>
      <c r="M44" s="54">
        <v>-7.7999999999999996E-3</v>
      </c>
      <c r="N44" s="245">
        <v>217484.41956277133</v>
      </c>
      <c r="O44" s="245">
        <v>318.30187259386668</v>
      </c>
      <c r="P44" s="75">
        <v>1.9219618180946085E-2</v>
      </c>
      <c r="Q44" s="75">
        <v>3.9921208480010462E-2</v>
      </c>
      <c r="R44" s="245">
        <v>74628.705559514827</v>
      </c>
      <c r="S44" s="245">
        <v>142855.71400325649</v>
      </c>
      <c r="T44" s="245">
        <v>208.63631318897154</v>
      </c>
      <c r="U44" s="75">
        <v>1.8000000000000016E-2</v>
      </c>
      <c r="W44" s="54">
        <v>-8.6999999999999994E-3</v>
      </c>
      <c r="X44" s="245">
        <f t="shared" si="1"/>
        <v>217746.82163322091</v>
      </c>
      <c r="Z44" s="54">
        <f t="shared" si="2"/>
        <v>5.5492858586280003E-2</v>
      </c>
      <c r="AA44" s="54">
        <f t="shared" si="3"/>
        <v>-7.7999999999999996E-3</v>
      </c>
      <c r="AC44" s="69">
        <f t="shared" si="4"/>
        <v>219019.2242274936</v>
      </c>
      <c r="AD44" s="223">
        <f t="shared" si="5"/>
        <v>-460.09413084492553</v>
      </c>
      <c r="AE44" s="223">
        <f t="shared" si="6"/>
        <v>-1074.7105338773733</v>
      </c>
      <c r="AF44" s="69">
        <f t="shared" si="7"/>
        <v>217484.41956277131</v>
      </c>
      <c r="AG44" s="69"/>
      <c r="AH44" s="223">
        <f t="shared" si="8"/>
        <v>1074.7105338773733</v>
      </c>
      <c r="AI44" s="223"/>
      <c r="AJ44" s="223">
        <f t="shared" si="9"/>
        <v>0</v>
      </c>
      <c r="AK44" s="223">
        <f t="shared" si="10"/>
        <v>198.66690365323944</v>
      </c>
      <c r="AM44" s="48">
        <f t="shared" si="0"/>
        <v>285.71142800651302</v>
      </c>
    </row>
    <row r="45" spans="1:39" x14ac:dyDescent="0.25">
      <c r="A45" s="244">
        <v>42</v>
      </c>
      <c r="B45" s="13" t="s">
        <v>98</v>
      </c>
      <c r="C45" s="14" t="s">
        <v>99</v>
      </c>
      <c r="D45" s="4" t="s">
        <v>112</v>
      </c>
      <c r="E45" s="4" t="s">
        <v>113</v>
      </c>
      <c r="F45" s="245">
        <v>113697.50578722892</v>
      </c>
      <c r="G45" s="245">
        <v>60537.417227816812</v>
      </c>
      <c r="H45" s="245">
        <v>174234.92301504573</v>
      </c>
      <c r="I45" s="245">
        <v>199554.31557651729</v>
      </c>
      <c r="J45" s="75">
        <v>-0.12687970434677498</v>
      </c>
      <c r="K45" s="245"/>
      <c r="L45" s="75">
        <v>5.0618760934010743E-2</v>
      </c>
      <c r="M45" s="54">
        <v>1.874146297588997E-3</v>
      </c>
      <c r="N45" s="245">
        <v>183398</v>
      </c>
      <c r="O45" s="245">
        <v>304.44630856268793</v>
      </c>
      <c r="P45" s="75">
        <v>-0.12524120186165688</v>
      </c>
      <c r="Q45" s="75">
        <v>5.259035804299117E-2</v>
      </c>
      <c r="R45" s="245">
        <v>66320.160415346254</v>
      </c>
      <c r="S45" s="245">
        <v>117077.83958465375</v>
      </c>
      <c r="T45" s="245">
        <v>194.35280687925919</v>
      </c>
      <c r="U45" s="75">
        <v>2.9730940657139104E-2</v>
      </c>
      <c r="W45" s="54">
        <v>-7.6E-3</v>
      </c>
      <c r="X45" s="245">
        <f t="shared" si="1"/>
        <v>181663.26488963587</v>
      </c>
      <c r="Z45" s="54">
        <f t="shared" si="2"/>
        <v>5.5797983431743525E-2</v>
      </c>
      <c r="AA45" s="54">
        <f t="shared" si="3"/>
        <v>1.874146297588997E-3</v>
      </c>
      <c r="AC45" s="69">
        <f t="shared" si="4"/>
        <v>184301.64246891809</v>
      </c>
      <c r="AD45" s="223">
        <f t="shared" si="5"/>
        <v>0.45019655709620565</v>
      </c>
      <c r="AE45" s="223">
        <f t="shared" si="6"/>
        <v>0</v>
      </c>
      <c r="AF45" s="69">
        <f t="shared" si="7"/>
        <v>184302.09266547518</v>
      </c>
      <c r="AG45" s="69"/>
      <c r="AH45" s="223">
        <f t="shared" si="8"/>
        <v>904.09266547517939</v>
      </c>
      <c r="AI45" s="223"/>
      <c r="AJ45" s="223">
        <f t="shared" si="9"/>
        <v>904.09266547517939</v>
      </c>
      <c r="AK45" s="223">
        <f t="shared" si="10"/>
        <v>1742.8343970040155</v>
      </c>
      <c r="AM45" s="48">
        <f t="shared" si="0"/>
        <v>0</v>
      </c>
    </row>
    <row r="46" spans="1:39" x14ac:dyDescent="0.25">
      <c r="A46" s="4"/>
      <c r="B46" s="4"/>
      <c r="C46" s="4"/>
      <c r="D46" s="4"/>
      <c r="E46" s="4"/>
    </row>
    <row r="47" spans="1:39" hidden="1" x14ac:dyDescent="0.25">
      <c r="A47" s="4"/>
      <c r="B47" s="4"/>
      <c r="C47" s="4"/>
      <c r="D47" s="4"/>
      <c r="E47" s="4"/>
    </row>
    <row r="48" spans="1:39" ht="102" hidden="1" x14ac:dyDescent="0.25">
      <c r="A48" s="4"/>
      <c r="B48" s="4"/>
      <c r="C48" s="5" t="s">
        <v>114</v>
      </c>
      <c r="D48" s="5" t="s">
        <v>13</v>
      </c>
      <c r="E48" s="5" t="s">
        <v>14</v>
      </c>
      <c r="F48" s="8" t="s">
        <v>331</v>
      </c>
      <c r="G48" s="8" t="s">
        <v>331</v>
      </c>
      <c r="H48" s="8" t="s">
        <v>331</v>
      </c>
      <c r="I48" s="8" t="s">
        <v>315</v>
      </c>
      <c r="J48" s="8" t="s">
        <v>316</v>
      </c>
      <c r="K48" s="40" t="s">
        <v>147</v>
      </c>
      <c r="L48" s="8" t="s">
        <v>317</v>
      </c>
      <c r="M48" s="8" t="s">
        <v>318</v>
      </c>
      <c r="N48" s="8" t="s">
        <v>319</v>
      </c>
      <c r="O48" s="8" t="s">
        <v>320</v>
      </c>
      <c r="P48" s="8" t="s">
        <v>321</v>
      </c>
      <c r="Q48" s="8" t="s">
        <v>322</v>
      </c>
      <c r="R48" s="8" t="s">
        <v>323</v>
      </c>
      <c r="S48" s="8" t="s">
        <v>324</v>
      </c>
      <c r="T48" s="8" t="s">
        <v>325</v>
      </c>
      <c r="U48" s="8" t="s">
        <v>326</v>
      </c>
      <c r="W48" s="261"/>
      <c r="X48" s="8"/>
      <c r="Z48" s="261"/>
      <c r="AA48" s="261"/>
    </row>
    <row r="49" spans="1:32" x14ac:dyDescent="0.25">
      <c r="A49" s="4"/>
      <c r="B49" s="4"/>
      <c r="C49" s="21">
        <v>1</v>
      </c>
      <c r="D49" s="20" t="s">
        <v>17</v>
      </c>
      <c r="E49" s="20" t="s">
        <v>18</v>
      </c>
      <c r="F49" s="245">
        <v>2645278.6028940454</v>
      </c>
      <c r="G49" s="245">
        <v>2645278.6028940454</v>
      </c>
      <c r="H49" s="245">
        <v>2645278.6028940454</v>
      </c>
      <c r="I49" s="245">
        <v>2801376.2047243468</v>
      </c>
      <c r="J49" s="75">
        <v>-5.5721756173645054E-2</v>
      </c>
      <c r="K49" s="249"/>
      <c r="L49" s="75">
        <v>4.5403951567012157E-2</v>
      </c>
      <c r="M49" s="54">
        <v>-5.094063255748349E-4</v>
      </c>
      <c r="N49" s="245">
        <v>2763445.9727423606</v>
      </c>
      <c r="O49" s="245">
        <v>304.60124135875225</v>
      </c>
      <c r="P49" s="75">
        <v>-5.6373543727189945E-2</v>
      </c>
      <c r="Q49" s="75">
        <v>4.4671048909190603E-2</v>
      </c>
      <c r="R49" s="245">
        <v>924966.81103911088</v>
      </c>
      <c r="S49" s="245">
        <v>1838479.1617032499</v>
      </c>
      <c r="T49" s="245">
        <v>202.60777766051811</v>
      </c>
      <c r="U49" s="75">
        <v>2.4337146427888312E-2</v>
      </c>
      <c r="W49" s="54"/>
      <c r="X49" s="245"/>
      <c r="Z49" s="54"/>
      <c r="AA49" s="54"/>
      <c r="AF49" s="69">
        <f>SUM(AF4:AF45)</f>
        <v>20627789.956847265</v>
      </c>
    </row>
    <row r="50" spans="1:32" x14ac:dyDescent="0.25">
      <c r="A50" s="4"/>
      <c r="B50" s="4"/>
      <c r="C50" s="21">
        <v>2</v>
      </c>
      <c r="D50" s="20" t="s">
        <v>27</v>
      </c>
      <c r="E50" s="20" t="s">
        <v>28</v>
      </c>
      <c r="F50" s="245">
        <v>2660474.209257625</v>
      </c>
      <c r="G50" s="245">
        <v>2660474.209257625</v>
      </c>
      <c r="H50" s="245">
        <v>2660474.209257625</v>
      </c>
      <c r="I50" s="245">
        <v>2547584.4517270788</v>
      </c>
      <c r="J50" s="75">
        <v>4.4312469191753356E-2</v>
      </c>
      <c r="K50" s="249"/>
      <c r="L50" s="75">
        <v>4.5937892985894679E-2</v>
      </c>
      <c r="M50" s="54">
        <v>-5.871938355548445E-3</v>
      </c>
      <c r="N50" s="245">
        <v>2760786.9201539266</v>
      </c>
      <c r="O50" s="245">
        <v>356.9324977041955</v>
      </c>
      <c r="P50" s="75">
        <v>3.6100262292299234E-2</v>
      </c>
      <c r="Q50" s="75">
        <v>3.7704823654085562E-2</v>
      </c>
      <c r="R50" s="245">
        <v>808568.40733637777</v>
      </c>
      <c r="S50" s="245">
        <v>1952218.5128175488</v>
      </c>
      <c r="T50" s="245">
        <v>251.88785871508628</v>
      </c>
      <c r="U50" s="75">
        <v>2.0275436713968809E-2</v>
      </c>
      <c r="W50" s="54"/>
      <c r="X50" s="245"/>
      <c r="Z50" s="54"/>
      <c r="AA50" s="54"/>
    </row>
    <row r="51" spans="1:32" x14ac:dyDescent="0.25">
      <c r="A51" s="4"/>
      <c r="B51" s="4"/>
      <c r="C51" s="21">
        <v>3</v>
      </c>
      <c r="D51" s="20" t="s">
        <v>34</v>
      </c>
      <c r="E51" s="20" t="s">
        <v>35</v>
      </c>
      <c r="F51" s="245">
        <v>3629650.2502132724</v>
      </c>
      <c r="G51" s="245">
        <v>3629650.2502132724</v>
      </c>
      <c r="H51" s="245">
        <v>3629650.2502132724</v>
      </c>
      <c r="I51" s="245">
        <v>3549981.5567424218</v>
      </c>
      <c r="J51" s="75">
        <v>2.2442002077317058E-2</v>
      </c>
      <c r="K51" s="249"/>
      <c r="L51" s="75">
        <v>4.7711019901283347E-2</v>
      </c>
      <c r="M51" s="54">
        <v>-5.0750607090327415E-3</v>
      </c>
      <c r="N51" s="245">
        <v>3778976.3253506157</v>
      </c>
      <c r="O51" s="245">
        <v>322.98092893329425</v>
      </c>
      <c r="P51" s="75">
        <v>1.5938704781215396E-2</v>
      </c>
      <c r="Q51" s="75">
        <v>4.1140623708460389E-2</v>
      </c>
      <c r="R51" s="245">
        <v>1171836.7709295293</v>
      </c>
      <c r="S51" s="245">
        <v>2607139.5544210859</v>
      </c>
      <c r="T51" s="245">
        <v>222.55868671296139</v>
      </c>
      <c r="U51" s="75">
        <v>2.244800315186346E-2</v>
      </c>
      <c r="W51" s="54"/>
      <c r="X51" s="245"/>
      <c r="Z51" s="54"/>
      <c r="AA51" s="54"/>
    </row>
    <row r="52" spans="1:32" x14ac:dyDescent="0.25">
      <c r="A52" s="4"/>
      <c r="B52" s="4"/>
      <c r="C52" s="21">
        <v>4</v>
      </c>
      <c r="D52" s="20" t="s">
        <v>58</v>
      </c>
      <c r="E52" s="20" t="s">
        <v>59</v>
      </c>
      <c r="F52" s="245">
        <v>2191775.2460433934</v>
      </c>
      <c r="G52" s="245">
        <v>2191775.2460433934</v>
      </c>
      <c r="H52" s="245">
        <v>2191775.2460433934</v>
      </c>
      <c r="I52" s="245">
        <v>2277112.7677874831</v>
      </c>
      <c r="J52" s="75">
        <v>-3.7476194833779064E-2</v>
      </c>
      <c r="K52" s="249"/>
      <c r="L52" s="75">
        <v>4.7233872287690382E-2</v>
      </c>
      <c r="M52" s="54">
        <v>-4.1662421724453225E-4</v>
      </c>
      <c r="N52" s="245">
        <v>2293561.6296857996</v>
      </c>
      <c r="O52" s="245">
        <v>320.98239277202816</v>
      </c>
      <c r="P52" s="75">
        <v>-3.8208034544127689E-2</v>
      </c>
      <c r="Q52" s="75">
        <v>4.6440155680264938E-2</v>
      </c>
      <c r="R52" s="245">
        <v>769851.66244077682</v>
      </c>
      <c r="S52" s="245">
        <v>1523709.9672450225</v>
      </c>
      <c r="T52" s="245">
        <v>213.16936693343678</v>
      </c>
      <c r="U52" s="75">
        <v>2.5889086149264884E-2</v>
      </c>
      <c r="W52" s="54"/>
      <c r="X52" s="245"/>
      <c r="Z52" s="54"/>
      <c r="AA52" s="54"/>
    </row>
    <row r="53" spans="1:32" x14ac:dyDescent="0.25">
      <c r="A53" s="4"/>
      <c r="B53" s="4"/>
      <c r="C53" s="21">
        <v>5</v>
      </c>
      <c r="D53" s="20" t="s">
        <v>72</v>
      </c>
      <c r="E53" s="20" t="s">
        <v>73</v>
      </c>
      <c r="F53" s="245">
        <v>3741662.583626274</v>
      </c>
      <c r="G53" s="245">
        <v>3741662.583626274</v>
      </c>
      <c r="H53" s="245">
        <v>3741662.583626274</v>
      </c>
      <c r="I53" s="245">
        <v>3409387.8953621648</v>
      </c>
      <c r="J53" s="75">
        <v>9.7458751676835265E-2</v>
      </c>
      <c r="K53" s="249"/>
      <c r="L53" s="75">
        <v>4.922380922546199E-2</v>
      </c>
      <c r="M53" s="54">
        <v>-8.3050905360350091E-3</v>
      </c>
      <c r="N53" s="245">
        <v>3878102.9636839242</v>
      </c>
      <c r="O53" s="245">
        <v>362.65236345510436</v>
      </c>
      <c r="P53" s="75">
        <v>8.4164150305277019E-2</v>
      </c>
      <c r="Q53" s="75">
        <v>3.6465174774102049E-2</v>
      </c>
      <c r="R53" s="245">
        <v>1000937.5266341169</v>
      </c>
      <c r="S53" s="245">
        <v>2877165.4370498075</v>
      </c>
      <c r="T53" s="245">
        <v>268.00599239076661</v>
      </c>
      <c r="U53" s="75">
        <v>2.1160039094466621E-2</v>
      </c>
      <c r="W53" s="54"/>
      <c r="X53" s="245"/>
      <c r="Z53" s="54"/>
      <c r="AA53" s="54"/>
    </row>
    <row r="54" spans="1:32" x14ac:dyDescent="0.25">
      <c r="A54" s="4"/>
      <c r="B54" s="4"/>
      <c r="C54" s="21">
        <v>6</v>
      </c>
      <c r="D54" s="20" t="s">
        <v>84</v>
      </c>
      <c r="E54" s="20" t="s">
        <v>85</v>
      </c>
      <c r="F54" s="245">
        <v>2977566.3767320681</v>
      </c>
      <c r="G54" s="245">
        <v>2977566.3767320681</v>
      </c>
      <c r="H54" s="245">
        <v>2977566.3767320681</v>
      </c>
      <c r="I54" s="245">
        <v>2953061.6951083466</v>
      </c>
      <c r="J54" s="75">
        <v>8.2980594900243787E-3</v>
      </c>
      <c r="K54" s="249"/>
      <c r="L54" s="75">
        <v>4.7075308701102214E-2</v>
      </c>
      <c r="M54" s="54">
        <v>-4.4962857813144463E-3</v>
      </c>
      <c r="N54" s="245">
        <v>3102016.7979569924</v>
      </c>
      <c r="O54" s="245">
        <v>321.33822038451859</v>
      </c>
      <c r="P54" s="75">
        <v>3.2126685121078857E-3</v>
      </c>
      <c r="Q54" s="75">
        <v>4.1796019124017203E-2</v>
      </c>
      <c r="R54" s="245">
        <v>1012583.9897283821</v>
      </c>
      <c r="S54" s="245">
        <v>2089432.8082286103</v>
      </c>
      <c r="T54" s="245">
        <v>216.32590983111507</v>
      </c>
      <c r="U54" s="75">
        <v>2.2122576126701432E-2</v>
      </c>
      <c r="W54" s="54"/>
      <c r="X54" s="245"/>
      <c r="Z54" s="54"/>
      <c r="AA54" s="54"/>
    </row>
    <row r="55" spans="1:32" x14ac:dyDescent="0.25">
      <c r="A55" s="4"/>
      <c r="B55" s="4"/>
      <c r="C55" s="21">
        <v>7</v>
      </c>
      <c r="D55" s="20" t="s">
        <v>98</v>
      </c>
      <c r="E55" s="20" t="s">
        <v>99</v>
      </c>
      <c r="F55" s="245">
        <v>1920073.1334201174</v>
      </c>
      <c r="G55" s="245">
        <v>1920073.1334201174</v>
      </c>
      <c r="H55" s="245">
        <v>1920073.1334201174</v>
      </c>
      <c r="I55" s="245">
        <v>1920492.4493235007</v>
      </c>
      <c r="J55" s="75">
        <v>-2.1833769954737736E-4</v>
      </c>
      <c r="K55" s="249"/>
      <c r="L55" s="75">
        <v>4.9116152627285636E-2</v>
      </c>
      <c r="M55" s="54">
        <v>-4.1778311883789998E-3</v>
      </c>
      <c r="N55" s="245">
        <v>2003831.8780445526</v>
      </c>
      <c r="O55" s="245">
        <v>330.26787100585688</v>
      </c>
      <c r="P55" s="75">
        <v>-5.5168127444409354E-3</v>
      </c>
      <c r="Q55" s="75">
        <v>4.3622684556416047E-2</v>
      </c>
      <c r="R55" s="245">
        <v>671651.51548425923</v>
      </c>
      <c r="S55" s="245">
        <v>1332180.3625602934</v>
      </c>
      <c r="T55" s="245">
        <v>219.33413168860389</v>
      </c>
      <c r="U55" s="75">
        <v>2.2629007177866978E-2</v>
      </c>
      <c r="W55" s="54"/>
      <c r="X55" s="245"/>
      <c r="Z55" s="54"/>
      <c r="AA55" s="54"/>
    </row>
    <row r="56" spans="1:32" x14ac:dyDescent="0.25">
      <c r="C56" s="21"/>
      <c r="D56" s="20" t="s">
        <v>115</v>
      </c>
      <c r="E56" s="20" t="s">
        <v>116</v>
      </c>
      <c r="F56" s="250">
        <v>19766480.402186796</v>
      </c>
      <c r="G56" s="250">
        <v>19766480.402186796</v>
      </c>
      <c r="H56" s="250">
        <v>19766480.402186796</v>
      </c>
      <c r="I56" s="250">
        <v>19458997.020775344</v>
      </c>
      <c r="J56" s="251">
        <v>1.5801604835190997E-2</v>
      </c>
      <c r="K56" s="252"/>
      <c r="L56" s="251">
        <v>4.7437801572365768E-2</v>
      </c>
      <c r="M56" s="251">
        <v>-4.4939172989654219E-3</v>
      </c>
      <c r="N56" s="250">
        <v>20580722.487618174</v>
      </c>
      <c r="O56" s="250">
        <v>331.61030638906692</v>
      </c>
      <c r="P56" s="251">
        <v>9.7711001016707044E-3</v>
      </c>
      <c r="Q56" s="251">
        <v>4.1193073772571864E-2</v>
      </c>
      <c r="R56" s="250">
        <v>6360396.6835925523</v>
      </c>
      <c r="S56" s="250">
        <v>14220325.804025616</v>
      </c>
      <c r="T56" s="250">
        <v>228.78948412231969</v>
      </c>
      <c r="U56" s="251">
        <v>2.246857750486142E-2</v>
      </c>
      <c r="W56" s="54"/>
      <c r="X56" s="250"/>
      <c r="Z56" s="54"/>
      <c r="AA56" s="54"/>
    </row>
    <row r="58" spans="1:32" x14ac:dyDescent="0.25">
      <c r="I58" s="41">
        <v>-1.5555798258218734E-2</v>
      </c>
    </row>
    <row r="60" spans="1:32" x14ac:dyDescent="0.25">
      <c r="N60">
        <f>N56/H56-1</f>
        <v>4.1193073772571864E-2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E99A9-9F73-406D-B3FA-8DB8914322FE}">
  <sheetPr codeName="Sheet13"/>
  <dimension ref="B1:AF236"/>
  <sheetViews>
    <sheetView showGridLines="0" workbookViewId="0">
      <pane xSplit="5" ySplit="2" topLeftCell="M213" activePane="bottomRight" state="frozen"/>
      <selection activeCell="J5" sqref="J4:BB61"/>
      <selection pane="topRight" activeCell="J5" sqref="J4:BB61"/>
      <selection pane="bottomLeft" activeCell="J5" sqref="J4:BB61"/>
      <selection pane="bottomRight" activeCell="J5" sqref="J4:BB61"/>
    </sheetView>
  </sheetViews>
  <sheetFormatPr defaultRowHeight="15" outlineLevelCol="1" x14ac:dyDescent="0.25"/>
  <cols>
    <col min="2" max="2" width="13.7109375" bestFit="1" customWidth="1"/>
    <col min="3" max="3" width="8.5703125" customWidth="1" outlineLevel="1"/>
    <col min="4" max="4" width="81" bestFit="1" customWidth="1"/>
    <col min="5" max="5" width="12.42578125" hidden="1" customWidth="1" outlineLevel="1"/>
    <col min="6" max="6" width="12.7109375" customWidth="1" collapsed="1"/>
    <col min="7" max="15" width="12.7109375" customWidth="1"/>
    <col min="16" max="18" width="9.7109375" customWidth="1"/>
    <col min="19" max="19" width="12.7109375" customWidth="1"/>
    <col min="20" max="23" width="9.7109375" customWidth="1"/>
    <col min="25" max="25" width="12.7109375" customWidth="1"/>
  </cols>
  <sheetData>
    <row r="1" spans="2:32" x14ac:dyDescent="0.25">
      <c r="F1" s="220">
        <f t="shared" ref="F1:N1" si="0">SUM(F3:F213)</f>
        <v>78902920</v>
      </c>
      <c r="G1" s="220">
        <f t="shared" si="0"/>
        <v>12649338</v>
      </c>
      <c r="H1" s="220">
        <f t="shared" si="0"/>
        <v>7668349</v>
      </c>
      <c r="I1" s="220">
        <f t="shared" si="0"/>
        <v>417274</v>
      </c>
      <c r="J1" s="220">
        <f t="shared" si="0"/>
        <v>73448</v>
      </c>
      <c r="K1" s="220">
        <f t="shared" si="0"/>
        <v>4090</v>
      </c>
      <c r="L1" s="220">
        <f t="shared" si="0"/>
        <v>3261823</v>
      </c>
      <c r="M1" s="220">
        <f t="shared" si="0"/>
        <v>331256</v>
      </c>
      <c r="N1" s="220">
        <f t="shared" si="0"/>
        <v>87128</v>
      </c>
      <c r="O1" s="220">
        <f>SUM(O3:O213)</f>
        <v>103395626</v>
      </c>
      <c r="Q1" s="220">
        <f>SUM(Q3:Q213)</f>
        <v>-2460.5163389200006</v>
      </c>
      <c r="S1" s="220">
        <f t="shared" ref="S1:AC1" si="1">SUM(S3:S213)</f>
        <v>118.56625161325378</v>
      </c>
      <c r="T1" s="220">
        <f t="shared" si="1"/>
        <v>-2341.9500873067459</v>
      </c>
      <c r="U1" s="220">
        <f t="shared" si="1"/>
        <v>73.791300820160629</v>
      </c>
      <c r="V1" s="220">
        <f t="shared" si="1"/>
        <v>0.15619294000054654</v>
      </c>
      <c r="W1" s="220">
        <f t="shared" si="1"/>
        <v>44.618757853092511</v>
      </c>
      <c r="Y1" s="220">
        <f t="shared" si="1"/>
        <v>492.51968503937019</v>
      </c>
      <c r="Z1" s="220">
        <f t="shared" si="1"/>
        <v>-1967.9966538806304</v>
      </c>
      <c r="AA1" s="220">
        <f t="shared" si="1"/>
        <v>341.89479311846162</v>
      </c>
      <c r="AB1" s="220">
        <f t="shared" si="1"/>
        <v>2.9910962100004399</v>
      </c>
      <c r="AC1" s="220">
        <f t="shared" si="1"/>
        <v>147.63379571090812</v>
      </c>
    </row>
    <row r="2" spans="2:32" ht="105" x14ac:dyDescent="0.25">
      <c r="B2" s="217" t="s">
        <v>389</v>
      </c>
      <c r="C2" s="217" t="s">
        <v>390</v>
      </c>
      <c r="D2" s="217" t="s">
        <v>391</v>
      </c>
      <c r="E2" s="217" t="s">
        <v>392</v>
      </c>
      <c r="F2" s="218" t="s">
        <v>393</v>
      </c>
      <c r="G2" s="218" t="s">
        <v>394</v>
      </c>
      <c r="H2" s="218" t="s">
        <v>395</v>
      </c>
      <c r="I2" s="218" t="s">
        <v>396</v>
      </c>
      <c r="J2" s="218" t="s">
        <v>397</v>
      </c>
      <c r="K2" s="218" t="s">
        <v>398</v>
      </c>
      <c r="L2" s="218" t="s">
        <v>399</v>
      </c>
      <c r="M2" s="218" t="s">
        <v>400</v>
      </c>
      <c r="N2" s="218" t="s">
        <v>401</v>
      </c>
      <c r="O2" s="218" t="s">
        <v>115</v>
      </c>
      <c r="Q2" s="218" t="s">
        <v>252</v>
      </c>
      <c r="S2" s="218" t="s">
        <v>162</v>
      </c>
      <c r="T2" s="59" t="s">
        <v>376</v>
      </c>
      <c r="U2" s="59" t="s">
        <v>377</v>
      </c>
      <c r="V2" s="59" t="s">
        <v>377</v>
      </c>
      <c r="W2" s="59" t="s">
        <v>378</v>
      </c>
      <c r="Y2" s="218" t="s">
        <v>402</v>
      </c>
      <c r="Z2" s="59" t="s">
        <v>376</v>
      </c>
      <c r="AA2" s="59" t="s">
        <v>377</v>
      </c>
      <c r="AB2" s="59" t="s">
        <v>377</v>
      </c>
      <c r="AC2" s="59" t="s">
        <v>378</v>
      </c>
    </row>
    <row r="3" spans="2:32" x14ac:dyDescent="0.25">
      <c r="B3" t="s">
        <v>403</v>
      </c>
      <c r="C3" t="s">
        <v>404</v>
      </c>
      <c r="D3" t="s">
        <v>405</v>
      </c>
      <c r="E3" t="s">
        <v>32</v>
      </c>
      <c r="F3" s="219">
        <v>483867</v>
      </c>
      <c r="G3" s="219">
        <v>0</v>
      </c>
      <c r="H3" s="219">
        <v>50655</v>
      </c>
      <c r="I3" s="219">
        <v>2563</v>
      </c>
      <c r="J3" s="219">
        <v>0</v>
      </c>
      <c r="K3" s="219">
        <v>0</v>
      </c>
      <c r="L3" s="219">
        <v>0</v>
      </c>
      <c r="M3" s="219">
        <v>0</v>
      </c>
      <c r="N3" s="219">
        <v>0</v>
      </c>
      <c r="O3" s="219">
        <v>537085</v>
      </c>
      <c r="Q3" s="219">
        <f>SUMIFS(Deficits!BY:BY,Deficits!BS:BS,C3)</f>
        <v>-24.277999999999999</v>
      </c>
      <c r="S3" s="219">
        <f>'Share of £1bn'!$L$15*O3/$O$1</f>
        <v>0.61588828958494224</v>
      </c>
      <c r="T3" s="220">
        <f>S3+$Q3</f>
        <v>-23.662111710415058</v>
      </c>
      <c r="U3" s="11">
        <f>IF(AND($Q3&lt;0,T3&lt;0),S3,0)</f>
        <v>0.61588828958494224</v>
      </c>
      <c r="V3" s="11">
        <f>IF(AND($Q3&lt;0,T3&gt;0),-$Q3,0)</f>
        <v>0</v>
      </c>
      <c r="W3" s="11">
        <f>IF(OR($Q3&gt;=0,T3&gt;=0),S3-V3,0)</f>
        <v>0</v>
      </c>
      <c r="Y3" s="219">
        <f>'Share of £1bn'!$M$15*F3/$F$1</f>
        <v>3.0203447786336031</v>
      </c>
      <c r="Z3" s="220">
        <f>Y3+$Q3</f>
        <v>-21.257655221366395</v>
      </c>
      <c r="AA3" s="11">
        <f>IF(AND($Q3&lt;0,Z3&lt;0),Y3,0)</f>
        <v>3.0203447786336031</v>
      </c>
      <c r="AB3" s="11">
        <f>IF(AND($Q3&lt;0,Z3&gt;0),-$Q3,0)</f>
        <v>0</v>
      </c>
      <c r="AC3" s="11">
        <f>IF(OR($Q3&gt;=0,Z3&gt;=0),Y3-AB3,0)</f>
        <v>0</v>
      </c>
      <c r="AE3" s="222"/>
      <c r="AF3" s="223"/>
    </row>
    <row r="4" spans="2:32" x14ac:dyDescent="0.25">
      <c r="B4" t="s">
        <v>403</v>
      </c>
      <c r="C4" t="s">
        <v>406</v>
      </c>
      <c r="D4" t="s">
        <v>407</v>
      </c>
      <c r="E4" t="s">
        <v>32</v>
      </c>
      <c r="F4" s="219">
        <v>548084</v>
      </c>
      <c r="G4" s="219">
        <v>6347</v>
      </c>
      <c r="H4" s="219">
        <v>54501</v>
      </c>
      <c r="I4" s="219">
        <v>10223</v>
      </c>
      <c r="J4" s="219">
        <v>0</v>
      </c>
      <c r="K4" s="219">
        <v>0</v>
      </c>
      <c r="L4" s="219">
        <v>0</v>
      </c>
      <c r="M4" s="219">
        <v>5</v>
      </c>
      <c r="N4" s="219">
        <v>0</v>
      </c>
      <c r="O4" s="219">
        <v>619160</v>
      </c>
      <c r="Q4" s="219">
        <f>SUMIFS(Deficits!BY:BY,Deficits!BS:BS,C4)</f>
        <v>-24.277999999999999</v>
      </c>
      <c r="S4" s="219">
        <f>'Share of £1bn'!$L$15*O4/$O$1</f>
        <v>0.71000566647627983</v>
      </c>
      <c r="T4" s="220">
        <f t="shared" ref="T4:T67" si="2">S4+$Q4</f>
        <v>-23.567994333523718</v>
      </c>
      <c r="U4" s="11">
        <f t="shared" ref="U4:U67" si="3">IF(AND($Q4&lt;0,T4&lt;0),S4,0)</f>
        <v>0.71000566647627983</v>
      </c>
      <c r="V4" s="11">
        <f t="shared" ref="V4:V67" si="4">IF(AND($Q4&lt;0,T4&gt;0),-$Q4,0)</f>
        <v>0</v>
      </c>
      <c r="W4" s="11">
        <f t="shared" ref="W4:W67" si="5">IF(OR($Q4&gt;=0,T4&gt;=0),S4-V4,0)</f>
        <v>0</v>
      </c>
      <c r="Y4" s="219">
        <f>'Share of £1bn'!$M$15*F4/$F$1</f>
        <v>3.4211935256023236</v>
      </c>
      <c r="Z4" s="220">
        <f t="shared" ref="Z4:Z67" si="6">Y4+$Q4</f>
        <v>-20.856806474397676</v>
      </c>
      <c r="AA4" s="11">
        <f t="shared" ref="AA4:AA67" si="7">IF(AND($Q4&lt;0,Z4&lt;0),Y4,0)</f>
        <v>3.4211935256023236</v>
      </c>
      <c r="AB4" s="11">
        <f t="shared" ref="AB4:AB67" si="8">IF(AND($Q4&lt;0,Z4&gt;0),-$Q4,0)</f>
        <v>0</v>
      </c>
      <c r="AC4" s="11">
        <f t="shared" ref="AC4:AC67" si="9">IF(OR($Q4&gt;=0,Z4&gt;=0),Y4-AB4,0)</f>
        <v>0</v>
      </c>
      <c r="AE4" s="222"/>
      <c r="AF4" s="223"/>
    </row>
    <row r="5" spans="2:32" x14ac:dyDescent="0.25">
      <c r="B5" t="s">
        <v>408</v>
      </c>
      <c r="C5" t="s">
        <v>409</v>
      </c>
      <c r="D5" t="s">
        <v>410</v>
      </c>
      <c r="E5" t="s">
        <v>32</v>
      </c>
      <c r="F5" s="219">
        <v>16297</v>
      </c>
      <c r="G5" s="219">
        <v>332875</v>
      </c>
      <c r="H5" s="219">
        <v>69822</v>
      </c>
      <c r="I5" s="219">
        <v>11710</v>
      </c>
      <c r="J5" s="219">
        <v>0</v>
      </c>
      <c r="K5" s="219">
        <v>0</v>
      </c>
      <c r="L5" s="219">
        <v>0</v>
      </c>
      <c r="M5" s="219">
        <v>0</v>
      </c>
      <c r="N5" s="219">
        <v>51</v>
      </c>
      <c r="O5" s="219">
        <v>430755</v>
      </c>
      <c r="Q5" s="219">
        <f>SUMIFS(Deficits!BY:BY,Deficits!BS:BS,C5)</f>
        <v>1.6125400899998348</v>
      </c>
      <c r="S5" s="219">
        <f>'Share of £1bn'!$L$15*O5/$O$1</f>
        <v>0.49395712071676134</v>
      </c>
      <c r="T5" s="220">
        <f t="shared" si="2"/>
        <v>2.1064972107165962</v>
      </c>
      <c r="U5" s="11">
        <f t="shared" si="3"/>
        <v>0</v>
      </c>
      <c r="V5" s="11">
        <f t="shared" si="4"/>
        <v>0</v>
      </c>
      <c r="W5" s="11">
        <f t="shared" si="5"/>
        <v>0.49395712071676134</v>
      </c>
      <c r="Y5" s="219">
        <f>'Share of £1bn'!$M$15*F5/$F$1</f>
        <v>0.10172745580374737</v>
      </c>
      <c r="Z5" s="220">
        <f t="shared" si="6"/>
        <v>1.7142675458035821</v>
      </c>
      <c r="AA5" s="11">
        <f t="shared" si="7"/>
        <v>0</v>
      </c>
      <c r="AB5" s="11">
        <f t="shared" si="8"/>
        <v>0</v>
      </c>
      <c r="AC5" s="11">
        <f t="shared" si="9"/>
        <v>0.10172745580374737</v>
      </c>
      <c r="AE5" s="222"/>
      <c r="AF5" s="223"/>
    </row>
    <row r="6" spans="2:32" x14ac:dyDescent="0.25">
      <c r="B6" t="s">
        <v>403</v>
      </c>
      <c r="C6" t="s">
        <v>411</v>
      </c>
      <c r="D6" t="s">
        <v>412</v>
      </c>
      <c r="E6" t="s">
        <v>32</v>
      </c>
      <c r="F6" s="219">
        <v>626413</v>
      </c>
      <c r="G6" s="219">
        <v>0</v>
      </c>
      <c r="H6" s="219">
        <v>0</v>
      </c>
      <c r="I6" s="219">
        <v>0</v>
      </c>
      <c r="J6" s="219">
        <v>0</v>
      </c>
      <c r="K6" s="219">
        <v>0</v>
      </c>
      <c r="L6" s="219">
        <v>0</v>
      </c>
      <c r="M6" s="219">
        <v>0</v>
      </c>
      <c r="N6" s="219">
        <v>0</v>
      </c>
      <c r="O6" s="219">
        <v>626413</v>
      </c>
      <c r="Q6" s="219">
        <f>SUMIFS(Deficits!BY:BY,Deficits!BS:BS,C6)</f>
        <v>-15.28</v>
      </c>
      <c r="S6" s="219">
        <f>'Share of £1bn'!$L$15*O6/$O$1</f>
        <v>0.71832285605401824</v>
      </c>
      <c r="T6" s="220">
        <f t="shared" si="2"/>
        <v>-14.561677143945982</v>
      </c>
      <c r="U6" s="11">
        <f t="shared" si="3"/>
        <v>0.71832285605401824</v>
      </c>
      <c r="V6" s="11">
        <f t="shared" si="4"/>
        <v>0</v>
      </c>
      <c r="W6" s="11">
        <f t="shared" si="5"/>
        <v>0</v>
      </c>
      <c r="Y6" s="219">
        <f>'Share of £1bn'!$M$15*F6/$F$1</f>
        <v>3.910130746296423</v>
      </c>
      <c r="Z6" s="220">
        <f t="shared" si="6"/>
        <v>-11.369869253703577</v>
      </c>
      <c r="AA6" s="11">
        <f t="shared" si="7"/>
        <v>3.910130746296423</v>
      </c>
      <c r="AB6" s="11">
        <f t="shared" si="8"/>
        <v>0</v>
      </c>
      <c r="AC6" s="11">
        <f t="shared" si="9"/>
        <v>0</v>
      </c>
      <c r="AE6" s="222"/>
      <c r="AF6" s="223"/>
    </row>
    <row r="7" spans="2:32" x14ac:dyDescent="0.25">
      <c r="B7" t="s">
        <v>236</v>
      </c>
      <c r="C7" t="s">
        <v>413</v>
      </c>
      <c r="D7" t="s">
        <v>414</v>
      </c>
      <c r="E7" t="s">
        <v>32</v>
      </c>
      <c r="F7" s="219">
        <v>6</v>
      </c>
      <c r="G7" s="219">
        <v>0</v>
      </c>
      <c r="H7" s="219">
        <v>0</v>
      </c>
      <c r="I7" s="219">
        <v>0</v>
      </c>
      <c r="J7" s="219">
        <v>0</v>
      </c>
      <c r="K7" s="219">
        <v>0</v>
      </c>
      <c r="L7" s="219">
        <v>479837</v>
      </c>
      <c r="M7" s="219">
        <v>0</v>
      </c>
      <c r="N7" s="219">
        <v>0</v>
      </c>
      <c r="O7" s="219">
        <v>479843</v>
      </c>
      <c r="Q7" s="219">
        <f>SUMIFS(Deficits!BY:BY,Deficits!BS:BS,C7)</f>
        <v>0</v>
      </c>
      <c r="S7" s="219">
        <f>'Share of £1bn'!$L$15*O7/$O$1</f>
        <v>0.55024751117478132</v>
      </c>
      <c r="T7" s="220">
        <f t="shared" si="2"/>
        <v>0.55024751117478132</v>
      </c>
      <c r="U7" s="11">
        <f t="shared" si="3"/>
        <v>0</v>
      </c>
      <c r="V7" s="11">
        <f t="shared" si="4"/>
        <v>0</v>
      </c>
      <c r="W7" s="11">
        <f t="shared" si="5"/>
        <v>0.55024751117478132</v>
      </c>
      <c r="Y7" s="219">
        <f>'Share of £1bn'!$M$15*F7/$F$1</f>
        <v>3.7452582366232081E-5</v>
      </c>
      <c r="Z7" s="220">
        <f t="shared" si="6"/>
        <v>3.7452582366232081E-5</v>
      </c>
      <c r="AA7" s="11">
        <f t="shared" si="7"/>
        <v>0</v>
      </c>
      <c r="AB7" s="11">
        <f t="shared" si="8"/>
        <v>0</v>
      </c>
      <c r="AC7" s="11">
        <f t="shared" si="9"/>
        <v>3.7452582366232081E-5</v>
      </c>
      <c r="AE7" s="222"/>
      <c r="AF7" s="223"/>
    </row>
    <row r="8" spans="2:32" x14ac:dyDescent="0.25">
      <c r="B8" t="s">
        <v>403</v>
      </c>
      <c r="C8" t="s">
        <v>415</v>
      </c>
      <c r="D8" t="s">
        <v>416</v>
      </c>
      <c r="E8" t="s">
        <v>32</v>
      </c>
      <c r="F8" s="219">
        <v>404717</v>
      </c>
      <c r="G8" s="219">
        <v>0</v>
      </c>
      <c r="H8" s="219">
        <v>44238</v>
      </c>
      <c r="I8" s="219">
        <v>0</v>
      </c>
      <c r="J8" s="219">
        <v>0</v>
      </c>
      <c r="K8" s="219">
        <v>4090</v>
      </c>
      <c r="L8" s="219">
        <v>0</v>
      </c>
      <c r="M8" s="219">
        <v>3</v>
      </c>
      <c r="N8" s="219">
        <v>0</v>
      </c>
      <c r="O8" s="219">
        <v>453048</v>
      </c>
      <c r="Q8" s="219">
        <f>SUMIFS(Deficits!BY:BY,Deficits!BS:BS,C8)</f>
        <v>-18.277999999999999</v>
      </c>
      <c r="S8" s="219">
        <f>'Share of £1bn'!$L$15*O8/$O$1</f>
        <v>0.51952104009584876</v>
      </c>
      <c r="T8" s="220">
        <f t="shared" si="2"/>
        <v>-17.758478959904149</v>
      </c>
      <c r="U8" s="11">
        <f t="shared" si="3"/>
        <v>0.51952104009584876</v>
      </c>
      <c r="V8" s="11">
        <f t="shared" si="4"/>
        <v>0</v>
      </c>
      <c r="W8" s="11">
        <f t="shared" si="5"/>
        <v>0</v>
      </c>
      <c r="Y8" s="219">
        <f>'Share of £1bn'!$M$15*F8/$F$1</f>
        <v>2.5262827962523913</v>
      </c>
      <c r="Z8" s="220">
        <f t="shared" si="6"/>
        <v>-15.751717203747607</v>
      </c>
      <c r="AA8" s="11">
        <f t="shared" si="7"/>
        <v>2.5262827962523913</v>
      </c>
      <c r="AB8" s="11">
        <f t="shared" si="8"/>
        <v>0</v>
      </c>
      <c r="AC8" s="11">
        <f t="shared" si="9"/>
        <v>0</v>
      </c>
      <c r="AE8" s="222"/>
      <c r="AF8" s="223"/>
    </row>
    <row r="9" spans="2:32" x14ac:dyDescent="0.25">
      <c r="B9" t="s">
        <v>403</v>
      </c>
      <c r="C9" t="s">
        <v>417</v>
      </c>
      <c r="D9" t="s">
        <v>418</v>
      </c>
      <c r="E9" t="s">
        <v>23</v>
      </c>
      <c r="F9" s="219">
        <v>267971</v>
      </c>
      <c r="G9" s="219">
        <v>287</v>
      </c>
      <c r="H9" s="219">
        <v>4652</v>
      </c>
      <c r="I9" s="219">
        <v>2481</v>
      </c>
      <c r="J9" s="219">
        <v>0</v>
      </c>
      <c r="K9" s="219">
        <v>0</v>
      </c>
      <c r="L9" s="219">
        <v>0</v>
      </c>
      <c r="M9" s="219">
        <v>1113</v>
      </c>
      <c r="N9" s="219">
        <v>0</v>
      </c>
      <c r="O9" s="219">
        <v>276504</v>
      </c>
      <c r="Q9" s="219">
        <f>SUMIFS(Deficits!BY:BY,Deficits!BS:BS,C9)</f>
        <v>-11.225</v>
      </c>
      <c r="S9" s="219">
        <f>'Share of £1bn'!$L$15*O9/$O$1</f>
        <v>0.31707378836384342</v>
      </c>
      <c r="T9" s="220">
        <f t="shared" si="2"/>
        <v>-10.907926211636156</v>
      </c>
      <c r="U9" s="11">
        <f t="shared" si="3"/>
        <v>0.31707378836384342</v>
      </c>
      <c r="V9" s="11">
        <f t="shared" si="4"/>
        <v>0</v>
      </c>
      <c r="W9" s="11">
        <f t="shared" si="5"/>
        <v>0</v>
      </c>
      <c r="Y9" s="219">
        <f>'Share of £1bn'!$M$15*F9/$F$1</f>
        <v>1.6727009915435962</v>
      </c>
      <c r="Z9" s="220">
        <f t="shared" si="6"/>
        <v>-9.5522990084564032</v>
      </c>
      <c r="AA9" s="11">
        <f t="shared" si="7"/>
        <v>1.6727009915435962</v>
      </c>
      <c r="AB9" s="11">
        <f t="shared" si="8"/>
        <v>0</v>
      </c>
      <c r="AC9" s="11">
        <f t="shared" si="9"/>
        <v>0</v>
      </c>
      <c r="AE9" s="222"/>
      <c r="AF9" s="223"/>
    </row>
    <row r="10" spans="2:32" x14ac:dyDescent="0.25">
      <c r="B10" t="s">
        <v>403</v>
      </c>
      <c r="C10" t="s">
        <v>419</v>
      </c>
      <c r="D10" t="s">
        <v>420</v>
      </c>
      <c r="E10" t="s">
        <v>23</v>
      </c>
      <c r="F10" s="219">
        <v>449277</v>
      </c>
      <c r="G10" s="219">
        <v>0</v>
      </c>
      <c r="H10" s="219">
        <v>0</v>
      </c>
      <c r="I10" s="219">
        <v>5271</v>
      </c>
      <c r="J10" s="219">
        <v>0</v>
      </c>
      <c r="K10" s="219">
        <v>0</v>
      </c>
      <c r="L10" s="219">
        <v>0</v>
      </c>
      <c r="M10" s="219">
        <v>1739</v>
      </c>
      <c r="N10" s="219">
        <v>0</v>
      </c>
      <c r="O10" s="219">
        <v>456287</v>
      </c>
      <c r="Q10" s="219">
        <f>SUMIFS(Deficits!BY:BY,Deficits!BS:BS,C10)</f>
        <v>-28.277999999999999</v>
      </c>
      <c r="S10" s="219">
        <f>'Share of £1bn'!$L$15*O10/$O$1</f>
        <v>0.52323527931304081</v>
      </c>
      <c r="T10" s="220">
        <f t="shared" si="2"/>
        <v>-27.754764720686957</v>
      </c>
      <c r="U10" s="11">
        <f t="shared" si="3"/>
        <v>0.52323527931304081</v>
      </c>
      <c r="V10" s="11">
        <f t="shared" si="4"/>
        <v>0</v>
      </c>
      <c r="W10" s="11">
        <f t="shared" si="5"/>
        <v>0</v>
      </c>
      <c r="Y10" s="219">
        <f>'Share of £1bn'!$M$15*F10/$F$1</f>
        <v>2.8044306412922748</v>
      </c>
      <c r="Z10" s="220">
        <f t="shared" si="6"/>
        <v>-25.473569358707724</v>
      </c>
      <c r="AA10" s="11">
        <f t="shared" si="7"/>
        <v>2.8044306412922748</v>
      </c>
      <c r="AB10" s="11">
        <f t="shared" si="8"/>
        <v>0</v>
      </c>
      <c r="AC10" s="11">
        <f t="shared" si="9"/>
        <v>0</v>
      </c>
      <c r="AE10" s="222"/>
      <c r="AF10" s="223"/>
    </row>
    <row r="11" spans="2:32" x14ac:dyDescent="0.25">
      <c r="B11" t="s">
        <v>408</v>
      </c>
      <c r="C11" t="s">
        <v>421</v>
      </c>
      <c r="D11" t="s">
        <v>422</v>
      </c>
      <c r="E11" t="s">
        <v>23</v>
      </c>
      <c r="F11" s="219">
        <v>560</v>
      </c>
      <c r="G11" s="219">
        <v>119135</v>
      </c>
      <c r="H11" s="219">
        <v>48669</v>
      </c>
      <c r="I11" s="219">
        <v>0</v>
      </c>
      <c r="J11" s="219">
        <v>0</v>
      </c>
      <c r="K11" s="219">
        <v>0</v>
      </c>
      <c r="L11" s="219">
        <v>0</v>
      </c>
      <c r="M11" s="219">
        <v>56</v>
      </c>
      <c r="N11" s="219">
        <v>0</v>
      </c>
      <c r="O11" s="219">
        <v>168420</v>
      </c>
      <c r="Q11" s="219">
        <f>SUMIFS(Deficits!BY:BY,Deficits!BS:BS,C11)</f>
        <v>-6.1497999999999884</v>
      </c>
      <c r="S11" s="219">
        <f>'Share of £1bn'!$L$15*O11/$O$1</f>
        <v>0.19313126550154253</v>
      </c>
      <c r="T11" s="220">
        <f t="shared" si="2"/>
        <v>-5.9566687344984457</v>
      </c>
      <c r="U11" s="11">
        <f t="shared" si="3"/>
        <v>0.19313126550154253</v>
      </c>
      <c r="V11" s="11">
        <f t="shared" si="4"/>
        <v>0</v>
      </c>
      <c r="W11" s="11">
        <f t="shared" si="5"/>
        <v>0</v>
      </c>
      <c r="Y11" s="219">
        <f>'Share of £1bn'!$M$15*F11/$F$1</f>
        <v>3.4955743541816606E-3</v>
      </c>
      <c r="Z11" s="220">
        <f t="shared" si="6"/>
        <v>-6.1463044256458064</v>
      </c>
      <c r="AA11" s="11">
        <f t="shared" si="7"/>
        <v>3.4955743541816606E-3</v>
      </c>
      <c r="AB11" s="11">
        <f t="shared" si="8"/>
        <v>0</v>
      </c>
      <c r="AC11" s="11">
        <f t="shared" si="9"/>
        <v>0</v>
      </c>
      <c r="AE11" s="222"/>
      <c r="AF11" s="223"/>
    </row>
    <row r="12" spans="2:32" x14ac:dyDescent="0.25">
      <c r="B12" t="s">
        <v>403</v>
      </c>
      <c r="C12" t="s">
        <v>423</v>
      </c>
      <c r="D12" t="s">
        <v>424</v>
      </c>
      <c r="E12" t="s">
        <v>23</v>
      </c>
      <c r="F12" s="219">
        <v>204661</v>
      </c>
      <c r="G12" s="219">
        <v>27697</v>
      </c>
      <c r="H12" s="219">
        <v>6256</v>
      </c>
      <c r="I12" s="219">
        <v>1243</v>
      </c>
      <c r="J12" s="219">
        <v>0</v>
      </c>
      <c r="K12" s="219">
        <v>0</v>
      </c>
      <c r="L12" s="219">
        <v>0</v>
      </c>
      <c r="M12" s="219">
        <v>185</v>
      </c>
      <c r="N12" s="219">
        <v>5</v>
      </c>
      <c r="O12" s="219">
        <v>240047</v>
      </c>
      <c r="Q12" s="219">
        <f>SUMIFS(Deficits!BY:BY,Deficits!BS:BS,C12)</f>
        <v>-8.625</v>
      </c>
      <c r="S12" s="219">
        <f>'Share of £1bn'!$L$15*O12/$O$1</f>
        <v>0.27526766945641123</v>
      </c>
      <c r="T12" s="220">
        <f t="shared" si="2"/>
        <v>-8.3497323305435884</v>
      </c>
      <c r="U12" s="11">
        <f t="shared" si="3"/>
        <v>0.27526766945641123</v>
      </c>
      <c r="V12" s="11">
        <f t="shared" si="4"/>
        <v>0</v>
      </c>
      <c r="W12" s="11">
        <f t="shared" si="5"/>
        <v>0</v>
      </c>
      <c r="Y12" s="219">
        <f>'Share of £1bn'!$M$15*F12/$F$1</f>
        <v>1.2775138266092372</v>
      </c>
      <c r="Z12" s="220">
        <f t="shared" si="6"/>
        <v>-7.347486173390763</v>
      </c>
      <c r="AA12" s="11">
        <f t="shared" si="7"/>
        <v>1.2775138266092372</v>
      </c>
      <c r="AB12" s="11">
        <f t="shared" si="8"/>
        <v>0</v>
      </c>
      <c r="AC12" s="11">
        <f t="shared" si="9"/>
        <v>0</v>
      </c>
      <c r="AE12" s="222"/>
      <c r="AF12" s="223"/>
    </row>
    <row r="13" spans="2:32" x14ac:dyDescent="0.25">
      <c r="B13" t="s">
        <v>408</v>
      </c>
      <c r="C13" t="s">
        <v>425</v>
      </c>
      <c r="D13" t="s">
        <v>426</v>
      </c>
      <c r="E13" t="s">
        <v>23</v>
      </c>
      <c r="F13" s="219">
        <v>488</v>
      </c>
      <c r="G13" s="219">
        <v>112954</v>
      </c>
      <c r="H13" s="219">
        <v>113</v>
      </c>
      <c r="I13" s="219">
        <v>0</v>
      </c>
      <c r="J13" s="219">
        <v>0</v>
      </c>
      <c r="K13" s="219">
        <v>0</v>
      </c>
      <c r="L13" s="219">
        <v>0</v>
      </c>
      <c r="M13" s="219">
        <v>3712</v>
      </c>
      <c r="N13" s="219">
        <v>0</v>
      </c>
      <c r="O13" s="219">
        <v>117267</v>
      </c>
      <c r="Q13" s="219">
        <f>SUMIFS(Deficits!BY:BY,Deficits!BS:BS,C13)</f>
        <v>-3.2615899999999383</v>
      </c>
      <c r="S13" s="219">
        <f>'Share of £1bn'!$L$15*O13/$O$1</f>
        <v>0.1344728898680049</v>
      </c>
      <c r="T13" s="220">
        <f t="shared" si="2"/>
        <v>-3.1271171101319335</v>
      </c>
      <c r="U13" s="11">
        <f t="shared" si="3"/>
        <v>0.1344728898680049</v>
      </c>
      <c r="V13" s="11">
        <f t="shared" si="4"/>
        <v>0</v>
      </c>
      <c r="W13" s="11">
        <f t="shared" si="5"/>
        <v>0</v>
      </c>
      <c r="Y13" s="219">
        <f>'Share of £1bn'!$M$15*F13/$F$1</f>
        <v>3.0461433657868759E-3</v>
      </c>
      <c r="Z13" s="220">
        <f t="shared" si="6"/>
        <v>-3.2585438566341516</v>
      </c>
      <c r="AA13" s="11">
        <f t="shared" si="7"/>
        <v>3.0461433657868759E-3</v>
      </c>
      <c r="AB13" s="11">
        <f t="shared" si="8"/>
        <v>0</v>
      </c>
      <c r="AC13" s="11">
        <f t="shared" si="9"/>
        <v>0</v>
      </c>
      <c r="AE13" s="222"/>
      <c r="AF13" s="223"/>
    </row>
    <row r="14" spans="2:32" x14ac:dyDescent="0.25">
      <c r="B14" t="s">
        <v>403</v>
      </c>
      <c r="C14" t="s">
        <v>427</v>
      </c>
      <c r="D14" t="s">
        <v>428</v>
      </c>
      <c r="E14" t="s">
        <v>23</v>
      </c>
      <c r="F14" s="219">
        <v>1127397</v>
      </c>
      <c r="G14" s="219">
        <v>0</v>
      </c>
      <c r="H14" s="219">
        <v>76899</v>
      </c>
      <c r="I14" s="219">
        <v>15158</v>
      </c>
      <c r="J14" s="219">
        <v>3597</v>
      </c>
      <c r="K14" s="219">
        <v>0</v>
      </c>
      <c r="L14" s="219">
        <v>0</v>
      </c>
      <c r="M14" s="219">
        <v>4290</v>
      </c>
      <c r="N14" s="219">
        <v>72</v>
      </c>
      <c r="O14" s="219">
        <v>1227413</v>
      </c>
      <c r="Q14" s="219">
        <f>SUMIFS(Deficits!BY:BY,Deficits!BS:BS,C14)</f>
        <v>-1.9999032699998933</v>
      </c>
      <c r="S14" s="219">
        <f>'Share of £1bn'!$L$15*O14/$O$1</f>
        <v>1.4075040136744141</v>
      </c>
      <c r="T14" s="220">
        <f t="shared" si="2"/>
        <v>-0.59239925632547918</v>
      </c>
      <c r="U14" s="11">
        <f t="shared" si="3"/>
        <v>1.4075040136744141</v>
      </c>
      <c r="V14" s="11">
        <f t="shared" si="4"/>
        <v>0</v>
      </c>
      <c r="W14" s="11">
        <f t="shared" si="5"/>
        <v>0</v>
      </c>
      <c r="Y14" s="219">
        <f>'Share of £1bn'!$M$15*F14/$F$1</f>
        <v>7.0373215003238236</v>
      </c>
      <c r="Z14" s="220">
        <f t="shared" si="6"/>
        <v>5.0374182303239303</v>
      </c>
      <c r="AA14" s="11">
        <f t="shared" si="7"/>
        <v>0</v>
      </c>
      <c r="AB14" s="11">
        <f t="shared" si="8"/>
        <v>1.9999032699998933</v>
      </c>
      <c r="AC14" s="11">
        <f t="shared" si="9"/>
        <v>5.0374182303239303</v>
      </c>
      <c r="AE14" s="222"/>
      <c r="AF14" s="223"/>
    </row>
    <row r="15" spans="2:32" x14ac:dyDescent="0.25">
      <c r="B15" t="s">
        <v>403</v>
      </c>
      <c r="C15" t="s">
        <v>429</v>
      </c>
      <c r="D15" t="s">
        <v>430</v>
      </c>
      <c r="E15" t="s">
        <v>23</v>
      </c>
      <c r="F15" s="219">
        <v>260302</v>
      </c>
      <c r="G15" s="219">
        <v>0</v>
      </c>
      <c r="H15" s="219">
        <v>38260</v>
      </c>
      <c r="I15" s="219">
        <v>0</v>
      </c>
      <c r="J15" s="219">
        <v>0</v>
      </c>
      <c r="K15" s="219">
        <v>0</v>
      </c>
      <c r="L15" s="219">
        <v>0</v>
      </c>
      <c r="M15" s="219">
        <v>1728</v>
      </c>
      <c r="N15" s="219">
        <v>0</v>
      </c>
      <c r="O15" s="219">
        <v>300290</v>
      </c>
      <c r="Q15" s="219">
        <f>SUMIFS(Deficits!BY:BY,Deficits!BS:BS,C15)</f>
        <v>-5.9770000000000003</v>
      </c>
      <c r="S15" s="219">
        <f>'Share of £1bn'!$L$15*O15/$O$1</f>
        <v>0.3443497667584503</v>
      </c>
      <c r="T15" s="220">
        <f t="shared" si="2"/>
        <v>-5.6326502332415505</v>
      </c>
      <c r="U15" s="11">
        <f t="shared" si="3"/>
        <v>0.3443497667584503</v>
      </c>
      <c r="V15" s="11">
        <f t="shared" si="4"/>
        <v>0</v>
      </c>
      <c r="W15" s="11">
        <f t="shared" si="5"/>
        <v>0</v>
      </c>
      <c r="Y15" s="219">
        <f>'Share of £1bn'!$M$15*F15/$F$1</f>
        <v>1.6248303491824905</v>
      </c>
      <c r="Z15" s="220">
        <f t="shared" si="6"/>
        <v>-4.3521696508175101</v>
      </c>
      <c r="AA15" s="11">
        <f t="shared" si="7"/>
        <v>1.6248303491824905</v>
      </c>
      <c r="AB15" s="11">
        <f t="shared" si="8"/>
        <v>0</v>
      </c>
      <c r="AC15" s="11">
        <f t="shared" si="9"/>
        <v>0</v>
      </c>
      <c r="AE15" s="222"/>
      <c r="AF15" s="223"/>
    </row>
    <row r="16" spans="2:32" x14ac:dyDescent="0.25">
      <c r="B16" t="s">
        <v>403</v>
      </c>
      <c r="C16" t="s">
        <v>431</v>
      </c>
      <c r="D16" t="s">
        <v>432</v>
      </c>
      <c r="E16" t="s">
        <v>44</v>
      </c>
      <c r="F16" s="219">
        <v>596347</v>
      </c>
      <c r="G16" s="219">
        <v>0</v>
      </c>
      <c r="H16" s="219">
        <v>0</v>
      </c>
      <c r="I16" s="219">
        <v>1</v>
      </c>
      <c r="J16" s="219">
        <v>0</v>
      </c>
      <c r="K16" s="219">
        <v>0</v>
      </c>
      <c r="L16" s="219">
        <v>0</v>
      </c>
      <c r="M16" s="219">
        <v>0</v>
      </c>
      <c r="N16" s="219">
        <v>0</v>
      </c>
      <c r="O16" s="219">
        <v>596348</v>
      </c>
      <c r="Q16" s="219">
        <f>SUMIFS(Deficits!BY:BY,Deficits!BS:BS,C16)</f>
        <v>-2.9999999997380657E-4</v>
      </c>
      <c r="S16" s="219">
        <f>'Share of £1bn'!$L$15*O16/$O$1</f>
        <v>0.68384659731215935</v>
      </c>
      <c r="T16" s="220">
        <f t="shared" si="2"/>
        <v>0.68354659731218559</v>
      </c>
      <c r="U16" s="11">
        <f t="shared" si="3"/>
        <v>0</v>
      </c>
      <c r="V16" s="11">
        <f t="shared" si="4"/>
        <v>2.9999999997380657E-4</v>
      </c>
      <c r="W16" s="11">
        <f t="shared" si="5"/>
        <v>0.68354659731218559</v>
      </c>
      <c r="Y16" s="219">
        <f>'Share of £1bn'!$M$15*F16/$F$1</f>
        <v>3.7224558560592338</v>
      </c>
      <c r="Z16" s="220">
        <f t="shared" si="6"/>
        <v>3.7221558560592598</v>
      </c>
      <c r="AA16" s="11">
        <f t="shared" si="7"/>
        <v>0</v>
      </c>
      <c r="AB16" s="11">
        <f t="shared" si="8"/>
        <v>2.9999999997380657E-4</v>
      </c>
      <c r="AC16" s="11">
        <f t="shared" si="9"/>
        <v>3.7221558560592598</v>
      </c>
      <c r="AE16" s="222"/>
      <c r="AF16" s="223"/>
    </row>
    <row r="17" spans="2:32" x14ac:dyDescent="0.25">
      <c r="B17" t="s">
        <v>433</v>
      </c>
      <c r="C17" t="s">
        <v>434</v>
      </c>
      <c r="D17" t="s">
        <v>435</v>
      </c>
      <c r="E17" t="s">
        <v>44</v>
      </c>
      <c r="F17" s="219">
        <v>1205</v>
      </c>
      <c r="G17" s="219">
        <v>116441</v>
      </c>
      <c r="H17" s="219">
        <v>109731</v>
      </c>
      <c r="I17" s="219">
        <v>0</v>
      </c>
      <c r="J17" s="219">
        <v>0</v>
      </c>
      <c r="K17" s="219">
        <v>0</v>
      </c>
      <c r="L17" s="219">
        <v>0</v>
      </c>
      <c r="M17" s="219">
        <v>0</v>
      </c>
      <c r="N17" s="219">
        <v>0</v>
      </c>
      <c r="O17" s="219">
        <v>227377</v>
      </c>
      <c r="Q17" s="219">
        <f>SUMIFS(Deficits!BY:BY,Deficits!BS:BS,C17)</f>
        <v>2.9</v>
      </c>
      <c r="S17" s="219">
        <f>'Share of £1bn'!$L$15*O17/$O$1</f>
        <v>0.26073867566764181</v>
      </c>
      <c r="T17" s="220">
        <f t="shared" si="2"/>
        <v>3.1607386756676417</v>
      </c>
      <c r="U17" s="11">
        <f t="shared" si="3"/>
        <v>0</v>
      </c>
      <c r="V17" s="11">
        <f t="shared" si="4"/>
        <v>0</v>
      </c>
      <c r="W17" s="11">
        <f t="shared" si="5"/>
        <v>0.26073867566764181</v>
      </c>
      <c r="Y17" s="219">
        <f>'Share of £1bn'!$M$15*F17/$F$1</f>
        <v>7.521726958551609E-3</v>
      </c>
      <c r="Z17" s="220">
        <f t="shared" si="6"/>
        <v>2.9075217269585516</v>
      </c>
      <c r="AA17" s="11">
        <f t="shared" si="7"/>
        <v>0</v>
      </c>
      <c r="AB17" s="11">
        <f t="shared" si="8"/>
        <v>0</v>
      </c>
      <c r="AC17" s="11">
        <f t="shared" si="9"/>
        <v>7.521726958551609E-3</v>
      </c>
      <c r="AE17" s="222"/>
      <c r="AF17" s="223"/>
    </row>
    <row r="18" spans="2:32" x14ac:dyDescent="0.25">
      <c r="B18" t="s">
        <v>403</v>
      </c>
      <c r="C18" t="s">
        <v>436</v>
      </c>
      <c r="D18" t="s">
        <v>437</v>
      </c>
      <c r="E18" t="s">
        <v>44</v>
      </c>
      <c r="F18" s="219">
        <v>203958</v>
      </c>
      <c r="G18" s="219">
        <v>0</v>
      </c>
      <c r="H18" s="219">
        <v>41962</v>
      </c>
      <c r="I18" s="219">
        <v>4306</v>
      </c>
      <c r="J18" s="219">
        <v>0</v>
      </c>
      <c r="K18" s="219">
        <v>0</v>
      </c>
      <c r="L18" s="219">
        <v>0</v>
      </c>
      <c r="M18" s="219">
        <v>265</v>
      </c>
      <c r="N18" s="219">
        <v>0</v>
      </c>
      <c r="O18" s="219">
        <v>250491</v>
      </c>
      <c r="Q18" s="219">
        <f>SUMIFS(Deficits!BY:BY,Deficits!BS:BS,C18)</f>
        <v>-22.315999999999999</v>
      </c>
      <c r="S18" s="219">
        <f>'Share of £1bn'!$L$15*O18/$O$1</f>
        <v>0.28724405549665649</v>
      </c>
      <c r="T18" s="220">
        <f t="shared" si="2"/>
        <v>-22.028755944503342</v>
      </c>
      <c r="U18" s="11">
        <f t="shared" si="3"/>
        <v>0.28724405549665649</v>
      </c>
      <c r="V18" s="11">
        <f t="shared" si="4"/>
        <v>0</v>
      </c>
      <c r="W18" s="11">
        <f t="shared" si="5"/>
        <v>0</v>
      </c>
      <c r="Y18" s="219">
        <f>'Share of £1bn'!$M$15*F18/$F$1</f>
        <v>1.2731256323753271</v>
      </c>
      <c r="Z18" s="220">
        <f t="shared" si="6"/>
        <v>-21.042874367624673</v>
      </c>
      <c r="AA18" s="11">
        <f t="shared" si="7"/>
        <v>1.2731256323753271</v>
      </c>
      <c r="AB18" s="11">
        <f t="shared" si="8"/>
        <v>0</v>
      </c>
      <c r="AC18" s="11">
        <f t="shared" si="9"/>
        <v>0</v>
      </c>
      <c r="AE18" s="222"/>
      <c r="AF18" s="223"/>
    </row>
    <row r="19" spans="2:32" x14ac:dyDescent="0.25">
      <c r="B19" t="s">
        <v>408</v>
      </c>
      <c r="C19" t="s">
        <v>438</v>
      </c>
      <c r="D19" t="s">
        <v>439</v>
      </c>
      <c r="E19" t="s">
        <v>66</v>
      </c>
      <c r="F19" s="219">
        <v>923</v>
      </c>
      <c r="G19" s="219">
        <v>312989</v>
      </c>
      <c r="H19" s="219">
        <v>106135</v>
      </c>
      <c r="I19" s="219">
        <v>0</v>
      </c>
      <c r="J19" s="219">
        <v>0</v>
      </c>
      <c r="K19" s="219">
        <v>0</v>
      </c>
      <c r="L19" s="219">
        <v>0</v>
      </c>
      <c r="M19" s="219">
        <v>0</v>
      </c>
      <c r="N19" s="219">
        <v>251</v>
      </c>
      <c r="O19" s="219">
        <v>420298</v>
      </c>
      <c r="Q19" s="219">
        <f>SUMIFS(Deficits!BY:BY,Deficits!BS:BS,C19)</f>
        <v>-8.9343440000000847</v>
      </c>
      <c r="S19" s="219">
        <f>'Share of £1bn'!$L$15*O19/$O$1</f>
        <v>0.48196582726378884</v>
      </c>
      <c r="T19" s="220">
        <f t="shared" si="2"/>
        <v>-8.4523781727362959</v>
      </c>
      <c r="U19" s="11">
        <f t="shared" si="3"/>
        <v>0.48196582726378884</v>
      </c>
      <c r="V19" s="11">
        <f t="shared" si="4"/>
        <v>0</v>
      </c>
      <c r="W19" s="11">
        <f t="shared" si="5"/>
        <v>0</v>
      </c>
      <c r="Y19" s="219">
        <f>'Share of £1bn'!$M$15*F19/$F$1</f>
        <v>5.7614555873387015E-3</v>
      </c>
      <c r="Z19" s="220">
        <f t="shared" si="6"/>
        <v>-8.9285825444127465</v>
      </c>
      <c r="AA19" s="11">
        <f t="shared" si="7"/>
        <v>5.7614555873387015E-3</v>
      </c>
      <c r="AB19" s="11">
        <f t="shared" si="8"/>
        <v>0</v>
      </c>
      <c r="AC19" s="11">
        <f t="shared" si="9"/>
        <v>0</v>
      </c>
      <c r="AE19" s="222"/>
      <c r="AF19" s="223"/>
    </row>
    <row r="20" spans="2:32" x14ac:dyDescent="0.25">
      <c r="B20" t="s">
        <v>403</v>
      </c>
      <c r="C20" t="s">
        <v>440</v>
      </c>
      <c r="D20" t="s">
        <v>441</v>
      </c>
      <c r="E20" t="s">
        <v>66</v>
      </c>
      <c r="F20" s="219">
        <v>1288368</v>
      </c>
      <c r="G20" s="219">
        <v>0</v>
      </c>
      <c r="H20" s="219">
        <v>2</v>
      </c>
      <c r="I20" s="219">
        <v>4357</v>
      </c>
      <c r="J20" s="219">
        <v>0</v>
      </c>
      <c r="K20" s="219">
        <v>0</v>
      </c>
      <c r="L20" s="219">
        <v>0</v>
      </c>
      <c r="M20" s="219">
        <v>0</v>
      </c>
      <c r="N20" s="219">
        <v>208</v>
      </c>
      <c r="O20" s="219">
        <v>1292935</v>
      </c>
      <c r="Q20" s="219">
        <f>SUMIFS(Deficits!BY:BY,Deficits!BS:BS,C20)</f>
        <v>-12.838554789999961</v>
      </c>
      <c r="S20" s="219">
        <f>'Share of £1bn'!$L$15*O20/$O$1</f>
        <v>1.4826396672677644</v>
      </c>
      <c r="T20" s="220">
        <f t="shared" si="2"/>
        <v>-11.355915122732195</v>
      </c>
      <c r="U20" s="11">
        <f t="shared" si="3"/>
        <v>1.4826396672677644</v>
      </c>
      <c r="V20" s="11">
        <f t="shared" si="4"/>
        <v>0</v>
      </c>
      <c r="W20" s="11">
        <f t="shared" si="5"/>
        <v>0</v>
      </c>
      <c r="Y20" s="219">
        <f>'Share of £1bn'!$M$15*F20/$F$1</f>
        <v>8.0421181063362823</v>
      </c>
      <c r="Z20" s="220">
        <f t="shared" si="6"/>
        <v>-4.7964366836636785</v>
      </c>
      <c r="AA20" s="11">
        <f t="shared" si="7"/>
        <v>8.0421181063362823</v>
      </c>
      <c r="AB20" s="11">
        <f t="shared" si="8"/>
        <v>0</v>
      </c>
      <c r="AC20" s="11">
        <f t="shared" si="9"/>
        <v>0</v>
      </c>
      <c r="AE20" s="222"/>
      <c r="AF20" s="223"/>
    </row>
    <row r="21" spans="2:32" x14ac:dyDescent="0.25">
      <c r="B21" t="s">
        <v>403</v>
      </c>
      <c r="C21" t="s">
        <v>442</v>
      </c>
      <c r="D21" t="s">
        <v>443</v>
      </c>
      <c r="E21" t="s">
        <v>60</v>
      </c>
      <c r="F21" s="219">
        <v>692380</v>
      </c>
      <c r="G21" s="219">
        <v>0</v>
      </c>
      <c r="H21" s="219">
        <v>0</v>
      </c>
      <c r="I21" s="219">
        <v>161</v>
      </c>
      <c r="J21" s="219">
        <v>0</v>
      </c>
      <c r="K21" s="219">
        <v>0</v>
      </c>
      <c r="L21" s="219">
        <v>0</v>
      </c>
      <c r="M21" s="219">
        <v>9000</v>
      </c>
      <c r="N21" s="219">
        <v>0</v>
      </c>
      <c r="O21" s="219">
        <v>701541</v>
      </c>
      <c r="Q21" s="219">
        <f>SUMIFS(Deficits!BY:BY,Deficits!BS:BS,C21)</f>
        <v>-3.3999999897787348E-5</v>
      </c>
      <c r="S21" s="219">
        <f>'Share of £1bn'!$L$15*O21/$O$1</f>
        <v>0.80447394092873559</v>
      </c>
      <c r="T21" s="220">
        <f t="shared" si="2"/>
        <v>0.80443994092883775</v>
      </c>
      <c r="U21" s="11">
        <f t="shared" si="3"/>
        <v>0</v>
      </c>
      <c r="V21" s="11">
        <f t="shared" si="4"/>
        <v>3.3999999897787348E-5</v>
      </c>
      <c r="W21" s="11">
        <f t="shared" si="5"/>
        <v>0.80443994092883775</v>
      </c>
      <c r="Y21" s="219">
        <f>'Share of £1bn'!$M$15*F21/$F$1</f>
        <v>4.3219031631219611</v>
      </c>
      <c r="Z21" s="220">
        <f t="shared" si="6"/>
        <v>4.3218691631220629</v>
      </c>
      <c r="AA21" s="11">
        <f t="shared" si="7"/>
        <v>0</v>
      </c>
      <c r="AB21" s="11">
        <f t="shared" si="8"/>
        <v>3.3999999897787348E-5</v>
      </c>
      <c r="AC21" s="11">
        <f t="shared" si="9"/>
        <v>4.3218691631220629</v>
      </c>
      <c r="AE21" s="222"/>
      <c r="AF21" s="223"/>
    </row>
    <row r="22" spans="2:32" x14ac:dyDescent="0.25">
      <c r="B22" t="s">
        <v>403</v>
      </c>
      <c r="C22" t="s">
        <v>444</v>
      </c>
      <c r="D22" t="s">
        <v>445</v>
      </c>
      <c r="E22" t="s">
        <v>60</v>
      </c>
      <c r="F22" s="219">
        <v>310614</v>
      </c>
      <c r="G22" s="219">
        <v>0</v>
      </c>
      <c r="H22" s="219">
        <v>0</v>
      </c>
      <c r="I22" s="219">
        <v>1704</v>
      </c>
      <c r="J22" s="219">
        <v>0</v>
      </c>
      <c r="K22" s="219">
        <v>0</v>
      </c>
      <c r="L22" s="219">
        <v>0</v>
      </c>
      <c r="M22" s="219">
        <v>5872</v>
      </c>
      <c r="N22" s="219">
        <v>0</v>
      </c>
      <c r="O22" s="219">
        <v>318190</v>
      </c>
      <c r="Q22" s="219">
        <f>SUMIFS(Deficits!BY:BY,Deficits!BS:BS,C22)</f>
        <v>0</v>
      </c>
      <c r="S22" s="219">
        <f>'Share of £1bn'!$L$15*O22/$O$1</f>
        <v>0.36487612735978991</v>
      </c>
      <c r="T22" s="220">
        <f t="shared" si="2"/>
        <v>0.36487612735978991</v>
      </c>
      <c r="U22" s="11">
        <f t="shared" si="3"/>
        <v>0</v>
      </c>
      <c r="V22" s="11">
        <f t="shared" si="4"/>
        <v>0</v>
      </c>
      <c r="W22" s="11">
        <f t="shared" si="5"/>
        <v>0.36487612735978991</v>
      </c>
      <c r="Y22" s="219">
        <f>'Share of £1bn'!$M$15*F22/$F$1</f>
        <v>1.9388827365174686</v>
      </c>
      <c r="Z22" s="220">
        <f t="shared" si="6"/>
        <v>1.9388827365174686</v>
      </c>
      <c r="AA22" s="11">
        <f t="shared" si="7"/>
        <v>0</v>
      </c>
      <c r="AB22" s="11">
        <f t="shared" si="8"/>
        <v>0</v>
      </c>
      <c r="AC22" s="11">
        <f t="shared" si="9"/>
        <v>1.9388827365174686</v>
      </c>
      <c r="AE22" s="222"/>
      <c r="AF22" s="223"/>
    </row>
    <row r="23" spans="2:32" x14ac:dyDescent="0.25">
      <c r="B23" t="s">
        <v>408</v>
      </c>
      <c r="C23" t="s">
        <v>446</v>
      </c>
      <c r="D23" t="s">
        <v>447</v>
      </c>
      <c r="E23" t="s">
        <v>36</v>
      </c>
      <c r="F23" s="219">
        <v>23</v>
      </c>
      <c r="G23" s="219">
        <v>546530</v>
      </c>
      <c r="H23" s="219">
        <v>4</v>
      </c>
      <c r="I23" s="219">
        <v>0</v>
      </c>
      <c r="J23" s="219">
        <v>0</v>
      </c>
      <c r="K23" s="219">
        <v>0</v>
      </c>
      <c r="L23" s="219">
        <v>0</v>
      </c>
      <c r="M23" s="219">
        <v>0</v>
      </c>
      <c r="N23" s="219">
        <v>0</v>
      </c>
      <c r="O23" s="219">
        <v>546557</v>
      </c>
      <c r="Q23" s="219">
        <f>SUMIFS(Deficits!BY:BY,Deficits!BS:BS,C23)</f>
        <v>-2.0000319636892526E-8</v>
      </c>
      <c r="S23" s="219">
        <f>'Share of £1bn'!$L$15*O23/$O$1</f>
        <v>0.62675005984281307</v>
      </c>
      <c r="T23" s="220">
        <f t="shared" si="2"/>
        <v>0.62675003984249344</v>
      </c>
      <c r="U23" s="11">
        <f t="shared" si="3"/>
        <v>0</v>
      </c>
      <c r="V23" s="11">
        <f t="shared" si="4"/>
        <v>2.0000319636892526E-8</v>
      </c>
      <c r="W23" s="11">
        <f t="shared" si="5"/>
        <v>0.62675003984249344</v>
      </c>
      <c r="Y23" s="219">
        <f>'Share of £1bn'!$M$15*F23/$F$1</f>
        <v>1.4356823240388962E-4</v>
      </c>
      <c r="Z23" s="220">
        <f t="shared" si="6"/>
        <v>1.4354823208425274E-4</v>
      </c>
      <c r="AA23" s="11">
        <f t="shared" si="7"/>
        <v>0</v>
      </c>
      <c r="AB23" s="11">
        <f t="shared" si="8"/>
        <v>2.0000319636892526E-8</v>
      </c>
      <c r="AC23" s="11">
        <f t="shared" si="9"/>
        <v>1.4354823208425274E-4</v>
      </c>
      <c r="AE23" s="222"/>
      <c r="AF23" s="223"/>
    </row>
    <row r="24" spans="2:32" x14ac:dyDescent="0.25">
      <c r="B24" t="s">
        <v>433</v>
      </c>
      <c r="C24" t="s">
        <v>448</v>
      </c>
      <c r="D24" t="s">
        <v>449</v>
      </c>
      <c r="E24" t="s">
        <v>36</v>
      </c>
      <c r="F24" s="219">
        <v>721</v>
      </c>
      <c r="G24" s="219">
        <v>18366</v>
      </c>
      <c r="H24" s="219">
        <v>250181</v>
      </c>
      <c r="I24" s="219">
        <v>13</v>
      </c>
      <c r="J24" s="219">
        <v>18</v>
      </c>
      <c r="K24" s="219">
        <v>0</v>
      </c>
      <c r="L24" s="219">
        <v>0</v>
      </c>
      <c r="M24" s="219">
        <v>0</v>
      </c>
      <c r="N24" s="219">
        <v>0</v>
      </c>
      <c r="O24" s="219">
        <v>269299</v>
      </c>
      <c r="Q24" s="219">
        <f>SUMIFS(Deficits!BY:BY,Deficits!BS:BS,C24)</f>
        <v>-1.0000665599999994</v>
      </c>
      <c r="S24" s="219">
        <f>'Share of £1bn'!$L$15*O24/$O$1</f>
        <v>0.30881164154079027</v>
      </c>
      <c r="T24" s="220">
        <f t="shared" si="2"/>
        <v>-0.69125491845920917</v>
      </c>
      <c r="U24" s="11">
        <f t="shared" si="3"/>
        <v>0.30881164154079027</v>
      </c>
      <c r="V24" s="11">
        <f t="shared" si="4"/>
        <v>0</v>
      </c>
      <c r="W24" s="11">
        <f t="shared" si="5"/>
        <v>0</v>
      </c>
      <c r="Y24" s="219">
        <f>'Share of £1bn'!$M$15*F24/$F$1</f>
        <v>4.500551981008888E-3</v>
      </c>
      <c r="Z24" s="220">
        <f t="shared" si="6"/>
        <v>-0.99556600801899053</v>
      </c>
      <c r="AA24" s="11">
        <f t="shared" si="7"/>
        <v>4.500551981008888E-3</v>
      </c>
      <c r="AB24" s="11">
        <f t="shared" si="8"/>
        <v>0</v>
      </c>
      <c r="AC24" s="11">
        <f t="shared" si="9"/>
        <v>0</v>
      </c>
      <c r="AE24" s="222"/>
      <c r="AF24" s="223"/>
    </row>
    <row r="25" spans="2:32" x14ac:dyDescent="0.25">
      <c r="B25" t="s">
        <v>403</v>
      </c>
      <c r="C25" t="s">
        <v>450</v>
      </c>
      <c r="D25" t="s">
        <v>451</v>
      </c>
      <c r="E25" t="s">
        <v>36</v>
      </c>
      <c r="F25" s="219">
        <v>536304</v>
      </c>
      <c r="G25" s="219">
        <v>18</v>
      </c>
      <c r="H25" s="219">
        <v>0</v>
      </c>
      <c r="I25" s="219">
        <v>0</v>
      </c>
      <c r="J25" s="219">
        <v>0</v>
      </c>
      <c r="K25" s="219">
        <v>0</v>
      </c>
      <c r="L25" s="219">
        <v>0</v>
      </c>
      <c r="M25" s="219">
        <v>0</v>
      </c>
      <c r="N25" s="219">
        <v>0</v>
      </c>
      <c r="O25" s="219">
        <v>536322</v>
      </c>
      <c r="Q25" s="219">
        <f>SUMIFS(Deficits!BY:BY,Deficits!BS:BS,C25)</f>
        <v>4.0090999996755274E-4</v>
      </c>
      <c r="S25" s="219">
        <f>'Share of £1bn'!$L$15*O25/$O$1</f>
        <v>0.61501333913025935</v>
      </c>
      <c r="T25" s="220">
        <f t="shared" si="2"/>
        <v>0.61541424913022691</v>
      </c>
      <c r="U25" s="11">
        <f t="shared" si="3"/>
        <v>0</v>
      </c>
      <c r="V25" s="11">
        <f t="shared" si="4"/>
        <v>0</v>
      </c>
      <c r="W25" s="11">
        <f t="shared" si="5"/>
        <v>0.61501333913025935</v>
      </c>
      <c r="Y25" s="219">
        <f>'Share of £1bn'!$M$15*F25/$F$1</f>
        <v>3.3476616222232884</v>
      </c>
      <c r="Z25" s="220">
        <f t="shared" si="6"/>
        <v>3.3480625322232558</v>
      </c>
      <c r="AA25" s="11">
        <f t="shared" si="7"/>
        <v>0</v>
      </c>
      <c r="AB25" s="11">
        <f t="shared" si="8"/>
        <v>0</v>
      </c>
      <c r="AC25" s="11">
        <f t="shared" si="9"/>
        <v>3.3476616222232884</v>
      </c>
      <c r="AE25" s="222"/>
      <c r="AF25" s="223"/>
    </row>
    <row r="26" spans="2:32" x14ac:dyDescent="0.25">
      <c r="B26" t="s">
        <v>403</v>
      </c>
      <c r="C26" t="s">
        <v>452</v>
      </c>
      <c r="D26" t="s">
        <v>453</v>
      </c>
      <c r="E26" t="s">
        <v>36</v>
      </c>
      <c r="F26" s="219">
        <v>114120</v>
      </c>
      <c r="G26" s="219">
        <v>0</v>
      </c>
      <c r="H26" s="219">
        <v>0</v>
      </c>
      <c r="I26" s="219">
        <v>0</v>
      </c>
      <c r="J26" s="219">
        <v>0</v>
      </c>
      <c r="K26" s="219">
        <v>0</v>
      </c>
      <c r="L26" s="219">
        <v>0</v>
      </c>
      <c r="M26" s="219">
        <v>0</v>
      </c>
      <c r="N26" s="219">
        <v>0</v>
      </c>
      <c r="O26" s="219">
        <v>114120</v>
      </c>
      <c r="Q26" s="219">
        <f>SUMIFS(Deficits!BY:BY,Deficits!BS:BS,C26)</f>
        <v>0</v>
      </c>
      <c r="S26" s="219">
        <f>'Share of £1bn'!$L$15*O26/$O$1</f>
        <v>0.13086414926395934</v>
      </c>
      <c r="T26" s="220">
        <f t="shared" si="2"/>
        <v>0.13086414926395934</v>
      </c>
      <c r="U26" s="11">
        <f t="shared" si="3"/>
        <v>0</v>
      </c>
      <c r="V26" s="11">
        <f t="shared" si="4"/>
        <v>0</v>
      </c>
      <c r="W26" s="11">
        <f t="shared" si="5"/>
        <v>0.13086414926395934</v>
      </c>
      <c r="Y26" s="219">
        <f>'Share of £1bn'!$M$15*F26/$F$1</f>
        <v>0.71234811660573416</v>
      </c>
      <c r="Z26" s="220">
        <f t="shared" si="6"/>
        <v>0.71234811660573416</v>
      </c>
      <c r="AA26" s="11">
        <f t="shared" si="7"/>
        <v>0</v>
      </c>
      <c r="AB26" s="11">
        <f t="shared" si="8"/>
        <v>0</v>
      </c>
      <c r="AC26" s="11">
        <f t="shared" si="9"/>
        <v>0.71234811660573416</v>
      </c>
      <c r="AE26" s="222"/>
      <c r="AF26" s="223"/>
    </row>
    <row r="27" spans="2:32" x14ac:dyDescent="0.25">
      <c r="B27" t="s">
        <v>403</v>
      </c>
      <c r="C27" t="s">
        <v>454</v>
      </c>
      <c r="D27" t="s">
        <v>455</v>
      </c>
      <c r="E27" t="s">
        <v>36</v>
      </c>
      <c r="F27" s="219">
        <v>1872219</v>
      </c>
      <c r="G27" s="219">
        <v>0</v>
      </c>
      <c r="H27" s="219">
        <v>25186</v>
      </c>
      <c r="I27" s="219">
        <v>17</v>
      </c>
      <c r="J27" s="219">
        <v>0</v>
      </c>
      <c r="K27" s="219">
        <v>0</v>
      </c>
      <c r="L27" s="219">
        <v>0</v>
      </c>
      <c r="M27" s="219">
        <v>0</v>
      </c>
      <c r="N27" s="219">
        <v>0</v>
      </c>
      <c r="O27" s="219">
        <v>1897422</v>
      </c>
      <c r="Q27" s="219">
        <f>SUMIFS(Deficits!BY:BY,Deficits!BS:BS,C27)</f>
        <v>-49.762639699999824</v>
      </c>
      <c r="S27" s="219">
        <f>'Share of £1bn'!$L$15*O27/$O$1</f>
        <v>2.1758194516712255</v>
      </c>
      <c r="T27" s="220">
        <f t="shared" si="2"/>
        <v>-47.5868202483286</v>
      </c>
      <c r="U27" s="11">
        <f t="shared" si="3"/>
        <v>2.1758194516712255</v>
      </c>
      <c r="V27" s="11">
        <f t="shared" si="4"/>
        <v>0</v>
      </c>
      <c r="W27" s="11">
        <f t="shared" si="5"/>
        <v>0</v>
      </c>
      <c r="Y27" s="219">
        <f>'Share of £1bn'!$M$15*F27/$F$1</f>
        <v>11.686572717520777</v>
      </c>
      <c r="Z27" s="220">
        <f t="shared" si="6"/>
        <v>-38.076066982479048</v>
      </c>
      <c r="AA27" s="11">
        <f t="shared" si="7"/>
        <v>11.686572717520777</v>
      </c>
      <c r="AB27" s="11">
        <f t="shared" si="8"/>
        <v>0</v>
      </c>
      <c r="AC27" s="11">
        <f t="shared" si="9"/>
        <v>0</v>
      </c>
      <c r="AE27" s="222"/>
      <c r="AF27" s="223"/>
    </row>
    <row r="28" spans="2:32" x14ac:dyDescent="0.25">
      <c r="B28" t="s">
        <v>403</v>
      </c>
      <c r="C28" t="s">
        <v>456</v>
      </c>
      <c r="D28" t="s">
        <v>457</v>
      </c>
      <c r="E28" t="s">
        <v>21</v>
      </c>
      <c r="F28" s="219">
        <v>473145</v>
      </c>
      <c r="G28" s="219">
        <v>0</v>
      </c>
      <c r="H28" s="219">
        <v>98806</v>
      </c>
      <c r="I28" s="219">
        <v>40</v>
      </c>
      <c r="J28" s="219">
        <v>2766</v>
      </c>
      <c r="K28" s="219">
        <v>0</v>
      </c>
      <c r="L28" s="219">
        <v>0</v>
      </c>
      <c r="M28" s="219">
        <v>0</v>
      </c>
      <c r="N28" s="219">
        <v>0</v>
      </c>
      <c r="O28" s="219">
        <v>574757</v>
      </c>
      <c r="Q28" s="219">
        <f>SUMIFS(Deficits!BY:BY,Deficits!BS:BS,C28)</f>
        <v>1.7000002844724804E-7</v>
      </c>
      <c r="S28" s="219">
        <f>'Share of £1bn'!$L$15*O28/$O$1</f>
        <v>0.65908767822034242</v>
      </c>
      <c r="T28" s="220">
        <f t="shared" si="2"/>
        <v>0.65908784822037092</v>
      </c>
      <c r="U28" s="11">
        <f t="shared" si="3"/>
        <v>0</v>
      </c>
      <c r="V28" s="11">
        <f t="shared" si="4"/>
        <v>0</v>
      </c>
      <c r="W28" s="11">
        <f t="shared" si="5"/>
        <v>0.65908767822034242</v>
      </c>
      <c r="Y28" s="219">
        <f>'Share of £1bn'!$M$15*F28/$F$1</f>
        <v>2.9534170139451463</v>
      </c>
      <c r="Z28" s="220">
        <f t="shared" si="6"/>
        <v>2.9534171839451746</v>
      </c>
      <c r="AA28" s="11">
        <f t="shared" si="7"/>
        <v>0</v>
      </c>
      <c r="AB28" s="11">
        <f t="shared" si="8"/>
        <v>0</v>
      </c>
      <c r="AC28" s="11">
        <f t="shared" si="9"/>
        <v>2.9534170139451463</v>
      </c>
      <c r="AE28" s="222"/>
      <c r="AF28" s="223"/>
    </row>
    <row r="29" spans="2:32" x14ac:dyDescent="0.25">
      <c r="B29" t="s">
        <v>408</v>
      </c>
      <c r="C29" t="s">
        <v>458</v>
      </c>
      <c r="D29" t="s">
        <v>459</v>
      </c>
      <c r="E29" t="s">
        <v>21</v>
      </c>
      <c r="F29" s="219">
        <v>1899</v>
      </c>
      <c r="G29" s="219">
        <v>484799</v>
      </c>
      <c r="H29" s="219">
        <v>0</v>
      </c>
      <c r="I29" s="219">
        <v>0</v>
      </c>
      <c r="J29" s="219">
        <v>0</v>
      </c>
      <c r="K29" s="219">
        <v>0</v>
      </c>
      <c r="L29" s="219">
        <v>0</v>
      </c>
      <c r="M29" s="219">
        <v>0</v>
      </c>
      <c r="N29" s="219">
        <v>202</v>
      </c>
      <c r="O29" s="219">
        <v>486900</v>
      </c>
      <c r="Q29" s="219">
        <f>SUMIFS(Deficits!BY:BY,Deficits!BS:BS,C29)</f>
        <v>0</v>
      </c>
      <c r="S29" s="219">
        <f>'Share of £1bn'!$L$15*O29/$O$1</f>
        <v>0.55833994283755528</v>
      </c>
      <c r="T29" s="220">
        <f t="shared" si="2"/>
        <v>0.55833994283755528</v>
      </c>
      <c r="U29" s="11">
        <f t="shared" si="3"/>
        <v>0</v>
      </c>
      <c r="V29" s="11">
        <f t="shared" si="4"/>
        <v>0</v>
      </c>
      <c r="W29" s="11">
        <f t="shared" si="5"/>
        <v>0.55833994283755528</v>
      </c>
      <c r="Y29" s="219">
        <f>'Share of £1bn'!$M$15*F29/$F$1</f>
        <v>1.1853742318912452E-2</v>
      </c>
      <c r="Z29" s="220">
        <f t="shared" si="6"/>
        <v>1.1853742318912452E-2</v>
      </c>
      <c r="AA29" s="11">
        <f t="shared" si="7"/>
        <v>0</v>
      </c>
      <c r="AB29" s="11">
        <f t="shared" si="8"/>
        <v>0</v>
      </c>
      <c r="AC29" s="11">
        <f t="shared" si="9"/>
        <v>1.1853742318912452E-2</v>
      </c>
      <c r="AE29" s="222"/>
      <c r="AF29" s="223"/>
    </row>
    <row r="30" spans="2:32" x14ac:dyDescent="0.25">
      <c r="B30" t="s">
        <v>403</v>
      </c>
      <c r="C30" t="s">
        <v>460</v>
      </c>
      <c r="D30" t="s">
        <v>461</v>
      </c>
      <c r="E30" t="s">
        <v>21</v>
      </c>
      <c r="F30" s="219">
        <v>254642</v>
      </c>
      <c r="G30" s="219">
        <v>244</v>
      </c>
      <c r="H30" s="219">
        <v>23453</v>
      </c>
      <c r="I30" s="219">
        <v>0</v>
      </c>
      <c r="J30" s="219">
        <v>0</v>
      </c>
      <c r="K30" s="219">
        <v>0</v>
      </c>
      <c r="L30" s="219">
        <v>0</v>
      </c>
      <c r="M30" s="219">
        <v>29660</v>
      </c>
      <c r="N30" s="219">
        <v>0</v>
      </c>
      <c r="O30" s="219">
        <v>307999</v>
      </c>
      <c r="Q30" s="219">
        <f>SUMIFS(Deficits!BY:BY,Deficits!BS:BS,C30)</f>
        <v>-12.587586420000006</v>
      </c>
      <c r="S30" s="219">
        <f>'Share of £1bn'!$L$15*O30/$O$1</f>
        <v>0.35318986250569762</v>
      </c>
      <c r="T30" s="220">
        <f t="shared" si="2"/>
        <v>-12.234396557494309</v>
      </c>
      <c r="U30" s="11">
        <f t="shared" si="3"/>
        <v>0.35318986250569762</v>
      </c>
      <c r="V30" s="11">
        <f t="shared" si="4"/>
        <v>0</v>
      </c>
      <c r="W30" s="11">
        <f t="shared" si="5"/>
        <v>0</v>
      </c>
      <c r="Y30" s="219">
        <f>'Share of £1bn'!$M$15*F30/$F$1</f>
        <v>1.5895000798170114</v>
      </c>
      <c r="Z30" s="220">
        <f t="shared" si="6"/>
        <v>-10.998086340182995</v>
      </c>
      <c r="AA30" s="11">
        <f t="shared" si="7"/>
        <v>1.5895000798170114</v>
      </c>
      <c r="AB30" s="11">
        <f t="shared" si="8"/>
        <v>0</v>
      </c>
      <c r="AC30" s="11">
        <f t="shared" si="9"/>
        <v>0</v>
      </c>
      <c r="AE30" s="222"/>
      <c r="AF30" s="223"/>
    </row>
    <row r="31" spans="2:32" x14ac:dyDescent="0.25">
      <c r="B31" t="s">
        <v>403</v>
      </c>
      <c r="C31" t="s">
        <v>462</v>
      </c>
      <c r="D31" t="s">
        <v>463</v>
      </c>
      <c r="E31" t="s">
        <v>21</v>
      </c>
      <c r="F31" s="219">
        <v>357116</v>
      </c>
      <c r="G31" s="219">
        <v>3184</v>
      </c>
      <c r="H31" s="219">
        <v>73773</v>
      </c>
      <c r="I31" s="219">
        <v>0</v>
      </c>
      <c r="J31" s="219">
        <v>0</v>
      </c>
      <c r="K31" s="219">
        <v>0</v>
      </c>
      <c r="L31" s="219">
        <v>0</v>
      </c>
      <c r="M31" s="219">
        <v>0</v>
      </c>
      <c r="N31" s="219">
        <v>0</v>
      </c>
      <c r="O31" s="219">
        <v>434073</v>
      </c>
      <c r="Q31" s="219">
        <f>SUMIFS(Deficits!BY:BY,Deficits!BS:BS,C31)</f>
        <v>-50.643000000000001</v>
      </c>
      <c r="S31" s="219">
        <f>'Share of £1bn'!$L$15*O31/$O$1</f>
        <v>0.49776195113437277</v>
      </c>
      <c r="T31" s="220">
        <f t="shared" si="2"/>
        <v>-50.145238048865629</v>
      </c>
      <c r="U31" s="11">
        <f t="shared" si="3"/>
        <v>0.49776195113437277</v>
      </c>
      <c r="V31" s="11">
        <f t="shared" si="4"/>
        <v>0</v>
      </c>
      <c r="W31" s="11">
        <f t="shared" si="5"/>
        <v>0</v>
      </c>
      <c r="Y31" s="219">
        <f>'Share of £1bn'!$M$15*F31/$F$1</f>
        <v>2.2291527340498889</v>
      </c>
      <c r="Z31" s="220">
        <f t="shared" si="6"/>
        <v>-48.41384726595011</v>
      </c>
      <c r="AA31" s="11">
        <f t="shared" si="7"/>
        <v>2.2291527340498889</v>
      </c>
      <c r="AB31" s="11">
        <f t="shared" si="8"/>
        <v>0</v>
      </c>
      <c r="AC31" s="11">
        <f t="shared" si="9"/>
        <v>0</v>
      </c>
      <c r="AE31" s="222"/>
      <c r="AF31" s="223"/>
    </row>
    <row r="32" spans="2:32" x14ac:dyDescent="0.25">
      <c r="B32" t="s">
        <v>236</v>
      </c>
      <c r="C32" t="s">
        <v>464</v>
      </c>
      <c r="D32" t="s">
        <v>465</v>
      </c>
      <c r="E32" t="s">
        <v>21</v>
      </c>
      <c r="F32" s="219">
        <v>0</v>
      </c>
      <c r="G32" s="219">
        <v>0</v>
      </c>
      <c r="H32" s="219">
        <v>0</v>
      </c>
      <c r="I32" s="219">
        <v>0</v>
      </c>
      <c r="J32" s="219">
        <v>0</v>
      </c>
      <c r="K32" s="219">
        <v>0</v>
      </c>
      <c r="L32" s="219">
        <v>198780</v>
      </c>
      <c r="M32" s="219">
        <v>0</v>
      </c>
      <c r="N32" s="219">
        <v>0</v>
      </c>
      <c r="O32" s="219">
        <v>198780</v>
      </c>
      <c r="Q32" s="219">
        <f>SUMIFS(Deficits!BY:BY,Deficits!BS:BS,C32)</f>
        <v>0</v>
      </c>
      <c r="S32" s="219">
        <f>'Share of £1bn'!$L$15*O32/$O$1</f>
        <v>0.22794580783990392</v>
      </c>
      <c r="T32" s="220">
        <f t="shared" si="2"/>
        <v>0.22794580783990392</v>
      </c>
      <c r="U32" s="11">
        <f t="shared" si="3"/>
        <v>0</v>
      </c>
      <c r="V32" s="11">
        <f t="shared" si="4"/>
        <v>0</v>
      </c>
      <c r="W32" s="11">
        <f t="shared" si="5"/>
        <v>0.22794580783990392</v>
      </c>
      <c r="Y32" s="219">
        <f>'Share of £1bn'!$M$15*F32/$F$1</f>
        <v>0</v>
      </c>
      <c r="Z32" s="220">
        <f t="shared" si="6"/>
        <v>0</v>
      </c>
      <c r="AA32" s="11">
        <f t="shared" si="7"/>
        <v>0</v>
      </c>
      <c r="AB32" s="11">
        <f t="shared" si="8"/>
        <v>0</v>
      </c>
      <c r="AC32" s="11">
        <f t="shared" si="9"/>
        <v>0</v>
      </c>
      <c r="AE32" s="222"/>
      <c r="AF32" s="223"/>
    </row>
    <row r="33" spans="2:32" x14ac:dyDescent="0.25">
      <c r="B33" t="s">
        <v>403</v>
      </c>
      <c r="C33" t="s">
        <v>466</v>
      </c>
      <c r="D33" t="s">
        <v>467</v>
      </c>
      <c r="E33" t="s">
        <v>21</v>
      </c>
      <c r="F33" s="219">
        <v>313929</v>
      </c>
      <c r="G33" s="219">
        <v>183</v>
      </c>
      <c r="H33" s="219">
        <v>39773</v>
      </c>
      <c r="I33" s="219">
        <v>0</v>
      </c>
      <c r="J33" s="219">
        <v>0</v>
      </c>
      <c r="K33" s="219">
        <v>0</v>
      </c>
      <c r="L33" s="219">
        <v>0</v>
      </c>
      <c r="M33" s="219">
        <v>596</v>
      </c>
      <c r="N33" s="219">
        <v>0</v>
      </c>
      <c r="O33" s="219">
        <v>354481</v>
      </c>
      <c r="Q33" s="219">
        <f>SUMIFS(Deficits!BY:BY,Deficits!BS:BS,C33)</f>
        <v>4.4088000003830529E-4</v>
      </c>
      <c r="S33" s="219">
        <f>'Share of £1bn'!$L$15*O33/$O$1</f>
        <v>0.40649189007393594</v>
      </c>
      <c r="T33" s="220">
        <f t="shared" si="2"/>
        <v>0.40693277007397421</v>
      </c>
      <c r="U33" s="11">
        <f t="shared" si="3"/>
        <v>0</v>
      </c>
      <c r="V33" s="11">
        <f t="shared" si="4"/>
        <v>0</v>
      </c>
      <c r="W33" s="11">
        <f t="shared" si="5"/>
        <v>0.40649189007393594</v>
      </c>
      <c r="Y33" s="219">
        <f>'Share of £1bn'!$M$15*F33/$F$1</f>
        <v>1.9595752882748116</v>
      </c>
      <c r="Z33" s="220">
        <f t="shared" si="6"/>
        <v>1.96001616827485</v>
      </c>
      <c r="AA33" s="11">
        <f t="shared" si="7"/>
        <v>0</v>
      </c>
      <c r="AB33" s="11">
        <f t="shared" si="8"/>
        <v>0</v>
      </c>
      <c r="AC33" s="11">
        <f t="shared" si="9"/>
        <v>1.9595752882748116</v>
      </c>
      <c r="AE33" s="222"/>
      <c r="AF33" s="223"/>
    </row>
    <row r="34" spans="2:32" x14ac:dyDescent="0.25">
      <c r="B34" t="s">
        <v>403</v>
      </c>
      <c r="C34" t="s">
        <v>468</v>
      </c>
      <c r="D34" t="s">
        <v>469</v>
      </c>
      <c r="E34" t="s">
        <v>21</v>
      </c>
      <c r="F34" s="219">
        <v>444867</v>
      </c>
      <c r="G34" s="219">
        <v>20349</v>
      </c>
      <c r="H34" s="219">
        <v>71944</v>
      </c>
      <c r="I34" s="219">
        <v>1410</v>
      </c>
      <c r="J34" s="219">
        <v>0</v>
      </c>
      <c r="K34" s="219">
        <v>0</v>
      </c>
      <c r="L34" s="219">
        <v>0</v>
      </c>
      <c r="M34" s="219">
        <v>325</v>
      </c>
      <c r="N34" s="219">
        <v>24</v>
      </c>
      <c r="O34" s="219">
        <v>538919</v>
      </c>
      <c r="Q34" s="219">
        <f>SUMIFS(Deficits!BY:BY,Deficits!BS:BS,C34)</f>
        <v>12.765000000000001</v>
      </c>
      <c r="S34" s="219">
        <f>'Share of £1bn'!$L$15*O34/$O$1</f>
        <v>0.6179913815035375</v>
      </c>
      <c r="T34" s="220">
        <f t="shared" si="2"/>
        <v>13.382991381503539</v>
      </c>
      <c r="U34" s="11">
        <f t="shared" si="3"/>
        <v>0</v>
      </c>
      <c r="V34" s="11">
        <f t="shared" si="4"/>
        <v>0</v>
      </c>
      <c r="W34" s="11">
        <f t="shared" si="5"/>
        <v>0.6179913815035375</v>
      </c>
      <c r="Y34" s="219">
        <f>'Share of £1bn'!$M$15*F34/$F$1</f>
        <v>2.7769029932530946</v>
      </c>
      <c r="Z34" s="220">
        <f t="shared" si="6"/>
        <v>15.541902993253096</v>
      </c>
      <c r="AA34" s="11">
        <f t="shared" si="7"/>
        <v>0</v>
      </c>
      <c r="AB34" s="11">
        <f t="shared" si="8"/>
        <v>0</v>
      </c>
      <c r="AC34" s="11">
        <f t="shared" si="9"/>
        <v>2.7769029932530946</v>
      </c>
      <c r="AE34" s="222"/>
      <c r="AF34" s="223"/>
    </row>
    <row r="35" spans="2:32" x14ac:dyDescent="0.25">
      <c r="B35" t="s">
        <v>403</v>
      </c>
      <c r="C35" t="s">
        <v>470</v>
      </c>
      <c r="D35" t="s">
        <v>471</v>
      </c>
      <c r="E35" t="s">
        <v>21</v>
      </c>
      <c r="F35" s="219">
        <v>709239</v>
      </c>
      <c r="G35" s="219">
        <v>0</v>
      </c>
      <c r="H35" s="219">
        <v>53923</v>
      </c>
      <c r="I35" s="219">
        <v>9033</v>
      </c>
      <c r="J35" s="219">
        <v>0</v>
      </c>
      <c r="K35" s="219">
        <v>0</v>
      </c>
      <c r="L35" s="219">
        <v>0</v>
      </c>
      <c r="M35" s="219">
        <v>0</v>
      </c>
      <c r="N35" s="219">
        <v>0</v>
      </c>
      <c r="O35" s="219">
        <v>772195</v>
      </c>
      <c r="Q35" s="219">
        <f>SUMIFS(Deficits!BY:BY,Deficits!BS:BS,C35)</f>
        <v>-31.810515360000078</v>
      </c>
      <c r="S35" s="219">
        <f>'Share of £1bn'!$L$15*O35/$O$1</f>
        <v>0.88549458237717393</v>
      </c>
      <c r="T35" s="220">
        <f t="shared" si="2"/>
        <v>-30.925020777622905</v>
      </c>
      <c r="U35" s="11">
        <f t="shared" si="3"/>
        <v>0.88549458237717393</v>
      </c>
      <c r="V35" s="11">
        <f t="shared" si="4"/>
        <v>0</v>
      </c>
      <c r="W35" s="11">
        <f t="shared" si="5"/>
        <v>0</v>
      </c>
      <c r="Y35" s="219">
        <f>'Share of £1bn'!$M$15*F35/$F$1</f>
        <v>4.4271386774740122</v>
      </c>
      <c r="Z35" s="220">
        <f t="shared" si="6"/>
        <v>-27.383376682526066</v>
      </c>
      <c r="AA35" s="11">
        <f t="shared" si="7"/>
        <v>4.4271386774740122</v>
      </c>
      <c r="AB35" s="11">
        <f t="shared" si="8"/>
        <v>0</v>
      </c>
      <c r="AC35" s="11">
        <f t="shared" si="9"/>
        <v>0</v>
      </c>
      <c r="AE35" s="222"/>
      <c r="AF35" s="223"/>
    </row>
    <row r="36" spans="2:32" x14ac:dyDescent="0.25">
      <c r="B36" t="s">
        <v>403</v>
      </c>
      <c r="C36" t="s">
        <v>472</v>
      </c>
      <c r="D36" t="s">
        <v>473</v>
      </c>
      <c r="E36" t="s">
        <v>21</v>
      </c>
      <c r="F36" s="219">
        <v>569460</v>
      </c>
      <c r="G36" s="219">
        <v>8393</v>
      </c>
      <c r="H36" s="219">
        <v>60046</v>
      </c>
      <c r="I36" s="219">
        <v>0</v>
      </c>
      <c r="J36" s="219">
        <v>0</v>
      </c>
      <c r="K36" s="219">
        <v>0</v>
      </c>
      <c r="L36" s="219">
        <v>0</v>
      </c>
      <c r="M36" s="219">
        <v>273</v>
      </c>
      <c r="N36" s="219">
        <v>0</v>
      </c>
      <c r="O36" s="219">
        <v>638172</v>
      </c>
      <c r="Q36" s="219">
        <f>SUMIFS(Deficits!BY:BY,Deficits!BS:BS,C36)</f>
        <v>0</v>
      </c>
      <c r="S36" s="219">
        <f>'Share of £1bn'!$L$15*O36/$O$1</f>
        <v>0.73180718422782554</v>
      </c>
      <c r="T36" s="220">
        <f t="shared" si="2"/>
        <v>0.73180718422782554</v>
      </c>
      <c r="U36" s="11">
        <f t="shared" si="3"/>
        <v>0</v>
      </c>
      <c r="V36" s="11">
        <f t="shared" si="4"/>
        <v>0</v>
      </c>
      <c r="W36" s="11">
        <f t="shared" si="5"/>
        <v>0.73180718422782554</v>
      </c>
      <c r="Y36" s="219">
        <f>'Share of £1bn'!$M$15*F36/$F$1</f>
        <v>3.5546245923790867</v>
      </c>
      <c r="Z36" s="220">
        <f t="shared" si="6"/>
        <v>3.5546245923790867</v>
      </c>
      <c r="AA36" s="11">
        <f t="shared" si="7"/>
        <v>0</v>
      </c>
      <c r="AB36" s="11">
        <f t="shared" si="8"/>
        <v>0</v>
      </c>
      <c r="AC36" s="11">
        <f t="shared" si="9"/>
        <v>3.5546245923790867</v>
      </c>
      <c r="AE36" s="222"/>
      <c r="AF36" s="223"/>
    </row>
    <row r="37" spans="2:32" x14ac:dyDescent="0.25">
      <c r="B37" t="s">
        <v>408</v>
      </c>
      <c r="C37" t="s">
        <v>474</v>
      </c>
      <c r="D37" t="s">
        <v>475</v>
      </c>
      <c r="E37" t="s">
        <v>21</v>
      </c>
      <c r="F37" s="219">
        <v>187</v>
      </c>
      <c r="G37" s="219">
        <v>368901</v>
      </c>
      <c r="H37" s="219">
        <v>0</v>
      </c>
      <c r="I37" s="219">
        <v>0</v>
      </c>
      <c r="J37" s="219">
        <v>0</v>
      </c>
      <c r="K37" s="219">
        <v>0</v>
      </c>
      <c r="L37" s="219">
        <v>0</v>
      </c>
      <c r="M37" s="219">
        <v>0</v>
      </c>
      <c r="N37" s="219">
        <v>0</v>
      </c>
      <c r="O37" s="219">
        <v>369088</v>
      </c>
      <c r="Q37" s="219">
        <f>SUMIFS(Deficits!BY:BY,Deficits!BS:BS,C37)</f>
        <v>0</v>
      </c>
      <c r="S37" s="219">
        <f>'Share of £1bn'!$L$15*O37/$O$1</f>
        <v>0.42324208835906263</v>
      </c>
      <c r="T37" s="220">
        <f t="shared" si="2"/>
        <v>0.42324208835906263</v>
      </c>
      <c r="U37" s="11">
        <f t="shared" si="3"/>
        <v>0</v>
      </c>
      <c r="V37" s="11">
        <f t="shared" si="4"/>
        <v>0</v>
      </c>
      <c r="W37" s="11">
        <f t="shared" si="5"/>
        <v>0.42324208835906263</v>
      </c>
      <c r="Y37" s="219">
        <f>'Share of £1bn'!$M$15*F37/$F$1</f>
        <v>1.1672721504142332E-3</v>
      </c>
      <c r="Z37" s="220">
        <f t="shared" si="6"/>
        <v>1.1672721504142332E-3</v>
      </c>
      <c r="AA37" s="11">
        <f t="shared" si="7"/>
        <v>0</v>
      </c>
      <c r="AB37" s="11">
        <f t="shared" si="8"/>
        <v>0</v>
      </c>
      <c r="AC37" s="11">
        <f t="shared" si="9"/>
        <v>1.1672721504142332E-3</v>
      </c>
      <c r="AE37" s="222"/>
      <c r="AF37" s="223"/>
    </row>
    <row r="38" spans="2:32" x14ac:dyDescent="0.25">
      <c r="B38" t="s">
        <v>403</v>
      </c>
      <c r="C38" t="s">
        <v>476</v>
      </c>
      <c r="D38" t="s">
        <v>477</v>
      </c>
      <c r="E38" t="s">
        <v>21</v>
      </c>
      <c r="F38" s="219">
        <v>1215806</v>
      </c>
      <c r="G38" s="219">
        <v>94</v>
      </c>
      <c r="H38" s="219">
        <v>36573</v>
      </c>
      <c r="I38" s="219">
        <v>19</v>
      </c>
      <c r="J38" s="219">
        <v>0</v>
      </c>
      <c r="K38" s="219">
        <v>0</v>
      </c>
      <c r="L38" s="219">
        <v>0</v>
      </c>
      <c r="M38" s="219">
        <v>6840</v>
      </c>
      <c r="N38" s="219">
        <v>0</v>
      </c>
      <c r="O38" s="219">
        <v>1259332</v>
      </c>
      <c r="Q38" s="219">
        <f>SUMIFS(Deficits!BY:BY,Deficits!BS:BS,C38)</f>
        <v>-3.909800004621502E-4</v>
      </c>
      <c r="S38" s="219">
        <f>'Share of £1bn'!$L$15*O38/$O$1</f>
        <v>1.444106298815987</v>
      </c>
      <c r="T38" s="220">
        <f t="shared" si="2"/>
        <v>1.4437153188155247</v>
      </c>
      <c r="U38" s="11">
        <f t="shared" si="3"/>
        <v>0</v>
      </c>
      <c r="V38" s="11">
        <f t="shared" si="4"/>
        <v>3.909800004621502E-4</v>
      </c>
      <c r="W38" s="11">
        <f t="shared" si="5"/>
        <v>1.4437153188155247</v>
      </c>
      <c r="Y38" s="219">
        <f>'Share of £1bn'!$M$15*F38/$F$1</f>
        <v>7.589179059393194</v>
      </c>
      <c r="Z38" s="220">
        <f t="shared" si="6"/>
        <v>7.5887880793927316</v>
      </c>
      <c r="AA38" s="11">
        <f t="shared" si="7"/>
        <v>0</v>
      </c>
      <c r="AB38" s="11">
        <f t="shared" si="8"/>
        <v>3.909800004621502E-4</v>
      </c>
      <c r="AC38" s="11">
        <f t="shared" si="9"/>
        <v>7.5887880793927316</v>
      </c>
      <c r="AE38" s="222"/>
      <c r="AF38" s="223"/>
    </row>
    <row r="39" spans="2:32" x14ac:dyDescent="0.25">
      <c r="B39" t="s">
        <v>403</v>
      </c>
      <c r="C39" t="s">
        <v>478</v>
      </c>
      <c r="D39" t="s">
        <v>479</v>
      </c>
      <c r="E39" t="s">
        <v>42</v>
      </c>
      <c r="F39" s="219">
        <v>291225</v>
      </c>
      <c r="G39" s="219">
        <v>1657</v>
      </c>
      <c r="H39" s="219">
        <v>445</v>
      </c>
      <c r="I39" s="219">
        <v>0</v>
      </c>
      <c r="J39" s="219">
        <v>0</v>
      </c>
      <c r="K39" s="219">
        <v>0</v>
      </c>
      <c r="L39" s="219">
        <v>0</v>
      </c>
      <c r="M39" s="219">
        <v>7554</v>
      </c>
      <c r="N39" s="219">
        <v>0</v>
      </c>
      <c r="O39" s="219">
        <v>300881</v>
      </c>
      <c r="Q39" s="219">
        <f>SUMIFS(Deficits!BY:BY,Deficits!BS:BS,C39)</f>
        <v>-14.9</v>
      </c>
      <c r="S39" s="219">
        <f>'Share of £1bn'!$L$15*O39/$O$1</f>
        <v>0.34502748067551126</v>
      </c>
      <c r="T39" s="220">
        <f t="shared" si="2"/>
        <v>-14.554972519324489</v>
      </c>
      <c r="U39" s="11">
        <f t="shared" si="3"/>
        <v>0.34502748067551126</v>
      </c>
      <c r="V39" s="11">
        <f t="shared" si="4"/>
        <v>0</v>
      </c>
      <c r="W39" s="11">
        <f t="shared" si="5"/>
        <v>0</v>
      </c>
      <c r="Y39" s="219">
        <f>'Share of £1bn'!$M$15*F39/$F$1</f>
        <v>1.8178547166009893</v>
      </c>
      <c r="Z39" s="220">
        <f t="shared" si="6"/>
        <v>-13.082145283399012</v>
      </c>
      <c r="AA39" s="11">
        <f t="shared" si="7"/>
        <v>1.8178547166009893</v>
      </c>
      <c r="AB39" s="11">
        <f t="shared" si="8"/>
        <v>0</v>
      </c>
      <c r="AC39" s="11">
        <f t="shared" si="9"/>
        <v>0</v>
      </c>
      <c r="AE39" s="222"/>
      <c r="AF39" s="223"/>
    </row>
    <row r="40" spans="2:32" x14ac:dyDescent="0.25">
      <c r="B40" t="s">
        <v>433</v>
      </c>
      <c r="C40" t="s">
        <v>480</v>
      </c>
      <c r="D40" t="s">
        <v>481</v>
      </c>
      <c r="E40" t="s">
        <v>42</v>
      </c>
      <c r="F40" s="219">
        <v>11975</v>
      </c>
      <c r="G40" s="219">
        <v>18526</v>
      </c>
      <c r="H40" s="219">
        <v>129337</v>
      </c>
      <c r="I40" s="219">
        <v>0</v>
      </c>
      <c r="J40" s="219">
        <v>0</v>
      </c>
      <c r="K40" s="219">
        <v>0</v>
      </c>
      <c r="L40" s="219">
        <v>0</v>
      </c>
      <c r="M40" s="219">
        <v>6487</v>
      </c>
      <c r="N40" s="219">
        <v>0</v>
      </c>
      <c r="O40" s="219">
        <v>166325</v>
      </c>
      <c r="Q40" s="219">
        <f>SUMIFS(Deficits!BY:BY,Deficits!BS:BS,C40)</f>
        <v>-2.8135648799999982</v>
      </c>
      <c r="S40" s="219">
        <f>'Share of £1bn'!$L$15*O40/$O$1</f>
        <v>0.19072887860434665</v>
      </c>
      <c r="T40" s="220">
        <f t="shared" si="2"/>
        <v>-2.6228360013956515</v>
      </c>
      <c r="U40" s="11">
        <f t="shared" si="3"/>
        <v>0.19072887860434665</v>
      </c>
      <c r="V40" s="11">
        <f t="shared" si="4"/>
        <v>0</v>
      </c>
      <c r="W40" s="11">
        <f t="shared" si="5"/>
        <v>0</v>
      </c>
      <c r="Y40" s="219">
        <f>'Share of £1bn'!$M$15*F40/$F$1</f>
        <v>7.4749112305938198E-2</v>
      </c>
      <c r="Z40" s="220">
        <f t="shared" si="6"/>
        <v>-2.7388157676940601</v>
      </c>
      <c r="AA40" s="11">
        <f t="shared" si="7"/>
        <v>7.4749112305938198E-2</v>
      </c>
      <c r="AB40" s="11">
        <f t="shared" si="8"/>
        <v>0</v>
      </c>
      <c r="AC40" s="11">
        <f t="shared" si="9"/>
        <v>0</v>
      </c>
      <c r="AE40" s="222"/>
      <c r="AF40" s="223"/>
    </row>
    <row r="41" spans="2:32" x14ac:dyDescent="0.25">
      <c r="B41" t="s">
        <v>408</v>
      </c>
      <c r="C41" t="s">
        <v>482</v>
      </c>
      <c r="D41" t="s">
        <v>483</v>
      </c>
      <c r="E41" t="s">
        <v>42</v>
      </c>
      <c r="F41" s="219">
        <v>610</v>
      </c>
      <c r="G41" s="219">
        <v>161197</v>
      </c>
      <c r="H41" s="219">
        <v>5802</v>
      </c>
      <c r="I41" s="219">
        <v>0</v>
      </c>
      <c r="J41" s="219">
        <v>0</v>
      </c>
      <c r="K41" s="219">
        <v>0</v>
      </c>
      <c r="L41" s="219">
        <v>0</v>
      </c>
      <c r="M41" s="219">
        <v>0</v>
      </c>
      <c r="N41" s="219">
        <v>442</v>
      </c>
      <c r="O41" s="219">
        <v>168051</v>
      </c>
      <c r="Q41" s="219">
        <f>SUMIFS(Deficits!BY:BY,Deficits!BS:BS,C41)</f>
        <v>-4.1297444599999213</v>
      </c>
      <c r="S41" s="219">
        <f>'Share of £1bn'!$L$15*O41/$O$1</f>
        <v>0.19270812432490039</v>
      </c>
      <c r="T41" s="220">
        <f t="shared" si="2"/>
        <v>-3.9370363356750211</v>
      </c>
      <c r="U41" s="11">
        <f t="shared" si="3"/>
        <v>0.19270812432490039</v>
      </c>
      <c r="V41" s="11">
        <f t="shared" si="4"/>
        <v>0</v>
      </c>
      <c r="W41" s="11">
        <f t="shared" si="5"/>
        <v>0</v>
      </c>
      <c r="Y41" s="219">
        <f>'Share of £1bn'!$M$15*F41/$F$1</f>
        <v>3.8076792072335944E-3</v>
      </c>
      <c r="Z41" s="220">
        <f t="shared" si="6"/>
        <v>-4.1259367807926877</v>
      </c>
      <c r="AA41" s="11">
        <f t="shared" si="7"/>
        <v>3.8076792072335944E-3</v>
      </c>
      <c r="AB41" s="11">
        <f t="shared" si="8"/>
        <v>0</v>
      </c>
      <c r="AC41" s="11">
        <f t="shared" si="9"/>
        <v>0</v>
      </c>
      <c r="AE41" s="222"/>
      <c r="AF41" s="223"/>
    </row>
    <row r="42" spans="2:32" x14ac:dyDescent="0.25">
      <c r="B42" t="s">
        <v>236</v>
      </c>
      <c r="C42" t="s">
        <v>484</v>
      </c>
      <c r="D42" t="s">
        <v>485</v>
      </c>
      <c r="E42" t="s">
        <v>42</v>
      </c>
      <c r="F42" s="219">
        <v>38725</v>
      </c>
      <c r="G42" s="219">
        <v>872</v>
      </c>
      <c r="H42" s="219">
        <v>0</v>
      </c>
      <c r="I42" s="219">
        <v>0</v>
      </c>
      <c r="J42" s="219">
        <v>0</v>
      </c>
      <c r="K42" s="219">
        <v>0</v>
      </c>
      <c r="L42" s="219">
        <v>241935</v>
      </c>
      <c r="M42" s="219">
        <v>0</v>
      </c>
      <c r="N42" s="219">
        <v>0</v>
      </c>
      <c r="O42" s="219">
        <v>281532</v>
      </c>
      <c r="Q42" s="219">
        <f>SUMIFS(Deficits!BY:BY,Deficits!BS:BS,C42)</f>
        <v>0</v>
      </c>
      <c r="S42" s="219">
        <f>'Share of £1bn'!$L$15*O42/$O$1</f>
        <v>0.32283951691711354</v>
      </c>
      <c r="T42" s="220">
        <f t="shared" si="2"/>
        <v>0.32283951691711354</v>
      </c>
      <c r="U42" s="11">
        <f t="shared" si="3"/>
        <v>0</v>
      </c>
      <c r="V42" s="11">
        <f t="shared" si="4"/>
        <v>0</v>
      </c>
      <c r="W42" s="11">
        <f t="shared" si="5"/>
        <v>0.32283951691711354</v>
      </c>
      <c r="Y42" s="219">
        <f>'Share of £1bn'!$M$15*F42/$F$1</f>
        <v>0.24172520868872288</v>
      </c>
      <c r="Z42" s="220">
        <f t="shared" si="6"/>
        <v>0.24172520868872288</v>
      </c>
      <c r="AA42" s="11">
        <f t="shared" si="7"/>
        <v>0</v>
      </c>
      <c r="AB42" s="11">
        <f t="shared" si="8"/>
        <v>0</v>
      </c>
      <c r="AC42" s="11">
        <f t="shared" si="9"/>
        <v>0.24172520868872288</v>
      </c>
      <c r="AE42" s="222"/>
      <c r="AF42" s="223"/>
    </row>
    <row r="43" spans="2:32" x14ac:dyDescent="0.25">
      <c r="B43" t="s">
        <v>403</v>
      </c>
      <c r="C43" t="s">
        <v>486</v>
      </c>
      <c r="D43" t="s">
        <v>487</v>
      </c>
      <c r="E43" t="s">
        <v>42</v>
      </c>
      <c r="F43" s="219">
        <v>988793</v>
      </c>
      <c r="G43" s="219">
        <v>573</v>
      </c>
      <c r="H43" s="219">
        <v>547</v>
      </c>
      <c r="I43" s="219">
        <v>1</v>
      </c>
      <c r="J43" s="219">
        <v>0</v>
      </c>
      <c r="K43" s="219">
        <v>0</v>
      </c>
      <c r="L43" s="219">
        <v>0</v>
      </c>
      <c r="M43" s="219">
        <v>1310</v>
      </c>
      <c r="N43" s="219">
        <v>0</v>
      </c>
      <c r="O43" s="219">
        <v>991224</v>
      </c>
      <c r="Q43" s="219">
        <f>SUMIFS(Deficits!BY:BY,Deficits!BS:BS,C43)</f>
        <v>-27.4</v>
      </c>
      <c r="S43" s="219">
        <f>'Share of £1bn'!$L$15*O43/$O$1</f>
        <v>1.1366604056258223</v>
      </c>
      <c r="T43" s="220">
        <f t="shared" si="2"/>
        <v>-26.263339594374177</v>
      </c>
      <c r="U43" s="11">
        <f t="shared" si="3"/>
        <v>1.1366604056258223</v>
      </c>
      <c r="V43" s="11">
        <f t="shared" si="4"/>
        <v>0</v>
      </c>
      <c r="W43" s="11">
        <f t="shared" si="5"/>
        <v>0</v>
      </c>
      <c r="Y43" s="219">
        <f>'Share of £1bn'!$M$15*F43/$F$1</f>
        <v>6.1721418792756193</v>
      </c>
      <c r="Z43" s="220">
        <f t="shared" si="6"/>
        <v>-21.227858120724377</v>
      </c>
      <c r="AA43" s="11">
        <f t="shared" si="7"/>
        <v>6.1721418792756193</v>
      </c>
      <c r="AB43" s="11">
        <f t="shared" si="8"/>
        <v>0</v>
      </c>
      <c r="AC43" s="11">
        <f t="shared" si="9"/>
        <v>0</v>
      </c>
      <c r="AE43" s="222"/>
      <c r="AF43" s="223"/>
    </row>
    <row r="44" spans="2:32" x14ac:dyDescent="0.25">
      <c r="B44" t="s">
        <v>236</v>
      </c>
      <c r="C44" t="s">
        <v>488</v>
      </c>
      <c r="D44" t="s">
        <v>489</v>
      </c>
      <c r="E44" t="s">
        <v>70</v>
      </c>
      <c r="F44" s="219">
        <v>1</v>
      </c>
      <c r="G44" s="219">
        <v>0</v>
      </c>
      <c r="H44" s="219">
        <v>0</v>
      </c>
      <c r="I44" s="219">
        <v>0</v>
      </c>
      <c r="J44" s="219">
        <v>0</v>
      </c>
      <c r="K44" s="219">
        <v>0</v>
      </c>
      <c r="L44" s="219">
        <v>411446</v>
      </c>
      <c r="M44" s="219">
        <v>0</v>
      </c>
      <c r="N44" s="219">
        <v>0</v>
      </c>
      <c r="O44" s="219">
        <v>411447</v>
      </c>
      <c r="Q44" s="219">
        <f>SUMIFS(Deficits!BY:BY,Deficits!BS:BS,C44)</f>
        <v>5.0999999999999997E-2</v>
      </c>
      <c r="S44" s="219">
        <f>'Share of £1bn'!$L$15*O44/$O$1</f>
        <v>0.47181617264465719</v>
      </c>
      <c r="T44" s="220">
        <f t="shared" si="2"/>
        <v>0.52281617264465718</v>
      </c>
      <c r="U44" s="11">
        <f t="shared" si="3"/>
        <v>0</v>
      </c>
      <c r="V44" s="11">
        <f t="shared" si="4"/>
        <v>0</v>
      </c>
      <c r="W44" s="11">
        <f t="shared" si="5"/>
        <v>0.47181617264465719</v>
      </c>
      <c r="Y44" s="219">
        <f>'Share of £1bn'!$M$15*F44/$F$1</f>
        <v>6.2420970610386799E-6</v>
      </c>
      <c r="Z44" s="220">
        <f t="shared" si="6"/>
        <v>5.1006242097061033E-2</v>
      </c>
      <c r="AA44" s="11">
        <f t="shared" si="7"/>
        <v>0</v>
      </c>
      <c r="AB44" s="11">
        <f t="shared" si="8"/>
        <v>0</v>
      </c>
      <c r="AC44" s="11">
        <f t="shared" si="9"/>
        <v>6.2420970610386799E-6</v>
      </c>
      <c r="AE44" s="222"/>
      <c r="AF44" s="223"/>
    </row>
    <row r="45" spans="2:32" x14ac:dyDescent="0.25">
      <c r="B45" t="s">
        <v>403</v>
      </c>
      <c r="C45" t="s">
        <v>490</v>
      </c>
      <c r="D45" t="s">
        <v>491</v>
      </c>
      <c r="E45" t="s">
        <v>70</v>
      </c>
      <c r="F45" s="219">
        <v>768621</v>
      </c>
      <c r="G45" s="219">
        <v>0</v>
      </c>
      <c r="H45" s="219">
        <v>90596</v>
      </c>
      <c r="I45" s="219">
        <v>4</v>
      </c>
      <c r="J45" s="219">
        <v>0</v>
      </c>
      <c r="K45" s="219">
        <v>0</v>
      </c>
      <c r="L45" s="219">
        <v>0</v>
      </c>
      <c r="M45" s="219">
        <v>48299</v>
      </c>
      <c r="N45" s="219">
        <v>0</v>
      </c>
      <c r="O45" s="219">
        <v>907520</v>
      </c>
      <c r="Q45" s="219">
        <f>SUMIFS(Deficits!BY:BY,Deficits!BS:BS,C45)</f>
        <v>0</v>
      </c>
      <c r="S45" s="219">
        <f>'Share of £1bn'!$L$15*O45/$O$1</f>
        <v>1.0406750152473569</v>
      </c>
      <c r="T45" s="220">
        <f t="shared" si="2"/>
        <v>1.0406750152473569</v>
      </c>
      <c r="U45" s="11">
        <f t="shared" si="3"/>
        <v>0</v>
      </c>
      <c r="V45" s="11">
        <f t="shared" si="4"/>
        <v>0</v>
      </c>
      <c r="W45" s="11">
        <f t="shared" si="5"/>
        <v>1.0406750152473569</v>
      </c>
      <c r="Y45" s="219">
        <f>'Share of £1bn'!$M$15*F45/$F$1</f>
        <v>4.7978068851526112</v>
      </c>
      <c r="Z45" s="220">
        <f t="shared" si="6"/>
        <v>4.7978068851526112</v>
      </c>
      <c r="AA45" s="11">
        <f t="shared" si="7"/>
        <v>0</v>
      </c>
      <c r="AB45" s="11">
        <f t="shared" si="8"/>
        <v>0</v>
      </c>
      <c r="AC45" s="11">
        <f t="shared" si="9"/>
        <v>4.7978068851526112</v>
      </c>
      <c r="AE45" s="222"/>
      <c r="AF45" s="223"/>
    </row>
    <row r="46" spans="2:32" x14ac:dyDescent="0.25">
      <c r="B46" t="s">
        <v>403</v>
      </c>
      <c r="C46" t="s">
        <v>492</v>
      </c>
      <c r="D46" t="s">
        <v>493</v>
      </c>
      <c r="E46" t="s">
        <v>70</v>
      </c>
      <c r="F46" s="219">
        <v>241056</v>
      </c>
      <c r="G46" s="219">
        <v>0</v>
      </c>
      <c r="H46" s="219">
        <v>38491</v>
      </c>
      <c r="I46" s="219">
        <v>0</v>
      </c>
      <c r="J46" s="219">
        <v>0</v>
      </c>
      <c r="K46" s="219">
        <v>0</v>
      </c>
      <c r="L46" s="219">
        <v>0</v>
      </c>
      <c r="M46" s="219">
        <v>32535</v>
      </c>
      <c r="N46" s="219">
        <v>0</v>
      </c>
      <c r="O46" s="219">
        <v>312082</v>
      </c>
      <c r="Q46" s="219">
        <f>SUMIFS(Deficits!BY:BY,Deficits!BS:BS,C46)</f>
        <v>-2.6920000000000002</v>
      </c>
      <c r="S46" s="219">
        <f>'Share of £1bn'!$L$15*O46/$O$1</f>
        <v>0.3578719368261038</v>
      </c>
      <c r="T46" s="220">
        <f t="shared" si="2"/>
        <v>-2.3341280631738965</v>
      </c>
      <c r="U46" s="11">
        <f t="shared" si="3"/>
        <v>0.3578719368261038</v>
      </c>
      <c r="V46" s="11">
        <f t="shared" si="4"/>
        <v>0</v>
      </c>
      <c r="W46" s="11">
        <f t="shared" si="5"/>
        <v>0</v>
      </c>
      <c r="Y46" s="219">
        <f>'Share of £1bn'!$M$15*F46/$F$1</f>
        <v>1.50469494914574</v>
      </c>
      <c r="Z46" s="220">
        <f t="shared" si="6"/>
        <v>-1.1873050508542602</v>
      </c>
      <c r="AA46" s="11">
        <f t="shared" si="7"/>
        <v>1.50469494914574</v>
      </c>
      <c r="AB46" s="11">
        <f t="shared" si="8"/>
        <v>0</v>
      </c>
      <c r="AC46" s="11">
        <f t="shared" si="9"/>
        <v>0</v>
      </c>
      <c r="AE46" s="222"/>
      <c r="AF46" s="223"/>
    </row>
    <row r="47" spans="2:32" x14ac:dyDescent="0.25">
      <c r="B47" t="s">
        <v>408</v>
      </c>
      <c r="C47" t="s">
        <v>494</v>
      </c>
      <c r="D47" t="s">
        <v>495</v>
      </c>
      <c r="E47" t="s">
        <v>106</v>
      </c>
      <c r="F47" s="219">
        <v>2929</v>
      </c>
      <c r="G47" s="219">
        <v>325644</v>
      </c>
      <c r="H47" s="219">
        <v>9934</v>
      </c>
      <c r="I47" s="219">
        <v>0</v>
      </c>
      <c r="J47" s="219">
        <v>0</v>
      </c>
      <c r="K47" s="219">
        <v>0</v>
      </c>
      <c r="L47" s="219">
        <v>0</v>
      </c>
      <c r="M47" s="219">
        <v>0</v>
      </c>
      <c r="N47" s="219">
        <v>0</v>
      </c>
      <c r="O47" s="219">
        <v>338507</v>
      </c>
      <c r="Q47" s="219">
        <f>SUMIFS(Deficits!BY:BY,Deficits!BS:BS,C47)</f>
        <v>0.98799999999999999</v>
      </c>
      <c r="S47" s="219">
        <f>'Share of £1bn'!$L$15*O47/$O$1</f>
        <v>0.38817412000433826</v>
      </c>
      <c r="T47" s="220">
        <f t="shared" si="2"/>
        <v>1.3761741200043383</v>
      </c>
      <c r="U47" s="11">
        <f t="shared" si="3"/>
        <v>0</v>
      </c>
      <c r="V47" s="11">
        <f t="shared" si="4"/>
        <v>0</v>
      </c>
      <c r="W47" s="11">
        <f t="shared" si="5"/>
        <v>0.38817412000433826</v>
      </c>
      <c r="Y47" s="219">
        <f>'Share of £1bn'!$M$15*F47/$F$1</f>
        <v>1.8283102291782292E-2</v>
      </c>
      <c r="Z47" s="220">
        <f t="shared" si="6"/>
        <v>1.0062831022917822</v>
      </c>
      <c r="AA47" s="11">
        <f t="shared" si="7"/>
        <v>0</v>
      </c>
      <c r="AB47" s="11">
        <f t="shared" si="8"/>
        <v>0</v>
      </c>
      <c r="AC47" s="11">
        <f t="shared" si="9"/>
        <v>1.8283102291782292E-2</v>
      </c>
      <c r="AE47" s="222"/>
      <c r="AF47" s="223"/>
    </row>
    <row r="48" spans="2:32" x14ac:dyDescent="0.25">
      <c r="B48" t="s">
        <v>403</v>
      </c>
      <c r="C48" t="s">
        <v>496</v>
      </c>
      <c r="D48" t="s">
        <v>497</v>
      </c>
      <c r="E48" t="s">
        <v>106</v>
      </c>
      <c r="F48" s="219">
        <v>705498</v>
      </c>
      <c r="G48" s="219">
        <v>87</v>
      </c>
      <c r="H48" s="219">
        <v>115147</v>
      </c>
      <c r="I48" s="219">
        <v>9162</v>
      </c>
      <c r="J48" s="219">
        <v>0</v>
      </c>
      <c r="K48" s="219">
        <v>0</v>
      </c>
      <c r="L48" s="219">
        <v>0</v>
      </c>
      <c r="M48" s="219">
        <v>0</v>
      </c>
      <c r="N48" s="219">
        <v>0</v>
      </c>
      <c r="O48" s="219">
        <v>829894</v>
      </c>
      <c r="Q48" s="219">
        <f>SUMIFS(Deficits!BY:BY,Deficits!BS:BS,C48)</f>
        <v>-50.569000000000003</v>
      </c>
      <c r="S48" s="219">
        <f>'Share of £1bn'!$L$15*O48/$O$1</f>
        <v>0.95165941368089968</v>
      </c>
      <c r="T48" s="220">
        <f t="shared" si="2"/>
        <v>-49.617340586319102</v>
      </c>
      <c r="U48" s="11">
        <f t="shared" si="3"/>
        <v>0.95165941368089968</v>
      </c>
      <c r="V48" s="11">
        <f t="shared" si="4"/>
        <v>0</v>
      </c>
      <c r="W48" s="11">
        <f t="shared" si="5"/>
        <v>0</v>
      </c>
      <c r="Y48" s="219">
        <f>'Share of £1bn'!$M$15*F48/$F$1</f>
        <v>4.4037869923686666</v>
      </c>
      <c r="Z48" s="220">
        <f t="shared" si="6"/>
        <v>-46.165213007631337</v>
      </c>
      <c r="AA48" s="11">
        <f t="shared" si="7"/>
        <v>4.4037869923686666</v>
      </c>
      <c r="AB48" s="11">
        <f t="shared" si="8"/>
        <v>0</v>
      </c>
      <c r="AC48" s="11">
        <f t="shared" si="9"/>
        <v>0</v>
      </c>
      <c r="AE48" s="222"/>
      <c r="AF48" s="223"/>
    </row>
    <row r="49" spans="2:32" x14ac:dyDescent="0.25">
      <c r="B49" t="s">
        <v>403</v>
      </c>
      <c r="C49" t="s">
        <v>498</v>
      </c>
      <c r="D49" t="s">
        <v>499</v>
      </c>
      <c r="E49" t="s">
        <v>106</v>
      </c>
      <c r="F49" s="219">
        <v>306835</v>
      </c>
      <c r="G49" s="219">
        <v>20013</v>
      </c>
      <c r="H49" s="219">
        <v>144196</v>
      </c>
      <c r="I49" s="219">
        <v>4703</v>
      </c>
      <c r="J49" s="219">
        <v>0</v>
      </c>
      <c r="K49" s="219">
        <v>0</v>
      </c>
      <c r="L49" s="219">
        <v>0</v>
      </c>
      <c r="M49" s="219">
        <v>0</v>
      </c>
      <c r="N49" s="219">
        <v>0</v>
      </c>
      <c r="O49" s="219">
        <v>475747</v>
      </c>
      <c r="Q49" s="219">
        <f>SUMIFS(Deficits!BY:BY,Deficits!BS:BS,C49)</f>
        <v>-59.075000000000003</v>
      </c>
      <c r="S49" s="219">
        <f>'Share of £1bn'!$L$15*O49/$O$1</f>
        <v>0.54555052944164795</v>
      </c>
      <c r="T49" s="220">
        <f t="shared" si="2"/>
        <v>-58.529449470558355</v>
      </c>
      <c r="U49" s="11">
        <f t="shared" si="3"/>
        <v>0.54555052944164795</v>
      </c>
      <c r="V49" s="11">
        <f t="shared" si="4"/>
        <v>0</v>
      </c>
      <c r="W49" s="11">
        <f t="shared" si="5"/>
        <v>0</v>
      </c>
      <c r="Y49" s="219">
        <f>'Share of £1bn'!$M$15*F49/$F$1</f>
        <v>1.9152938517238034</v>
      </c>
      <c r="Z49" s="220">
        <f t="shared" si="6"/>
        <v>-57.1597061482762</v>
      </c>
      <c r="AA49" s="11">
        <f t="shared" si="7"/>
        <v>1.9152938517238034</v>
      </c>
      <c r="AB49" s="11">
        <f t="shared" si="8"/>
        <v>0</v>
      </c>
      <c r="AC49" s="11">
        <f t="shared" si="9"/>
        <v>0</v>
      </c>
      <c r="AE49" s="222"/>
      <c r="AF49" s="223"/>
    </row>
    <row r="50" spans="2:32" x14ac:dyDescent="0.25">
      <c r="B50" t="s">
        <v>403</v>
      </c>
      <c r="C50" t="s">
        <v>500</v>
      </c>
      <c r="D50" t="s">
        <v>501</v>
      </c>
      <c r="E50" t="s">
        <v>106</v>
      </c>
      <c r="F50" s="219">
        <v>664920</v>
      </c>
      <c r="G50" s="219">
        <v>44586</v>
      </c>
      <c r="H50" s="219">
        <v>68976</v>
      </c>
      <c r="I50" s="219">
        <v>0</v>
      </c>
      <c r="J50" s="219">
        <v>0</v>
      </c>
      <c r="K50" s="219">
        <v>0</v>
      </c>
      <c r="L50" s="219">
        <v>0</v>
      </c>
      <c r="M50" s="219">
        <v>0</v>
      </c>
      <c r="N50" s="219">
        <v>0</v>
      </c>
      <c r="O50" s="219">
        <v>778482</v>
      </c>
      <c r="Q50" s="219">
        <f>SUMIFS(Deficits!BY:BY,Deficits!BS:BS,C50)</f>
        <v>-55.667000000000002</v>
      </c>
      <c r="S50" s="219">
        <f>'Share of £1bn'!$L$15*O50/$O$1</f>
        <v>0.89270403651687347</v>
      </c>
      <c r="T50" s="220">
        <f t="shared" si="2"/>
        <v>-54.774295963483127</v>
      </c>
      <c r="U50" s="11">
        <f t="shared" si="3"/>
        <v>0.89270403651687347</v>
      </c>
      <c r="V50" s="11">
        <f t="shared" si="4"/>
        <v>0</v>
      </c>
      <c r="W50" s="11">
        <f t="shared" si="5"/>
        <v>0</v>
      </c>
      <c r="Y50" s="219">
        <f>'Share of £1bn'!$M$15*F50/$F$1</f>
        <v>4.1504951778258388</v>
      </c>
      <c r="Z50" s="220">
        <f t="shared" si="6"/>
        <v>-51.516504822174163</v>
      </c>
      <c r="AA50" s="11">
        <f t="shared" si="7"/>
        <v>4.1504951778258388</v>
      </c>
      <c r="AB50" s="11">
        <f t="shared" si="8"/>
        <v>0</v>
      </c>
      <c r="AC50" s="11">
        <f t="shared" si="9"/>
        <v>0</v>
      </c>
      <c r="AE50" s="222"/>
      <c r="AF50" s="223"/>
    </row>
    <row r="51" spans="2:32" x14ac:dyDescent="0.25">
      <c r="B51" t="s">
        <v>433</v>
      </c>
      <c r="C51" t="s">
        <v>502</v>
      </c>
      <c r="D51" t="s">
        <v>503</v>
      </c>
      <c r="E51" t="s">
        <v>48</v>
      </c>
      <c r="F51" s="219">
        <v>339</v>
      </c>
      <c r="G51" s="219">
        <v>0</v>
      </c>
      <c r="H51" s="219">
        <v>117058</v>
      </c>
      <c r="I51" s="219">
        <v>0</v>
      </c>
      <c r="J51" s="219">
        <v>0</v>
      </c>
      <c r="K51" s="219">
        <v>0</v>
      </c>
      <c r="L51" s="219">
        <v>0</v>
      </c>
      <c r="M51" s="219">
        <v>0</v>
      </c>
      <c r="N51" s="219">
        <v>5191</v>
      </c>
      <c r="O51" s="219">
        <v>122588</v>
      </c>
      <c r="Q51" s="219">
        <f>SUMIFS(Deficits!BY:BY,Deficits!BS:BS,C51)</f>
        <v>0.20799999999999999</v>
      </c>
      <c r="S51" s="219">
        <f>'Share of £1bn'!$L$15*O51/$O$1</f>
        <v>0.14057460856966569</v>
      </c>
      <c r="T51" s="220">
        <f t="shared" si="2"/>
        <v>0.34857460856966571</v>
      </c>
      <c r="U51" s="11">
        <f t="shared" si="3"/>
        <v>0</v>
      </c>
      <c r="V51" s="11">
        <f t="shared" si="4"/>
        <v>0</v>
      </c>
      <c r="W51" s="11">
        <f t="shared" si="5"/>
        <v>0.14057460856966569</v>
      </c>
      <c r="Y51" s="219">
        <f>'Share of £1bn'!$M$15*F51/$F$1</f>
        <v>2.1160709036921123E-3</v>
      </c>
      <c r="Z51" s="220">
        <f t="shared" si="6"/>
        <v>0.21011607090369211</v>
      </c>
      <c r="AA51" s="11">
        <f t="shared" si="7"/>
        <v>0</v>
      </c>
      <c r="AB51" s="11">
        <f t="shared" si="8"/>
        <v>0</v>
      </c>
      <c r="AC51" s="11">
        <f t="shared" si="9"/>
        <v>2.1160709036921123E-3</v>
      </c>
      <c r="AE51" s="222"/>
      <c r="AF51" s="223"/>
    </row>
    <row r="52" spans="2:32" x14ac:dyDescent="0.25">
      <c r="B52" t="s">
        <v>408</v>
      </c>
      <c r="C52" t="s">
        <v>504</v>
      </c>
      <c r="D52" t="s">
        <v>505</v>
      </c>
      <c r="E52" t="s">
        <v>48</v>
      </c>
      <c r="F52" s="219">
        <v>121</v>
      </c>
      <c r="G52" s="219">
        <v>117339</v>
      </c>
      <c r="H52" s="219">
        <v>4</v>
      </c>
      <c r="I52" s="219">
        <v>0</v>
      </c>
      <c r="J52" s="219">
        <v>0</v>
      </c>
      <c r="K52" s="219">
        <v>0</v>
      </c>
      <c r="L52" s="219">
        <v>0</v>
      </c>
      <c r="M52" s="219">
        <v>0</v>
      </c>
      <c r="N52" s="219">
        <v>664</v>
      </c>
      <c r="O52" s="219">
        <v>118128</v>
      </c>
      <c r="Q52" s="219">
        <f>SUMIFS(Deficits!BY:BY,Deficits!BS:BS,C52)</f>
        <v>3.0453074800000066</v>
      </c>
      <c r="S52" s="219">
        <f>'Share of £1bn'!$L$15*O52/$O$1</f>
        <v>0.13546021928016991</v>
      </c>
      <c r="T52" s="220">
        <f t="shared" si="2"/>
        <v>3.1807676992801763</v>
      </c>
      <c r="U52" s="11">
        <f t="shared" si="3"/>
        <v>0</v>
      </c>
      <c r="V52" s="11">
        <f t="shared" si="4"/>
        <v>0</v>
      </c>
      <c r="W52" s="11">
        <f t="shared" si="5"/>
        <v>0.13546021928016991</v>
      </c>
      <c r="Y52" s="219">
        <f>'Share of £1bn'!$M$15*F52/$F$1</f>
        <v>7.5529374438568025E-4</v>
      </c>
      <c r="Z52" s="220">
        <f t="shared" si="6"/>
        <v>3.0460627737443922</v>
      </c>
      <c r="AA52" s="11">
        <f t="shared" si="7"/>
        <v>0</v>
      </c>
      <c r="AB52" s="11">
        <f t="shared" si="8"/>
        <v>0</v>
      </c>
      <c r="AC52" s="11">
        <f t="shared" si="9"/>
        <v>7.5529374438568025E-4</v>
      </c>
      <c r="AE52" s="222"/>
      <c r="AF52" s="223"/>
    </row>
    <row r="53" spans="2:32" x14ac:dyDescent="0.25">
      <c r="B53" t="s">
        <v>403</v>
      </c>
      <c r="C53" t="s">
        <v>506</v>
      </c>
      <c r="D53" t="s">
        <v>507</v>
      </c>
      <c r="E53" t="s">
        <v>48</v>
      </c>
      <c r="F53" s="219">
        <v>682101</v>
      </c>
      <c r="G53" s="219">
        <v>0</v>
      </c>
      <c r="H53" s="219">
        <v>0</v>
      </c>
      <c r="I53" s="219">
        <v>0</v>
      </c>
      <c r="J53" s="219">
        <v>0</v>
      </c>
      <c r="K53" s="219">
        <v>0</v>
      </c>
      <c r="L53" s="219">
        <v>0</v>
      </c>
      <c r="M53" s="219">
        <v>0</v>
      </c>
      <c r="N53" s="219">
        <v>0</v>
      </c>
      <c r="O53" s="219">
        <v>682101</v>
      </c>
      <c r="Q53" s="219">
        <f>SUMIFS(Deficits!BY:BY,Deficits!BS:BS,C53)</f>
        <v>-20.777999999999999</v>
      </c>
      <c r="S53" s="219">
        <f>'Share of £1bn'!$L$15*O53/$O$1</f>
        <v>0.78218162528124724</v>
      </c>
      <c r="T53" s="220">
        <f t="shared" si="2"/>
        <v>-19.995818374718752</v>
      </c>
      <c r="U53" s="11">
        <f t="shared" si="3"/>
        <v>0.78218162528124724</v>
      </c>
      <c r="V53" s="11">
        <f t="shared" si="4"/>
        <v>0</v>
      </c>
      <c r="W53" s="11">
        <f t="shared" si="5"/>
        <v>0</v>
      </c>
      <c r="Y53" s="219">
        <f>'Share of £1bn'!$M$15*F53/$F$1</f>
        <v>4.257740647431544</v>
      </c>
      <c r="Z53" s="220">
        <f t="shared" si="6"/>
        <v>-16.520259352568456</v>
      </c>
      <c r="AA53" s="11">
        <f t="shared" si="7"/>
        <v>4.257740647431544</v>
      </c>
      <c r="AB53" s="11">
        <f t="shared" si="8"/>
        <v>0</v>
      </c>
      <c r="AC53" s="11">
        <f t="shared" si="9"/>
        <v>0</v>
      </c>
      <c r="AE53" s="222"/>
      <c r="AF53" s="223"/>
    </row>
    <row r="54" spans="2:32" x14ac:dyDescent="0.25">
      <c r="B54" t="s">
        <v>408</v>
      </c>
      <c r="C54" t="s">
        <v>508</v>
      </c>
      <c r="D54" t="s">
        <v>509</v>
      </c>
      <c r="E54" t="s">
        <v>46</v>
      </c>
      <c r="F54" s="219">
        <v>260</v>
      </c>
      <c r="G54" s="219">
        <v>176305</v>
      </c>
      <c r="H54" s="219">
        <v>121776</v>
      </c>
      <c r="I54" s="219">
        <v>0</v>
      </c>
      <c r="J54" s="219">
        <v>0</v>
      </c>
      <c r="K54" s="219">
        <v>0</v>
      </c>
      <c r="L54" s="219">
        <v>0</v>
      </c>
      <c r="M54" s="219">
        <v>16829</v>
      </c>
      <c r="N54" s="219">
        <v>8297</v>
      </c>
      <c r="O54" s="219">
        <v>323467</v>
      </c>
      <c r="Q54" s="219">
        <f>SUMIFS(Deficits!BY:BY,Deficits!BS:BS,C54)</f>
        <v>-5.3109999978914854E-5</v>
      </c>
      <c r="S54" s="219">
        <f>'Share of £1bn'!$L$15*O54/$O$1</f>
        <v>0.37092739020298926</v>
      </c>
      <c r="T54" s="220">
        <f t="shared" si="2"/>
        <v>0.37087428020301033</v>
      </c>
      <c r="U54" s="11">
        <f t="shared" si="3"/>
        <v>0</v>
      </c>
      <c r="V54" s="11">
        <f t="shared" si="4"/>
        <v>5.3109999978914854E-5</v>
      </c>
      <c r="W54" s="11">
        <f t="shared" si="5"/>
        <v>0.37087428020301033</v>
      </c>
      <c r="Y54" s="219">
        <f>'Share of £1bn'!$M$15*F54/$F$1</f>
        <v>1.6229452358700568E-3</v>
      </c>
      <c r="Z54" s="220">
        <f t="shared" si="6"/>
        <v>1.569835235891142E-3</v>
      </c>
      <c r="AA54" s="11">
        <f t="shared" si="7"/>
        <v>0</v>
      </c>
      <c r="AB54" s="11">
        <f t="shared" si="8"/>
        <v>5.3109999978914854E-5</v>
      </c>
      <c r="AC54" s="11">
        <f t="shared" si="9"/>
        <v>1.569835235891142E-3</v>
      </c>
      <c r="AE54" s="222"/>
      <c r="AF54" s="223"/>
    </row>
    <row r="55" spans="2:32" x14ac:dyDescent="0.25">
      <c r="B55" t="s">
        <v>403</v>
      </c>
      <c r="C55" t="s">
        <v>510</v>
      </c>
      <c r="D55" t="s">
        <v>511</v>
      </c>
      <c r="E55" t="s">
        <v>46</v>
      </c>
      <c r="F55" s="219">
        <v>1269753</v>
      </c>
      <c r="G55" s="219">
        <v>0</v>
      </c>
      <c r="H55" s="219">
        <v>320</v>
      </c>
      <c r="I55" s="219">
        <v>6430</v>
      </c>
      <c r="J55" s="219">
        <v>0</v>
      </c>
      <c r="K55" s="219">
        <v>0</v>
      </c>
      <c r="L55" s="219">
        <v>0</v>
      </c>
      <c r="M55" s="219">
        <v>0</v>
      </c>
      <c r="N55" s="219">
        <v>0</v>
      </c>
      <c r="O55" s="219">
        <v>1276503</v>
      </c>
      <c r="Q55" s="219">
        <f>SUMIFS(Deficits!BY:BY,Deficits!BS:BS,C55)</f>
        <v>-43.28581176999991</v>
      </c>
      <c r="S55" s="219">
        <f>'Share of £1bn'!$L$15*O55/$O$1</f>
        <v>1.4637966975805456</v>
      </c>
      <c r="T55" s="220">
        <f t="shared" si="2"/>
        <v>-41.822015072419362</v>
      </c>
      <c r="U55" s="11">
        <f t="shared" si="3"/>
        <v>1.4637966975805456</v>
      </c>
      <c r="V55" s="11">
        <f t="shared" si="4"/>
        <v>0</v>
      </c>
      <c r="W55" s="11">
        <f t="shared" si="5"/>
        <v>0</v>
      </c>
      <c r="Y55" s="219">
        <f>'Share of £1bn'!$M$15*F55/$F$1</f>
        <v>7.9259214695450479</v>
      </c>
      <c r="Z55" s="220">
        <f t="shared" si="6"/>
        <v>-35.359890300454865</v>
      </c>
      <c r="AA55" s="11">
        <f t="shared" si="7"/>
        <v>7.9259214695450479</v>
      </c>
      <c r="AB55" s="11">
        <f t="shared" si="8"/>
        <v>0</v>
      </c>
      <c r="AC55" s="11">
        <f t="shared" si="9"/>
        <v>0</v>
      </c>
      <c r="AE55" s="222"/>
      <c r="AF55" s="223"/>
    </row>
    <row r="56" spans="2:32" x14ac:dyDescent="0.25">
      <c r="B56" t="s">
        <v>403</v>
      </c>
      <c r="C56" t="s">
        <v>512</v>
      </c>
      <c r="D56" t="s">
        <v>513</v>
      </c>
      <c r="E56" t="s">
        <v>80</v>
      </c>
      <c r="F56" s="219">
        <v>2054453</v>
      </c>
      <c r="G56" s="219">
        <v>0</v>
      </c>
      <c r="H56" s="219">
        <v>126159</v>
      </c>
      <c r="I56" s="219">
        <v>49716</v>
      </c>
      <c r="J56" s="219">
        <v>0</v>
      </c>
      <c r="K56" s="219">
        <v>0</v>
      </c>
      <c r="L56" s="219">
        <v>0</v>
      </c>
      <c r="M56" s="219">
        <v>0</v>
      </c>
      <c r="N56" s="219">
        <v>0</v>
      </c>
      <c r="O56" s="219">
        <v>2230328</v>
      </c>
      <c r="Q56" s="219">
        <f>SUMIFS(Deficits!BY:BY,Deficits!BS:BS,C56)</f>
        <v>-32.309713580000974</v>
      </c>
      <c r="S56" s="219">
        <f>'Share of £1bn'!$L$15*O56/$O$1</f>
        <v>2.5575707702382395</v>
      </c>
      <c r="T56" s="220">
        <f t="shared" si="2"/>
        <v>-29.752142809762734</v>
      </c>
      <c r="U56" s="11">
        <f t="shared" si="3"/>
        <v>2.5575707702382395</v>
      </c>
      <c r="V56" s="11">
        <f t="shared" si="4"/>
        <v>0</v>
      </c>
      <c r="W56" s="11">
        <f t="shared" si="5"/>
        <v>0</v>
      </c>
      <c r="Y56" s="219">
        <f>'Share of £1bn'!$M$15*F56/$F$1</f>
        <v>12.824095033342099</v>
      </c>
      <c r="Z56" s="220">
        <f t="shared" si="6"/>
        <v>-19.485618546658877</v>
      </c>
      <c r="AA56" s="11">
        <f t="shared" si="7"/>
        <v>12.824095033342099</v>
      </c>
      <c r="AB56" s="11">
        <f t="shared" si="8"/>
        <v>0</v>
      </c>
      <c r="AC56" s="11">
        <f t="shared" si="9"/>
        <v>0</v>
      </c>
      <c r="AE56" s="222"/>
      <c r="AF56" s="223"/>
    </row>
    <row r="57" spans="2:32" x14ac:dyDescent="0.25">
      <c r="B57" t="s">
        <v>403</v>
      </c>
      <c r="C57" t="s">
        <v>514</v>
      </c>
      <c r="D57" t="s">
        <v>515</v>
      </c>
      <c r="E57" t="s">
        <v>80</v>
      </c>
      <c r="F57" s="219">
        <v>1454209</v>
      </c>
      <c r="G57" s="219">
        <v>79</v>
      </c>
      <c r="H57" s="219">
        <v>82</v>
      </c>
      <c r="I57" s="219">
        <v>1191</v>
      </c>
      <c r="J57" s="219">
        <v>0</v>
      </c>
      <c r="K57" s="219">
        <v>0</v>
      </c>
      <c r="L57" s="219">
        <v>0</v>
      </c>
      <c r="M57" s="219">
        <v>0</v>
      </c>
      <c r="N57" s="219">
        <v>0</v>
      </c>
      <c r="O57" s="219">
        <v>1455561</v>
      </c>
      <c r="Q57" s="219">
        <f>SUMIFS(Deficits!BY:BY,Deficits!BS:BS,C57)</f>
        <v>-92.975999999999999</v>
      </c>
      <c r="S57" s="219">
        <f>'Share of £1bn'!$L$15*O57/$O$1</f>
        <v>1.6691268135891861</v>
      </c>
      <c r="T57" s="220">
        <f t="shared" si="2"/>
        <v>-91.306873186410812</v>
      </c>
      <c r="U57" s="11">
        <f t="shared" si="3"/>
        <v>1.6691268135891861</v>
      </c>
      <c r="V57" s="11">
        <f t="shared" si="4"/>
        <v>0</v>
      </c>
      <c r="W57" s="11">
        <f t="shared" si="5"/>
        <v>0</v>
      </c>
      <c r="Y57" s="219">
        <f>'Share of £1bn'!$M$15*F57/$F$1</f>
        <v>9.0773137250359976</v>
      </c>
      <c r="Z57" s="220">
        <f t="shared" si="6"/>
        <v>-83.898686274964007</v>
      </c>
      <c r="AA57" s="11">
        <f t="shared" si="7"/>
        <v>9.0773137250359976</v>
      </c>
      <c r="AB57" s="11">
        <f t="shared" si="8"/>
        <v>0</v>
      </c>
      <c r="AC57" s="11">
        <f t="shared" si="9"/>
        <v>0</v>
      </c>
      <c r="AE57" s="222"/>
      <c r="AF57" s="223"/>
    </row>
    <row r="58" spans="2:32" x14ac:dyDescent="0.25">
      <c r="B58" t="s">
        <v>403</v>
      </c>
      <c r="C58" t="s">
        <v>516</v>
      </c>
      <c r="D58" t="s">
        <v>517</v>
      </c>
      <c r="E58" t="s">
        <v>80</v>
      </c>
      <c r="F58" s="219">
        <v>631769</v>
      </c>
      <c r="G58" s="219">
        <v>28</v>
      </c>
      <c r="H58" s="219">
        <v>37901</v>
      </c>
      <c r="I58" s="219">
        <v>0</v>
      </c>
      <c r="J58" s="219">
        <v>0</v>
      </c>
      <c r="K58" s="219">
        <v>0</v>
      </c>
      <c r="L58" s="219">
        <v>0</v>
      </c>
      <c r="M58" s="219">
        <v>0</v>
      </c>
      <c r="N58" s="219">
        <v>0</v>
      </c>
      <c r="O58" s="219">
        <v>669698</v>
      </c>
      <c r="Q58" s="219">
        <f>SUMIFS(Deficits!BY:BY,Deficits!BS:BS,C58)</f>
        <v>-11.059999999999999</v>
      </c>
      <c r="S58" s="219">
        <f>'Share of £1bn'!$L$15*O58/$O$1</f>
        <v>0.76795880681541406</v>
      </c>
      <c r="T58" s="220">
        <f t="shared" si="2"/>
        <v>-10.292041193184584</v>
      </c>
      <c r="U58" s="11">
        <f t="shared" si="3"/>
        <v>0.76795880681541406</v>
      </c>
      <c r="V58" s="11">
        <f t="shared" si="4"/>
        <v>0</v>
      </c>
      <c r="W58" s="11">
        <f t="shared" si="5"/>
        <v>0</v>
      </c>
      <c r="Y58" s="219">
        <f>'Share of £1bn'!$M$15*F58/$F$1</f>
        <v>3.9435634181553456</v>
      </c>
      <c r="Z58" s="220">
        <f t="shared" si="6"/>
        <v>-7.1164365818446527</v>
      </c>
      <c r="AA58" s="11">
        <f t="shared" si="7"/>
        <v>3.9435634181553456</v>
      </c>
      <c r="AB58" s="11">
        <f t="shared" si="8"/>
        <v>0</v>
      </c>
      <c r="AC58" s="11">
        <f t="shared" si="9"/>
        <v>0</v>
      </c>
      <c r="AE58" s="222"/>
      <c r="AF58" s="223"/>
    </row>
    <row r="59" spans="2:32" x14ac:dyDescent="0.25">
      <c r="B59" t="s">
        <v>408</v>
      </c>
      <c r="C59" t="s">
        <v>518</v>
      </c>
      <c r="D59" t="s">
        <v>519</v>
      </c>
      <c r="E59" t="s">
        <v>80</v>
      </c>
      <c r="F59" s="219">
        <v>944</v>
      </c>
      <c r="G59" s="219">
        <v>344386</v>
      </c>
      <c r="H59" s="219">
        <v>62771</v>
      </c>
      <c r="I59" s="219">
        <v>0</v>
      </c>
      <c r="J59" s="219">
        <v>0</v>
      </c>
      <c r="K59" s="219">
        <v>0</v>
      </c>
      <c r="L59" s="219">
        <v>0</v>
      </c>
      <c r="M59" s="219">
        <v>0</v>
      </c>
      <c r="N59" s="219">
        <v>0</v>
      </c>
      <c r="O59" s="219">
        <v>408101</v>
      </c>
      <c r="Q59" s="219">
        <f>SUMIFS(Deficits!BY:BY,Deficits!BS:BS,C59)</f>
        <v>0.1678118299999187</v>
      </c>
      <c r="S59" s="219">
        <f>'Share of £1bn'!$L$15*O59/$O$1</f>
        <v>0.46797923395347946</v>
      </c>
      <c r="T59" s="220">
        <f t="shared" si="2"/>
        <v>0.63579106395339813</v>
      </c>
      <c r="U59" s="11">
        <f t="shared" si="3"/>
        <v>0</v>
      </c>
      <c r="V59" s="11">
        <f t="shared" si="4"/>
        <v>0</v>
      </c>
      <c r="W59" s="11">
        <f t="shared" si="5"/>
        <v>0.46797923395347946</v>
      </c>
      <c r="Y59" s="219">
        <f>'Share of £1bn'!$M$15*F59/$F$1</f>
        <v>5.8925396256205133E-3</v>
      </c>
      <c r="Z59" s="220">
        <f t="shared" si="6"/>
        <v>0.1737043696255392</v>
      </c>
      <c r="AA59" s="11">
        <f t="shared" si="7"/>
        <v>0</v>
      </c>
      <c r="AB59" s="11">
        <f t="shared" si="8"/>
        <v>0</v>
      </c>
      <c r="AC59" s="11">
        <f t="shared" si="9"/>
        <v>5.8925396256205133E-3</v>
      </c>
      <c r="AE59" s="222"/>
      <c r="AF59" s="223"/>
    </row>
    <row r="60" spans="2:32" x14ac:dyDescent="0.25">
      <c r="B60" t="s">
        <v>408</v>
      </c>
      <c r="C60" t="s">
        <v>520</v>
      </c>
      <c r="D60" t="s">
        <v>521</v>
      </c>
      <c r="E60" t="s">
        <v>80</v>
      </c>
      <c r="F60" s="219">
        <v>2544</v>
      </c>
      <c r="G60" s="219">
        <v>428469</v>
      </c>
      <c r="H60" s="219">
        <v>455</v>
      </c>
      <c r="I60" s="219">
        <v>0</v>
      </c>
      <c r="J60" s="219">
        <v>0</v>
      </c>
      <c r="K60" s="219">
        <v>0</v>
      </c>
      <c r="L60" s="219">
        <v>0</v>
      </c>
      <c r="M60" s="219">
        <v>0</v>
      </c>
      <c r="N60" s="219">
        <v>0</v>
      </c>
      <c r="O60" s="219">
        <v>431468</v>
      </c>
      <c r="Q60" s="219">
        <f>SUMIFS(Deficits!BY:BY,Deficits!BS:BS,C60)</f>
        <v>-9.9550000000000001</v>
      </c>
      <c r="S60" s="219">
        <f>'Share of £1bn'!$L$15*O60/$O$1</f>
        <v>0.4947747349686471</v>
      </c>
      <c r="T60" s="220">
        <f t="shared" si="2"/>
        <v>-9.4602252650313527</v>
      </c>
      <c r="U60" s="11">
        <f t="shared" si="3"/>
        <v>0.4947747349686471</v>
      </c>
      <c r="V60" s="11">
        <f t="shared" si="4"/>
        <v>0</v>
      </c>
      <c r="W60" s="11">
        <f t="shared" si="5"/>
        <v>0</v>
      </c>
      <c r="Y60" s="219">
        <f>'Share of £1bn'!$M$15*F60/$F$1</f>
        <v>1.58798949232824E-2</v>
      </c>
      <c r="Z60" s="220">
        <f t="shared" si="6"/>
        <v>-9.9391201050767179</v>
      </c>
      <c r="AA60" s="11">
        <f t="shared" si="7"/>
        <v>1.58798949232824E-2</v>
      </c>
      <c r="AB60" s="11">
        <f t="shared" si="8"/>
        <v>0</v>
      </c>
      <c r="AC60" s="11">
        <f t="shared" si="9"/>
        <v>0</v>
      </c>
      <c r="AE60" s="222"/>
      <c r="AF60" s="223"/>
    </row>
    <row r="61" spans="2:32" x14ac:dyDescent="0.25">
      <c r="B61" t="s">
        <v>403</v>
      </c>
      <c r="C61" t="s">
        <v>522</v>
      </c>
      <c r="D61" t="s">
        <v>523</v>
      </c>
      <c r="E61" t="s">
        <v>92</v>
      </c>
      <c r="F61" s="219">
        <v>372430</v>
      </c>
      <c r="G61" s="219">
        <v>0</v>
      </c>
      <c r="H61" s="219">
        <v>464</v>
      </c>
      <c r="I61" s="219">
        <v>0</v>
      </c>
      <c r="J61" s="219">
        <v>0</v>
      </c>
      <c r="K61" s="219">
        <v>0</v>
      </c>
      <c r="L61" s="219">
        <v>0</v>
      </c>
      <c r="M61" s="219">
        <v>0</v>
      </c>
      <c r="N61" s="219">
        <v>0</v>
      </c>
      <c r="O61" s="219">
        <v>372894</v>
      </c>
      <c r="Q61" s="219">
        <f>SUMIFS(Deficits!BY:BY,Deficits!BS:BS,C61)</f>
        <v>-12.97</v>
      </c>
      <c r="S61" s="219">
        <f>'Share of £1bn'!$L$15*O61/$O$1</f>
        <v>0.42760652011597311</v>
      </c>
      <c r="T61" s="220">
        <f t="shared" si="2"/>
        <v>-12.542393479884028</v>
      </c>
      <c r="U61" s="11">
        <f t="shared" si="3"/>
        <v>0.42760652011597311</v>
      </c>
      <c r="V61" s="11">
        <f t="shared" si="4"/>
        <v>0</v>
      </c>
      <c r="W61" s="11">
        <f t="shared" si="5"/>
        <v>0</v>
      </c>
      <c r="Y61" s="219">
        <f>'Share of £1bn'!$M$15*F61/$F$1</f>
        <v>2.3247442084426355</v>
      </c>
      <c r="Z61" s="220">
        <f t="shared" si="6"/>
        <v>-10.645255791557364</v>
      </c>
      <c r="AA61" s="11">
        <f t="shared" si="7"/>
        <v>2.3247442084426355</v>
      </c>
      <c r="AB61" s="11">
        <f t="shared" si="8"/>
        <v>0</v>
      </c>
      <c r="AC61" s="11">
        <f t="shared" si="9"/>
        <v>0</v>
      </c>
      <c r="AE61" s="222"/>
      <c r="AF61" s="223"/>
    </row>
    <row r="62" spans="2:32" x14ac:dyDescent="0.25">
      <c r="B62" t="s">
        <v>403</v>
      </c>
      <c r="C62" t="s">
        <v>524</v>
      </c>
      <c r="D62" t="s">
        <v>525</v>
      </c>
      <c r="E62" t="s">
        <v>92</v>
      </c>
      <c r="F62" s="219">
        <v>781856</v>
      </c>
      <c r="G62" s="219">
        <v>0</v>
      </c>
      <c r="H62" s="219">
        <v>0</v>
      </c>
      <c r="I62" s="219">
        <v>7697</v>
      </c>
      <c r="J62" s="219">
        <v>0</v>
      </c>
      <c r="K62" s="219">
        <v>0</v>
      </c>
      <c r="L62" s="219">
        <v>0</v>
      </c>
      <c r="M62" s="219">
        <v>0</v>
      </c>
      <c r="N62" s="219">
        <v>0</v>
      </c>
      <c r="O62" s="219">
        <v>789553</v>
      </c>
      <c r="Q62" s="219">
        <f>SUMIFS(Deficits!BY:BY,Deficits!BS:BS,C62)</f>
        <v>-121.929</v>
      </c>
      <c r="S62" s="219">
        <f>'Share of £1bn'!$L$15*O62/$O$1</f>
        <v>0.90539941854019368</v>
      </c>
      <c r="T62" s="220">
        <f t="shared" si="2"/>
        <v>-121.0236005814598</v>
      </c>
      <c r="U62" s="11">
        <f t="shared" si="3"/>
        <v>0.90539941854019368</v>
      </c>
      <c r="V62" s="11">
        <f t="shared" si="4"/>
        <v>0</v>
      </c>
      <c r="W62" s="11">
        <f t="shared" si="5"/>
        <v>0</v>
      </c>
      <c r="Y62" s="219">
        <f>'Share of £1bn'!$M$15*F62/$F$1</f>
        <v>4.8804210397554586</v>
      </c>
      <c r="Z62" s="220">
        <f t="shared" si="6"/>
        <v>-117.04857896024454</v>
      </c>
      <c r="AA62" s="11">
        <f t="shared" si="7"/>
        <v>4.8804210397554586</v>
      </c>
      <c r="AB62" s="11">
        <f t="shared" si="8"/>
        <v>0</v>
      </c>
      <c r="AC62" s="11">
        <f t="shared" si="9"/>
        <v>0</v>
      </c>
      <c r="AE62" s="222"/>
      <c r="AF62" s="223"/>
    </row>
    <row r="63" spans="2:32" x14ac:dyDescent="0.25">
      <c r="B63" t="s">
        <v>408</v>
      </c>
      <c r="C63" t="s">
        <v>526</v>
      </c>
      <c r="D63" t="s">
        <v>527</v>
      </c>
      <c r="E63" t="s">
        <v>92</v>
      </c>
      <c r="F63" s="219">
        <v>883</v>
      </c>
      <c r="G63" s="219">
        <v>213957</v>
      </c>
      <c r="H63" s="219">
        <v>55</v>
      </c>
      <c r="I63" s="219">
        <v>0</v>
      </c>
      <c r="J63" s="219">
        <v>0</v>
      </c>
      <c r="K63" s="219">
        <v>0</v>
      </c>
      <c r="L63" s="219">
        <v>0</v>
      </c>
      <c r="M63" s="219">
        <v>0</v>
      </c>
      <c r="N63" s="219">
        <v>0</v>
      </c>
      <c r="O63" s="219">
        <v>214895</v>
      </c>
      <c r="Q63" s="219">
        <f>SUMIFS(Deficits!BY:BY,Deficits!BS:BS,C63)</f>
        <v>-1.397</v>
      </c>
      <c r="S63" s="219">
        <f>'Share of £1bn'!$L$15*O63/$O$1</f>
        <v>0.24642526600138925</v>
      </c>
      <c r="T63" s="220">
        <f t="shared" si="2"/>
        <v>-1.1505747339986108</v>
      </c>
      <c r="U63" s="11">
        <f t="shared" si="3"/>
        <v>0.24642526600138925</v>
      </c>
      <c r="V63" s="11">
        <f t="shared" si="4"/>
        <v>0</v>
      </c>
      <c r="W63" s="11">
        <f t="shared" si="5"/>
        <v>0</v>
      </c>
      <c r="Y63" s="219">
        <f>'Share of £1bn'!$M$15*F63/$F$1</f>
        <v>5.511771704897154E-3</v>
      </c>
      <c r="Z63" s="220">
        <f t="shared" si="6"/>
        <v>-1.3914882282951029</v>
      </c>
      <c r="AA63" s="11">
        <f t="shared" si="7"/>
        <v>5.511771704897154E-3</v>
      </c>
      <c r="AB63" s="11">
        <f t="shared" si="8"/>
        <v>0</v>
      </c>
      <c r="AC63" s="11">
        <f t="shared" si="9"/>
        <v>0</v>
      </c>
      <c r="AE63" s="222"/>
      <c r="AF63" s="223"/>
    </row>
    <row r="64" spans="2:32" x14ac:dyDescent="0.25">
      <c r="B64" t="s">
        <v>433</v>
      </c>
      <c r="C64" t="s">
        <v>528</v>
      </c>
      <c r="D64" t="s">
        <v>529</v>
      </c>
      <c r="E64" t="s">
        <v>92</v>
      </c>
      <c r="F64" s="219">
        <v>5672</v>
      </c>
      <c r="G64" s="219">
        <v>0</v>
      </c>
      <c r="H64" s="219">
        <v>194969</v>
      </c>
      <c r="I64" s="219">
        <v>0</v>
      </c>
      <c r="J64" s="219">
        <v>6790</v>
      </c>
      <c r="K64" s="219">
        <v>0</v>
      </c>
      <c r="L64" s="219">
        <v>0</v>
      </c>
      <c r="M64" s="219">
        <v>0</v>
      </c>
      <c r="N64" s="219">
        <v>0</v>
      </c>
      <c r="O64" s="219">
        <v>207431</v>
      </c>
      <c r="Q64" s="219">
        <f>SUMIFS(Deficits!BY:BY,Deficits!BS:BS,C64)</f>
        <v>0</v>
      </c>
      <c r="S64" s="219">
        <f>'Share of £1bn'!$L$15*O64/$O$1</f>
        <v>0.23786611764784746</v>
      </c>
      <c r="T64" s="220">
        <f t="shared" si="2"/>
        <v>0.23786611764784746</v>
      </c>
      <c r="U64" s="11">
        <f t="shared" si="3"/>
        <v>0</v>
      </c>
      <c r="V64" s="11">
        <f t="shared" si="4"/>
        <v>0</v>
      </c>
      <c r="W64" s="11">
        <f t="shared" si="5"/>
        <v>0.23786611764784746</v>
      </c>
      <c r="Y64" s="219">
        <f>'Share of £1bn'!$M$15*F64/$F$1</f>
        <v>3.5405174530211393E-2</v>
      </c>
      <c r="Z64" s="220">
        <f t="shared" si="6"/>
        <v>3.5405174530211393E-2</v>
      </c>
      <c r="AA64" s="11">
        <f t="shared" si="7"/>
        <v>0</v>
      </c>
      <c r="AB64" s="11">
        <f t="shared" si="8"/>
        <v>0</v>
      </c>
      <c r="AC64" s="11">
        <f t="shared" si="9"/>
        <v>3.5405174530211393E-2</v>
      </c>
      <c r="AE64" s="222"/>
      <c r="AF64" s="223"/>
    </row>
    <row r="65" spans="2:32" x14ac:dyDescent="0.25">
      <c r="B65" t="s">
        <v>403</v>
      </c>
      <c r="C65" t="s">
        <v>530</v>
      </c>
      <c r="D65" t="s">
        <v>531</v>
      </c>
      <c r="E65" t="s">
        <v>92</v>
      </c>
      <c r="F65" s="219">
        <v>623883</v>
      </c>
      <c r="G65" s="219">
        <v>0</v>
      </c>
      <c r="H65" s="219">
        <v>0</v>
      </c>
      <c r="I65" s="219">
        <v>0</v>
      </c>
      <c r="J65" s="219">
        <v>0</v>
      </c>
      <c r="K65" s="219">
        <v>0</v>
      </c>
      <c r="L65" s="219">
        <v>0</v>
      </c>
      <c r="M65" s="219">
        <v>0</v>
      </c>
      <c r="N65" s="219">
        <v>0</v>
      </c>
      <c r="O65" s="219">
        <v>623883</v>
      </c>
      <c r="Q65" s="219">
        <f>SUMIFS(Deficits!BY:BY,Deficits!BS:BS,C65)</f>
        <v>0</v>
      </c>
      <c r="S65" s="219">
        <f>'Share of £1bn'!$L$15*O65/$O$1</f>
        <v>0.7154216441924881</v>
      </c>
      <c r="T65" s="220">
        <f t="shared" si="2"/>
        <v>0.7154216441924881</v>
      </c>
      <c r="U65" s="11">
        <f t="shared" si="3"/>
        <v>0</v>
      </c>
      <c r="V65" s="11">
        <f t="shared" si="4"/>
        <v>0</v>
      </c>
      <c r="W65" s="11">
        <f t="shared" si="5"/>
        <v>0.7154216441924881</v>
      </c>
      <c r="Y65" s="219">
        <f>'Share of £1bn'!$M$15*F65/$F$1</f>
        <v>3.8943382407319946</v>
      </c>
      <c r="Z65" s="220">
        <f t="shared" si="6"/>
        <v>3.8943382407319946</v>
      </c>
      <c r="AA65" s="11">
        <f t="shared" si="7"/>
        <v>0</v>
      </c>
      <c r="AB65" s="11">
        <f t="shared" si="8"/>
        <v>0</v>
      </c>
      <c r="AC65" s="11">
        <f t="shared" si="9"/>
        <v>3.8943382407319946</v>
      </c>
      <c r="AE65" s="222"/>
      <c r="AF65" s="223"/>
    </row>
    <row r="66" spans="2:32" x14ac:dyDescent="0.25">
      <c r="B66" t="s">
        <v>403</v>
      </c>
      <c r="C66" t="s">
        <v>532</v>
      </c>
      <c r="D66" t="s">
        <v>533</v>
      </c>
      <c r="E66" t="s">
        <v>92</v>
      </c>
      <c r="F66" s="219">
        <v>375907</v>
      </c>
      <c r="G66" s="219">
        <v>0</v>
      </c>
      <c r="H66" s="219">
        <v>1</v>
      </c>
      <c r="I66" s="219">
        <v>1167</v>
      </c>
      <c r="J66" s="219">
        <v>0</v>
      </c>
      <c r="K66" s="219">
        <v>0</v>
      </c>
      <c r="L66" s="219">
        <v>0</v>
      </c>
      <c r="M66" s="219">
        <v>0</v>
      </c>
      <c r="N66" s="219">
        <v>0</v>
      </c>
      <c r="O66" s="219">
        <v>377075</v>
      </c>
      <c r="Q66" s="219">
        <f>SUMIFS(Deficits!BY:BY,Deficits!BS:BS,C66)</f>
        <v>-44.263999999999996</v>
      </c>
      <c r="S66" s="219">
        <f>'Share of £1bn'!$L$15*O66/$O$1</f>
        <v>0.43240097339386147</v>
      </c>
      <c r="T66" s="220">
        <f t="shared" si="2"/>
        <v>-43.831599026606135</v>
      </c>
      <c r="U66" s="11">
        <f t="shared" si="3"/>
        <v>0.43240097339386147</v>
      </c>
      <c r="V66" s="11">
        <f t="shared" si="4"/>
        <v>0</v>
      </c>
      <c r="W66" s="11">
        <f t="shared" si="5"/>
        <v>0</v>
      </c>
      <c r="Y66" s="219">
        <f>'Share of £1bn'!$M$15*F66/$F$1</f>
        <v>2.3464479799238669</v>
      </c>
      <c r="Z66" s="220">
        <f t="shared" si="6"/>
        <v>-41.91755202007613</v>
      </c>
      <c r="AA66" s="11">
        <f t="shared" si="7"/>
        <v>2.3464479799238669</v>
      </c>
      <c r="AB66" s="11">
        <f t="shared" si="8"/>
        <v>0</v>
      </c>
      <c r="AC66" s="11">
        <f t="shared" si="9"/>
        <v>0</v>
      </c>
      <c r="AE66" s="222"/>
      <c r="AF66" s="223"/>
    </row>
    <row r="67" spans="2:32" x14ac:dyDescent="0.25">
      <c r="B67" t="s">
        <v>403</v>
      </c>
      <c r="C67" t="s">
        <v>534</v>
      </c>
      <c r="D67" t="s">
        <v>535</v>
      </c>
      <c r="E67" t="s">
        <v>64</v>
      </c>
      <c r="F67" s="219">
        <v>534440</v>
      </c>
      <c r="G67" s="219">
        <v>0</v>
      </c>
      <c r="H67" s="219">
        <v>0</v>
      </c>
      <c r="I67" s="219">
        <v>0</v>
      </c>
      <c r="J67" s="219">
        <v>0</v>
      </c>
      <c r="K67" s="219">
        <v>0</v>
      </c>
      <c r="L67" s="219">
        <v>0</v>
      </c>
      <c r="M67" s="219">
        <v>0</v>
      </c>
      <c r="N67" s="219">
        <v>0</v>
      </c>
      <c r="O67" s="219">
        <v>534440</v>
      </c>
      <c r="Q67" s="219">
        <f>SUMIFS(Deficits!BY:BY,Deficits!BS:BS,C67)</f>
        <v>-11.743904030000019</v>
      </c>
      <c r="S67" s="219">
        <f>'Share of £1bn'!$L$15*O67/$O$1</f>
        <v>0.61285520445697894</v>
      </c>
      <c r="T67" s="220">
        <f t="shared" si="2"/>
        <v>-11.13104882554304</v>
      </c>
      <c r="U67" s="11">
        <f t="shared" si="3"/>
        <v>0.61285520445697894</v>
      </c>
      <c r="V67" s="11">
        <f t="shared" si="4"/>
        <v>0</v>
      </c>
      <c r="W67" s="11">
        <f t="shared" si="5"/>
        <v>0</v>
      </c>
      <c r="Y67" s="219">
        <f>'Share of £1bn'!$M$15*F67/$F$1</f>
        <v>3.336026353301512</v>
      </c>
      <c r="Z67" s="220">
        <f t="shared" si="6"/>
        <v>-8.4078776766985079</v>
      </c>
      <c r="AA67" s="11">
        <f t="shared" si="7"/>
        <v>3.336026353301512</v>
      </c>
      <c r="AB67" s="11">
        <f t="shared" si="8"/>
        <v>0</v>
      </c>
      <c r="AC67" s="11">
        <f t="shared" si="9"/>
        <v>0</v>
      </c>
      <c r="AE67" s="222"/>
      <c r="AF67" s="223"/>
    </row>
    <row r="68" spans="2:32" x14ac:dyDescent="0.25">
      <c r="B68" t="s">
        <v>433</v>
      </c>
      <c r="C68" t="s">
        <v>536</v>
      </c>
      <c r="D68" t="s">
        <v>537</v>
      </c>
      <c r="E68" t="s">
        <v>64</v>
      </c>
      <c r="F68" s="219">
        <v>148</v>
      </c>
      <c r="G68" s="219">
        <v>2</v>
      </c>
      <c r="H68" s="219">
        <v>100464</v>
      </c>
      <c r="I68" s="219">
        <v>0</v>
      </c>
      <c r="J68" s="219">
        <v>0</v>
      </c>
      <c r="K68" s="219">
        <v>0</v>
      </c>
      <c r="L68" s="219">
        <v>0</v>
      </c>
      <c r="M68" s="219">
        <v>3760</v>
      </c>
      <c r="N68" s="219">
        <v>0</v>
      </c>
      <c r="O68" s="219">
        <v>104374</v>
      </c>
      <c r="Q68" s="219">
        <f>SUMIFS(Deficits!BY:BY,Deficits!BS:BS,C68)</f>
        <v>-4.774</v>
      </c>
      <c r="S68" s="219">
        <f>'Share of £1bn'!$L$15*O68/$O$1</f>
        <v>0.11968817661476071</v>
      </c>
      <c r="T68" s="220">
        <f t="shared" ref="T68:T131" si="10">S68+$Q68</f>
        <v>-4.654311823385239</v>
      </c>
      <c r="U68" s="11">
        <f t="shared" ref="U68:U131" si="11">IF(AND($Q68&lt;0,T68&lt;0),S68,0)</f>
        <v>0.11968817661476071</v>
      </c>
      <c r="V68" s="11">
        <f t="shared" ref="V68:V131" si="12">IF(AND($Q68&lt;0,T68&gt;0),-$Q68,0)</f>
        <v>0</v>
      </c>
      <c r="W68" s="11">
        <f t="shared" ref="W68:W131" si="13">IF(OR($Q68&gt;=0,T68&gt;=0),S68-V68,0)</f>
        <v>0</v>
      </c>
      <c r="Y68" s="219">
        <f>'Share of £1bn'!$M$15*F68/$F$1</f>
        <v>9.2383036503372465E-4</v>
      </c>
      <c r="Z68" s="220">
        <f t="shared" ref="Z68:Z131" si="14">Y68+$Q68</f>
        <v>-4.7730761696349662</v>
      </c>
      <c r="AA68" s="11">
        <f t="shared" ref="AA68:AA131" si="15">IF(AND($Q68&lt;0,Z68&lt;0),Y68,0)</f>
        <v>9.2383036503372465E-4</v>
      </c>
      <c r="AB68" s="11">
        <f t="shared" ref="AB68:AB131" si="16">IF(AND($Q68&lt;0,Z68&gt;0),-$Q68,0)</f>
        <v>0</v>
      </c>
      <c r="AC68" s="11">
        <f t="shared" ref="AC68:AC131" si="17">IF(OR($Q68&gt;=0,Z68&gt;=0),Y68-AB68,0)</f>
        <v>0</v>
      </c>
      <c r="AE68" s="222"/>
      <c r="AF68" s="223"/>
    </row>
    <row r="69" spans="2:32" x14ac:dyDescent="0.25">
      <c r="B69" t="s">
        <v>408</v>
      </c>
      <c r="C69" t="s">
        <v>538</v>
      </c>
      <c r="D69" t="s">
        <v>539</v>
      </c>
      <c r="E69" t="s">
        <v>64</v>
      </c>
      <c r="F69" s="219">
        <v>559</v>
      </c>
      <c r="G69" s="219">
        <v>117573</v>
      </c>
      <c r="H69" s="219">
        <v>0</v>
      </c>
      <c r="I69" s="219">
        <v>0</v>
      </c>
      <c r="J69" s="219">
        <v>0</v>
      </c>
      <c r="K69" s="219">
        <v>0</v>
      </c>
      <c r="L69" s="219">
        <v>0</v>
      </c>
      <c r="M69" s="219">
        <v>0</v>
      </c>
      <c r="N69" s="219">
        <v>0</v>
      </c>
      <c r="O69" s="219">
        <v>118132</v>
      </c>
      <c r="Q69" s="219">
        <f>SUMIFS(Deficits!BY:BY,Deficits!BS:BS,C69)</f>
        <v>-9.0001031500000401</v>
      </c>
      <c r="S69" s="219">
        <f>'Share of £1bn'!$L$15*O69/$O$1</f>
        <v>0.13546480617639367</v>
      </c>
      <c r="T69" s="220">
        <f t="shared" si="10"/>
        <v>-8.8646383438236462</v>
      </c>
      <c r="U69" s="11">
        <f t="shared" si="11"/>
        <v>0.13546480617639367</v>
      </c>
      <c r="V69" s="11">
        <f t="shared" si="12"/>
        <v>0</v>
      </c>
      <c r="W69" s="11">
        <f t="shared" si="13"/>
        <v>0</v>
      </c>
      <c r="Y69" s="219">
        <f>'Share of £1bn'!$M$15*F69/$F$1</f>
        <v>3.489332257120622E-3</v>
      </c>
      <c r="Z69" s="220">
        <f t="shared" si="14"/>
        <v>-8.9966138177429187</v>
      </c>
      <c r="AA69" s="11">
        <f t="shared" si="15"/>
        <v>3.489332257120622E-3</v>
      </c>
      <c r="AB69" s="11">
        <f t="shared" si="16"/>
        <v>0</v>
      </c>
      <c r="AC69" s="11">
        <f t="shared" si="17"/>
        <v>0</v>
      </c>
      <c r="AE69" s="222"/>
      <c r="AF69" s="223"/>
    </row>
    <row r="70" spans="2:32" x14ac:dyDescent="0.25">
      <c r="B70" t="s">
        <v>403</v>
      </c>
      <c r="C70" t="s">
        <v>540</v>
      </c>
      <c r="D70" t="s">
        <v>541</v>
      </c>
      <c r="E70" t="s">
        <v>64</v>
      </c>
      <c r="F70" s="219">
        <v>317163</v>
      </c>
      <c r="G70" s="219">
        <v>0</v>
      </c>
      <c r="H70" s="219">
        <v>0</v>
      </c>
      <c r="I70" s="219">
        <v>3</v>
      </c>
      <c r="J70" s="219">
        <v>0</v>
      </c>
      <c r="K70" s="219">
        <v>0</v>
      </c>
      <c r="L70" s="219">
        <v>0</v>
      </c>
      <c r="M70" s="219">
        <v>0</v>
      </c>
      <c r="N70" s="219">
        <v>0</v>
      </c>
      <c r="O70" s="219">
        <v>317166</v>
      </c>
      <c r="Q70" s="219">
        <f>SUMIFS(Deficits!BY:BY,Deficits!BS:BS,C70)</f>
        <v>-21.622</v>
      </c>
      <c r="S70" s="219">
        <f>'Share of £1bn'!$L$15*O70/$O$1</f>
        <v>0.36370188192650654</v>
      </c>
      <c r="T70" s="220">
        <f t="shared" si="10"/>
        <v>-21.258298118073494</v>
      </c>
      <c r="U70" s="11">
        <f t="shared" si="11"/>
        <v>0.36370188192650654</v>
      </c>
      <c r="V70" s="11">
        <f t="shared" si="12"/>
        <v>0</v>
      </c>
      <c r="W70" s="11">
        <f t="shared" si="13"/>
        <v>0</v>
      </c>
      <c r="Y70" s="219">
        <f>'Share of £1bn'!$M$15*F70/$F$1</f>
        <v>1.9797622301702109</v>
      </c>
      <c r="Z70" s="220">
        <f t="shared" si="14"/>
        <v>-19.642237769829791</v>
      </c>
      <c r="AA70" s="11">
        <f t="shared" si="15"/>
        <v>1.9797622301702109</v>
      </c>
      <c r="AB70" s="11">
        <f t="shared" si="16"/>
        <v>0</v>
      </c>
      <c r="AC70" s="11">
        <f t="shared" si="17"/>
        <v>0</v>
      </c>
      <c r="AE70" s="222"/>
      <c r="AF70" s="223"/>
    </row>
    <row r="71" spans="2:32" x14ac:dyDescent="0.25">
      <c r="B71" t="s">
        <v>403</v>
      </c>
      <c r="C71" t="s">
        <v>542</v>
      </c>
      <c r="D71" t="s">
        <v>543</v>
      </c>
      <c r="E71" t="s">
        <v>64</v>
      </c>
      <c r="F71" s="219">
        <v>451531</v>
      </c>
      <c r="G71" s="219">
        <v>0</v>
      </c>
      <c r="H71" s="219">
        <v>0</v>
      </c>
      <c r="I71" s="219">
        <v>0</v>
      </c>
      <c r="J71" s="219">
        <v>0</v>
      </c>
      <c r="K71" s="219">
        <v>0</v>
      </c>
      <c r="L71" s="219">
        <v>0</v>
      </c>
      <c r="M71" s="219">
        <v>0</v>
      </c>
      <c r="N71" s="219">
        <v>0</v>
      </c>
      <c r="O71" s="219">
        <v>451531</v>
      </c>
      <c r="Q71" s="219">
        <f>SUMIFS(Deficits!BY:BY,Deficits!BS:BS,C71)</f>
        <v>-16.542999999999999</v>
      </c>
      <c r="S71" s="219">
        <f>'Share of £1bn'!$L$15*O71/$O$1</f>
        <v>0.51778145970298661</v>
      </c>
      <c r="T71" s="220">
        <f t="shared" si="10"/>
        <v>-16.025218540297011</v>
      </c>
      <c r="U71" s="11">
        <f t="shared" si="11"/>
        <v>0.51778145970298661</v>
      </c>
      <c r="V71" s="11">
        <f t="shared" si="12"/>
        <v>0</v>
      </c>
      <c r="W71" s="11">
        <f t="shared" si="13"/>
        <v>0</v>
      </c>
      <c r="Y71" s="219">
        <f>'Share of £1bn'!$M$15*F71/$F$1</f>
        <v>2.8185003280678562</v>
      </c>
      <c r="Z71" s="220">
        <f t="shared" si="14"/>
        <v>-13.724499671932143</v>
      </c>
      <c r="AA71" s="11">
        <f t="shared" si="15"/>
        <v>2.8185003280678562</v>
      </c>
      <c r="AB71" s="11">
        <f t="shared" si="16"/>
        <v>0</v>
      </c>
      <c r="AC71" s="11">
        <f t="shared" si="17"/>
        <v>0</v>
      </c>
      <c r="AE71" s="222"/>
      <c r="AF71" s="223"/>
    </row>
    <row r="72" spans="2:32" x14ac:dyDescent="0.25">
      <c r="B72" t="s">
        <v>403</v>
      </c>
      <c r="C72" t="s">
        <v>544</v>
      </c>
      <c r="D72" t="s">
        <v>545</v>
      </c>
      <c r="E72" t="s">
        <v>76</v>
      </c>
      <c r="F72" s="219">
        <v>765398</v>
      </c>
      <c r="G72" s="219">
        <v>0</v>
      </c>
      <c r="H72" s="219">
        <v>0</v>
      </c>
      <c r="I72" s="219">
        <v>0</v>
      </c>
      <c r="J72" s="219">
        <v>0</v>
      </c>
      <c r="K72" s="219">
        <v>0</v>
      </c>
      <c r="L72" s="219">
        <v>0</v>
      </c>
      <c r="M72" s="219">
        <v>0</v>
      </c>
      <c r="N72" s="219">
        <v>0</v>
      </c>
      <c r="O72" s="219">
        <v>765398</v>
      </c>
      <c r="Q72" s="219">
        <f>SUMIFS(Deficits!BY:BY,Deficits!BS:BS,C72)</f>
        <v>-0.15462500000000001</v>
      </c>
      <c r="S72" s="219">
        <f>'Share of £1bn'!$L$15*O72/$O$1</f>
        <v>0.87770029896894464</v>
      </c>
      <c r="T72" s="220">
        <f t="shared" si="10"/>
        <v>0.72307529896894462</v>
      </c>
      <c r="U72" s="11">
        <f t="shared" si="11"/>
        <v>0</v>
      </c>
      <c r="V72" s="11">
        <f t="shared" si="12"/>
        <v>0.15462500000000001</v>
      </c>
      <c r="W72" s="11">
        <f t="shared" si="13"/>
        <v>0.72307529896894462</v>
      </c>
      <c r="Y72" s="219">
        <f>'Share of £1bn'!$M$15*F72/$F$1</f>
        <v>4.7776886063248831</v>
      </c>
      <c r="Z72" s="220">
        <f t="shared" si="14"/>
        <v>4.6230636063248829</v>
      </c>
      <c r="AA72" s="11">
        <f t="shared" si="15"/>
        <v>0</v>
      </c>
      <c r="AB72" s="11">
        <f t="shared" si="16"/>
        <v>0.15462500000000001</v>
      </c>
      <c r="AC72" s="11">
        <f t="shared" si="17"/>
        <v>4.6230636063248829</v>
      </c>
      <c r="AE72" s="222"/>
      <c r="AF72" s="223"/>
    </row>
    <row r="73" spans="2:32" x14ac:dyDescent="0.25">
      <c r="B73" t="s">
        <v>403</v>
      </c>
      <c r="C73" t="s">
        <v>546</v>
      </c>
      <c r="D73" t="s">
        <v>547</v>
      </c>
      <c r="E73" t="s">
        <v>76</v>
      </c>
      <c r="F73" s="219">
        <v>1870100</v>
      </c>
      <c r="G73" s="219">
        <v>0</v>
      </c>
      <c r="H73" s="219">
        <v>22447</v>
      </c>
      <c r="I73" s="219">
        <v>111</v>
      </c>
      <c r="J73" s="219">
        <v>0</v>
      </c>
      <c r="K73" s="219">
        <v>0</v>
      </c>
      <c r="L73" s="219">
        <v>0</v>
      </c>
      <c r="M73" s="219">
        <v>0</v>
      </c>
      <c r="N73" s="219">
        <v>0</v>
      </c>
      <c r="O73" s="219">
        <v>1892658</v>
      </c>
      <c r="Q73" s="219">
        <f>SUMIFS(Deficits!BY:BY,Deficits!BS:BS,C73)</f>
        <v>-27.8</v>
      </c>
      <c r="S73" s="219">
        <f>'Share of £1bn'!$L$15*O73/$O$1</f>
        <v>2.1703564582687238</v>
      </c>
      <c r="T73" s="220">
        <f t="shared" si="10"/>
        <v>-25.629643541731276</v>
      </c>
      <c r="U73" s="11">
        <f t="shared" si="11"/>
        <v>2.1703564582687238</v>
      </c>
      <c r="V73" s="11">
        <f t="shared" si="12"/>
        <v>0</v>
      </c>
      <c r="W73" s="11">
        <f t="shared" si="13"/>
        <v>0</v>
      </c>
      <c r="Y73" s="219">
        <f>'Share of £1bn'!$M$15*F73/$F$1</f>
        <v>11.673345713848436</v>
      </c>
      <c r="Z73" s="220">
        <f t="shared" si="14"/>
        <v>-16.126654286151563</v>
      </c>
      <c r="AA73" s="11">
        <f t="shared" si="15"/>
        <v>11.673345713848436</v>
      </c>
      <c r="AB73" s="11">
        <f t="shared" si="16"/>
        <v>0</v>
      </c>
      <c r="AC73" s="11">
        <f t="shared" si="17"/>
        <v>0</v>
      </c>
      <c r="AE73" s="222"/>
      <c r="AF73" s="223"/>
    </row>
    <row r="74" spans="2:32" x14ac:dyDescent="0.25">
      <c r="B74" t="s">
        <v>408</v>
      </c>
      <c r="C74" t="s">
        <v>548</v>
      </c>
      <c r="D74" t="s">
        <v>549</v>
      </c>
      <c r="E74" t="s">
        <v>76</v>
      </c>
      <c r="F74" s="219">
        <v>602</v>
      </c>
      <c r="G74" s="219">
        <v>380936</v>
      </c>
      <c r="H74" s="219">
        <v>118942</v>
      </c>
      <c r="I74" s="219">
        <v>0</v>
      </c>
      <c r="J74" s="219">
        <v>0</v>
      </c>
      <c r="K74" s="219">
        <v>0</v>
      </c>
      <c r="L74" s="219">
        <v>0</v>
      </c>
      <c r="M74" s="219">
        <v>0</v>
      </c>
      <c r="N74" s="219">
        <v>0</v>
      </c>
      <c r="O74" s="219">
        <v>500480</v>
      </c>
      <c r="Q74" s="219">
        <f>SUMIFS(Deficits!BY:BY,Deficits!BS:BS,C74)</f>
        <v>5.4001692199999525</v>
      </c>
      <c r="S74" s="219">
        <f>'Share of £1bn'!$L$15*O74/$O$1</f>
        <v>0.57391245551723069</v>
      </c>
      <c r="T74" s="220">
        <f t="shared" si="10"/>
        <v>5.9740816755171835</v>
      </c>
      <c r="U74" s="11">
        <f t="shared" si="11"/>
        <v>0</v>
      </c>
      <c r="V74" s="11">
        <f t="shared" si="12"/>
        <v>0</v>
      </c>
      <c r="W74" s="11">
        <f t="shared" si="13"/>
        <v>0.57391245551723069</v>
      </c>
      <c r="Y74" s="219">
        <f>'Share of £1bn'!$M$15*F74/$F$1</f>
        <v>3.757742430745285E-3</v>
      </c>
      <c r="Z74" s="220">
        <f t="shared" si="14"/>
        <v>5.403926962430698</v>
      </c>
      <c r="AA74" s="11">
        <f t="shared" si="15"/>
        <v>0</v>
      </c>
      <c r="AB74" s="11">
        <f t="shared" si="16"/>
        <v>0</v>
      </c>
      <c r="AC74" s="11">
        <f t="shared" si="17"/>
        <v>3.757742430745285E-3</v>
      </c>
      <c r="AE74" s="222"/>
      <c r="AF74" s="223"/>
    </row>
    <row r="75" spans="2:32" x14ac:dyDescent="0.25">
      <c r="B75" t="s">
        <v>403</v>
      </c>
      <c r="C75" t="s">
        <v>550</v>
      </c>
      <c r="D75" t="s">
        <v>551</v>
      </c>
      <c r="E75" t="s">
        <v>76</v>
      </c>
      <c r="F75" s="219">
        <v>329862</v>
      </c>
      <c r="G75" s="219">
        <v>3666</v>
      </c>
      <c r="H75" s="219">
        <v>37565</v>
      </c>
      <c r="I75" s="219">
        <v>3</v>
      </c>
      <c r="J75" s="219">
        <v>0</v>
      </c>
      <c r="K75" s="219">
        <v>0</v>
      </c>
      <c r="L75" s="219">
        <v>0</v>
      </c>
      <c r="M75" s="219">
        <v>0</v>
      </c>
      <c r="N75" s="219">
        <v>0</v>
      </c>
      <c r="O75" s="219">
        <v>371096</v>
      </c>
      <c r="Q75" s="219">
        <f>SUMIFS(Deficits!BY:BY,Deficits!BS:BS,C75)</f>
        <v>0.17000000000001456</v>
      </c>
      <c r="S75" s="219">
        <f>'Share of £1bn'!$L$15*O75/$O$1</f>
        <v>0.42554471026339163</v>
      </c>
      <c r="T75" s="220">
        <f t="shared" si="10"/>
        <v>0.59554471026340616</v>
      </c>
      <c r="U75" s="11">
        <f t="shared" si="11"/>
        <v>0</v>
      </c>
      <c r="V75" s="11">
        <f t="shared" si="12"/>
        <v>0</v>
      </c>
      <c r="W75" s="11">
        <f t="shared" si="13"/>
        <v>0.42554471026339163</v>
      </c>
      <c r="Y75" s="219">
        <f>'Share of £1bn'!$M$15*F75/$F$1</f>
        <v>2.0590306207483406</v>
      </c>
      <c r="Z75" s="220">
        <f t="shared" si="14"/>
        <v>2.2290306207483552</v>
      </c>
      <c r="AA75" s="11">
        <f t="shared" si="15"/>
        <v>0</v>
      </c>
      <c r="AB75" s="11">
        <f t="shared" si="16"/>
        <v>0</v>
      </c>
      <c r="AC75" s="11">
        <f t="shared" si="17"/>
        <v>2.0590306207483406</v>
      </c>
      <c r="AE75" s="222"/>
      <c r="AF75" s="223"/>
    </row>
    <row r="76" spans="2:32" x14ac:dyDescent="0.25">
      <c r="B76" t="s">
        <v>408</v>
      </c>
      <c r="C76" t="s">
        <v>552</v>
      </c>
      <c r="D76" t="s">
        <v>553</v>
      </c>
      <c r="E76" t="s">
        <v>76</v>
      </c>
      <c r="F76" s="219">
        <v>4156</v>
      </c>
      <c r="G76" s="219">
        <v>254660</v>
      </c>
      <c r="H76" s="219">
        <v>180358</v>
      </c>
      <c r="I76" s="219">
        <v>0</v>
      </c>
      <c r="J76" s="219">
        <v>0</v>
      </c>
      <c r="K76" s="219">
        <v>0</v>
      </c>
      <c r="L76" s="219">
        <v>0</v>
      </c>
      <c r="M76" s="219">
        <v>0</v>
      </c>
      <c r="N76" s="219">
        <v>0</v>
      </c>
      <c r="O76" s="219">
        <v>439174</v>
      </c>
      <c r="Q76" s="219">
        <f>SUMIFS(Deficits!BY:BY,Deficits!BS:BS,C76)</f>
        <v>7.0380000000000003</v>
      </c>
      <c r="S76" s="219">
        <f>'Share of £1bn'!$L$15*O76/$O$1</f>
        <v>0.50361139054372661</v>
      </c>
      <c r="T76" s="220">
        <f t="shared" si="10"/>
        <v>7.5416113905437268</v>
      </c>
      <c r="U76" s="11">
        <f t="shared" si="11"/>
        <v>0</v>
      </c>
      <c r="V76" s="11">
        <f t="shared" si="12"/>
        <v>0</v>
      </c>
      <c r="W76" s="11">
        <f t="shared" si="13"/>
        <v>0.50361139054372661</v>
      </c>
      <c r="Y76" s="219">
        <f>'Share of £1bn'!$M$15*F76/$F$1</f>
        <v>2.5942155385676752E-2</v>
      </c>
      <c r="Z76" s="220">
        <f t="shared" si="14"/>
        <v>7.0639421553856767</v>
      </c>
      <c r="AA76" s="11">
        <f t="shared" si="15"/>
        <v>0</v>
      </c>
      <c r="AB76" s="11">
        <f t="shared" si="16"/>
        <v>0</v>
      </c>
      <c r="AC76" s="11">
        <f t="shared" si="17"/>
        <v>2.5942155385676752E-2</v>
      </c>
      <c r="AE76" s="222"/>
      <c r="AF76" s="223"/>
    </row>
    <row r="77" spans="2:32" x14ac:dyDescent="0.25">
      <c r="B77" t="s">
        <v>408</v>
      </c>
      <c r="C77" t="s">
        <v>554</v>
      </c>
      <c r="D77" t="s">
        <v>555</v>
      </c>
      <c r="E77" t="s">
        <v>74</v>
      </c>
      <c r="F77" s="219">
        <v>164</v>
      </c>
      <c r="G77" s="219">
        <v>357542</v>
      </c>
      <c r="H77" s="219">
        <v>945</v>
      </c>
      <c r="I77" s="219">
        <v>0</v>
      </c>
      <c r="J77" s="219">
        <v>0</v>
      </c>
      <c r="K77" s="219">
        <v>0</v>
      </c>
      <c r="L77" s="219">
        <v>0</v>
      </c>
      <c r="M77" s="219">
        <v>0</v>
      </c>
      <c r="N77" s="219">
        <v>0</v>
      </c>
      <c r="O77" s="219">
        <v>358651</v>
      </c>
      <c r="Q77" s="219">
        <f>SUMIFS(Deficits!BY:BY,Deficits!BS:BS,C77)</f>
        <v>1.0025999999999766</v>
      </c>
      <c r="S77" s="219">
        <f>'Share of £1bn'!$L$15*O77/$O$1</f>
        <v>0.41127372938720891</v>
      </c>
      <c r="T77" s="220">
        <f t="shared" si="10"/>
        <v>1.4138737293871855</v>
      </c>
      <c r="U77" s="11">
        <f t="shared" si="11"/>
        <v>0</v>
      </c>
      <c r="V77" s="11">
        <f t="shared" si="12"/>
        <v>0</v>
      </c>
      <c r="W77" s="11">
        <f t="shared" si="13"/>
        <v>0.41127372938720891</v>
      </c>
      <c r="Y77" s="219">
        <f>'Share of £1bn'!$M$15*F77/$F$1</f>
        <v>1.0237039180103435E-3</v>
      </c>
      <c r="Z77" s="220">
        <f t="shared" si="14"/>
        <v>1.0036237039179869</v>
      </c>
      <c r="AA77" s="11">
        <f t="shared" si="15"/>
        <v>0</v>
      </c>
      <c r="AB77" s="11">
        <f t="shared" si="16"/>
        <v>0</v>
      </c>
      <c r="AC77" s="11">
        <f t="shared" si="17"/>
        <v>1.0237039180103435E-3</v>
      </c>
      <c r="AE77" s="222"/>
      <c r="AF77" s="223"/>
    </row>
    <row r="78" spans="2:32" x14ac:dyDescent="0.25">
      <c r="B78" t="s">
        <v>408</v>
      </c>
      <c r="C78" t="s">
        <v>556</v>
      </c>
      <c r="D78" t="s">
        <v>557</v>
      </c>
      <c r="E78" t="s">
        <v>74</v>
      </c>
      <c r="F78" s="219">
        <v>386</v>
      </c>
      <c r="G78" s="219">
        <v>143467</v>
      </c>
      <c r="H78" s="219">
        <v>0</v>
      </c>
      <c r="I78" s="219">
        <v>0</v>
      </c>
      <c r="J78" s="219">
        <v>0</v>
      </c>
      <c r="K78" s="219">
        <v>0</v>
      </c>
      <c r="L78" s="219">
        <v>0</v>
      </c>
      <c r="M78" s="219">
        <v>0</v>
      </c>
      <c r="N78" s="219">
        <v>0</v>
      </c>
      <c r="O78" s="219">
        <v>143853</v>
      </c>
      <c r="Q78" s="219">
        <f>SUMIFS(Deficits!BY:BY,Deficits!BS:BS,C78)</f>
        <v>0.6730666400000046</v>
      </c>
      <c r="S78" s="219">
        <f>'Share of £1bn'!$L$15*O78/$O$1</f>
        <v>0.16495969561924592</v>
      </c>
      <c r="T78" s="220">
        <f t="shared" si="10"/>
        <v>0.83802633561925055</v>
      </c>
      <c r="U78" s="11">
        <f t="shared" si="11"/>
        <v>0</v>
      </c>
      <c r="V78" s="11">
        <f t="shared" si="12"/>
        <v>0</v>
      </c>
      <c r="W78" s="11">
        <f t="shared" si="13"/>
        <v>0.16495969561924592</v>
      </c>
      <c r="Y78" s="219">
        <f>'Share of £1bn'!$M$15*F78/$F$1</f>
        <v>2.4094494655609307E-3</v>
      </c>
      <c r="Z78" s="220">
        <f t="shared" si="14"/>
        <v>0.67547608946556548</v>
      </c>
      <c r="AA78" s="11">
        <f t="shared" si="15"/>
        <v>0</v>
      </c>
      <c r="AB78" s="11">
        <f t="shared" si="16"/>
        <v>0</v>
      </c>
      <c r="AC78" s="11">
        <f t="shared" si="17"/>
        <v>2.4094494655609307E-3</v>
      </c>
      <c r="AE78" s="222"/>
      <c r="AF78" s="223"/>
    </row>
    <row r="79" spans="2:32" x14ac:dyDescent="0.25">
      <c r="B79" t="s">
        <v>403</v>
      </c>
      <c r="C79" t="s">
        <v>558</v>
      </c>
      <c r="D79" t="s">
        <v>559</v>
      </c>
      <c r="E79" t="s">
        <v>74</v>
      </c>
      <c r="F79" s="219">
        <v>473504</v>
      </c>
      <c r="G79" s="219">
        <v>1932</v>
      </c>
      <c r="H79" s="219">
        <v>0</v>
      </c>
      <c r="I79" s="219">
        <v>0</v>
      </c>
      <c r="J79" s="219">
        <v>0</v>
      </c>
      <c r="K79" s="219">
        <v>0</v>
      </c>
      <c r="L79" s="219">
        <v>0</v>
      </c>
      <c r="M79" s="219">
        <v>2550</v>
      </c>
      <c r="N79" s="219">
        <v>0</v>
      </c>
      <c r="O79" s="219">
        <v>477986</v>
      </c>
      <c r="Q79" s="219">
        <f>SUMIFS(Deficits!BY:BY,Deficits!BS:BS,C79)</f>
        <v>0.62</v>
      </c>
      <c r="S79" s="219">
        <f>'Share of £1bn'!$L$15*O79/$O$1</f>
        <v>0.54811804460289926</v>
      </c>
      <c r="T79" s="220">
        <f t="shared" si="10"/>
        <v>1.1681180446028994</v>
      </c>
      <c r="U79" s="11">
        <f t="shared" si="11"/>
        <v>0</v>
      </c>
      <c r="V79" s="11">
        <f t="shared" si="12"/>
        <v>0</v>
      </c>
      <c r="W79" s="11">
        <f t="shared" si="13"/>
        <v>0.54811804460289926</v>
      </c>
      <c r="Y79" s="219">
        <f>'Share of £1bn'!$M$15*F79/$F$1</f>
        <v>2.9556579267900589</v>
      </c>
      <c r="Z79" s="220">
        <f t="shared" si="14"/>
        <v>3.575657926790059</v>
      </c>
      <c r="AA79" s="11">
        <f t="shared" si="15"/>
        <v>0</v>
      </c>
      <c r="AB79" s="11">
        <f t="shared" si="16"/>
        <v>0</v>
      </c>
      <c r="AC79" s="11">
        <f t="shared" si="17"/>
        <v>2.9556579267900589</v>
      </c>
      <c r="AE79" s="222"/>
      <c r="AF79" s="223"/>
    </row>
    <row r="80" spans="2:32" x14ac:dyDescent="0.25">
      <c r="B80" t="s">
        <v>403</v>
      </c>
      <c r="C80" t="s">
        <v>560</v>
      </c>
      <c r="D80" t="s">
        <v>561</v>
      </c>
      <c r="E80" t="s">
        <v>74</v>
      </c>
      <c r="F80" s="219">
        <v>223573</v>
      </c>
      <c r="G80" s="219">
        <v>0</v>
      </c>
      <c r="H80" s="219">
        <v>0</v>
      </c>
      <c r="I80" s="219">
        <v>0</v>
      </c>
      <c r="J80" s="219">
        <v>0</v>
      </c>
      <c r="K80" s="219">
        <v>0</v>
      </c>
      <c r="L80" s="219">
        <v>0</v>
      </c>
      <c r="M80" s="219">
        <v>0</v>
      </c>
      <c r="N80" s="219">
        <v>0</v>
      </c>
      <c r="O80" s="219">
        <v>223573</v>
      </c>
      <c r="Q80" s="219">
        <f>SUMIFS(Deficits!BY:BY,Deficits!BS:BS,C80)</f>
        <v>3.4</v>
      </c>
      <c r="S80" s="219">
        <f>'Share of £1bn'!$L$15*O80/$O$1</f>
        <v>0.25637653735884319</v>
      </c>
      <c r="T80" s="220">
        <f t="shared" si="10"/>
        <v>3.656376537358843</v>
      </c>
      <c r="U80" s="11">
        <f t="shared" si="11"/>
        <v>0</v>
      </c>
      <c r="V80" s="11">
        <f t="shared" si="12"/>
        <v>0</v>
      </c>
      <c r="W80" s="11">
        <f t="shared" si="13"/>
        <v>0.25637653735884319</v>
      </c>
      <c r="Y80" s="219">
        <f>'Share of £1bn'!$M$15*F80/$F$1</f>
        <v>1.3955643662276007</v>
      </c>
      <c r="Z80" s="220">
        <f t="shared" si="14"/>
        <v>4.7955643662276008</v>
      </c>
      <c r="AA80" s="11">
        <f t="shared" si="15"/>
        <v>0</v>
      </c>
      <c r="AB80" s="11">
        <f t="shared" si="16"/>
        <v>0</v>
      </c>
      <c r="AC80" s="11">
        <f t="shared" si="17"/>
        <v>1.3955643662276007</v>
      </c>
      <c r="AE80" s="222"/>
      <c r="AF80" s="223"/>
    </row>
    <row r="81" spans="2:32" x14ac:dyDescent="0.25">
      <c r="B81" t="s">
        <v>403</v>
      </c>
      <c r="C81" t="s">
        <v>562</v>
      </c>
      <c r="D81" t="s">
        <v>563</v>
      </c>
      <c r="E81" t="s">
        <v>74</v>
      </c>
      <c r="F81" s="219">
        <v>378587</v>
      </c>
      <c r="G81" s="219">
        <v>818</v>
      </c>
      <c r="H81" s="219">
        <v>44462</v>
      </c>
      <c r="I81" s="219">
        <v>0</v>
      </c>
      <c r="J81" s="219">
        <v>0</v>
      </c>
      <c r="K81" s="219">
        <v>0</v>
      </c>
      <c r="L81" s="219">
        <v>0</v>
      </c>
      <c r="M81" s="219">
        <v>9195</v>
      </c>
      <c r="N81" s="219">
        <v>1369</v>
      </c>
      <c r="O81" s="219">
        <v>434431</v>
      </c>
      <c r="Q81" s="219">
        <f>SUMIFS(Deficits!BY:BY,Deficits!BS:BS,C81)</f>
        <v>1.1426543700000038</v>
      </c>
      <c r="S81" s="219">
        <f>'Share of £1bn'!$L$15*O81/$O$1</f>
        <v>0.49817247834639961</v>
      </c>
      <c r="T81" s="220">
        <f t="shared" si="10"/>
        <v>1.6408268483464035</v>
      </c>
      <c r="U81" s="11">
        <f t="shared" si="11"/>
        <v>0</v>
      </c>
      <c r="V81" s="11">
        <f t="shared" si="12"/>
        <v>0</v>
      </c>
      <c r="W81" s="11">
        <f t="shared" si="13"/>
        <v>0.49817247834639961</v>
      </c>
      <c r="Y81" s="219">
        <f>'Share of £1bn'!$M$15*F81/$F$1</f>
        <v>2.3631768000474507</v>
      </c>
      <c r="Z81" s="220">
        <f t="shared" si="14"/>
        <v>3.5058311700474545</v>
      </c>
      <c r="AA81" s="11">
        <f t="shared" si="15"/>
        <v>0</v>
      </c>
      <c r="AB81" s="11">
        <f t="shared" si="16"/>
        <v>0</v>
      </c>
      <c r="AC81" s="11">
        <f t="shared" si="17"/>
        <v>2.3631768000474507</v>
      </c>
      <c r="AE81" s="222"/>
      <c r="AF81" s="223"/>
    </row>
    <row r="82" spans="2:32" x14ac:dyDescent="0.25">
      <c r="B82" t="s">
        <v>403</v>
      </c>
      <c r="C82" t="s">
        <v>564</v>
      </c>
      <c r="D82" t="s">
        <v>565</v>
      </c>
      <c r="E82" t="s">
        <v>74</v>
      </c>
      <c r="F82" s="219">
        <v>1181306</v>
      </c>
      <c r="G82" s="219">
        <v>0</v>
      </c>
      <c r="H82" s="219">
        <v>11729</v>
      </c>
      <c r="I82" s="219">
        <v>1</v>
      </c>
      <c r="J82" s="219">
        <v>0</v>
      </c>
      <c r="K82" s="219">
        <v>0</v>
      </c>
      <c r="L82" s="219">
        <v>0</v>
      </c>
      <c r="M82" s="219">
        <v>0</v>
      </c>
      <c r="N82" s="219">
        <v>0</v>
      </c>
      <c r="O82" s="219">
        <v>1193036</v>
      </c>
      <c r="Q82" s="219">
        <f>SUMIFS(Deficits!BY:BY,Deficits!BS:BS,C82)</f>
        <v>-36.993999969999919</v>
      </c>
      <c r="S82" s="219">
        <f>'Share of £1bn'!$L$15*O82/$O$1</f>
        <v>1.3680830808033384</v>
      </c>
      <c r="T82" s="220">
        <f t="shared" si="10"/>
        <v>-35.625916889196581</v>
      </c>
      <c r="U82" s="11">
        <f t="shared" si="11"/>
        <v>1.3680830808033384</v>
      </c>
      <c r="V82" s="11">
        <f t="shared" si="12"/>
        <v>0</v>
      </c>
      <c r="W82" s="11">
        <f t="shared" si="13"/>
        <v>0</v>
      </c>
      <c r="Y82" s="219">
        <f>'Share of £1bn'!$M$15*F82/$F$1</f>
        <v>7.3738267107873581</v>
      </c>
      <c r="Z82" s="220">
        <f t="shared" si="14"/>
        <v>-29.62017325921256</v>
      </c>
      <c r="AA82" s="11">
        <f t="shared" si="15"/>
        <v>7.3738267107873581</v>
      </c>
      <c r="AB82" s="11">
        <f t="shared" si="16"/>
        <v>0</v>
      </c>
      <c r="AC82" s="11">
        <f t="shared" si="17"/>
        <v>0</v>
      </c>
      <c r="AE82" s="222"/>
      <c r="AF82" s="223"/>
    </row>
    <row r="83" spans="2:32" x14ac:dyDescent="0.25">
      <c r="B83" t="s">
        <v>403</v>
      </c>
      <c r="C83" t="s">
        <v>566</v>
      </c>
      <c r="D83" t="s">
        <v>567</v>
      </c>
      <c r="E83" t="s">
        <v>74</v>
      </c>
      <c r="F83" s="219">
        <v>164004</v>
      </c>
      <c r="G83" s="219">
        <v>0</v>
      </c>
      <c r="H83" s="219">
        <v>0</v>
      </c>
      <c r="I83" s="219">
        <v>0</v>
      </c>
      <c r="J83" s="219">
        <v>0</v>
      </c>
      <c r="K83" s="219">
        <v>0</v>
      </c>
      <c r="L83" s="219">
        <v>0</v>
      </c>
      <c r="M83" s="219">
        <v>0</v>
      </c>
      <c r="N83" s="219">
        <v>0</v>
      </c>
      <c r="O83" s="219">
        <v>164004</v>
      </c>
      <c r="Q83" s="219">
        <f>SUMIFS(Deficits!BY:BY,Deficits!BS:BS,C83)</f>
        <v>4.1000000000000002E-2</v>
      </c>
      <c r="S83" s="219">
        <f>'Share of £1bn'!$L$15*O83/$O$1</f>
        <v>0.18806733207050813</v>
      </c>
      <c r="T83" s="220">
        <f t="shared" si="10"/>
        <v>0.22906733207050814</v>
      </c>
      <c r="U83" s="11">
        <f t="shared" si="11"/>
        <v>0</v>
      </c>
      <c r="V83" s="11">
        <f t="shared" si="12"/>
        <v>0</v>
      </c>
      <c r="W83" s="11">
        <f t="shared" si="13"/>
        <v>0.18806733207050813</v>
      </c>
      <c r="Y83" s="219">
        <f>'Share of £1bn'!$M$15*F83/$F$1</f>
        <v>1.0237288863985878</v>
      </c>
      <c r="Z83" s="220">
        <f t="shared" si="14"/>
        <v>1.0647288863985878</v>
      </c>
      <c r="AA83" s="11">
        <f t="shared" si="15"/>
        <v>0</v>
      </c>
      <c r="AB83" s="11">
        <f t="shared" si="16"/>
        <v>0</v>
      </c>
      <c r="AC83" s="11">
        <f t="shared" si="17"/>
        <v>1.0237288863985878</v>
      </c>
      <c r="AE83" s="222"/>
      <c r="AF83" s="223"/>
    </row>
    <row r="84" spans="2:32" x14ac:dyDescent="0.25">
      <c r="B84" t="s">
        <v>408</v>
      </c>
      <c r="C84" t="s">
        <v>568</v>
      </c>
      <c r="D84" t="s">
        <v>569</v>
      </c>
      <c r="E84" t="s">
        <v>74</v>
      </c>
      <c r="F84" s="219">
        <v>63</v>
      </c>
      <c r="G84" s="219">
        <v>31911</v>
      </c>
      <c r="H84" s="219">
        <v>0</v>
      </c>
      <c r="I84" s="219">
        <v>0</v>
      </c>
      <c r="J84" s="219">
        <v>0</v>
      </c>
      <c r="K84" s="219">
        <v>0</v>
      </c>
      <c r="L84" s="219">
        <v>0</v>
      </c>
      <c r="M84" s="219">
        <v>0</v>
      </c>
      <c r="N84" s="219">
        <v>0</v>
      </c>
      <c r="O84" s="219">
        <v>31974</v>
      </c>
      <c r="Q84" s="219">
        <f>SUMIFS(Deficits!BY:BY,Deficits!BS:BS,C84)</f>
        <v>-2.5169999999999999</v>
      </c>
      <c r="S84" s="219">
        <f>'Share of £1bn'!$L$15*O84/$O$1</f>
        <v>3.6665354964649809E-2</v>
      </c>
      <c r="T84" s="220">
        <f t="shared" si="10"/>
        <v>-2.4803346450353501</v>
      </c>
      <c r="U84" s="11">
        <f t="shared" si="11"/>
        <v>3.6665354964649809E-2</v>
      </c>
      <c r="V84" s="11">
        <f t="shared" si="12"/>
        <v>0</v>
      </c>
      <c r="W84" s="11">
        <f t="shared" si="13"/>
        <v>0</v>
      </c>
      <c r="Y84" s="219">
        <f>'Share of £1bn'!$M$15*F84/$F$1</f>
        <v>3.9325211484543684E-4</v>
      </c>
      <c r="Z84" s="220">
        <f t="shared" si="14"/>
        <v>-2.5166067478851546</v>
      </c>
      <c r="AA84" s="11">
        <f t="shared" si="15"/>
        <v>3.9325211484543684E-4</v>
      </c>
      <c r="AB84" s="11">
        <f t="shared" si="16"/>
        <v>0</v>
      </c>
      <c r="AC84" s="11">
        <f t="shared" si="17"/>
        <v>0</v>
      </c>
      <c r="AE84" s="222"/>
      <c r="AF84" s="223"/>
    </row>
    <row r="85" spans="2:32" x14ac:dyDescent="0.25">
      <c r="B85" t="s">
        <v>403</v>
      </c>
      <c r="C85" t="s">
        <v>570</v>
      </c>
      <c r="D85" t="s">
        <v>571</v>
      </c>
      <c r="E85" t="s">
        <v>74</v>
      </c>
      <c r="F85" s="219">
        <v>1254908</v>
      </c>
      <c r="G85" s="219">
        <v>0</v>
      </c>
      <c r="H85" s="219">
        <v>20</v>
      </c>
      <c r="I85" s="219">
        <v>39470</v>
      </c>
      <c r="J85" s="219">
        <v>0</v>
      </c>
      <c r="K85" s="219">
        <v>0</v>
      </c>
      <c r="L85" s="219">
        <v>0</v>
      </c>
      <c r="M85" s="219">
        <v>0</v>
      </c>
      <c r="N85" s="219">
        <v>0</v>
      </c>
      <c r="O85" s="219">
        <v>1294398</v>
      </c>
      <c r="Q85" s="219">
        <f>SUMIFS(Deficits!BY:BY,Deficits!BS:BS,C85)</f>
        <v>20.010000000000002</v>
      </c>
      <c r="S85" s="219">
        <f>'Share of £1bn'!$L$15*O85/$O$1</f>
        <v>1.4843173245616059</v>
      </c>
      <c r="T85" s="220">
        <f t="shared" si="10"/>
        <v>21.494317324561607</v>
      </c>
      <c r="U85" s="11">
        <f t="shared" si="11"/>
        <v>0</v>
      </c>
      <c r="V85" s="11">
        <f t="shared" si="12"/>
        <v>0</v>
      </c>
      <c r="W85" s="11">
        <f t="shared" si="13"/>
        <v>1.4843173245616059</v>
      </c>
      <c r="Y85" s="219">
        <f>'Share of £1bn'!$M$15*F85/$F$1</f>
        <v>7.8332575386739283</v>
      </c>
      <c r="Z85" s="220">
        <f t="shared" si="14"/>
        <v>27.843257538673932</v>
      </c>
      <c r="AA85" s="11">
        <f t="shared" si="15"/>
        <v>0</v>
      </c>
      <c r="AB85" s="11">
        <f t="shared" si="16"/>
        <v>0</v>
      </c>
      <c r="AC85" s="11">
        <f t="shared" si="17"/>
        <v>7.8332575386739283</v>
      </c>
      <c r="AE85" s="222"/>
      <c r="AF85" s="223"/>
    </row>
    <row r="86" spans="2:32" x14ac:dyDescent="0.25">
      <c r="B86" t="s">
        <v>403</v>
      </c>
      <c r="C86" t="s">
        <v>572</v>
      </c>
      <c r="D86" t="s">
        <v>573</v>
      </c>
      <c r="E86" t="s">
        <v>74</v>
      </c>
      <c r="F86" s="219">
        <v>242354</v>
      </c>
      <c r="G86" s="219">
        <v>1120</v>
      </c>
      <c r="H86" s="219">
        <v>99257</v>
      </c>
      <c r="I86" s="219">
        <v>0</v>
      </c>
      <c r="J86" s="219">
        <v>12677</v>
      </c>
      <c r="K86" s="219">
        <v>0</v>
      </c>
      <c r="L86" s="219">
        <v>0</v>
      </c>
      <c r="M86" s="219">
        <v>138</v>
      </c>
      <c r="N86" s="219">
        <v>0</v>
      </c>
      <c r="O86" s="219">
        <v>355546</v>
      </c>
      <c r="Q86" s="219">
        <f>SUMIFS(Deficits!BY:BY,Deficits!BS:BS,C86)</f>
        <v>2</v>
      </c>
      <c r="S86" s="219">
        <f>'Share of £1bn'!$L$15*O86/$O$1</f>
        <v>0.40771315119351287</v>
      </c>
      <c r="T86" s="220">
        <f t="shared" si="10"/>
        <v>2.407713151193513</v>
      </c>
      <c r="U86" s="11">
        <f t="shared" si="11"/>
        <v>0</v>
      </c>
      <c r="V86" s="11">
        <f t="shared" si="12"/>
        <v>0</v>
      </c>
      <c r="W86" s="11">
        <f t="shared" si="13"/>
        <v>0.40771315119351287</v>
      </c>
      <c r="Y86" s="219">
        <f>'Share of £1bn'!$M$15*F86/$F$1</f>
        <v>1.5127971911309683</v>
      </c>
      <c r="Z86" s="220">
        <f t="shared" si="14"/>
        <v>3.5127971911309683</v>
      </c>
      <c r="AA86" s="11">
        <f t="shared" si="15"/>
        <v>0</v>
      </c>
      <c r="AB86" s="11">
        <f t="shared" si="16"/>
        <v>0</v>
      </c>
      <c r="AC86" s="11">
        <f t="shared" si="17"/>
        <v>1.5127971911309683</v>
      </c>
      <c r="AE86" s="222"/>
      <c r="AF86" s="223"/>
    </row>
    <row r="87" spans="2:32" x14ac:dyDescent="0.25">
      <c r="B87" t="s">
        <v>403</v>
      </c>
      <c r="C87" t="s">
        <v>574</v>
      </c>
      <c r="D87" t="s">
        <v>575</v>
      </c>
      <c r="E87" t="s">
        <v>68</v>
      </c>
      <c r="F87" s="219">
        <v>265217</v>
      </c>
      <c r="G87" s="219">
        <v>0</v>
      </c>
      <c r="H87" s="219">
        <v>0</v>
      </c>
      <c r="I87" s="219">
        <v>0</v>
      </c>
      <c r="J87" s="219">
        <v>0</v>
      </c>
      <c r="K87" s="219">
        <v>0</v>
      </c>
      <c r="L87" s="219">
        <v>0</v>
      </c>
      <c r="M87" s="219">
        <v>0</v>
      </c>
      <c r="N87" s="219">
        <v>0</v>
      </c>
      <c r="O87" s="219">
        <v>265217</v>
      </c>
      <c r="Q87" s="219">
        <f>SUMIFS(Deficits!BY:BY,Deficits!BS:BS,C87)</f>
        <v>-3.4998279099999783</v>
      </c>
      <c r="S87" s="219">
        <f>'Share of £1bn'!$L$15*O87/$O$1</f>
        <v>0.30413071394444013</v>
      </c>
      <c r="T87" s="220">
        <f t="shared" si="10"/>
        <v>-3.195697196055538</v>
      </c>
      <c r="U87" s="11">
        <f t="shared" si="11"/>
        <v>0.30413071394444013</v>
      </c>
      <c r="V87" s="11">
        <f t="shared" si="12"/>
        <v>0</v>
      </c>
      <c r="W87" s="11">
        <f t="shared" si="13"/>
        <v>0</v>
      </c>
      <c r="Y87" s="219">
        <f>'Share of £1bn'!$M$15*F87/$F$1</f>
        <v>1.6555102562374957</v>
      </c>
      <c r="Z87" s="220">
        <f t="shared" si="14"/>
        <v>-1.8443176537624826</v>
      </c>
      <c r="AA87" s="11">
        <f t="shared" si="15"/>
        <v>1.6555102562374957</v>
      </c>
      <c r="AB87" s="11">
        <f t="shared" si="16"/>
        <v>0</v>
      </c>
      <c r="AC87" s="11">
        <f t="shared" si="17"/>
        <v>0</v>
      </c>
      <c r="AE87" s="222"/>
      <c r="AF87" s="223"/>
    </row>
    <row r="88" spans="2:32" x14ac:dyDescent="0.25">
      <c r="B88" t="s">
        <v>403</v>
      </c>
      <c r="C88" t="s">
        <v>576</v>
      </c>
      <c r="D88" t="s">
        <v>577</v>
      </c>
      <c r="E88" t="s">
        <v>68</v>
      </c>
      <c r="F88" s="219">
        <v>802061</v>
      </c>
      <c r="G88" s="219">
        <v>0</v>
      </c>
      <c r="H88" s="219">
        <v>8</v>
      </c>
      <c r="I88" s="219">
        <v>0</v>
      </c>
      <c r="J88" s="219">
        <v>0</v>
      </c>
      <c r="K88" s="219">
        <v>0</v>
      </c>
      <c r="L88" s="219">
        <v>0</v>
      </c>
      <c r="M88" s="219">
        <v>0</v>
      </c>
      <c r="N88" s="219">
        <v>0</v>
      </c>
      <c r="O88" s="219">
        <v>802069</v>
      </c>
      <c r="Q88" s="219">
        <f>SUMIFS(Deficits!BY:BY,Deficits!BS:BS,C88)</f>
        <v>9.4630000065080828E-5</v>
      </c>
      <c r="S88" s="219">
        <f>'Share of £1bn'!$L$15*O88/$O$1</f>
        <v>0.91975181682434815</v>
      </c>
      <c r="T88" s="220">
        <f t="shared" si="10"/>
        <v>0.91984644682441319</v>
      </c>
      <c r="U88" s="11">
        <f t="shared" si="11"/>
        <v>0</v>
      </c>
      <c r="V88" s="11">
        <f t="shared" si="12"/>
        <v>0</v>
      </c>
      <c r="W88" s="11">
        <f t="shared" si="13"/>
        <v>0.91975181682434815</v>
      </c>
      <c r="Y88" s="219">
        <f>'Share of £1bn'!$M$15*F88/$F$1</f>
        <v>5.006542610873745</v>
      </c>
      <c r="Z88" s="220">
        <f t="shared" si="14"/>
        <v>5.0066372408738102</v>
      </c>
      <c r="AA88" s="11">
        <f t="shared" si="15"/>
        <v>0</v>
      </c>
      <c r="AB88" s="11">
        <f t="shared" si="16"/>
        <v>0</v>
      </c>
      <c r="AC88" s="11">
        <f t="shared" si="17"/>
        <v>5.006542610873745</v>
      </c>
      <c r="AE88" s="222"/>
      <c r="AF88" s="223"/>
    </row>
    <row r="89" spans="2:32" x14ac:dyDescent="0.25">
      <c r="B89" t="s">
        <v>408</v>
      </c>
      <c r="C89" t="s">
        <v>578</v>
      </c>
      <c r="D89" t="s">
        <v>579</v>
      </c>
      <c r="E89" t="s">
        <v>68</v>
      </c>
      <c r="F89" s="219">
        <v>258</v>
      </c>
      <c r="G89" s="219">
        <v>293997</v>
      </c>
      <c r="H89" s="219">
        <v>332</v>
      </c>
      <c r="I89" s="219">
        <v>0</v>
      </c>
      <c r="J89" s="219">
        <v>0</v>
      </c>
      <c r="K89" s="219">
        <v>0</v>
      </c>
      <c r="L89" s="219">
        <v>0</v>
      </c>
      <c r="M89" s="219">
        <v>0</v>
      </c>
      <c r="N89" s="219">
        <v>0</v>
      </c>
      <c r="O89" s="219">
        <v>294587</v>
      </c>
      <c r="Q89" s="219">
        <f>SUMIFS(Deficits!BY:BY,Deficits!BS:BS,C89)</f>
        <v>3.5901999993075151E-4</v>
      </c>
      <c r="S89" s="219">
        <f>'Share of £1bn'!$L$15*O89/$O$1</f>
        <v>0.33780999946742019</v>
      </c>
      <c r="T89" s="220">
        <f t="shared" si="10"/>
        <v>0.33816901946735095</v>
      </c>
      <c r="U89" s="11">
        <f t="shared" si="11"/>
        <v>0</v>
      </c>
      <c r="V89" s="11">
        <f t="shared" si="12"/>
        <v>0</v>
      </c>
      <c r="W89" s="11">
        <f t="shared" si="13"/>
        <v>0.33780999946742019</v>
      </c>
      <c r="Y89" s="219">
        <f>'Share of £1bn'!$M$15*F89/$F$1</f>
        <v>1.6104610417479793E-3</v>
      </c>
      <c r="Z89" s="220">
        <f t="shared" si="14"/>
        <v>1.9694810416787307E-3</v>
      </c>
      <c r="AA89" s="11">
        <f t="shared" si="15"/>
        <v>0</v>
      </c>
      <c r="AB89" s="11">
        <f t="shared" si="16"/>
        <v>0</v>
      </c>
      <c r="AC89" s="11">
        <f t="shared" si="17"/>
        <v>1.6104610417479793E-3</v>
      </c>
      <c r="AE89" s="222"/>
      <c r="AF89" s="223"/>
    </row>
    <row r="90" spans="2:32" x14ac:dyDescent="0.25">
      <c r="B90" t="s">
        <v>433</v>
      </c>
      <c r="C90" t="s">
        <v>580</v>
      </c>
      <c r="D90" t="s">
        <v>581</v>
      </c>
      <c r="E90" t="s">
        <v>68</v>
      </c>
      <c r="F90" s="219">
        <v>121</v>
      </c>
      <c r="G90" s="219">
        <v>0</v>
      </c>
      <c r="H90" s="219">
        <v>122167</v>
      </c>
      <c r="I90" s="219">
        <v>0</v>
      </c>
      <c r="J90" s="219">
        <v>0</v>
      </c>
      <c r="K90" s="219">
        <v>0</v>
      </c>
      <c r="L90" s="219">
        <v>0</v>
      </c>
      <c r="M90" s="219">
        <v>2019</v>
      </c>
      <c r="N90" s="219">
        <v>0</v>
      </c>
      <c r="O90" s="219">
        <v>124307</v>
      </c>
      <c r="Q90" s="219">
        <f>SUMIFS(Deficits!BY:BY,Deficits!BS:BS,C90)</f>
        <v>-2.750330159999983</v>
      </c>
      <c r="S90" s="219">
        <f>'Share of £1bn'!$L$15*O90/$O$1</f>
        <v>0.14254582722182785</v>
      </c>
      <c r="T90" s="220">
        <f t="shared" si="10"/>
        <v>-2.6077843327781549</v>
      </c>
      <c r="U90" s="11">
        <f t="shared" si="11"/>
        <v>0.14254582722182785</v>
      </c>
      <c r="V90" s="11">
        <f t="shared" si="12"/>
        <v>0</v>
      </c>
      <c r="W90" s="11">
        <f t="shared" si="13"/>
        <v>0</v>
      </c>
      <c r="Y90" s="219">
        <f>'Share of £1bn'!$M$15*F90/$F$1</f>
        <v>7.5529374438568025E-4</v>
      </c>
      <c r="Z90" s="220">
        <f t="shared" si="14"/>
        <v>-2.7495748662555974</v>
      </c>
      <c r="AA90" s="11">
        <f t="shared" si="15"/>
        <v>7.5529374438568025E-4</v>
      </c>
      <c r="AB90" s="11">
        <f t="shared" si="16"/>
        <v>0</v>
      </c>
      <c r="AC90" s="11">
        <f t="shared" si="17"/>
        <v>0</v>
      </c>
      <c r="AE90" s="222"/>
      <c r="AF90" s="223"/>
    </row>
    <row r="91" spans="2:32" x14ac:dyDescent="0.25">
      <c r="B91" t="s">
        <v>403</v>
      </c>
      <c r="C91" t="s">
        <v>582</v>
      </c>
      <c r="D91" t="s">
        <v>583</v>
      </c>
      <c r="E91" t="s">
        <v>68</v>
      </c>
      <c r="F91" s="219">
        <v>249678</v>
      </c>
      <c r="G91" s="219">
        <v>0</v>
      </c>
      <c r="H91" s="219">
        <v>8</v>
      </c>
      <c r="I91" s="219">
        <v>0</v>
      </c>
      <c r="J91" s="219">
        <v>0</v>
      </c>
      <c r="K91" s="219">
        <v>0</v>
      </c>
      <c r="L91" s="219">
        <v>0</v>
      </c>
      <c r="M91" s="219">
        <v>15290</v>
      </c>
      <c r="N91" s="219">
        <v>0</v>
      </c>
      <c r="O91" s="219">
        <v>264976</v>
      </c>
      <c r="Q91" s="219">
        <f>SUMIFS(Deficits!BY:BY,Deficits!BS:BS,C91)</f>
        <v>-18.7</v>
      </c>
      <c r="S91" s="219">
        <f>'Share of £1bn'!$L$15*O91/$O$1</f>
        <v>0.30385435344695838</v>
      </c>
      <c r="T91" s="220">
        <f t="shared" si="10"/>
        <v>-18.396145646553041</v>
      </c>
      <c r="U91" s="11">
        <f t="shared" si="11"/>
        <v>0.30385435344695838</v>
      </c>
      <c r="V91" s="11">
        <f t="shared" si="12"/>
        <v>0</v>
      </c>
      <c r="W91" s="11">
        <f t="shared" si="13"/>
        <v>0</v>
      </c>
      <c r="Y91" s="219">
        <f>'Share of £1bn'!$M$15*F91/$F$1</f>
        <v>1.5585143100060155</v>
      </c>
      <c r="Z91" s="220">
        <f t="shared" si="14"/>
        <v>-17.141485689993985</v>
      </c>
      <c r="AA91" s="11">
        <f t="shared" si="15"/>
        <v>1.5585143100060155</v>
      </c>
      <c r="AB91" s="11">
        <f t="shared" si="16"/>
        <v>0</v>
      </c>
      <c r="AC91" s="11">
        <f t="shared" si="17"/>
        <v>0</v>
      </c>
      <c r="AE91" s="222"/>
      <c r="AF91" s="223"/>
    </row>
    <row r="92" spans="2:32" x14ac:dyDescent="0.25">
      <c r="B92" t="s">
        <v>408</v>
      </c>
      <c r="C92" t="s">
        <v>584</v>
      </c>
      <c r="D92" t="s">
        <v>585</v>
      </c>
      <c r="E92" t="s">
        <v>56</v>
      </c>
      <c r="F92" s="219">
        <v>1029</v>
      </c>
      <c r="G92" s="219">
        <v>218595</v>
      </c>
      <c r="H92" s="219">
        <v>231090</v>
      </c>
      <c r="I92" s="219">
        <v>5700</v>
      </c>
      <c r="J92" s="219">
        <v>0</v>
      </c>
      <c r="K92" s="219">
        <v>0</v>
      </c>
      <c r="L92" s="219">
        <v>0</v>
      </c>
      <c r="M92" s="219">
        <v>641</v>
      </c>
      <c r="N92" s="219">
        <v>1988</v>
      </c>
      <c r="O92" s="219">
        <v>459043</v>
      </c>
      <c r="Q92" s="219">
        <f>SUMIFS(Deficits!BY:BY,Deficits!BS:BS,C92)</f>
        <v>3.9999926229938863E-8</v>
      </c>
      <c r="S92" s="219">
        <f>'Share of £1bn'!$L$15*O92/$O$1</f>
        <v>0.52639565081121353</v>
      </c>
      <c r="T92" s="220">
        <f t="shared" si="10"/>
        <v>0.52639569081113979</v>
      </c>
      <c r="U92" s="11">
        <f t="shared" si="11"/>
        <v>0</v>
      </c>
      <c r="V92" s="11">
        <f t="shared" si="12"/>
        <v>0</v>
      </c>
      <c r="W92" s="11">
        <f t="shared" si="13"/>
        <v>0.52639565081121353</v>
      </c>
      <c r="Y92" s="219">
        <f>'Share of £1bn'!$M$15*F92/$F$1</f>
        <v>6.4231178758088012E-3</v>
      </c>
      <c r="Z92" s="220">
        <f t="shared" si="14"/>
        <v>6.423157875735031E-3</v>
      </c>
      <c r="AA92" s="11">
        <f t="shared" si="15"/>
        <v>0</v>
      </c>
      <c r="AB92" s="11">
        <f t="shared" si="16"/>
        <v>0</v>
      </c>
      <c r="AC92" s="11">
        <f t="shared" si="17"/>
        <v>6.4231178758088012E-3</v>
      </c>
      <c r="AE92" s="222"/>
      <c r="AF92" s="223"/>
    </row>
    <row r="93" spans="2:32" x14ac:dyDescent="0.25">
      <c r="B93" t="s">
        <v>408</v>
      </c>
      <c r="C93" t="s">
        <v>586</v>
      </c>
      <c r="D93" t="s">
        <v>587</v>
      </c>
      <c r="E93" t="s">
        <v>56</v>
      </c>
      <c r="F93" s="219">
        <v>237</v>
      </c>
      <c r="G93" s="219">
        <v>137296</v>
      </c>
      <c r="H93" s="219">
        <v>1</v>
      </c>
      <c r="I93" s="219">
        <v>0</v>
      </c>
      <c r="J93" s="219">
        <v>0</v>
      </c>
      <c r="K93" s="219">
        <v>0</v>
      </c>
      <c r="L93" s="219">
        <v>0</v>
      </c>
      <c r="M93" s="219">
        <v>0</v>
      </c>
      <c r="N93" s="219">
        <v>0</v>
      </c>
      <c r="O93" s="219">
        <v>137534</v>
      </c>
      <c r="Q93" s="219">
        <f>SUMIFS(Deficits!BY:BY,Deficits!BS:BS,C93)</f>
        <v>0</v>
      </c>
      <c r="S93" s="219">
        <f>'Share of £1bn'!$L$15*O93/$O$1</f>
        <v>0.15771354630975626</v>
      </c>
      <c r="T93" s="220">
        <f t="shared" si="10"/>
        <v>0.15771354630975626</v>
      </c>
      <c r="U93" s="11">
        <f t="shared" si="11"/>
        <v>0</v>
      </c>
      <c r="V93" s="11">
        <f t="shared" si="12"/>
        <v>0</v>
      </c>
      <c r="W93" s="11">
        <f t="shared" si="13"/>
        <v>0.15771354630975626</v>
      </c>
      <c r="Y93" s="219">
        <f>'Share of £1bn'!$M$15*F93/$F$1</f>
        <v>1.4793770034661671E-3</v>
      </c>
      <c r="Z93" s="220">
        <f t="shared" si="14"/>
        <v>1.4793770034661671E-3</v>
      </c>
      <c r="AA93" s="11">
        <f t="shared" si="15"/>
        <v>0</v>
      </c>
      <c r="AB93" s="11">
        <f t="shared" si="16"/>
        <v>0</v>
      </c>
      <c r="AC93" s="11">
        <f t="shared" si="17"/>
        <v>1.4793770034661671E-3</v>
      </c>
      <c r="AE93" s="222"/>
      <c r="AF93" s="223"/>
    </row>
    <row r="94" spans="2:32" x14ac:dyDescent="0.25">
      <c r="B94" t="s">
        <v>403</v>
      </c>
      <c r="C94" t="s">
        <v>588</v>
      </c>
      <c r="D94" t="s">
        <v>589</v>
      </c>
      <c r="E94" t="s">
        <v>56</v>
      </c>
      <c r="F94" s="219">
        <v>942242</v>
      </c>
      <c r="G94" s="219">
        <v>0</v>
      </c>
      <c r="H94" s="219">
        <v>546</v>
      </c>
      <c r="I94" s="219">
        <v>37</v>
      </c>
      <c r="J94" s="219">
        <v>0</v>
      </c>
      <c r="K94" s="219">
        <v>0</v>
      </c>
      <c r="L94" s="219">
        <v>0</v>
      </c>
      <c r="M94" s="219">
        <v>0</v>
      </c>
      <c r="N94" s="219">
        <v>0</v>
      </c>
      <c r="O94" s="219">
        <v>942825</v>
      </c>
      <c r="Q94" s="219">
        <f>SUMIFS(Deficits!BY:BY,Deficits!BS:BS,C94)</f>
        <v>0</v>
      </c>
      <c r="S94" s="219">
        <f>'Share of £1bn'!$L$15*O94/$O$1</f>
        <v>1.0811601080423454</v>
      </c>
      <c r="T94" s="220">
        <f t="shared" si="10"/>
        <v>1.0811601080423454</v>
      </c>
      <c r="U94" s="11">
        <f t="shared" si="11"/>
        <v>0</v>
      </c>
      <c r="V94" s="11">
        <f t="shared" si="12"/>
        <v>0</v>
      </c>
      <c r="W94" s="11">
        <f t="shared" si="13"/>
        <v>1.0811601080423454</v>
      </c>
      <c r="Y94" s="219">
        <f>'Share of £1bn'!$M$15*F94/$F$1</f>
        <v>5.8815660189872077</v>
      </c>
      <c r="Z94" s="220">
        <f t="shared" si="14"/>
        <v>5.8815660189872077</v>
      </c>
      <c r="AA94" s="11">
        <f t="shared" si="15"/>
        <v>0</v>
      </c>
      <c r="AB94" s="11">
        <f t="shared" si="16"/>
        <v>0</v>
      </c>
      <c r="AC94" s="11">
        <f t="shared" si="17"/>
        <v>5.8815660189872077</v>
      </c>
      <c r="AE94" s="222"/>
      <c r="AF94" s="223"/>
    </row>
    <row r="95" spans="2:32" x14ac:dyDescent="0.25">
      <c r="B95" t="s">
        <v>403</v>
      </c>
      <c r="C95" t="s">
        <v>590</v>
      </c>
      <c r="D95" t="s">
        <v>591</v>
      </c>
      <c r="E95" t="s">
        <v>88</v>
      </c>
      <c r="F95" s="219">
        <v>814083</v>
      </c>
      <c r="G95" s="219">
        <v>0</v>
      </c>
      <c r="H95" s="219">
        <v>19725</v>
      </c>
      <c r="I95" s="219">
        <v>3417</v>
      </c>
      <c r="J95" s="219">
        <v>0</v>
      </c>
      <c r="K95" s="219">
        <v>0</v>
      </c>
      <c r="L95" s="219">
        <v>0</v>
      </c>
      <c r="M95" s="219">
        <v>35087</v>
      </c>
      <c r="N95" s="219">
        <v>0</v>
      </c>
      <c r="O95" s="219">
        <v>872312</v>
      </c>
      <c r="Q95" s="219">
        <f>SUMIFS(Deficits!BY:BY,Deficits!BS:BS,C95)</f>
        <v>-8</v>
      </c>
      <c r="S95" s="219">
        <f>'Share of £1bn'!$L$15*O95/$O$1</f>
        <v>1.0003011546857947</v>
      </c>
      <c r="T95" s="220">
        <f t="shared" si="10"/>
        <v>-6.9996988453142048</v>
      </c>
      <c r="U95" s="11">
        <f t="shared" si="11"/>
        <v>1.0003011546857947</v>
      </c>
      <c r="V95" s="11">
        <f t="shared" si="12"/>
        <v>0</v>
      </c>
      <c r="W95" s="11">
        <f t="shared" si="13"/>
        <v>0</v>
      </c>
      <c r="Y95" s="219">
        <f>'Share of £1bn'!$M$15*F95/$F$1</f>
        <v>5.0815851017415516</v>
      </c>
      <c r="Z95" s="220">
        <f t="shared" si="14"/>
        <v>-2.9184148982584484</v>
      </c>
      <c r="AA95" s="11">
        <f t="shared" si="15"/>
        <v>5.0815851017415516</v>
      </c>
      <c r="AB95" s="11">
        <f t="shared" si="16"/>
        <v>0</v>
      </c>
      <c r="AC95" s="11">
        <f t="shared" si="17"/>
        <v>0</v>
      </c>
      <c r="AE95" s="222"/>
      <c r="AF95" s="223"/>
    </row>
    <row r="96" spans="2:32" x14ac:dyDescent="0.25">
      <c r="B96" t="s">
        <v>403</v>
      </c>
      <c r="C96" t="s">
        <v>592</v>
      </c>
      <c r="D96" t="s">
        <v>593</v>
      </c>
      <c r="E96" t="s">
        <v>96</v>
      </c>
      <c r="F96" s="219">
        <v>473121</v>
      </c>
      <c r="G96" s="219">
        <v>7</v>
      </c>
      <c r="H96" s="219">
        <v>43848</v>
      </c>
      <c r="I96" s="219">
        <v>5292</v>
      </c>
      <c r="J96" s="219">
        <v>2119</v>
      </c>
      <c r="K96" s="219">
        <v>0</v>
      </c>
      <c r="L96" s="219">
        <v>0</v>
      </c>
      <c r="M96" s="219">
        <v>0</v>
      </c>
      <c r="N96" s="219">
        <v>0</v>
      </c>
      <c r="O96" s="219">
        <v>524387</v>
      </c>
      <c r="Q96" s="219">
        <f>SUMIFS(Deficits!BY:BY,Deficits!BS:BS,C96)</f>
        <v>-5.101</v>
      </c>
      <c r="S96" s="219">
        <f>'Share of £1bn'!$L$15*O96/$O$1</f>
        <v>0.6013271875226065</v>
      </c>
      <c r="T96" s="220">
        <f t="shared" si="10"/>
        <v>-4.4996728124773933</v>
      </c>
      <c r="U96" s="11">
        <f t="shared" si="11"/>
        <v>0.6013271875226065</v>
      </c>
      <c r="V96" s="11">
        <f t="shared" si="12"/>
        <v>0</v>
      </c>
      <c r="W96" s="11">
        <f t="shared" si="13"/>
        <v>0</v>
      </c>
      <c r="Y96" s="219">
        <f>'Share of £1bn'!$M$15*F96/$F$1</f>
        <v>2.9532672036156811</v>
      </c>
      <c r="Z96" s="220">
        <f t="shared" si="14"/>
        <v>-2.1477327963843189</v>
      </c>
      <c r="AA96" s="11">
        <f t="shared" si="15"/>
        <v>2.9532672036156811</v>
      </c>
      <c r="AB96" s="11">
        <f t="shared" si="16"/>
        <v>0</v>
      </c>
      <c r="AC96" s="11">
        <f t="shared" si="17"/>
        <v>0</v>
      </c>
      <c r="AE96" s="222"/>
      <c r="AF96" s="223"/>
    </row>
    <row r="97" spans="2:32" x14ac:dyDescent="0.25">
      <c r="B97" t="s">
        <v>403</v>
      </c>
      <c r="C97" t="s">
        <v>594</v>
      </c>
      <c r="D97" t="s">
        <v>595</v>
      </c>
      <c r="E97" t="s">
        <v>96</v>
      </c>
      <c r="F97" s="219">
        <v>80451</v>
      </c>
      <c r="G97" s="219">
        <v>0</v>
      </c>
      <c r="H97" s="219">
        <v>3</v>
      </c>
      <c r="I97" s="219">
        <v>6131</v>
      </c>
      <c r="J97" s="219">
        <v>0</v>
      </c>
      <c r="K97" s="219">
        <v>0</v>
      </c>
      <c r="L97" s="219">
        <v>0</v>
      </c>
      <c r="M97" s="219">
        <v>0</v>
      </c>
      <c r="N97" s="219">
        <v>0</v>
      </c>
      <c r="O97" s="219">
        <v>86585</v>
      </c>
      <c r="Q97" s="219">
        <f>SUMIFS(Deficits!BY:BY,Deficits!BS:BS,C97)</f>
        <v>-1.4275659999999935</v>
      </c>
      <c r="S97" s="219">
        <f>'Share of £1bn'!$L$15*O97/$O$1</f>
        <v>9.9289102383630562E-2</v>
      </c>
      <c r="T97" s="220">
        <f t="shared" si="10"/>
        <v>-1.3282768976163628</v>
      </c>
      <c r="U97" s="11">
        <f t="shared" si="11"/>
        <v>9.9289102383630562E-2</v>
      </c>
      <c r="V97" s="11">
        <f t="shared" si="12"/>
        <v>0</v>
      </c>
      <c r="W97" s="11">
        <f t="shared" si="13"/>
        <v>0</v>
      </c>
      <c r="Y97" s="219">
        <f>'Share of £1bn'!$M$15*F97/$F$1</f>
        <v>0.50218295065762286</v>
      </c>
      <c r="Z97" s="220">
        <f t="shared" si="14"/>
        <v>-0.92538304934237059</v>
      </c>
      <c r="AA97" s="11">
        <f t="shared" si="15"/>
        <v>0.50218295065762286</v>
      </c>
      <c r="AB97" s="11">
        <f t="shared" si="16"/>
        <v>0</v>
      </c>
      <c r="AC97" s="11">
        <f t="shared" si="17"/>
        <v>0</v>
      </c>
      <c r="AE97" s="222"/>
      <c r="AF97" s="223"/>
    </row>
    <row r="98" spans="2:32" x14ac:dyDescent="0.25">
      <c r="B98" t="s">
        <v>433</v>
      </c>
      <c r="C98" t="s">
        <v>596</v>
      </c>
      <c r="D98" t="s">
        <v>597</v>
      </c>
      <c r="E98" t="s">
        <v>96</v>
      </c>
      <c r="F98" s="219">
        <v>5015</v>
      </c>
      <c r="G98" s="219">
        <v>0</v>
      </c>
      <c r="H98" s="219">
        <v>226541</v>
      </c>
      <c r="I98" s="219">
        <v>0</v>
      </c>
      <c r="J98" s="219">
        <v>6056</v>
      </c>
      <c r="K98" s="219">
        <v>0</v>
      </c>
      <c r="L98" s="219">
        <v>0</v>
      </c>
      <c r="M98" s="219">
        <v>226</v>
      </c>
      <c r="N98" s="219">
        <v>0</v>
      </c>
      <c r="O98" s="219">
        <v>237838</v>
      </c>
      <c r="Q98" s="219">
        <f>SUMIFS(Deficits!BY:BY,Deficits!BS:BS,C98)</f>
        <v>-7.8520000000000003</v>
      </c>
      <c r="S98" s="219">
        <f>'Share of £1bn'!$L$15*O98/$O$1</f>
        <v>0.2727345560168381</v>
      </c>
      <c r="T98" s="220">
        <f t="shared" si="10"/>
        <v>-7.5792654439831626</v>
      </c>
      <c r="U98" s="11">
        <f t="shared" si="11"/>
        <v>0.2727345560168381</v>
      </c>
      <c r="V98" s="11">
        <f t="shared" si="12"/>
        <v>0</v>
      </c>
      <c r="W98" s="11">
        <f t="shared" si="13"/>
        <v>0</v>
      </c>
      <c r="Y98" s="219">
        <f>'Share of £1bn'!$M$15*F98/$F$1</f>
        <v>3.1304116761108981E-2</v>
      </c>
      <c r="Z98" s="220">
        <f t="shared" si="14"/>
        <v>-7.8206958832388915</v>
      </c>
      <c r="AA98" s="11">
        <f t="shared" si="15"/>
        <v>3.1304116761108981E-2</v>
      </c>
      <c r="AB98" s="11">
        <f t="shared" si="16"/>
        <v>0</v>
      </c>
      <c r="AC98" s="11">
        <f t="shared" si="17"/>
        <v>0</v>
      </c>
      <c r="AE98" s="222"/>
      <c r="AF98" s="223"/>
    </row>
    <row r="99" spans="2:32" x14ac:dyDescent="0.25">
      <c r="B99" t="s">
        <v>408</v>
      </c>
      <c r="C99" t="s">
        <v>598</v>
      </c>
      <c r="D99" t="s">
        <v>599</v>
      </c>
      <c r="E99" t="s">
        <v>96</v>
      </c>
      <c r="F99" s="219">
        <v>11256</v>
      </c>
      <c r="G99" s="219">
        <v>455606</v>
      </c>
      <c r="H99" s="219">
        <v>95</v>
      </c>
      <c r="I99" s="219">
        <v>0</v>
      </c>
      <c r="J99" s="219">
        <v>0</v>
      </c>
      <c r="K99" s="219">
        <v>0</v>
      </c>
      <c r="L99" s="219">
        <v>0</v>
      </c>
      <c r="M99" s="219">
        <v>0</v>
      </c>
      <c r="N99" s="219">
        <v>0</v>
      </c>
      <c r="O99" s="219">
        <v>466957</v>
      </c>
      <c r="Q99" s="219">
        <f>SUMIFS(Deficits!BY:BY,Deficits!BS:BS,C99)</f>
        <v>-16.36</v>
      </c>
      <c r="S99" s="219">
        <f>'Share of £1bn'!$L$15*O99/$O$1</f>
        <v>0.53547082498992871</v>
      </c>
      <c r="T99" s="220">
        <f t="shared" si="10"/>
        <v>-15.824529175010071</v>
      </c>
      <c r="U99" s="11">
        <f t="shared" si="11"/>
        <v>0.53547082498992871</v>
      </c>
      <c r="V99" s="11">
        <f t="shared" si="12"/>
        <v>0</v>
      </c>
      <c r="W99" s="11">
        <f t="shared" si="13"/>
        <v>0</v>
      </c>
      <c r="Y99" s="219">
        <f>'Share of £1bn'!$M$15*F99/$F$1</f>
        <v>7.026104451905138E-2</v>
      </c>
      <c r="Z99" s="220">
        <f t="shared" si="14"/>
        <v>-16.289738955480949</v>
      </c>
      <c r="AA99" s="11">
        <f t="shared" si="15"/>
        <v>7.026104451905138E-2</v>
      </c>
      <c r="AB99" s="11">
        <f t="shared" si="16"/>
        <v>0</v>
      </c>
      <c r="AC99" s="11">
        <f t="shared" si="17"/>
        <v>0</v>
      </c>
      <c r="AE99" s="222"/>
      <c r="AF99" s="223"/>
    </row>
    <row r="100" spans="2:32" x14ac:dyDescent="0.25">
      <c r="B100" t="s">
        <v>403</v>
      </c>
      <c r="C100" t="s">
        <v>600</v>
      </c>
      <c r="D100" t="s">
        <v>601</v>
      </c>
      <c r="E100" t="s">
        <v>96</v>
      </c>
      <c r="F100" s="219">
        <v>1223242</v>
      </c>
      <c r="G100" s="219">
        <v>1759</v>
      </c>
      <c r="H100" s="219">
        <v>14890</v>
      </c>
      <c r="I100" s="219">
        <v>12561</v>
      </c>
      <c r="J100" s="219">
        <v>0</v>
      </c>
      <c r="K100" s="219">
        <v>0</v>
      </c>
      <c r="L100" s="219">
        <v>0</v>
      </c>
      <c r="M100" s="219">
        <v>0</v>
      </c>
      <c r="N100" s="219">
        <v>0</v>
      </c>
      <c r="O100" s="219">
        <v>1252452</v>
      </c>
      <c r="Q100" s="219">
        <f>SUMIFS(Deficits!BY:BY,Deficits!BS:BS,C100)</f>
        <v>-67.158000000000001</v>
      </c>
      <c r="S100" s="219">
        <f>'Share of £1bn'!$L$15*O100/$O$1</f>
        <v>1.4362168373111146</v>
      </c>
      <c r="T100" s="220">
        <f t="shared" si="10"/>
        <v>-65.721783162688894</v>
      </c>
      <c r="U100" s="11">
        <f t="shared" si="11"/>
        <v>1.4362168373111146</v>
      </c>
      <c r="V100" s="11">
        <f t="shared" si="12"/>
        <v>0</v>
      </c>
      <c r="W100" s="11">
        <f t="shared" si="13"/>
        <v>0</v>
      </c>
      <c r="Y100" s="219">
        <f>'Share of £1bn'!$M$15*F100/$F$1</f>
        <v>7.6355952931390769</v>
      </c>
      <c r="Z100" s="220">
        <f t="shared" si="14"/>
        <v>-59.522404706860925</v>
      </c>
      <c r="AA100" s="11">
        <f t="shared" si="15"/>
        <v>7.6355952931390769</v>
      </c>
      <c r="AB100" s="11">
        <f t="shared" si="16"/>
        <v>0</v>
      </c>
      <c r="AC100" s="11">
        <f t="shared" si="17"/>
        <v>0</v>
      </c>
      <c r="AE100" s="222"/>
      <c r="AF100" s="223"/>
    </row>
    <row r="101" spans="2:32" x14ac:dyDescent="0.25">
      <c r="B101" t="s">
        <v>403</v>
      </c>
      <c r="C101" t="s">
        <v>602</v>
      </c>
      <c r="D101" t="s">
        <v>603</v>
      </c>
      <c r="E101" t="s">
        <v>54</v>
      </c>
      <c r="F101" s="219">
        <v>449948</v>
      </c>
      <c r="G101" s="219">
        <v>0</v>
      </c>
      <c r="H101" s="219">
        <v>0</v>
      </c>
      <c r="I101" s="219">
        <v>1</v>
      </c>
      <c r="J101" s="219">
        <v>0</v>
      </c>
      <c r="K101" s="219">
        <v>0</v>
      </c>
      <c r="L101" s="219">
        <v>0</v>
      </c>
      <c r="M101" s="219">
        <v>0</v>
      </c>
      <c r="N101" s="219">
        <v>0</v>
      </c>
      <c r="O101" s="219">
        <v>449949</v>
      </c>
      <c r="Q101" s="219">
        <f>SUMIFS(Deficits!BY:BY,Deficits!BS:BS,C101)</f>
        <v>-111.923</v>
      </c>
      <c r="S101" s="219">
        <f>'Share of £1bn'!$L$15*O101/$O$1</f>
        <v>0.51596734224648821</v>
      </c>
      <c r="T101" s="220">
        <f t="shared" si="10"/>
        <v>-111.40703265775352</v>
      </c>
      <c r="U101" s="11">
        <f t="shared" si="11"/>
        <v>0.51596734224648821</v>
      </c>
      <c r="V101" s="11">
        <f t="shared" si="12"/>
        <v>0</v>
      </c>
      <c r="W101" s="11">
        <f t="shared" si="13"/>
        <v>0</v>
      </c>
      <c r="Y101" s="219">
        <f>'Share of £1bn'!$M$15*F101/$F$1</f>
        <v>2.8086190884202318</v>
      </c>
      <c r="Z101" s="220">
        <f t="shared" si="14"/>
        <v>-109.11438091157977</v>
      </c>
      <c r="AA101" s="11">
        <f t="shared" si="15"/>
        <v>2.8086190884202318</v>
      </c>
      <c r="AB101" s="11">
        <f t="shared" si="16"/>
        <v>0</v>
      </c>
      <c r="AC101" s="11">
        <f t="shared" si="17"/>
        <v>0</v>
      </c>
      <c r="AE101" s="222"/>
      <c r="AF101" s="223"/>
    </row>
    <row r="102" spans="2:32" x14ac:dyDescent="0.25">
      <c r="B102" t="s">
        <v>433</v>
      </c>
      <c r="C102" t="s">
        <v>604</v>
      </c>
      <c r="D102" t="s">
        <v>605</v>
      </c>
      <c r="E102" t="s">
        <v>54</v>
      </c>
      <c r="F102" s="219">
        <v>366</v>
      </c>
      <c r="G102" s="219">
        <v>0</v>
      </c>
      <c r="H102" s="219">
        <v>94061</v>
      </c>
      <c r="I102" s="219">
        <v>0</v>
      </c>
      <c r="J102" s="219">
        <v>0</v>
      </c>
      <c r="K102" s="219">
        <v>0</v>
      </c>
      <c r="L102" s="219">
        <v>0</v>
      </c>
      <c r="M102" s="219">
        <v>0</v>
      </c>
      <c r="N102" s="219">
        <v>0</v>
      </c>
      <c r="O102" s="219">
        <v>94427</v>
      </c>
      <c r="Q102" s="219">
        <f>SUMIFS(Deficits!BY:BY,Deficits!BS:BS,C102)</f>
        <v>-3.4590000000000001</v>
      </c>
      <c r="S102" s="219">
        <f>'Share of £1bn'!$L$15*O102/$O$1</f>
        <v>0.10828171243031798</v>
      </c>
      <c r="T102" s="220">
        <f t="shared" si="10"/>
        <v>-3.3507182875696819</v>
      </c>
      <c r="U102" s="11">
        <f t="shared" si="11"/>
        <v>0.10828171243031798</v>
      </c>
      <c r="V102" s="11">
        <f t="shared" si="12"/>
        <v>0</v>
      </c>
      <c r="W102" s="11">
        <f t="shared" si="13"/>
        <v>0</v>
      </c>
      <c r="Y102" s="219">
        <f>'Share of £1bn'!$M$15*F102/$F$1</f>
        <v>2.2846075243401569E-3</v>
      </c>
      <c r="Z102" s="220">
        <f t="shared" si="14"/>
        <v>-3.45671539247566</v>
      </c>
      <c r="AA102" s="11">
        <f t="shared" si="15"/>
        <v>2.2846075243401569E-3</v>
      </c>
      <c r="AB102" s="11">
        <f t="shared" si="16"/>
        <v>0</v>
      </c>
      <c r="AC102" s="11">
        <f t="shared" si="17"/>
        <v>0</v>
      </c>
      <c r="AE102" s="222"/>
      <c r="AF102" s="223"/>
    </row>
    <row r="103" spans="2:32" x14ac:dyDescent="0.25">
      <c r="B103" t="s">
        <v>403</v>
      </c>
      <c r="C103" t="s">
        <v>606</v>
      </c>
      <c r="D103" t="s">
        <v>607</v>
      </c>
      <c r="E103" t="s">
        <v>54</v>
      </c>
      <c r="F103" s="219">
        <v>96696</v>
      </c>
      <c r="G103" s="219">
        <v>0</v>
      </c>
      <c r="H103" s="219">
        <v>5</v>
      </c>
      <c r="I103" s="219">
        <v>0</v>
      </c>
      <c r="J103" s="219">
        <v>0</v>
      </c>
      <c r="K103" s="219">
        <v>0</v>
      </c>
      <c r="L103" s="219">
        <v>0</v>
      </c>
      <c r="M103" s="219">
        <v>0</v>
      </c>
      <c r="N103" s="219">
        <v>0</v>
      </c>
      <c r="O103" s="219">
        <v>96701</v>
      </c>
      <c r="Q103" s="219">
        <f>SUMIFS(Deficits!BY:BY,Deficits!BS:BS,C103)</f>
        <v>-4.2300000000000004</v>
      </c>
      <c r="S103" s="219">
        <f>'Share of £1bn'!$L$15*O103/$O$1</f>
        <v>0.11088936293352726</v>
      </c>
      <c r="T103" s="220">
        <f t="shared" si="10"/>
        <v>-4.1191106370664734</v>
      </c>
      <c r="U103" s="11">
        <f t="shared" si="11"/>
        <v>0.11088936293352726</v>
      </c>
      <c r="V103" s="11">
        <f t="shared" si="12"/>
        <v>0</v>
      </c>
      <c r="W103" s="11">
        <f t="shared" si="13"/>
        <v>0</v>
      </c>
      <c r="Y103" s="219">
        <f>'Share of £1bn'!$M$15*F103/$F$1</f>
        <v>0.60358581741419626</v>
      </c>
      <c r="Z103" s="220">
        <f t="shared" si="14"/>
        <v>-3.6264141825858043</v>
      </c>
      <c r="AA103" s="11">
        <f t="shared" si="15"/>
        <v>0.60358581741419626</v>
      </c>
      <c r="AB103" s="11">
        <f t="shared" si="16"/>
        <v>0</v>
      </c>
      <c r="AC103" s="11">
        <f t="shared" si="17"/>
        <v>0</v>
      </c>
      <c r="AE103" s="222"/>
      <c r="AF103" s="223"/>
    </row>
    <row r="104" spans="2:32" x14ac:dyDescent="0.25">
      <c r="B104" t="s">
        <v>403</v>
      </c>
      <c r="C104" t="s">
        <v>608</v>
      </c>
      <c r="D104" t="s">
        <v>609</v>
      </c>
      <c r="E104" t="s">
        <v>31</v>
      </c>
      <c r="F104" s="219">
        <v>347799</v>
      </c>
      <c r="G104" s="219">
        <v>275</v>
      </c>
      <c r="H104" s="219">
        <v>48952</v>
      </c>
      <c r="I104" s="219">
        <v>2281</v>
      </c>
      <c r="J104" s="219">
        <v>0</v>
      </c>
      <c r="K104" s="219">
        <v>0</v>
      </c>
      <c r="L104" s="219">
        <v>0</v>
      </c>
      <c r="M104" s="219">
        <v>0</v>
      </c>
      <c r="N104" s="219">
        <v>0</v>
      </c>
      <c r="O104" s="219">
        <v>399307</v>
      </c>
      <c r="Q104" s="219">
        <f>SUMIFS(Deficits!BY:BY,Deficits!BS:BS,C104)</f>
        <v>-12.399968810000239</v>
      </c>
      <c r="S104" s="219">
        <f>'Share of £1bn'!$L$15*O104/$O$1</f>
        <v>0.45789494260553637</v>
      </c>
      <c r="T104" s="220">
        <f t="shared" si="10"/>
        <v>-11.942073867394702</v>
      </c>
      <c r="U104" s="11">
        <f t="shared" si="11"/>
        <v>0.45789494260553637</v>
      </c>
      <c r="V104" s="11">
        <f t="shared" si="12"/>
        <v>0</v>
      </c>
      <c r="W104" s="11">
        <f t="shared" si="13"/>
        <v>0</v>
      </c>
      <c r="Y104" s="219">
        <f>'Share of £1bn'!$M$15*F104/$F$1</f>
        <v>2.1709951157321918</v>
      </c>
      <c r="Z104" s="220">
        <f t="shared" si="14"/>
        <v>-10.228973694268047</v>
      </c>
      <c r="AA104" s="11">
        <f t="shared" si="15"/>
        <v>2.1709951157321918</v>
      </c>
      <c r="AB104" s="11">
        <f t="shared" si="16"/>
        <v>0</v>
      </c>
      <c r="AC104" s="11">
        <f t="shared" si="17"/>
        <v>0</v>
      </c>
      <c r="AE104" s="222"/>
      <c r="AF104" s="223"/>
    </row>
    <row r="105" spans="2:32" x14ac:dyDescent="0.25">
      <c r="B105" t="s">
        <v>408</v>
      </c>
      <c r="C105" t="s">
        <v>610</v>
      </c>
      <c r="D105" t="s">
        <v>611</v>
      </c>
      <c r="E105" t="s">
        <v>31</v>
      </c>
      <c r="F105" s="219">
        <v>63</v>
      </c>
      <c r="G105" s="219">
        <v>445510</v>
      </c>
      <c r="H105" s="219">
        <v>6</v>
      </c>
      <c r="I105" s="219">
        <v>0</v>
      </c>
      <c r="J105" s="219">
        <v>0</v>
      </c>
      <c r="K105" s="219">
        <v>0</v>
      </c>
      <c r="L105" s="219">
        <v>0</v>
      </c>
      <c r="M105" s="219">
        <v>0</v>
      </c>
      <c r="N105" s="219">
        <v>0</v>
      </c>
      <c r="O105" s="219">
        <v>445579</v>
      </c>
      <c r="Q105" s="219">
        <f>SUMIFS(Deficits!BY:BY,Deficits!BS:BS,C105)</f>
        <v>0</v>
      </c>
      <c r="S105" s="219">
        <f>'Share of £1bn'!$L$15*O105/$O$1</f>
        <v>0.5109561581220271</v>
      </c>
      <c r="T105" s="220">
        <f t="shared" si="10"/>
        <v>0.5109561581220271</v>
      </c>
      <c r="U105" s="11">
        <f t="shared" si="11"/>
        <v>0</v>
      </c>
      <c r="V105" s="11">
        <f t="shared" si="12"/>
        <v>0</v>
      </c>
      <c r="W105" s="11">
        <f t="shared" si="13"/>
        <v>0.5109561581220271</v>
      </c>
      <c r="Y105" s="219">
        <f>'Share of £1bn'!$M$15*F105/$F$1</f>
        <v>3.9325211484543684E-4</v>
      </c>
      <c r="Z105" s="220">
        <f t="shared" si="14"/>
        <v>3.9325211484543684E-4</v>
      </c>
      <c r="AA105" s="11">
        <f t="shared" si="15"/>
        <v>0</v>
      </c>
      <c r="AB105" s="11">
        <f t="shared" si="16"/>
        <v>0</v>
      </c>
      <c r="AC105" s="11">
        <f t="shared" si="17"/>
        <v>3.9325211484543684E-4</v>
      </c>
      <c r="AE105" s="222"/>
      <c r="AF105" s="223"/>
    </row>
    <row r="106" spans="2:32" x14ac:dyDescent="0.25">
      <c r="B106" t="s">
        <v>403</v>
      </c>
      <c r="C106" t="s">
        <v>612</v>
      </c>
      <c r="D106" t="s">
        <v>613</v>
      </c>
      <c r="E106" t="s">
        <v>31</v>
      </c>
      <c r="F106" s="219">
        <v>2049026</v>
      </c>
      <c r="G106" s="219">
        <v>24935</v>
      </c>
      <c r="H106" s="219">
        <v>98583</v>
      </c>
      <c r="I106" s="219">
        <v>31278</v>
      </c>
      <c r="J106" s="219">
        <v>0</v>
      </c>
      <c r="K106" s="219">
        <v>0</v>
      </c>
      <c r="L106" s="219">
        <v>0</v>
      </c>
      <c r="M106" s="219">
        <v>0</v>
      </c>
      <c r="N106" s="219">
        <v>0</v>
      </c>
      <c r="O106" s="219">
        <v>2203822</v>
      </c>
      <c r="Q106" s="219">
        <f>SUMIFS(Deficits!BY:BY,Deficits!BS:BS,C106)</f>
        <v>0</v>
      </c>
      <c r="S106" s="219">
        <f>'Share of £1bn'!$L$15*O106/$O$1</f>
        <v>2.527175702411474</v>
      </c>
      <c r="T106" s="220">
        <f t="shared" si="10"/>
        <v>2.527175702411474</v>
      </c>
      <c r="U106" s="11">
        <f t="shared" si="11"/>
        <v>0</v>
      </c>
      <c r="V106" s="11">
        <f t="shared" si="12"/>
        <v>0</v>
      </c>
      <c r="W106" s="11">
        <f t="shared" si="13"/>
        <v>2.527175702411474</v>
      </c>
      <c r="Y106" s="219">
        <f>'Share of £1bn'!$M$15*F106/$F$1</f>
        <v>12.790219172591843</v>
      </c>
      <c r="Z106" s="220">
        <f t="shared" si="14"/>
        <v>12.790219172591843</v>
      </c>
      <c r="AA106" s="11">
        <f t="shared" si="15"/>
        <v>0</v>
      </c>
      <c r="AB106" s="11">
        <f t="shared" si="16"/>
        <v>0</v>
      </c>
      <c r="AC106" s="11">
        <f t="shared" si="17"/>
        <v>12.790219172591843</v>
      </c>
      <c r="AE106" s="222"/>
      <c r="AF106" s="223"/>
    </row>
    <row r="107" spans="2:32" x14ac:dyDescent="0.25">
      <c r="B107" t="s">
        <v>408</v>
      </c>
      <c r="C107" t="s">
        <v>614</v>
      </c>
      <c r="D107" t="s">
        <v>615</v>
      </c>
      <c r="E107" t="s">
        <v>31</v>
      </c>
      <c r="F107" s="219">
        <v>17970</v>
      </c>
      <c r="G107" s="219">
        <v>230432</v>
      </c>
      <c r="H107" s="219">
        <v>5</v>
      </c>
      <c r="I107" s="219">
        <v>0</v>
      </c>
      <c r="J107" s="219">
        <v>0</v>
      </c>
      <c r="K107" s="219">
        <v>0</v>
      </c>
      <c r="L107" s="219">
        <v>0</v>
      </c>
      <c r="M107" s="219">
        <v>0</v>
      </c>
      <c r="N107" s="219">
        <v>0</v>
      </c>
      <c r="O107" s="219">
        <v>248407</v>
      </c>
      <c r="Q107" s="219">
        <f>SUMIFS(Deficits!BY:BY,Deficits!BS:BS,C107)</f>
        <v>0</v>
      </c>
      <c r="S107" s="219">
        <f>'Share of £1bn'!$L$15*O107/$O$1</f>
        <v>0.28485428256407597</v>
      </c>
      <c r="T107" s="220">
        <f t="shared" si="10"/>
        <v>0.28485428256407597</v>
      </c>
      <c r="U107" s="11">
        <f t="shared" si="11"/>
        <v>0</v>
      </c>
      <c r="V107" s="11">
        <f t="shared" si="12"/>
        <v>0</v>
      </c>
      <c r="W107" s="11">
        <f t="shared" si="13"/>
        <v>0.28485428256407597</v>
      </c>
      <c r="Y107" s="219">
        <f>'Share of £1bn'!$M$15*F107/$F$1</f>
        <v>0.11217048418686507</v>
      </c>
      <c r="Z107" s="220">
        <f t="shared" si="14"/>
        <v>0.11217048418686507</v>
      </c>
      <c r="AA107" s="11">
        <f t="shared" si="15"/>
        <v>0</v>
      </c>
      <c r="AB107" s="11">
        <f t="shared" si="16"/>
        <v>0</v>
      </c>
      <c r="AC107" s="11">
        <f t="shared" si="17"/>
        <v>0.11217048418686507</v>
      </c>
      <c r="AE107" s="222"/>
      <c r="AF107" s="223"/>
    </row>
    <row r="108" spans="2:32" x14ac:dyDescent="0.25">
      <c r="B108" t="s">
        <v>403</v>
      </c>
      <c r="C108" t="s">
        <v>616</v>
      </c>
      <c r="D108" t="s">
        <v>617</v>
      </c>
      <c r="E108" t="s">
        <v>31</v>
      </c>
      <c r="F108" s="219">
        <v>1229735</v>
      </c>
      <c r="G108" s="219">
        <v>1600</v>
      </c>
      <c r="H108" s="219">
        <v>128466</v>
      </c>
      <c r="I108" s="219">
        <v>3954</v>
      </c>
      <c r="J108" s="219">
        <v>0</v>
      </c>
      <c r="K108" s="219">
        <v>0</v>
      </c>
      <c r="L108" s="219">
        <v>0</v>
      </c>
      <c r="M108" s="219">
        <v>8</v>
      </c>
      <c r="N108" s="219">
        <v>109</v>
      </c>
      <c r="O108" s="219">
        <v>1363872</v>
      </c>
      <c r="Q108" s="219">
        <f>SUMIFS(Deficits!BY:BY,Deficits!BS:BS,C108)</f>
        <v>-32.176867159999851</v>
      </c>
      <c r="S108" s="219">
        <f>'Share of £1bn'!$L$15*O108/$O$1</f>
        <v>1.5639848316240339</v>
      </c>
      <c r="T108" s="220">
        <f t="shared" si="10"/>
        <v>-30.612882328375818</v>
      </c>
      <c r="U108" s="11">
        <f t="shared" si="11"/>
        <v>1.5639848316240339</v>
      </c>
      <c r="V108" s="11">
        <f t="shared" si="12"/>
        <v>0</v>
      </c>
      <c r="W108" s="11">
        <f t="shared" si="13"/>
        <v>0</v>
      </c>
      <c r="Y108" s="219">
        <f>'Share of £1bn'!$M$15*F108/$F$1</f>
        <v>7.6761252293564004</v>
      </c>
      <c r="Z108" s="220">
        <f t="shared" si="14"/>
        <v>-24.50074193064345</v>
      </c>
      <c r="AA108" s="11">
        <f t="shared" si="15"/>
        <v>7.6761252293564004</v>
      </c>
      <c r="AB108" s="11">
        <f t="shared" si="16"/>
        <v>0</v>
      </c>
      <c r="AC108" s="11">
        <f t="shared" si="17"/>
        <v>0</v>
      </c>
      <c r="AE108" s="222"/>
      <c r="AF108" s="223"/>
    </row>
    <row r="109" spans="2:32" x14ac:dyDescent="0.25">
      <c r="B109" t="s">
        <v>403</v>
      </c>
      <c r="C109" t="s">
        <v>618</v>
      </c>
      <c r="D109" t="s">
        <v>619</v>
      </c>
      <c r="E109" t="s">
        <v>31</v>
      </c>
      <c r="F109" s="219">
        <v>338024</v>
      </c>
      <c r="G109" s="219">
        <v>0</v>
      </c>
      <c r="H109" s="219">
        <v>22853</v>
      </c>
      <c r="I109" s="219">
        <v>2109</v>
      </c>
      <c r="J109" s="219">
        <v>0</v>
      </c>
      <c r="K109" s="219">
        <v>0</v>
      </c>
      <c r="L109" s="219">
        <v>0</v>
      </c>
      <c r="M109" s="219">
        <v>0</v>
      </c>
      <c r="N109" s="219">
        <v>0</v>
      </c>
      <c r="O109" s="219">
        <v>362986</v>
      </c>
      <c r="Q109" s="219">
        <f>SUMIFS(Deficits!BY:BY,Deficits!BS:BS,C109)</f>
        <v>-31.460999999999999</v>
      </c>
      <c r="S109" s="219">
        <f>'Share of £1bn'!$L$15*O109/$O$1</f>
        <v>0.41624477816971212</v>
      </c>
      <c r="T109" s="220">
        <f t="shared" si="10"/>
        <v>-31.044755221830286</v>
      </c>
      <c r="U109" s="11">
        <f t="shared" si="11"/>
        <v>0.41624477816971212</v>
      </c>
      <c r="V109" s="11">
        <f t="shared" si="12"/>
        <v>0</v>
      </c>
      <c r="W109" s="11">
        <f t="shared" si="13"/>
        <v>0</v>
      </c>
      <c r="Y109" s="219">
        <f>'Share of £1bn'!$M$15*F109/$F$1</f>
        <v>2.1099786169605386</v>
      </c>
      <c r="Z109" s="220">
        <f t="shared" si="14"/>
        <v>-29.351021383039459</v>
      </c>
      <c r="AA109" s="11">
        <f t="shared" si="15"/>
        <v>2.1099786169605386</v>
      </c>
      <c r="AB109" s="11">
        <f t="shared" si="16"/>
        <v>0</v>
      </c>
      <c r="AC109" s="11">
        <f t="shared" si="17"/>
        <v>0</v>
      </c>
      <c r="AE109" s="222"/>
      <c r="AF109" s="223"/>
    </row>
    <row r="110" spans="2:32" x14ac:dyDescent="0.25">
      <c r="B110" t="s">
        <v>403</v>
      </c>
      <c r="C110" t="s">
        <v>620</v>
      </c>
      <c r="D110" t="s">
        <v>621</v>
      </c>
      <c r="E110" t="s">
        <v>31</v>
      </c>
      <c r="F110" s="219">
        <v>221546</v>
      </c>
      <c r="G110" s="219">
        <v>814</v>
      </c>
      <c r="H110" s="219">
        <v>8987</v>
      </c>
      <c r="I110" s="219">
        <v>1374</v>
      </c>
      <c r="J110" s="219">
        <v>0</v>
      </c>
      <c r="K110" s="219">
        <v>0</v>
      </c>
      <c r="L110" s="219">
        <v>0</v>
      </c>
      <c r="M110" s="219">
        <v>0</v>
      </c>
      <c r="N110" s="219">
        <v>0</v>
      </c>
      <c r="O110" s="219">
        <v>232721</v>
      </c>
      <c r="Q110" s="219">
        <f>SUMIFS(Deficits!BY:BY,Deficits!BS:BS,C110)</f>
        <v>-31.458847689999953</v>
      </c>
      <c r="S110" s="219">
        <f>'Share of £1bn'!$L$15*O110/$O$1</f>
        <v>0.26686676902258921</v>
      </c>
      <c r="T110" s="220">
        <f t="shared" si="10"/>
        <v>-31.191980920977365</v>
      </c>
      <c r="U110" s="11">
        <f t="shared" si="11"/>
        <v>0.26686676902258921</v>
      </c>
      <c r="V110" s="11">
        <f t="shared" si="12"/>
        <v>0</v>
      </c>
      <c r="W110" s="11">
        <f t="shared" si="13"/>
        <v>0</v>
      </c>
      <c r="Y110" s="219">
        <f>'Share of £1bn'!$M$15*F110/$F$1</f>
        <v>1.3829116354848754</v>
      </c>
      <c r="Z110" s="220">
        <f t="shared" si="14"/>
        <v>-30.075936054515076</v>
      </c>
      <c r="AA110" s="11">
        <f t="shared" si="15"/>
        <v>1.3829116354848754</v>
      </c>
      <c r="AB110" s="11">
        <f t="shared" si="16"/>
        <v>0</v>
      </c>
      <c r="AC110" s="11">
        <f t="shared" si="17"/>
        <v>0</v>
      </c>
      <c r="AE110" s="222"/>
      <c r="AF110" s="223"/>
    </row>
    <row r="111" spans="2:32" x14ac:dyDescent="0.25">
      <c r="B111" t="s">
        <v>403</v>
      </c>
      <c r="C111" t="s">
        <v>622</v>
      </c>
      <c r="D111" t="s">
        <v>623</v>
      </c>
      <c r="E111" t="s">
        <v>31</v>
      </c>
      <c r="F111" s="219">
        <v>353276</v>
      </c>
      <c r="G111" s="219">
        <v>0</v>
      </c>
      <c r="H111" s="219">
        <v>0</v>
      </c>
      <c r="I111" s="219">
        <v>0</v>
      </c>
      <c r="J111" s="219">
        <v>0</v>
      </c>
      <c r="K111" s="219">
        <v>0</v>
      </c>
      <c r="L111" s="219">
        <v>0</v>
      </c>
      <c r="M111" s="219">
        <v>0</v>
      </c>
      <c r="N111" s="219">
        <v>0</v>
      </c>
      <c r="O111" s="219">
        <v>353276</v>
      </c>
      <c r="Q111" s="219">
        <f>SUMIFS(Deficits!BY:BY,Deficits!BS:BS,C111)</f>
        <v>-8.037878059999974</v>
      </c>
      <c r="S111" s="219">
        <f>'Share of £1bn'!$L$15*O111/$O$1</f>
        <v>0.40511008758652733</v>
      </c>
      <c r="T111" s="220">
        <f t="shared" si="10"/>
        <v>-7.632767972413447</v>
      </c>
      <c r="U111" s="11">
        <f t="shared" si="11"/>
        <v>0.40511008758652733</v>
      </c>
      <c r="V111" s="11">
        <f t="shared" si="12"/>
        <v>0</v>
      </c>
      <c r="W111" s="11">
        <f t="shared" si="13"/>
        <v>0</v>
      </c>
      <c r="Y111" s="219">
        <f>'Share of £1bn'!$M$15*F111/$F$1</f>
        <v>2.2051830813355009</v>
      </c>
      <c r="Z111" s="220">
        <f t="shared" si="14"/>
        <v>-5.8326949786644731</v>
      </c>
      <c r="AA111" s="11">
        <f t="shared" si="15"/>
        <v>2.2051830813355009</v>
      </c>
      <c r="AB111" s="11">
        <f t="shared" si="16"/>
        <v>0</v>
      </c>
      <c r="AC111" s="11">
        <f t="shared" si="17"/>
        <v>0</v>
      </c>
      <c r="AE111" s="222"/>
      <c r="AF111" s="223"/>
    </row>
    <row r="112" spans="2:32" x14ac:dyDescent="0.25">
      <c r="B112" t="s">
        <v>403</v>
      </c>
      <c r="C112" t="s">
        <v>624</v>
      </c>
      <c r="D112" t="s">
        <v>625</v>
      </c>
      <c r="E112" t="s">
        <v>31</v>
      </c>
      <c r="F112" s="219">
        <v>391104</v>
      </c>
      <c r="G112" s="219">
        <v>380</v>
      </c>
      <c r="H112" s="219">
        <v>38469</v>
      </c>
      <c r="I112" s="219">
        <v>3412</v>
      </c>
      <c r="J112" s="219">
        <v>0</v>
      </c>
      <c r="K112" s="219">
        <v>0</v>
      </c>
      <c r="L112" s="219">
        <v>0</v>
      </c>
      <c r="M112" s="219">
        <v>6</v>
      </c>
      <c r="N112" s="219">
        <v>0</v>
      </c>
      <c r="O112" s="219">
        <v>433371</v>
      </c>
      <c r="Q112" s="219">
        <f>SUMIFS(Deficits!BY:BY,Deficits!BS:BS,C112)</f>
        <v>-6.5000379999999858</v>
      </c>
      <c r="S112" s="219">
        <f>'Share of £1bn'!$L$15*O112/$O$1</f>
        <v>0.4969569508471024</v>
      </c>
      <c r="T112" s="220">
        <f t="shared" si="10"/>
        <v>-6.0030810491528834</v>
      </c>
      <c r="U112" s="11">
        <f t="shared" si="11"/>
        <v>0.4969569508471024</v>
      </c>
      <c r="V112" s="11">
        <f t="shared" si="12"/>
        <v>0</v>
      </c>
      <c r="W112" s="11">
        <f t="shared" si="13"/>
        <v>0</v>
      </c>
      <c r="Y112" s="219">
        <f>'Share of £1bn'!$M$15*F112/$F$1</f>
        <v>2.4413091289604716</v>
      </c>
      <c r="Z112" s="220">
        <f t="shared" si="14"/>
        <v>-4.0587288710395146</v>
      </c>
      <c r="AA112" s="11">
        <f t="shared" si="15"/>
        <v>2.4413091289604716</v>
      </c>
      <c r="AB112" s="11">
        <f t="shared" si="16"/>
        <v>0</v>
      </c>
      <c r="AC112" s="11">
        <f t="shared" si="17"/>
        <v>0</v>
      </c>
      <c r="AE112" s="222"/>
      <c r="AF112" s="223"/>
    </row>
    <row r="113" spans="2:32" x14ac:dyDescent="0.25">
      <c r="B113" t="s">
        <v>403</v>
      </c>
      <c r="C113" t="s">
        <v>626</v>
      </c>
      <c r="D113" t="s">
        <v>627</v>
      </c>
      <c r="E113" t="s">
        <v>19</v>
      </c>
      <c r="F113" s="219">
        <v>194330</v>
      </c>
      <c r="G113" s="219">
        <v>0</v>
      </c>
      <c r="H113" s="219">
        <v>29867</v>
      </c>
      <c r="I113" s="219">
        <v>0</v>
      </c>
      <c r="J113" s="219">
        <v>1156</v>
      </c>
      <c r="K113" s="219">
        <v>0</v>
      </c>
      <c r="L113" s="219">
        <v>0</v>
      </c>
      <c r="M113" s="219">
        <v>197</v>
      </c>
      <c r="N113" s="219">
        <v>0</v>
      </c>
      <c r="O113" s="219">
        <v>225550</v>
      </c>
      <c r="Q113" s="219">
        <f>SUMIFS(Deficits!BY:BY,Deficits!BS:BS,C113)</f>
        <v>-3.0819219999999632</v>
      </c>
      <c r="S113" s="219">
        <f>'Share of £1bn'!$L$15*O113/$O$1</f>
        <v>0.25864361081743803</v>
      </c>
      <c r="T113" s="220">
        <f t="shared" si="10"/>
        <v>-2.823278389182525</v>
      </c>
      <c r="U113" s="11">
        <f t="shared" si="11"/>
        <v>0.25864361081743803</v>
      </c>
      <c r="V113" s="11">
        <f t="shared" si="12"/>
        <v>0</v>
      </c>
      <c r="W113" s="11">
        <f t="shared" si="13"/>
        <v>0</v>
      </c>
      <c r="Y113" s="219">
        <f>'Share of £1bn'!$M$15*F113/$F$1</f>
        <v>1.2130267218716468</v>
      </c>
      <c r="Z113" s="220">
        <f t="shared" si="14"/>
        <v>-1.8688952781283164</v>
      </c>
      <c r="AA113" s="11">
        <f t="shared" si="15"/>
        <v>1.2130267218716468</v>
      </c>
      <c r="AB113" s="11">
        <f t="shared" si="16"/>
        <v>0</v>
      </c>
      <c r="AC113" s="11">
        <f t="shared" si="17"/>
        <v>0</v>
      </c>
      <c r="AE113" s="222"/>
      <c r="AF113" s="223"/>
    </row>
    <row r="114" spans="2:32" x14ac:dyDescent="0.25">
      <c r="B114" t="s">
        <v>403</v>
      </c>
      <c r="C114" t="s">
        <v>628</v>
      </c>
      <c r="D114" t="s">
        <v>629</v>
      </c>
      <c r="E114" t="s">
        <v>19</v>
      </c>
      <c r="F114" s="219">
        <v>716427</v>
      </c>
      <c r="G114" s="219">
        <v>0</v>
      </c>
      <c r="H114" s="219">
        <v>0</v>
      </c>
      <c r="I114" s="219">
        <v>6308</v>
      </c>
      <c r="J114" s="219">
        <v>0</v>
      </c>
      <c r="K114" s="219">
        <v>0</v>
      </c>
      <c r="L114" s="219">
        <v>0</v>
      </c>
      <c r="M114" s="219">
        <v>3</v>
      </c>
      <c r="N114" s="219">
        <v>0</v>
      </c>
      <c r="O114" s="219">
        <v>722738</v>
      </c>
      <c r="Q114" s="219">
        <f>SUMIFS(Deficits!BY:BY,Deficits!BS:BS,C114)</f>
        <v>-12.233000000000001</v>
      </c>
      <c r="S114" s="219">
        <f>'Share of £1bn'!$L$15*O114/$O$1</f>
        <v>0.82878105074251185</v>
      </c>
      <c r="T114" s="220">
        <f t="shared" si="10"/>
        <v>-11.404218949257489</v>
      </c>
      <c r="U114" s="11">
        <f t="shared" si="11"/>
        <v>0.82878105074251185</v>
      </c>
      <c r="V114" s="11">
        <f t="shared" si="12"/>
        <v>0</v>
      </c>
      <c r="W114" s="11">
        <f t="shared" si="13"/>
        <v>0</v>
      </c>
      <c r="Y114" s="219">
        <f>'Share of £1bn'!$M$15*F114/$F$1</f>
        <v>4.4720068711487579</v>
      </c>
      <c r="Z114" s="220">
        <f t="shared" si="14"/>
        <v>-7.7609931288512426</v>
      </c>
      <c r="AA114" s="11">
        <f t="shared" si="15"/>
        <v>4.4720068711487579</v>
      </c>
      <c r="AB114" s="11">
        <f t="shared" si="16"/>
        <v>0</v>
      </c>
      <c r="AC114" s="11">
        <f t="shared" si="17"/>
        <v>0</v>
      </c>
      <c r="AE114" s="222"/>
      <c r="AF114" s="223"/>
    </row>
    <row r="115" spans="2:32" x14ac:dyDescent="0.25">
      <c r="B115" t="s">
        <v>408</v>
      </c>
      <c r="C115" t="s">
        <v>630</v>
      </c>
      <c r="D115" t="s">
        <v>631</v>
      </c>
      <c r="E115" t="s">
        <v>19</v>
      </c>
      <c r="F115" s="219">
        <v>2087</v>
      </c>
      <c r="G115" s="219">
        <v>163325</v>
      </c>
      <c r="H115" s="219">
        <v>26452</v>
      </c>
      <c r="I115" s="219">
        <v>0</v>
      </c>
      <c r="J115" s="219">
        <v>0</v>
      </c>
      <c r="K115" s="219">
        <v>0</v>
      </c>
      <c r="L115" s="219">
        <v>0</v>
      </c>
      <c r="M115" s="219">
        <v>0</v>
      </c>
      <c r="N115" s="219">
        <v>0</v>
      </c>
      <c r="O115" s="219">
        <v>191864</v>
      </c>
      <c r="Q115" s="219">
        <f>SUMIFS(Deficits!BY:BY,Deficits!BS:BS,C115)</f>
        <v>0</v>
      </c>
      <c r="S115" s="219">
        <f>'Share of £1bn'!$L$15*O115/$O$1</f>
        <v>0.22001506426901765</v>
      </c>
      <c r="T115" s="220">
        <f t="shared" si="10"/>
        <v>0.22001506426901765</v>
      </c>
      <c r="U115" s="11">
        <f t="shared" si="11"/>
        <v>0</v>
      </c>
      <c r="V115" s="11">
        <f t="shared" si="12"/>
        <v>0</v>
      </c>
      <c r="W115" s="11">
        <f t="shared" si="13"/>
        <v>0.22001506426901765</v>
      </c>
      <c r="Y115" s="219">
        <f>'Share of £1bn'!$M$15*F115/$F$1</f>
        <v>1.3027256566387726E-2</v>
      </c>
      <c r="Z115" s="220">
        <f t="shared" si="14"/>
        <v>1.3027256566387726E-2</v>
      </c>
      <c r="AA115" s="11">
        <f t="shared" si="15"/>
        <v>0</v>
      </c>
      <c r="AB115" s="11">
        <f t="shared" si="16"/>
        <v>0</v>
      </c>
      <c r="AC115" s="11">
        <f t="shared" si="17"/>
        <v>1.3027256566387726E-2</v>
      </c>
      <c r="AE115" s="222"/>
      <c r="AF115" s="223"/>
    </row>
    <row r="116" spans="2:32" x14ac:dyDescent="0.25">
      <c r="B116" t="s">
        <v>403</v>
      </c>
      <c r="C116" t="s">
        <v>632</v>
      </c>
      <c r="D116" t="s">
        <v>633</v>
      </c>
      <c r="E116" t="s">
        <v>19</v>
      </c>
      <c r="F116" s="219">
        <v>437518</v>
      </c>
      <c r="G116" s="219">
        <v>0</v>
      </c>
      <c r="H116" s="219">
        <v>22806</v>
      </c>
      <c r="I116" s="219">
        <v>2743</v>
      </c>
      <c r="J116" s="219">
        <v>1745</v>
      </c>
      <c r="K116" s="219">
        <v>0</v>
      </c>
      <c r="L116" s="219">
        <v>0</v>
      </c>
      <c r="M116" s="219">
        <v>0</v>
      </c>
      <c r="N116" s="219">
        <v>0</v>
      </c>
      <c r="O116" s="219">
        <v>464812</v>
      </c>
      <c r="Q116" s="219">
        <f>SUMIFS(Deficits!BY:BY,Deficits!BS:BS,C116)</f>
        <v>-18.155000000000001</v>
      </c>
      <c r="S116" s="219">
        <f>'Share of £1bn'!$L$15*O116/$O$1</f>
        <v>0.53301110188993572</v>
      </c>
      <c r="T116" s="220">
        <f t="shared" si="10"/>
        <v>-17.621988898110065</v>
      </c>
      <c r="U116" s="11">
        <f t="shared" si="11"/>
        <v>0.53301110188993572</v>
      </c>
      <c r="V116" s="11">
        <f t="shared" si="12"/>
        <v>0</v>
      </c>
      <c r="W116" s="11">
        <f t="shared" si="13"/>
        <v>0</v>
      </c>
      <c r="Y116" s="219">
        <f>'Share of £1bn'!$M$15*F116/$F$1</f>
        <v>2.731029821951521</v>
      </c>
      <c r="Z116" s="220">
        <f t="shared" si="14"/>
        <v>-15.42397017804848</v>
      </c>
      <c r="AA116" s="11">
        <f t="shared" si="15"/>
        <v>2.731029821951521</v>
      </c>
      <c r="AB116" s="11">
        <f t="shared" si="16"/>
        <v>0</v>
      </c>
      <c r="AC116" s="11">
        <f t="shared" si="17"/>
        <v>0</v>
      </c>
      <c r="AE116" s="222"/>
      <c r="AF116" s="223"/>
    </row>
    <row r="117" spans="2:32" x14ac:dyDescent="0.25">
      <c r="B117" t="s">
        <v>403</v>
      </c>
      <c r="C117" t="s">
        <v>634</v>
      </c>
      <c r="D117" t="s">
        <v>635</v>
      </c>
      <c r="E117" t="s">
        <v>19</v>
      </c>
      <c r="F117" s="219">
        <v>586609</v>
      </c>
      <c r="G117" s="219">
        <v>0</v>
      </c>
      <c r="H117" s="219">
        <v>31405</v>
      </c>
      <c r="I117" s="219">
        <v>0</v>
      </c>
      <c r="J117" s="219">
        <v>0</v>
      </c>
      <c r="K117" s="219">
        <v>0</v>
      </c>
      <c r="L117" s="219">
        <v>0</v>
      </c>
      <c r="M117" s="219">
        <v>18</v>
      </c>
      <c r="N117" s="219">
        <v>0</v>
      </c>
      <c r="O117" s="219">
        <v>618032</v>
      </c>
      <c r="Q117" s="219">
        <f>SUMIFS(Deficits!BY:BY,Deficits!BS:BS,C117)</f>
        <v>-18.411999999999999</v>
      </c>
      <c r="S117" s="219">
        <f>'Share of £1bn'!$L$15*O117/$O$1</f>
        <v>0.70871216174117868</v>
      </c>
      <c r="T117" s="220">
        <f t="shared" si="10"/>
        <v>-17.70328783825882</v>
      </c>
      <c r="U117" s="11">
        <f t="shared" si="11"/>
        <v>0.70871216174117868</v>
      </c>
      <c r="V117" s="11">
        <f t="shared" si="12"/>
        <v>0</v>
      </c>
      <c r="W117" s="11">
        <f t="shared" si="13"/>
        <v>0</v>
      </c>
      <c r="Y117" s="219">
        <f>'Share of £1bn'!$M$15*F117/$F$1</f>
        <v>3.6616703148788385</v>
      </c>
      <c r="Z117" s="220">
        <f t="shared" si="14"/>
        <v>-14.75032968512116</v>
      </c>
      <c r="AA117" s="11">
        <f t="shared" si="15"/>
        <v>3.6616703148788385</v>
      </c>
      <c r="AB117" s="11">
        <f t="shared" si="16"/>
        <v>0</v>
      </c>
      <c r="AC117" s="11">
        <f t="shared" si="17"/>
        <v>0</v>
      </c>
      <c r="AE117" s="222"/>
      <c r="AF117" s="223"/>
    </row>
    <row r="118" spans="2:32" x14ac:dyDescent="0.25">
      <c r="B118" t="s">
        <v>403</v>
      </c>
      <c r="C118" t="s">
        <v>636</v>
      </c>
      <c r="D118" t="s">
        <v>637</v>
      </c>
      <c r="E118" t="s">
        <v>100</v>
      </c>
      <c r="F118" s="219">
        <v>368211</v>
      </c>
      <c r="G118" s="219">
        <v>0</v>
      </c>
      <c r="H118" s="219">
        <v>26824</v>
      </c>
      <c r="I118" s="219">
        <v>2303</v>
      </c>
      <c r="J118" s="219">
        <v>4047</v>
      </c>
      <c r="K118" s="219">
        <v>0</v>
      </c>
      <c r="L118" s="219">
        <v>0</v>
      </c>
      <c r="M118" s="219">
        <v>0</v>
      </c>
      <c r="N118" s="219">
        <v>0</v>
      </c>
      <c r="O118" s="219">
        <v>401385</v>
      </c>
      <c r="Q118" s="219">
        <f>SUMIFS(Deficits!BY:BY,Deficits!BS:BS,C118)</f>
        <v>-6.9304090500000166</v>
      </c>
      <c r="S118" s="219">
        <f>'Share of £1bn'!$L$15*O118/$O$1</f>
        <v>0.46027783519378129</v>
      </c>
      <c r="T118" s="220">
        <f t="shared" si="10"/>
        <v>-6.4701312148062353</v>
      </c>
      <c r="U118" s="11">
        <f t="shared" si="11"/>
        <v>0.46027783519378129</v>
      </c>
      <c r="V118" s="11">
        <f t="shared" si="12"/>
        <v>0</v>
      </c>
      <c r="W118" s="11">
        <f t="shared" si="13"/>
        <v>0</v>
      </c>
      <c r="Y118" s="219">
        <f>'Share of £1bn'!$M$15*F118/$F$1</f>
        <v>2.2984088009421133</v>
      </c>
      <c r="Z118" s="220">
        <f t="shared" si="14"/>
        <v>-4.6320002490579029</v>
      </c>
      <c r="AA118" s="11">
        <f t="shared" si="15"/>
        <v>2.2984088009421133</v>
      </c>
      <c r="AB118" s="11">
        <f t="shared" si="16"/>
        <v>0</v>
      </c>
      <c r="AC118" s="11">
        <f t="shared" si="17"/>
        <v>0</v>
      </c>
      <c r="AE118" s="222"/>
      <c r="AF118" s="223"/>
    </row>
    <row r="119" spans="2:32" x14ac:dyDescent="0.25">
      <c r="B119" t="s">
        <v>403</v>
      </c>
      <c r="C119" t="s">
        <v>638</v>
      </c>
      <c r="D119" t="s">
        <v>639</v>
      </c>
      <c r="E119" t="s">
        <v>100</v>
      </c>
      <c r="F119" s="219">
        <v>396184</v>
      </c>
      <c r="G119" s="219">
        <v>0</v>
      </c>
      <c r="H119" s="219">
        <v>0</v>
      </c>
      <c r="I119" s="219">
        <v>195</v>
      </c>
      <c r="J119" s="219">
        <v>0</v>
      </c>
      <c r="K119" s="219">
        <v>0</v>
      </c>
      <c r="L119" s="219">
        <v>0</v>
      </c>
      <c r="M119" s="219">
        <v>0</v>
      </c>
      <c r="N119" s="219">
        <v>0</v>
      </c>
      <c r="O119" s="219">
        <v>396379</v>
      </c>
      <c r="Q119" s="219">
        <f>SUMIFS(Deficits!BY:BY,Deficits!BS:BS,C119)</f>
        <v>-7.06</v>
      </c>
      <c r="S119" s="219">
        <f>'Share of £1bn'!$L$15*O119/$O$1</f>
        <v>0.45453733456974188</v>
      </c>
      <c r="T119" s="220">
        <f t="shared" si="10"/>
        <v>-6.6054626654302577</v>
      </c>
      <c r="U119" s="11">
        <f t="shared" si="11"/>
        <v>0.45453733456974188</v>
      </c>
      <c r="V119" s="11">
        <f t="shared" si="12"/>
        <v>0</v>
      </c>
      <c r="W119" s="11">
        <f t="shared" si="13"/>
        <v>0</v>
      </c>
      <c r="Y119" s="219">
        <f>'Share of £1bn'!$M$15*F119/$F$1</f>
        <v>2.4730189820305482</v>
      </c>
      <c r="Z119" s="220">
        <f t="shared" si="14"/>
        <v>-4.5869810179694515</v>
      </c>
      <c r="AA119" s="11">
        <f t="shared" si="15"/>
        <v>2.4730189820305482</v>
      </c>
      <c r="AB119" s="11">
        <f t="shared" si="16"/>
        <v>0</v>
      </c>
      <c r="AC119" s="11">
        <f t="shared" si="17"/>
        <v>0</v>
      </c>
      <c r="AE119" s="222"/>
      <c r="AF119" s="223"/>
    </row>
    <row r="120" spans="2:32" x14ac:dyDescent="0.25">
      <c r="B120" t="s">
        <v>403</v>
      </c>
      <c r="C120" t="s">
        <v>640</v>
      </c>
      <c r="D120" t="s">
        <v>641</v>
      </c>
      <c r="E120" t="s">
        <v>100</v>
      </c>
      <c r="F120" s="219">
        <v>265663</v>
      </c>
      <c r="G120" s="219">
        <v>0</v>
      </c>
      <c r="H120" s="219">
        <v>2</v>
      </c>
      <c r="I120" s="219">
        <v>1002</v>
      </c>
      <c r="J120" s="219">
        <v>0</v>
      </c>
      <c r="K120" s="219">
        <v>0</v>
      </c>
      <c r="L120" s="219">
        <v>0</v>
      </c>
      <c r="M120" s="219">
        <v>0</v>
      </c>
      <c r="N120" s="219">
        <v>0</v>
      </c>
      <c r="O120" s="219">
        <v>266667</v>
      </c>
      <c r="Q120" s="219">
        <f>SUMIFS(Deficits!BY:BY,Deficits!BS:BS,C120)</f>
        <v>-12</v>
      </c>
      <c r="S120" s="219">
        <f>'Share of £1bn'!$L$15*O120/$O$1</f>
        <v>0.30579346382555422</v>
      </c>
      <c r="T120" s="220">
        <f t="shared" si="10"/>
        <v>-11.694206536174446</v>
      </c>
      <c r="U120" s="11">
        <f t="shared" si="11"/>
        <v>0.30579346382555422</v>
      </c>
      <c r="V120" s="11">
        <f t="shared" si="12"/>
        <v>0</v>
      </c>
      <c r="W120" s="11">
        <f t="shared" si="13"/>
        <v>0</v>
      </c>
      <c r="Y120" s="219">
        <f>'Share of £1bn'!$M$15*F120/$F$1</f>
        <v>1.6582942315267188</v>
      </c>
      <c r="Z120" s="220">
        <f t="shared" si="14"/>
        <v>-10.341705768473281</v>
      </c>
      <c r="AA120" s="11">
        <f t="shared" si="15"/>
        <v>1.6582942315267188</v>
      </c>
      <c r="AB120" s="11">
        <f t="shared" si="16"/>
        <v>0</v>
      </c>
      <c r="AC120" s="11">
        <f t="shared" si="17"/>
        <v>0</v>
      </c>
      <c r="AE120" s="222"/>
      <c r="AF120" s="223"/>
    </row>
    <row r="121" spans="2:32" x14ac:dyDescent="0.25">
      <c r="B121" t="s">
        <v>403</v>
      </c>
      <c r="C121" t="s">
        <v>642</v>
      </c>
      <c r="D121" t="s">
        <v>643</v>
      </c>
      <c r="E121" t="s">
        <v>50</v>
      </c>
      <c r="F121" s="219">
        <v>369873</v>
      </c>
      <c r="G121" s="219">
        <v>3510</v>
      </c>
      <c r="H121" s="219">
        <v>0</v>
      </c>
      <c r="I121" s="219">
        <v>6</v>
      </c>
      <c r="J121" s="219">
        <v>0</v>
      </c>
      <c r="K121" s="219">
        <v>0</v>
      </c>
      <c r="L121" s="219">
        <v>0</v>
      </c>
      <c r="M121" s="219">
        <v>0</v>
      </c>
      <c r="N121" s="219">
        <v>0</v>
      </c>
      <c r="O121" s="219">
        <v>373389</v>
      </c>
      <c r="Q121" s="219">
        <f>SUMIFS(Deficits!BY:BY,Deficits!BS:BS,C121)</f>
        <v>-16.579999999999998</v>
      </c>
      <c r="S121" s="219">
        <f>'Share of £1bn'!$L$15*O121/$O$1</f>
        <v>0.42817414852366381</v>
      </c>
      <c r="T121" s="220">
        <f t="shared" si="10"/>
        <v>-16.151825851476335</v>
      </c>
      <c r="U121" s="11">
        <f t="shared" si="11"/>
        <v>0.42817414852366381</v>
      </c>
      <c r="V121" s="11">
        <f t="shared" si="12"/>
        <v>0</v>
      </c>
      <c r="W121" s="11">
        <f t="shared" si="13"/>
        <v>0</v>
      </c>
      <c r="Y121" s="219">
        <f>'Share of £1bn'!$M$15*F121/$F$1</f>
        <v>2.3087831662575593</v>
      </c>
      <c r="Z121" s="220">
        <f t="shared" si="14"/>
        <v>-14.271216833742439</v>
      </c>
      <c r="AA121" s="11">
        <f t="shared" si="15"/>
        <v>2.3087831662575593</v>
      </c>
      <c r="AB121" s="11">
        <f t="shared" si="16"/>
        <v>0</v>
      </c>
      <c r="AC121" s="11">
        <f t="shared" si="17"/>
        <v>0</v>
      </c>
      <c r="AE121" s="222"/>
      <c r="AF121" s="223"/>
    </row>
    <row r="122" spans="2:32" x14ac:dyDescent="0.25">
      <c r="B122" t="s">
        <v>403</v>
      </c>
      <c r="C122" t="s">
        <v>644</v>
      </c>
      <c r="D122" t="s">
        <v>645</v>
      </c>
      <c r="E122" t="s">
        <v>50</v>
      </c>
      <c r="F122" s="219">
        <v>438209</v>
      </c>
      <c r="G122" s="219">
        <v>1269</v>
      </c>
      <c r="H122" s="219">
        <v>0</v>
      </c>
      <c r="I122" s="219">
        <v>17</v>
      </c>
      <c r="J122" s="219">
        <v>0</v>
      </c>
      <c r="K122" s="219">
        <v>0</v>
      </c>
      <c r="L122" s="219">
        <v>0</v>
      </c>
      <c r="M122" s="219">
        <v>0</v>
      </c>
      <c r="N122" s="219">
        <v>0</v>
      </c>
      <c r="O122" s="219">
        <v>439495</v>
      </c>
      <c r="Q122" s="219">
        <f>SUMIFS(Deficits!BY:BY,Deficits!BS:BS,C122)</f>
        <v>-18.103000000000002</v>
      </c>
      <c r="S122" s="219">
        <f>'Share of £1bn'!$L$15*O122/$O$1</f>
        <v>0.50397948896568356</v>
      </c>
      <c r="T122" s="220">
        <f t="shared" si="10"/>
        <v>-17.599020511034318</v>
      </c>
      <c r="U122" s="11">
        <f t="shared" si="11"/>
        <v>0.50397948896568356</v>
      </c>
      <c r="V122" s="11">
        <f t="shared" si="12"/>
        <v>0</v>
      </c>
      <c r="W122" s="11">
        <f t="shared" si="13"/>
        <v>0</v>
      </c>
      <c r="Y122" s="219">
        <f>'Share of £1bn'!$M$15*F122/$F$1</f>
        <v>2.7353431110206992</v>
      </c>
      <c r="Z122" s="220">
        <f t="shared" si="14"/>
        <v>-15.367656888979303</v>
      </c>
      <c r="AA122" s="11">
        <f t="shared" si="15"/>
        <v>2.7353431110206992</v>
      </c>
      <c r="AB122" s="11">
        <f t="shared" si="16"/>
        <v>0</v>
      </c>
      <c r="AC122" s="11">
        <f t="shared" si="17"/>
        <v>0</v>
      </c>
      <c r="AE122" s="222"/>
      <c r="AF122" s="223"/>
    </row>
    <row r="123" spans="2:32" x14ac:dyDescent="0.25">
      <c r="B123" t="s">
        <v>433</v>
      </c>
      <c r="C123" t="s">
        <v>646</v>
      </c>
      <c r="D123" t="s">
        <v>647</v>
      </c>
      <c r="E123" t="s">
        <v>50</v>
      </c>
      <c r="F123" s="219">
        <v>693</v>
      </c>
      <c r="G123" s="219">
        <v>171231</v>
      </c>
      <c r="H123" s="219">
        <v>109390</v>
      </c>
      <c r="I123" s="219">
        <v>0</v>
      </c>
      <c r="J123" s="219">
        <v>0</v>
      </c>
      <c r="K123" s="219">
        <v>0</v>
      </c>
      <c r="L123" s="219">
        <v>0</v>
      </c>
      <c r="M123" s="219">
        <v>0</v>
      </c>
      <c r="N123" s="219">
        <v>0</v>
      </c>
      <c r="O123" s="219">
        <v>281314</v>
      </c>
      <c r="Q123" s="219">
        <f>SUMIFS(Deficits!BY:BY,Deficits!BS:BS,C123)</f>
        <v>-10</v>
      </c>
      <c r="S123" s="219">
        <f>'Share of £1bn'!$L$15*O123/$O$1</f>
        <v>0.32258953107291849</v>
      </c>
      <c r="T123" s="220">
        <f t="shared" si="10"/>
        <v>-9.6774104689270821</v>
      </c>
      <c r="U123" s="11">
        <f t="shared" si="11"/>
        <v>0.32258953107291849</v>
      </c>
      <c r="V123" s="11">
        <f t="shared" si="12"/>
        <v>0</v>
      </c>
      <c r="W123" s="11">
        <f t="shared" si="13"/>
        <v>0</v>
      </c>
      <c r="Y123" s="219">
        <f>'Share of £1bn'!$M$15*F123/$F$1</f>
        <v>4.3257732632998053E-3</v>
      </c>
      <c r="Z123" s="220">
        <f t="shared" si="14"/>
        <v>-9.9956742267366998</v>
      </c>
      <c r="AA123" s="11">
        <f t="shared" si="15"/>
        <v>4.3257732632998053E-3</v>
      </c>
      <c r="AB123" s="11">
        <f t="shared" si="16"/>
        <v>0</v>
      </c>
      <c r="AC123" s="11">
        <f t="shared" si="17"/>
        <v>0</v>
      </c>
      <c r="AE123" s="222"/>
      <c r="AF123" s="223"/>
    </row>
    <row r="124" spans="2:32" x14ac:dyDescent="0.25">
      <c r="B124" t="s">
        <v>433</v>
      </c>
      <c r="C124" t="s">
        <v>648</v>
      </c>
      <c r="D124" t="s">
        <v>649</v>
      </c>
      <c r="E124" t="s">
        <v>110</v>
      </c>
      <c r="F124" s="219">
        <v>1152</v>
      </c>
      <c r="G124" s="219">
        <v>105322</v>
      </c>
      <c r="H124" s="219">
        <v>112082</v>
      </c>
      <c r="I124" s="219">
        <v>0</v>
      </c>
      <c r="J124" s="219">
        <v>0</v>
      </c>
      <c r="K124" s="219">
        <v>0</v>
      </c>
      <c r="L124" s="219">
        <v>0</v>
      </c>
      <c r="M124" s="219">
        <v>0</v>
      </c>
      <c r="N124" s="219">
        <v>0</v>
      </c>
      <c r="O124" s="219">
        <v>218556</v>
      </c>
      <c r="Q124" s="219">
        <f>SUMIFS(Deficits!BY:BY,Deficits!BS:BS,C124)</f>
        <v>-1.9000000036612617E-5</v>
      </c>
      <c r="S124" s="219">
        <f>'Share of £1bn'!$L$15*O124/$O$1</f>
        <v>0.2506234227701884</v>
      </c>
      <c r="T124" s="220">
        <f t="shared" si="10"/>
        <v>0.25060442277015177</v>
      </c>
      <c r="U124" s="11">
        <f t="shared" si="11"/>
        <v>0</v>
      </c>
      <c r="V124" s="11">
        <f t="shared" si="12"/>
        <v>1.9000000036612617E-5</v>
      </c>
      <c r="W124" s="11">
        <f t="shared" si="13"/>
        <v>0.25060442277015177</v>
      </c>
      <c r="Y124" s="219">
        <f>'Share of £1bn'!$M$15*F124/$F$1</f>
        <v>7.1908958143165596E-3</v>
      </c>
      <c r="Z124" s="220">
        <f t="shared" si="14"/>
        <v>7.1718958142799466E-3</v>
      </c>
      <c r="AA124" s="11">
        <f t="shared" si="15"/>
        <v>0</v>
      </c>
      <c r="AB124" s="11">
        <f t="shared" si="16"/>
        <v>1.9000000036612617E-5</v>
      </c>
      <c r="AC124" s="11">
        <f t="shared" si="17"/>
        <v>7.1718958142799466E-3</v>
      </c>
      <c r="AE124" s="222"/>
      <c r="AF124" s="223"/>
    </row>
    <row r="125" spans="2:32" x14ac:dyDescent="0.25">
      <c r="B125" t="s">
        <v>403</v>
      </c>
      <c r="C125" t="s">
        <v>650</v>
      </c>
      <c r="D125" t="s">
        <v>651</v>
      </c>
      <c r="E125" t="s">
        <v>110</v>
      </c>
      <c r="F125" s="219">
        <v>657298</v>
      </c>
      <c r="G125" s="219">
        <v>0</v>
      </c>
      <c r="H125" s="219">
        <v>0</v>
      </c>
      <c r="I125" s="219">
        <v>0</v>
      </c>
      <c r="J125" s="219">
        <v>0</v>
      </c>
      <c r="K125" s="219">
        <v>0</v>
      </c>
      <c r="L125" s="219">
        <v>0</v>
      </c>
      <c r="M125" s="219">
        <v>0</v>
      </c>
      <c r="N125" s="219">
        <v>4</v>
      </c>
      <c r="O125" s="219">
        <v>657302</v>
      </c>
      <c r="Q125" s="219">
        <f>SUMIFS(Deficits!BY:BY,Deficits!BS:BS,C125)</f>
        <v>-20.65</v>
      </c>
      <c r="S125" s="219">
        <f>'Share of £1bn'!$L$15*O125/$O$1</f>
        <v>0.75374401541797242</v>
      </c>
      <c r="T125" s="220">
        <f t="shared" si="10"/>
        <v>-19.896255984582027</v>
      </c>
      <c r="U125" s="11">
        <f t="shared" si="11"/>
        <v>0.75374401541797242</v>
      </c>
      <c r="V125" s="11">
        <f t="shared" si="12"/>
        <v>0</v>
      </c>
      <c r="W125" s="11">
        <f t="shared" si="13"/>
        <v>0</v>
      </c>
      <c r="Y125" s="219">
        <f>'Share of £1bn'!$M$15*F125/$F$1</f>
        <v>4.1029179140266017</v>
      </c>
      <c r="Z125" s="220">
        <f t="shared" si="14"/>
        <v>-16.547082085973397</v>
      </c>
      <c r="AA125" s="11">
        <f t="shared" si="15"/>
        <v>4.1029179140266017</v>
      </c>
      <c r="AB125" s="11">
        <f t="shared" si="16"/>
        <v>0</v>
      </c>
      <c r="AC125" s="11">
        <f t="shared" si="17"/>
        <v>0</v>
      </c>
      <c r="AE125" s="222"/>
      <c r="AF125" s="223"/>
    </row>
    <row r="126" spans="2:32" x14ac:dyDescent="0.25">
      <c r="B126" t="s">
        <v>403</v>
      </c>
      <c r="C126" t="s">
        <v>652</v>
      </c>
      <c r="D126" t="s">
        <v>653</v>
      </c>
      <c r="E126" t="s">
        <v>90</v>
      </c>
      <c r="F126" s="219">
        <v>499561</v>
      </c>
      <c r="G126" s="219">
        <v>1261</v>
      </c>
      <c r="H126" s="219">
        <v>7502</v>
      </c>
      <c r="I126" s="219">
        <v>2363</v>
      </c>
      <c r="J126" s="219">
        <v>0</v>
      </c>
      <c r="K126" s="219">
        <v>0</v>
      </c>
      <c r="L126" s="219">
        <v>0</v>
      </c>
      <c r="M126" s="219">
        <v>0</v>
      </c>
      <c r="N126" s="219">
        <v>0</v>
      </c>
      <c r="O126" s="219">
        <v>510687</v>
      </c>
      <c r="Q126" s="219">
        <f>SUMIFS(Deficits!BY:BY,Deficits!BS:BS,C126)</f>
        <v>-51.468083260000057</v>
      </c>
      <c r="S126" s="219">
        <f>'Share of £1bn'!$L$15*O126/$O$1</f>
        <v>0.58561706795621804</v>
      </c>
      <c r="T126" s="220">
        <f t="shared" si="10"/>
        <v>-50.882466192043836</v>
      </c>
      <c r="U126" s="11">
        <f t="shared" si="11"/>
        <v>0.58561706795621804</v>
      </c>
      <c r="V126" s="11">
        <f t="shared" si="12"/>
        <v>0</v>
      </c>
      <c r="W126" s="11">
        <f t="shared" si="13"/>
        <v>0</v>
      </c>
      <c r="Y126" s="219">
        <f>'Share of £1bn'!$M$15*F126/$F$1</f>
        <v>3.118308249909544</v>
      </c>
      <c r="Z126" s="220">
        <f t="shared" si="14"/>
        <v>-48.349775010090511</v>
      </c>
      <c r="AA126" s="11">
        <f t="shared" si="15"/>
        <v>3.118308249909544</v>
      </c>
      <c r="AB126" s="11">
        <f t="shared" si="16"/>
        <v>0</v>
      </c>
      <c r="AC126" s="11">
        <f t="shared" si="17"/>
        <v>0</v>
      </c>
      <c r="AE126" s="222"/>
      <c r="AF126" s="223"/>
    </row>
    <row r="127" spans="2:32" x14ac:dyDescent="0.25">
      <c r="B127" t="s">
        <v>403</v>
      </c>
      <c r="C127" t="s">
        <v>654</v>
      </c>
      <c r="D127" t="s">
        <v>655</v>
      </c>
      <c r="E127" t="s">
        <v>90</v>
      </c>
      <c r="F127" s="219">
        <v>187135</v>
      </c>
      <c r="G127" s="219">
        <v>29452</v>
      </c>
      <c r="H127" s="219">
        <v>22287</v>
      </c>
      <c r="I127" s="219">
        <v>1291</v>
      </c>
      <c r="J127" s="219">
        <v>0</v>
      </c>
      <c r="K127" s="219">
        <v>0</v>
      </c>
      <c r="L127" s="219">
        <v>13320</v>
      </c>
      <c r="M127" s="219">
        <v>0</v>
      </c>
      <c r="N127" s="219">
        <v>0</v>
      </c>
      <c r="O127" s="219">
        <v>253485</v>
      </c>
      <c r="Q127" s="219">
        <f>SUMIFS(Deficits!BY:BY,Deficits!BS:BS,C127)</f>
        <v>-33.906999999999996</v>
      </c>
      <c r="S127" s="219">
        <f>'Share of £1bn'!$L$15*O127/$O$1</f>
        <v>0.29067734732014311</v>
      </c>
      <c r="T127" s="220">
        <f t="shared" si="10"/>
        <v>-33.616322652679855</v>
      </c>
      <c r="U127" s="11">
        <f t="shared" si="11"/>
        <v>0.29067734732014311</v>
      </c>
      <c r="V127" s="11">
        <f t="shared" si="12"/>
        <v>0</v>
      </c>
      <c r="W127" s="11">
        <f t="shared" si="13"/>
        <v>0</v>
      </c>
      <c r="Y127" s="219">
        <f>'Share of £1bn'!$M$15*F127/$F$1</f>
        <v>1.1681148335174734</v>
      </c>
      <c r="Z127" s="220">
        <f t="shared" si="14"/>
        <v>-32.738885166482525</v>
      </c>
      <c r="AA127" s="11">
        <f t="shared" si="15"/>
        <v>1.1681148335174734</v>
      </c>
      <c r="AB127" s="11">
        <f t="shared" si="16"/>
        <v>0</v>
      </c>
      <c r="AC127" s="11">
        <f t="shared" si="17"/>
        <v>0</v>
      </c>
      <c r="AE127" s="222"/>
      <c r="AF127" s="223"/>
    </row>
    <row r="128" spans="2:32" x14ac:dyDescent="0.25">
      <c r="B128" t="s">
        <v>403</v>
      </c>
      <c r="C128" t="s">
        <v>656</v>
      </c>
      <c r="D128" t="s">
        <v>657</v>
      </c>
      <c r="E128" t="s">
        <v>90</v>
      </c>
      <c r="F128" s="219">
        <v>682722</v>
      </c>
      <c r="G128" s="219">
        <v>99</v>
      </c>
      <c r="H128" s="219">
        <v>0</v>
      </c>
      <c r="I128" s="219">
        <v>7929</v>
      </c>
      <c r="J128" s="219">
        <v>0</v>
      </c>
      <c r="K128" s="219">
        <v>0</v>
      </c>
      <c r="L128" s="219">
        <v>0</v>
      </c>
      <c r="M128" s="219">
        <v>0</v>
      </c>
      <c r="N128" s="219">
        <v>0</v>
      </c>
      <c r="O128" s="219">
        <v>690750</v>
      </c>
      <c r="Q128" s="219">
        <f>SUMIFS(Deficits!BY:BY,Deficits!BS:BS,C128)</f>
        <v>-54.585000000000001</v>
      </c>
      <c r="S128" s="219">
        <f>'Share of £1bn'!$L$15*O128/$O$1</f>
        <v>0.79209964164107882</v>
      </c>
      <c r="T128" s="220">
        <f t="shared" si="10"/>
        <v>-53.792900358358921</v>
      </c>
      <c r="U128" s="11">
        <f t="shared" si="11"/>
        <v>0.79209964164107882</v>
      </c>
      <c r="V128" s="11">
        <f t="shared" si="12"/>
        <v>0</v>
      </c>
      <c r="W128" s="11">
        <f t="shared" si="13"/>
        <v>0</v>
      </c>
      <c r="Y128" s="219">
        <f>'Share of £1bn'!$M$15*F128/$F$1</f>
        <v>4.2616169897064493</v>
      </c>
      <c r="Z128" s="220">
        <f t="shared" si="14"/>
        <v>-50.323383010293554</v>
      </c>
      <c r="AA128" s="11">
        <f t="shared" si="15"/>
        <v>4.2616169897064493</v>
      </c>
      <c r="AB128" s="11">
        <f t="shared" si="16"/>
        <v>0</v>
      </c>
      <c r="AC128" s="11">
        <f t="shared" si="17"/>
        <v>0</v>
      </c>
      <c r="AE128" s="222"/>
      <c r="AF128" s="223"/>
    </row>
    <row r="129" spans="2:32" x14ac:dyDescent="0.25">
      <c r="B129" t="s">
        <v>433</v>
      </c>
      <c r="C129" t="s">
        <v>658</v>
      </c>
      <c r="D129" t="s">
        <v>659</v>
      </c>
      <c r="E129" t="s">
        <v>90</v>
      </c>
      <c r="F129" s="219">
        <v>450</v>
      </c>
      <c r="G129" s="219">
        <v>55146</v>
      </c>
      <c r="H129" s="219">
        <v>131893</v>
      </c>
      <c r="I129" s="219">
        <v>0</v>
      </c>
      <c r="J129" s="219">
        <v>12247</v>
      </c>
      <c r="K129" s="219">
        <v>0</v>
      </c>
      <c r="L129" s="219">
        <v>0</v>
      </c>
      <c r="M129" s="219">
        <v>0</v>
      </c>
      <c r="N129" s="219">
        <v>0</v>
      </c>
      <c r="O129" s="219">
        <v>199736</v>
      </c>
      <c r="Q129" s="219">
        <f>SUMIFS(Deficits!BY:BY,Deficits!BS:BS,C129)</f>
        <v>-2.2307020000000048</v>
      </c>
      <c r="S129" s="219">
        <f>'Share of £1bn'!$L$15*O129/$O$1</f>
        <v>0.2290420760373833</v>
      </c>
      <c r="T129" s="220">
        <f t="shared" si="10"/>
        <v>-2.0016599239626216</v>
      </c>
      <c r="U129" s="11">
        <f t="shared" si="11"/>
        <v>0.2290420760373833</v>
      </c>
      <c r="V129" s="11">
        <f t="shared" si="12"/>
        <v>0</v>
      </c>
      <c r="W129" s="11">
        <f t="shared" si="13"/>
        <v>0</v>
      </c>
      <c r="Y129" s="219">
        <f>'Share of £1bn'!$M$15*F129/$F$1</f>
        <v>2.8089436774674059E-3</v>
      </c>
      <c r="Z129" s="220">
        <f t="shared" si="14"/>
        <v>-2.2278930563225376</v>
      </c>
      <c r="AA129" s="11">
        <f t="shared" si="15"/>
        <v>2.8089436774674059E-3</v>
      </c>
      <c r="AB129" s="11">
        <f t="shared" si="16"/>
        <v>0</v>
      </c>
      <c r="AC129" s="11">
        <f t="shared" si="17"/>
        <v>0</v>
      </c>
      <c r="AE129" s="222"/>
      <c r="AF129" s="223"/>
    </row>
    <row r="130" spans="2:32" x14ac:dyDescent="0.25">
      <c r="B130" t="s">
        <v>236</v>
      </c>
      <c r="C130" t="s">
        <v>660</v>
      </c>
      <c r="D130" t="s">
        <v>661</v>
      </c>
      <c r="E130" t="s">
        <v>90</v>
      </c>
      <c r="F130" s="219">
        <v>62180</v>
      </c>
      <c r="G130" s="219">
        <v>194</v>
      </c>
      <c r="H130" s="219">
        <v>0</v>
      </c>
      <c r="I130" s="219">
        <v>0</v>
      </c>
      <c r="J130" s="219">
        <v>0</v>
      </c>
      <c r="K130" s="219">
        <v>0</v>
      </c>
      <c r="L130" s="219">
        <v>247956</v>
      </c>
      <c r="M130" s="219">
        <v>0</v>
      </c>
      <c r="N130" s="219">
        <v>0</v>
      </c>
      <c r="O130" s="219">
        <v>310330</v>
      </c>
      <c r="Q130" s="219">
        <f>SUMIFS(Deficits!BY:BY,Deficits!BS:BS,C130)</f>
        <v>-35.4</v>
      </c>
      <c r="S130" s="219">
        <f>'Share of £1bn'!$L$15*O130/$O$1</f>
        <v>0.35586287628009555</v>
      </c>
      <c r="T130" s="220">
        <f t="shared" si="10"/>
        <v>-35.044137123719906</v>
      </c>
      <c r="U130" s="11">
        <f t="shared" si="11"/>
        <v>0.35586287628009555</v>
      </c>
      <c r="V130" s="11">
        <f t="shared" si="12"/>
        <v>0</v>
      </c>
      <c r="W130" s="11">
        <f t="shared" si="13"/>
        <v>0</v>
      </c>
      <c r="Y130" s="219">
        <f>'Share of £1bn'!$M$15*F130/$F$1</f>
        <v>0.3881335952553851</v>
      </c>
      <c r="Z130" s="220">
        <f t="shared" si="14"/>
        <v>-35.011866404744616</v>
      </c>
      <c r="AA130" s="11">
        <f t="shared" si="15"/>
        <v>0.3881335952553851</v>
      </c>
      <c r="AB130" s="11">
        <f t="shared" si="16"/>
        <v>0</v>
      </c>
      <c r="AC130" s="11">
        <f t="shared" si="17"/>
        <v>0</v>
      </c>
      <c r="AE130" s="222"/>
      <c r="AF130" s="223"/>
    </row>
    <row r="131" spans="2:32" x14ac:dyDescent="0.25">
      <c r="B131" t="s">
        <v>408</v>
      </c>
      <c r="C131" t="s">
        <v>662</v>
      </c>
      <c r="D131" t="s">
        <v>663</v>
      </c>
      <c r="E131" t="s">
        <v>90</v>
      </c>
      <c r="F131" s="219">
        <v>378</v>
      </c>
      <c r="G131" s="219">
        <v>190351</v>
      </c>
      <c r="H131" s="219">
        <v>149380</v>
      </c>
      <c r="I131" s="219">
        <v>0</v>
      </c>
      <c r="J131" s="219">
        <v>0</v>
      </c>
      <c r="K131" s="219">
        <v>0</v>
      </c>
      <c r="L131" s="219">
        <v>0</v>
      </c>
      <c r="M131" s="219">
        <v>0</v>
      </c>
      <c r="N131" s="219">
        <v>0</v>
      </c>
      <c r="O131" s="219">
        <v>340109</v>
      </c>
      <c r="Q131" s="219">
        <f>SUMIFS(Deficits!BY:BY,Deficits!BS:BS,C131)</f>
        <v>3.680800000729505E-4</v>
      </c>
      <c r="S131" s="219">
        <f>'Share of £1bn'!$L$15*O131/$O$1</f>
        <v>0.39001117194195539</v>
      </c>
      <c r="T131" s="220">
        <f t="shared" si="10"/>
        <v>0.39037925194202833</v>
      </c>
      <c r="U131" s="11">
        <f t="shared" si="11"/>
        <v>0</v>
      </c>
      <c r="V131" s="11">
        <f t="shared" si="12"/>
        <v>0</v>
      </c>
      <c r="W131" s="11">
        <f t="shared" si="13"/>
        <v>0.39001117194195539</v>
      </c>
      <c r="Y131" s="219">
        <f>'Share of £1bn'!$M$15*F131/$F$1</f>
        <v>2.3595126890726208E-3</v>
      </c>
      <c r="Z131" s="220">
        <f t="shared" si="14"/>
        <v>2.7275926891455714E-3</v>
      </c>
      <c r="AA131" s="11">
        <f t="shared" si="15"/>
        <v>0</v>
      </c>
      <c r="AB131" s="11">
        <f t="shared" si="16"/>
        <v>0</v>
      </c>
      <c r="AC131" s="11">
        <f t="shared" si="17"/>
        <v>2.3595126890726208E-3</v>
      </c>
      <c r="AE131" s="222"/>
      <c r="AF131" s="223"/>
    </row>
    <row r="132" spans="2:32" x14ac:dyDescent="0.25">
      <c r="B132" t="s">
        <v>403</v>
      </c>
      <c r="C132" t="s">
        <v>664</v>
      </c>
      <c r="D132" t="s">
        <v>665</v>
      </c>
      <c r="E132" t="s">
        <v>90</v>
      </c>
      <c r="F132" s="219">
        <v>1019763</v>
      </c>
      <c r="G132" s="219">
        <v>134</v>
      </c>
      <c r="H132" s="219">
        <v>195</v>
      </c>
      <c r="I132" s="219">
        <v>3130</v>
      </c>
      <c r="J132" s="219">
        <v>0</v>
      </c>
      <c r="K132" s="219">
        <v>0</v>
      </c>
      <c r="L132" s="219">
        <v>0</v>
      </c>
      <c r="M132" s="219">
        <v>0</v>
      </c>
      <c r="N132" s="219">
        <v>0</v>
      </c>
      <c r="O132" s="219">
        <v>1023222</v>
      </c>
      <c r="Q132" s="219">
        <f>SUMIFS(Deficits!BY:BY,Deficits!BS:BS,C132)</f>
        <v>-69.193824000000021</v>
      </c>
      <c r="S132" s="219">
        <f>'Share of £1bn'!$L$15*O132/$O$1</f>
        <v>1.1733532819678145</v>
      </c>
      <c r="T132" s="220">
        <f t="shared" ref="T132:T195" si="18">S132+$Q132</f>
        <v>-68.0204707180322</v>
      </c>
      <c r="U132" s="11">
        <f t="shared" ref="U132:U195" si="19">IF(AND($Q132&lt;0,T132&lt;0),S132,0)</f>
        <v>1.1733532819678145</v>
      </c>
      <c r="V132" s="11">
        <f t="shared" ref="V132:V195" si="20">IF(AND($Q132&lt;0,T132&gt;0),-$Q132,0)</f>
        <v>0</v>
      </c>
      <c r="W132" s="11">
        <f t="shared" ref="W132:W195" si="21">IF(OR($Q132&gt;=0,T132&gt;=0),S132-V132,0)</f>
        <v>0</v>
      </c>
      <c r="Y132" s="219">
        <f>'Share of £1bn'!$M$15*F132/$F$1</f>
        <v>6.3654596252559879</v>
      </c>
      <c r="Z132" s="220">
        <f t="shared" ref="Z132:Z195" si="22">Y132+$Q132</f>
        <v>-62.828364374744034</v>
      </c>
      <c r="AA132" s="11">
        <f t="shared" ref="AA132:AA195" si="23">IF(AND($Q132&lt;0,Z132&lt;0),Y132,0)</f>
        <v>6.3654596252559879</v>
      </c>
      <c r="AB132" s="11">
        <f t="shared" ref="AB132:AB195" si="24">IF(AND($Q132&lt;0,Z132&gt;0),-$Q132,0)</f>
        <v>0</v>
      </c>
      <c r="AC132" s="11">
        <f t="shared" ref="AC132:AC195" si="25">IF(OR($Q132&gt;=0,Z132&gt;=0),Y132-AB132,0)</f>
        <v>0</v>
      </c>
      <c r="AE132" s="222"/>
      <c r="AF132" s="223"/>
    </row>
    <row r="133" spans="2:32" x14ac:dyDescent="0.25">
      <c r="B133" t="s">
        <v>408</v>
      </c>
      <c r="C133" t="s">
        <v>666</v>
      </c>
      <c r="D133" t="s">
        <v>667</v>
      </c>
      <c r="E133" t="s">
        <v>78</v>
      </c>
      <c r="F133" s="219">
        <v>30807</v>
      </c>
      <c r="G133" s="219">
        <v>398120</v>
      </c>
      <c r="H133" s="219">
        <v>112968</v>
      </c>
      <c r="I133" s="219">
        <v>2299</v>
      </c>
      <c r="J133" s="219">
        <v>0</v>
      </c>
      <c r="K133" s="219">
        <v>0</v>
      </c>
      <c r="L133" s="219">
        <v>0</v>
      </c>
      <c r="M133" s="219">
        <v>0</v>
      </c>
      <c r="N133" s="219">
        <v>0</v>
      </c>
      <c r="O133" s="219">
        <v>544194</v>
      </c>
      <c r="Q133" s="219">
        <f>SUMIFS(Deficits!BY:BY,Deficits!BS:BS,C133)</f>
        <v>-3.3539999986533078E-4</v>
      </c>
      <c r="S133" s="219">
        <f>'Share of £1bn'!$L$15*O133/$O$1</f>
        <v>0.62404035089862497</v>
      </c>
      <c r="T133" s="220">
        <f t="shared" si="18"/>
        <v>0.62370495089875966</v>
      </c>
      <c r="U133" s="11">
        <f t="shared" si="19"/>
        <v>0</v>
      </c>
      <c r="V133" s="11">
        <f t="shared" si="20"/>
        <v>3.3539999986533078E-4</v>
      </c>
      <c r="W133" s="11">
        <f t="shared" si="21"/>
        <v>0.62370495089875966</v>
      </c>
      <c r="Y133" s="219">
        <f>'Share of £1bn'!$M$15*F133/$F$1</f>
        <v>0.19230028415941861</v>
      </c>
      <c r="Z133" s="220">
        <f t="shared" si="22"/>
        <v>0.19196488415955326</v>
      </c>
      <c r="AA133" s="11">
        <f t="shared" si="23"/>
        <v>0</v>
      </c>
      <c r="AB133" s="11">
        <f t="shared" si="24"/>
        <v>3.3539999986533078E-4</v>
      </c>
      <c r="AC133" s="11">
        <f t="shared" si="25"/>
        <v>0.19196488415955326</v>
      </c>
      <c r="AE133" s="222"/>
      <c r="AF133" s="223"/>
    </row>
    <row r="134" spans="2:32" x14ac:dyDescent="0.25">
      <c r="B134" t="s">
        <v>433</v>
      </c>
      <c r="C134" t="s">
        <v>668</v>
      </c>
      <c r="D134" t="s">
        <v>669</v>
      </c>
      <c r="E134" t="s">
        <v>78</v>
      </c>
      <c r="F134" s="219">
        <v>631</v>
      </c>
      <c r="G134" s="219">
        <v>2402</v>
      </c>
      <c r="H134" s="219">
        <v>285056</v>
      </c>
      <c r="I134" s="219">
        <v>0</v>
      </c>
      <c r="J134" s="219">
        <v>0</v>
      </c>
      <c r="K134" s="219">
        <v>0</v>
      </c>
      <c r="L134" s="219">
        <v>0</v>
      </c>
      <c r="M134" s="219">
        <v>0</v>
      </c>
      <c r="N134" s="219">
        <v>0</v>
      </c>
      <c r="O134" s="219">
        <v>288089</v>
      </c>
      <c r="Q134" s="219">
        <f>SUMIFS(Deficits!BY:BY,Deficits!BS:BS,C134)</f>
        <v>0</v>
      </c>
      <c r="S134" s="219">
        <f>'Share of £1bn'!$L$15*O134/$O$1</f>
        <v>0.33035858655191713</v>
      </c>
      <c r="T134" s="220">
        <f t="shared" si="18"/>
        <v>0.33035858655191713</v>
      </c>
      <c r="U134" s="11">
        <f t="shared" si="19"/>
        <v>0</v>
      </c>
      <c r="V134" s="11">
        <f t="shared" si="20"/>
        <v>0</v>
      </c>
      <c r="W134" s="11">
        <f t="shared" si="21"/>
        <v>0.33035858655191713</v>
      </c>
      <c r="Y134" s="219">
        <f>'Share of £1bn'!$M$15*F134/$F$1</f>
        <v>3.9387632455154071E-3</v>
      </c>
      <c r="Z134" s="220">
        <f t="shared" si="22"/>
        <v>3.9387632455154071E-3</v>
      </c>
      <c r="AA134" s="11">
        <f t="shared" si="23"/>
        <v>0</v>
      </c>
      <c r="AB134" s="11">
        <f t="shared" si="24"/>
        <v>0</v>
      </c>
      <c r="AC134" s="11">
        <f t="shared" si="25"/>
        <v>3.9387632455154071E-3</v>
      </c>
      <c r="AE134" s="222"/>
      <c r="AF134" s="223"/>
    </row>
    <row r="135" spans="2:32" x14ac:dyDescent="0.25">
      <c r="B135" t="s">
        <v>403</v>
      </c>
      <c r="C135" t="s">
        <v>670</v>
      </c>
      <c r="D135" t="s">
        <v>671</v>
      </c>
      <c r="E135" t="s">
        <v>78</v>
      </c>
      <c r="F135" s="219">
        <v>699149</v>
      </c>
      <c r="G135" s="219">
        <v>0</v>
      </c>
      <c r="H135" s="219">
        <v>0</v>
      </c>
      <c r="I135" s="219">
        <v>1</v>
      </c>
      <c r="J135" s="219">
        <v>0</v>
      </c>
      <c r="K135" s="219">
        <v>0</v>
      </c>
      <c r="L135" s="219">
        <v>0</v>
      </c>
      <c r="M135" s="219">
        <v>0</v>
      </c>
      <c r="N135" s="219">
        <v>0</v>
      </c>
      <c r="O135" s="219">
        <v>699150</v>
      </c>
      <c r="Q135" s="219">
        <f>SUMIFS(Deficits!BY:BY,Deficits!BS:BS,C135)</f>
        <v>-0.83499999999999996</v>
      </c>
      <c r="S135" s="219">
        <f>'Share of £1bn'!$L$15*O135/$O$1</f>
        <v>0.80173212371098113</v>
      </c>
      <c r="T135" s="220">
        <f t="shared" si="18"/>
        <v>-3.3267876289018838E-2</v>
      </c>
      <c r="U135" s="11">
        <f t="shared" si="19"/>
        <v>0.80173212371098113</v>
      </c>
      <c r="V135" s="11">
        <f t="shared" si="20"/>
        <v>0</v>
      </c>
      <c r="W135" s="11">
        <f t="shared" si="21"/>
        <v>0</v>
      </c>
      <c r="Y135" s="219">
        <f>'Share of £1bn'!$M$15*F135/$F$1</f>
        <v>4.364155918128132</v>
      </c>
      <c r="Z135" s="220">
        <f t="shared" si="22"/>
        <v>3.529155918128132</v>
      </c>
      <c r="AA135" s="11">
        <f t="shared" si="23"/>
        <v>0</v>
      </c>
      <c r="AB135" s="11">
        <f t="shared" si="24"/>
        <v>0.83499999999999996</v>
      </c>
      <c r="AC135" s="11">
        <f t="shared" si="25"/>
        <v>3.529155918128132</v>
      </c>
      <c r="AE135" s="222"/>
      <c r="AF135" s="223"/>
    </row>
    <row r="136" spans="2:32" x14ac:dyDescent="0.25">
      <c r="B136" t="s">
        <v>403</v>
      </c>
      <c r="C136" t="s">
        <v>672</v>
      </c>
      <c r="D136" t="s">
        <v>673</v>
      </c>
      <c r="E136" t="s">
        <v>78</v>
      </c>
      <c r="F136" s="219">
        <v>1232962</v>
      </c>
      <c r="G136" s="219">
        <v>0</v>
      </c>
      <c r="H136" s="219">
        <v>0</v>
      </c>
      <c r="I136" s="219">
        <v>49</v>
      </c>
      <c r="J136" s="219">
        <v>0</v>
      </c>
      <c r="K136" s="219">
        <v>0</v>
      </c>
      <c r="L136" s="219">
        <v>0</v>
      </c>
      <c r="M136" s="219">
        <v>0</v>
      </c>
      <c r="N136" s="219">
        <v>0</v>
      </c>
      <c r="O136" s="219">
        <v>1233011</v>
      </c>
      <c r="Q136" s="219">
        <f>SUMIFS(Deficits!BY:BY,Deficits!BS:BS,C136)</f>
        <v>-32.143000000000001</v>
      </c>
      <c r="S136" s="219">
        <f>'Share of £1bn'!$L$15*O136/$O$1</f>
        <v>1.4139233749395705</v>
      </c>
      <c r="T136" s="220">
        <f t="shared" si="18"/>
        <v>-30.729076625060429</v>
      </c>
      <c r="U136" s="11">
        <f t="shared" si="19"/>
        <v>1.4139233749395705</v>
      </c>
      <c r="V136" s="11">
        <f t="shared" si="20"/>
        <v>0</v>
      </c>
      <c r="W136" s="11">
        <f t="shared" si="21"/>
        <v>0</v>
      </c>
      <c r="Y136" s="219">
        <f>'Share of £1bn'!$M$15*F136/$F$1</f>
        <v>7.6962684765723735</v>
      </c>
      <c r="Z136" s="220">
        <f t="shared" si="22"/>
        <v>-24.446731523427626</v>
      </c>
      <c r="AA136" s="11">
        <f t="shared" si="23"/>
        <v>7.6962684765723735</v>
      </c>
      <c r="AB136" s="11">
        <f t="shared" si="24"/>
        <v>0</v>
      </c>
      <c r="AC136" s="11">
        <f t="shared" si="25"/>
        <v>0</v>
      </c>
      <c r="AE136" s="222"/>
      <c r="AF136" s="223"/>
    </row>
    <row r="137" spans="2:32" x14ac:dyDescent="0.25">
      <c r="B137" t="s">
        <v>236</v>
      </c>
      <c r="C137" t="s">
        <v>674</v>
      </c>
      <c r="D137" t="s">
        <v>675</v>
      </c>
      <c r="E137" t="s">
        <v>78</v>
      </c>
      <c r="F137" s="219">
        <v>112630</v>
      </c>
      <c r="G137" s="219">
        <v>574</v>
      </c>
      <c r="H137" s="219">
        <v>0</v>
      </c>
      <c r="I137" s="219">
        <v>0</v>
      </c>
      <c r="J137" s="219">
        <v>0</v>
      </c>
      <c r="K137" s="219">
        <v>0</v>
      </c>
      <c r="L137" s="219">
        <v>471382</v>
      </c>
      <c r="M137" s="219">
        <v>0</v>
      </c>
      <c r="N137" s="219">
        <v>42494</v>
      </c>
      <c r="O137" s="219">
        <v>627080</v>
      </c>
      <c r="Q137" s="219">
        <f>SUMIFS(Deficits!BY:BY,Deficits!BS:BS,C137)</f>
        <v>0</v>
      </c>
      <c r="S137" s="219">
        <f>'Share of £1bn'!$L$15*O137/$O$1</f>
        <v>0.71908772099933072</v>
      </c>
      <c r="T137" s="220">
        <f t="shared" si="18"/>
        <v>0.71908772099933072</v>
      </c>
      <c r="U137" s="11">
        <f t="shared" si="19"/>
        <v>0</v>
      </c>
      <c r="V137" s="11">
        <f t="shared" si="20"/>
        <v>0</v>
      </c>
      <c r="W137" s="11">
        <f t="shared" si="21"/>
        <v>0.71908772099933072</v>
      </c>
      <c r="Y137" s="219">
        <f>'Share of £1bn'!$M$15*F137/$F$1</f>
        <v>0.7030473919847865</v>
      </c>
      <c r="Z137" s="220">
        <f t="shared" si="22"/>
        <v>0.7030473919847865</v>
      </c>
      <c r="AA137" s="11">
        <f t="shared" si="23"/>
        <v>0</v>
      </c>
      <c r="AB137" s="11">
        <f t="shared" si="24"/>
        <v>0</v>
      </c>
      <c r="AC137" s="11">
        <f t="shared" si="25"/>
        <v>0.7030473919847865</v>
      </c>
      <c r="AE137" s="222"/>
      <c r="AF137" s="223"/>
    </row>
    <row r="138" spans="2:32" x14ac:dyDescent="0.25">
      <c r="B138" t="s">
        <v>403</v>
      </c>
      <c r="C138" t="s">
        <v>676</v>
      </c>
      <c r="D138" t="s">
        <v>677</v>
      </c>
      <c r="E138" t="s">
        <v>78</v>
      </c>
      <c r="F138" s="219">
        <v>777105</v>
      </c>
      <c r="G138" s="219">
        <v>0</v>
      </c>
      <c r="H138" s="219">
        <v>3924</v>
      </c>
      <c r="I138" s="219">
        <v>788</v>
      </c>
      <c r="J138" s="219">
        <v>0</v>
      </c>
      <c r="K138" s="219">
        <v>0</v>
      </c>
      <c r="L138" s="219">
        <v>0</v>
      </c>
      <c r="M138" s="219">
        <v>0</v>
      </c>
      <c r="N138" s="219">
        <v>0</v>
      </c>
      <c r="O138" s="219">
        <v>781817</v>
      </c>
      <c r="Q138" s="219">
        <f>SUMIFS(Deficits!BY:BY,Deficits!BS:BS,C138)</f>
        <v>-26.922000000000001</v>
      </c>
      <c r="S138" s="219">
        <f>'Share of £1bn'!$L$15*O138/$O$1</f>
        <v>0.89652836124343593</v>
      </c>
      <c r="T138" s="220">
        <f t="shared" si="18"/>
        <v>-26.025471638756564</v>
      </c>
      <c r="U138" s="11">
        <f t="shared" si="19"/>
        <v>0.89652836124343593</v>
      </c>
      <c r="V138" s="11">
        <f t="shared" si="20"/>
        <v>0</v>
      </c>
      <c r="W138" s="11">
        <f t="shared" si="21"/>
        <v>0</v>
      </c>
      <c r="Y138" s="219">
        <f>'Share of £1bn'!$M$15*F138/$F$1</f>
        <v>4.8507648366184632</v>
      </c>
      <c r="Z138" s="220">
        <f t="shared" si="22"/>
        <v>-22.071235163381537</v>
      </c>
      <c r="AA138" s="11">
        <f t="shared" si="23"/>
        <v>4.8507648366184632</v>
      </c>
      <c r="AB138" s="11">
        <f t="shared" si="24"/>
        <v>0</v>
      </c>
      <c r="AC138" s="11">
        <f t="shared" si="25"/>
        <v>0</v>
      </c>
      <c r="AE138" s="222"/>
      <c r="AF138" s="223"/>
    </row>
    <row r="139" spans="2:32" x14ac:dyDescent="0.25">
      <c r="B139" t="s">
        <v>403</v>
      </c>
      <c r="C139" t="s">
        <v>678</v>
      </c>
      <c r="D139" t="s">
        <v>679</v>
      </c>
      <c r="E139" t="s">
        <v>78</v>
      </c>
      <c r="F139" s="219">
        <v>291034</v>
      </c>
      <c r="G139" s="219">
        <v>0</v>
      </c>
      <c r="H139" s="219">
        <v>0</v>
      </c>
      <c r="I139" s="219">
        <v>71</v>
      </c>
      <c r="J139" s="219">
        <v>0</v>
      </c>
      <c r="K139" s="219">
        <v>0</v>
      </c>
      <c r="L139" s="219">
        <v>0</v>
      </c>
      <c r="M139" s="219">
        <v>0</v>
      </c>
      <c r="N139" s="219">
        <v>0</v>
      </c>
      <c r="O139" s="219">
        <v>291105</v>
      </c>
      <c r="Q139" s="219">
        <f>SUMIFS(Deficits!BY:BY,Deficits!BS:BS,C139)</f>
        <v>-6.5441878600000054</v>
      </c>
      <c r="S139" s="219">
        <f>'Share of £1bn'!$L$15*O139/$O$1</f>
        <v>0.3338171063046344</v>
      </c>
      <c r="T139" s="220">
        <f t="shared" si="18"/>
        <v>-6.2103707536953712</v>
      </c>
      <c r="U139" s="11">
        <f t="shared" si="19"/>
        <v>0.3338171063046344</v>
      </c>
      <c r="V139" s="11">
        <f t="shared" si="20"/>
        <v>0</v>
      </c>
      <c r="W139" s="11">
        <f t="shared" si="21"/>
        <v>0</v>
      </c>
      <c r="Y139" s="219">
        <f>'Share of £1bn'!$M$15*F139/$F$1</f>
        <v>1.8166624760623311</v>
      </c>
      <c r="Z139" s="220">
        <f t="shared" si="22"/>
        <v>-4.7275253839376745</v>
      </c>
      <c r="AA139" s="11">
        <f t="shared" si="23"/>
        <v>1.8166624760623311</v>
      </c>
      <c r="AB139" s="11">
        <f t="shared" si="24"/>
        <v>0</v>
      </c>
      <c r="AC139" s="11">
        <f t="shared" si="25"/>
        <v>0</v>
      </c>
      <c r="AE139" s="222"/>
      <c r="AF139" s="223"/>
    </row>
    <row r="140" spans="2:32" x14ac:dyDescent="0.25">
      <c r="B140" t="s">
        <v>408</v>
      </c>
      <c r="C140" t="s">
        <v>680</v>
      </c>
      <c r="D140" t="s">
        <v>681</v>
      </c>
      <c r="E140" t="s">
        <v>78</v>
      </c>
      <c r="F140" s="219">
        <v>1121</v>
      </c>
      <c r="G140" s="219">
        <v>282154</v>
      </c>
      <c r="H140" s="219">
        <v>53987</v>
      </c>
      <c r="I140" s="219">
        <v>0</v>
      </c>
      <c r="J140" s="219">
        <v>0</v>
      </c>
      <c r="K140" s="219">
        <v>0</v>
      </c>
      <c r="L140" s="219">
        <v>0</v>
      </c>
      <c r="M140" s="219">
        <v>0</v>
      </c>
      <c r="N140" s="219">
        <v>0</v>
      </c>
      <c r="O140" s="219">
        <v>337262</v>
      </c>
      <c r="Q140" s="219">
        <f>SUMIFS(Deficits!BY:BY,Deficits!BS:BS,C140)</f>
        <v>4.8299999997834672E-4</v>
      </c>
      <c r="S140" s="219">
        <f>'Share of £1bn'!$L$15*O140/$O$1</f>
        <v>0.38674644855469203</v>
      </c>
      <c r="T140" s="220">
        <f t="shared" si="18"/>
        <v>0.3872294485546704</v>
      </c>
      <c r="U140" s="11">
        <f t="shared" si="19"/>
        <v>0</v>
      </c>
      <c r="V140" s="11">
        <f t="shared" si="20"/>
        <v>0</v>
      </c>
      <c r="W140" s="11">
        <f t="shared" si="21"/>
        <v>0.38674644855469203</v>
      </c>
      <c r="Y140" s="219">
        <f>'Share of £1bn'!$M$15*F140/$F$1</f>
        <v>6.9973908054243601E-3</v>
      </c>
      <c r="Z140" s="220">
        <f t="shared" si="22"/>
        <v>7.4803908054027072E-3</v>
      </c>
      <c r="AA140" s="11">
        <f t="shared" si="23"/>
        <v>0</v>
      </c>
      <c r="AB140" s="11">
        <f t="shared" si="24"/>
        <v>0</v>
      </c>
      <c r="AC140" s="11">
        <f t="shared" si="25"/>
        <v>6.9973908054243601E-3</v>
      </c>
      <c r="AE140" s="222"/>
      <c r="AF140" s="223"/>
    </row>
    <row r="141" spans="2:32" x14ac:dyDescent="0.25">
      <c r="B141" t="s">
        <v>403</v>
      </c>
      <c r="C141" t="s">
        <v>682</v>
      </c>
      <c r="D141" t="s">
        <v>683</v>
      </c>
      <c r="E141" t="s">
        <v>112</v>
      </c>
      <c r="F141" s="219">
        <v>611274</v>
      </c>
      <c r="G141" s="219">
        <v>94618</v>
      </c>
      <c r="H141" s="219">
        <v>89433</v>
      </c>
      <c r="I141" s="219">
        <v>19499</v>
      </c>
      <c r="J141" s="219">
        <v>0</v>
      </c>
      <c r="K141" s="219">
        <v>0</v>
      </c>
      <c r="L141" s="219">
        <v>0</v>
      </c>
      <c r="M141" s="219">
        <v>0</v>
      </c>
      <c r="N141" s="219">
        <v>0</v>
      </c>
      <c r="O141" s="219">
        <v>814824</v>
      </c>
      <c r="Q141" s="219">
        <f>SUMIFS(Deficits!BY:BY,Deficits!BS:BS,C141)</f>
        <v>0</v>
      </c>
      <c r="S141" s="219">
        <f>'Share of £1bn'!$L$15*O141/$O$1</f>
        <v>0.93437828215787255</v>
      </c>
      <c r="T141" s="220">
        <f t="shared" si="18"/>
        <v>0.93437828215787255</v>
      </c>
      <c r="U141" s="11">
        <f t="shared" si="19"/>
        <v>0</v>
      </c>
      <c r="V141" s="11">
        <f t="shared" si="20"/>
        <v>0</v>
      </c>
      <c r="W141" s="11">
        <f t="shared" si="21"/>
        <v>0.93437828215787255</v>
      </c>
      <c r="Y141" s="219">
        <f>'Share of £1bn'!$M$15*F141/$F$1</f>
        <v>3.8156316388893585</v>
      </c>
      <c r="Z141" s="220">
        <f t="shared" si="22"/>
        <v>3.8156316388893585</v>
      </c>
      <c r="AA141" s="11">
        <f t="shared" si="23"/>
        <v>0</v>
      </c>
      <c r="AB141" s="11">
        <f t="shared" si="24"/>
        <v>0</v>
      </c>
      <c r="AC141" s="11">
        <f t="shared" si="25"/>
        <v>3.8156316388893585</v>
      </c>
      <c r="AE141" s="222"/>
      <c r="AF141" s="223"/>
    </row>
    <row r="142" spans="2:32" x14ac:dyDescent="0.25">
      <c r="B142" t="s">
        <v>403</v>
      </c>
      <c r="C142" t="s">
        <v>684</v>
      </c>
      <c r="D142" t="s">
        <v>685</v>
      </c>
      <c r="E142" t="s">
        <v>52</v>
      </c>
      <c r="F142" s="219">
        <v>1347726</v>
      </c>
      <c r="G142" s="219">
        <v>0</v>
      </c>
      <c r="H142" s="219">
        <v>1015</v>
      </c>
      <c r="I142" s="219">
        <v>10243</v>
      </c>
      <c r="J142" s="219">
        <v>0</v>
      </c>
      <c r="K142" s="219">
        <v>0</v>
      </c>
      <c r="L142" s="219">
        <v>0</v>
      </c>
      <c r="M142" s="219">
        <v>0</v>
      </c>
      <c r="N142" s="219">
        <v>0</v>
      </c>
      <c r="O142" s="219">
        <v>1358984</v>
      </c>
      <c r="Q142" s="219">
        <f>SUMIFS(Deficits!BY:BY,Deficits!BS:BS,C142)</f>
        <v>-69</v>
      </c>
      <c r="S142" s="219">
        <f>'Share of £1bn'!$L$15*O142/$O$1</f>
        <v>1.5583796444385956</v>
      </c>
      <c r="T142" s="220">
        <f t="shared" si="18"/>
        <v>-67.441620355561398</v>
      </c>
      <c r="U142" s="11">
        <f t="shared" si="19"/>
        <v>1.5583796444385956</v>
      </c>
      <c r="V142" s="11">
        <f t="shared" si="20"/>
        <v>0</v>
      </c>
      <c r="W142" s="11">
        <f t="shared" si="21"/>
        <v>0</v>
      </c>
      <c r="Y142" s="219">
        <f>'Share of £1bn'!$M$15*F142/$F$1</f>
        <v>8.412636503685416</v>
      </c>
      <c r="Z142" s="220">
        <f t="shared" si="22"/>
        <v>-60.58736349631458</v>
      </c>
      <c r="AA142" s="11">
        <f t="shared" si="23"/>
        <v>8.412636503685416</v>
      </c>
      <c r="AB142" s="11">
        <f t="shared" si="24"/>
        <v>0</v>
      </c>
      <c r="AC142" s="11">
        <f t="shared" si="25"/>
        <v>0</v>
      </c>
      <c r="AE142" s="222"/>
      <c r="AF142" s="223"/>
    </row>
    <row r="143" spans="2:32" x14ac:dyDescent="0.25">
      <c r="B143" t="s">
        <v>408</v>
      </c>
      <c r="C143" t="s">
        <v>686</v>
      </c>
      <c r="D143" t="s">
        <v>687</v>
      </c>
      <c r="E143" t="s">
        <v>52</v>
      </c>
      <c r="F143" s="219">
        <v>294</v>
      </c>
      <c r="G143" s="219">
        <v>395205</v>
      </c>
      <c r="H143" s="219">
        <v>117152</v>
      </c>
      <c r="I143" s="219">
        <v>0</v>
      </c>
      <c r="J143" s="219">
        <v>0</v>
      </c>
      <c r="K143" s="219">
        <v>0</v>
      </c>
      <c r="L143" s="219">
        <v>0</v>
      </c>
      <c r="M143" s="219">
        <v>41096</v>
      </c>
      <c r="N143" s="219">
        <v>223</v>
      </c>
      <c r="O143" s="219">
        <v>553970</v>
      </c>
      <c r="Q143" s="219">
        <f>SUMIFS(Deficits!BY:BY,Deficits!BS:BS,C143)</f>
        <v>-15.199999999999941</v>
      </c>
      <c r="S143" s="219">
        <f>'Share of £1bn'!$L$15*O143/$O$1</f>
        <v>0.63525072526950188</v>
      </c>
      <c r="T143" s="220">
        <f t="shared" si="18"/>
        <v>-14.564749274730438</v>
      </c>
      <c r="U143" s="11">
        <f t="shared" si="19"/>
        <v>0.63525072526950188</v>
      </c>
      <c r="V143" s="11">
        <f t="shared" si="20"/>
        <v>0</v>
      </c>
      <c r="W143" s="11">
        <f t="shared" si="21"/>
        <v>0</v>
      </c>
      <c r="Y143" s="219">
        <f>'Share of £1bn'!$M$15*F143/$F$1</f>
        <v>1.8351765359453721E-3</v>
      </c>
      <c r="Z143" s="220">
        <f t="shared" si="22"/>
        <v>-15.198164823463996</v>
      </c>
      <c r="AA143" s="11">
        <f t="shared" si="23"/>
        <v>1.8351765359453721E-3</v>
      </c>
      <c r="AB143" s="11">
        <f t="shared" si="24"/>
        <v>0</v>
      </c>
      <c r="AC143" s="11">
        <f t="shared" si="25"/>
        <v>0</v>
      </c>
      <c r="AE143" s="222"/>
      <c r="AF143" s="223"/>
    </row>
    <row r="144" spans="2:32" x14ac:dyDescent="0.25">
      <c r="B144" t="s">
        <v>403</v>
      </c>
      <c r="C144" t="s">
        <v>688</v>
      </c>
      <c r="D144" t="s">
        <v>689</v>
      </c>
      <c r="E144" t="s">
        <v>52</v>
      </c>
      <c r="F144" s="219">
        <v>387253</v>
      </c>
      <c r="G144" s="219">
        <v>0</v>
      </c>
      <c r="H144" s="219">
        <v>12034</v>
      </c>
      <c r="I144" s="219">
        <v>0</v>
      </c>
      <c r="J144" s="219">
        <v>0</v>
      </c>
      <c r="K144" s="219">
        <v>0</v>
      </c>
      <c r="L144" s="219">
        <v>0</v>
      </c>
      <c r="M144" s="219">
        <v>0</v>
      </c>
      <c r="N144" s="219">
        <v>2238</v>
      </c>
      <c r="O144" s="219">
        <v>401525</v>
      </c>
      <c r="Q144" s="219">
        <f>SUMIFS(Deficits!BY:BY,Deficits!BS:BS,C144)</f>
        <v>-16.099687190000044</v>
      </c>
      <c r="S144" s="219">
        <f>'Share of £1bn'!$L$15*O144/$O$1</f>
        <v>0.46043837656161302</v>
      </c>
      <c r="T144" s="220">
        <f t="shared" si="18"/>
        <v>-15.63924881343843</v>
      </c>
      <c r="U144" s="11">
        <f t="shared" si="19"/>
        <v>0.46043837656161302</v>
      </c>
      <c r="V144" s="11">
        <f t="shared" si="20"/>
        <v>0</v>
      </c>
      <c r="W144" s="11">
        <f t="shared" si="21"/>
        <v>0</v>
      </c>
      <c r="Y144" s="219">
        <f>'Share of £1bn'!$M$15*F144/$F$1</f>
        <v>2.4172708131784115</v>
      </c>
      <c r="Z144" s="220">
        <f t="shared" si="22"/>
        <v>-13.682416376821632</v>
      </c>
      <c r="AA144" s="11">
        <f t="shared" si="23"/>
        <v>2.4172708131784115</v>
      </c>
      <c r="AB144" s="11">
        <f t="shared" si="24"/>
        <v>0</v>
      </c>
      <c r="AC144" s="11">
        <f t="shared" si="25"/>
        <v>0</v>
      </c>
      <c r="AE144" s="222"/>
      <c r="AF144" s="223"/>
    </row>
    <row r="145" spans="2:32" x14ac:dyDescent="0.25">
      <c r="B145" t="s">
        <v>408</v>
      </c>
      <c r="C145" t="s">
        <v>690</v>
      </c>
      <c r="D145" t="s">
        <v>691</v>
      </c>
      <c r="E145" t="s">
        <v>104</v>
      </c>
      <c r="F145" s="219">
        <v>310</v>
      </c>
      <c r="G145" s="219">
        <v>105402</v>
      </c>
      <c r="H145" s="219">
        <v>130572</v>
      </c>
      <c r="I145" s="219">
        <v>0</v>
      </c>
      <c r="J145" s="219">
        <v>0</v>
      </c>
      <c r="K145" s="219">
        <v>0</v>
      </c>
      <c r="L145" s="219">
        <v>0</v>
      </c>
      <c r="M145" s="219">
        <v>0</v>
      </c>
      <c r="N145" s="219">
        <v>0</v>
      </c>
      <c r="O145" s="219">
        <v>236284</v>
      </c>
      <c r="Q145" s="219">
        <f>SUMIFS(Deficits!BY:BY,Deficits!BS:BS,C145)</f>
        <v>0</v>
      </c>
      <c r="S145" s="219">
        <f>'Share of £1bn'!$L$15*O145/$O$1</f>
        <v>0.27095254683390613</v>
      </c>
      <c r="T145" s="220">
        <f t="shared" si="18"/>
        <v>0.27095254683390613</v>
      </c>
      <c r="U145" s="11">
        <f t="shared" si="19"/>
        <v>0</v>
      </c>
      <c r="V145" s="11">
        <f t="shared" si="20"/>
        <v>0</v>
      </c>
      <c r="W145" s="11">
        <f t="shared" si="21"/>
        <v>0.27095254683390613</v>
      </c>
      <c r="Y145" s="219">
        <f>'Share of £1bn'!$M$15*F145/$F$1</f>
        <v>1.9350500889219907E-3</v>
      </c>
      <c r="Z145" s="220">
        <f t="shared" si="22"/>
        <v>1.9350500889219907E-3</v>
      </c>
      <c r="AA145" s="11">
        <f t="shared" si="23"/>
        <v>0</v>
      </c>
      <c r="AB145" s="11">
        <f t="shared" si="24"/>
        <v>0</v>
      </c>
      <c r="AC145" s="11">
        <f t="shared" si="25"/>
        <v>1.9350500889219907E-3</v>
      </c>
      <c r="AE145" s="222"/>
      <c r="AF145" s="223"/>
    </row>
    <row r="146" spans="2:32" x14ac:dyDescent="0.25">
      <c r="B146" t="s">
        <v>403</v>
      </c>
      <c r="C146" t="s">
        <v>692</v>
      </c>
      <c r="D146" t="s">
        <v>693</v>
      </c>
      <c r="E146" t="s">
        <v>104</v>
      </c>
      <c r="F146" s="219">
        <v>546618</v>
      </c>
      <c r="G146" s="219">
        <v>0</v>
      </c>
      <c r="H146" s="219">
        <v>0</v>
      </c>
      <c r="I146" s="219">
        <v>8140</v>
      </c>
      <c r="J146" s="219">
        <v>0</v>
      </c>
      <c r="K146" s="219">
        <v>0</v>
      </c>
      <c r="L146" s="219">
        <v>0</v>
      </c>
      <c r="M146" s="219">
        <v>0</v>
      </c>
      <c r="N146" s="219">
        <v>1453</v>
      </c>
      <c r="O146" s="219">
        <v>556211</v>
      </c>
      <c r="Q146" s="219">
        <f>SUMIFS(Deficits!BY:BY,Deficits!BS:BS,C146)</f>
        <v>0</v>
      </c>
      <c r="S146" s="219">
        <f>'Share of £1bn'!$L$15*O146/$O$1</f>
        <v>0.63782053387886506</v>
      </c>
      <c r="T146" s="220">
        <f t="shared" si="18"/>
        <v>0.63782053387886506</v>
      </c>
      <c r="U146" s="11">
        <f t="shared" si="19"/>
        <v>0</v>
      </c>
      <c r="V146" s="11">
        <f t="shared" si="20"/>
        <v>0</v>
      </c>
      <c r="W146" s="11">
        <f t="shared" si="21"/>
        <v>0.63782053387886506</v>
      </c>
      <c r="Y146" s="219">
        <f>'Share of £1bn'!$M$15*F146/$F$1</f>
        <v>3.4120426113108415</v>
      </c>
      <c r="Z146" s="220">
        <f t="shared" si="22"/>
        <v>3.4120426113108415</v>
      </c>
      <c r="AA146" s="11">
        <f t="shared" si="23"/>
        <v>0</v>
      </c>
      <c r="AB146" s="11">
        <f t="shared" si="24"/>
        <v>0</v>
      </c>
      <c r="AC146" s="11">
        <f t="shared" si="25"/>
        <v>3.4120426113108415</v>
      </c>
      <c r="AE146" s="222"/>
      <c r="AF146" s="223"/>
    </row>
    <row r="147" spans="2:32" x14ac:dyDescent="0.25">
      <c r="B147" t="s">
        <v>408</v>
      </c>
      <c r="C147" t="s">
        <v>694</v>
      </c>
      <c r="D147" t="s">
        <v>695</v>
      </c>
      <c r="E147" t="s">
        <v>86</v>
      </c>
      <c r="F147" s="219">
        <v>358</v>
      </c>
      <c r="G147" s="219">
        <v>164920</v>
      </c>
      <c r="H147" s="219">
        <v>139023</v>
      </c>
      <c r="I147" s="219">
        <v>0</v>
      </c>
      <c r="J147" s="219">
        <v>3298</v>
      </c>
      <c r="K147" s="219">
        <v>0</v>
      </c>
      <c r="L147" s="219">
        <v>0</v>
      </c>
      <c r="M147" s="219">
        <v>0</v>
      </c>
      <c r="N147" s="219">
        <v>0</v>
      </c>
      <c r="O147" s="219">
        <v>307599</v>
      </c>
      <c r="Q147" s="219">
        <f>SUMIFS(Deficits!BY:BY,Deficits!BS:BS,C147)</f>
        <v>1.311811939999985</v>
      </c>
      <c r="S147" s="219">
        <f>'Share of £1bn'!$L$15*O147/$O$1</f>
        <v>0.35273117288332134</v>
      </c>
      <c r="T147" s="220">
        <f t="shared" si="18"/>
        <v>1.6645431128833064</v>
      </c>
      <c r="U147" s="11">
        <f t="shared" si="19"/>
        <v>0</v>
      </c>
      <c r="V147" s="11">
        <f t="shared" si="20"/>
        <v>0</v>
      </c>
      <c r="W147" s="11">
        <f t="shared" si="21"/>
        <v>0.35273117288332134</v>
      </c>
      <c r="Y147" s="219">
        <f>'Share of £1bn'!$M$15*F147/$F$1</f>
        <v>2.2346707478518475E-3</v>
      </c>
      <c r="Z147" s="220">
        <f t="shared" si="22"/>
        <v>1.3140466107478368</v>
      </c>
      <c r="AA147" s="11">
        <f t="shared" si="23"/>
        <v>0</v>
      </c>
      <c r="AB147" s="11">
        <f t="shared" si="24"/>
        <v>0</v>
      </c>
      <c r="AC147" s="11">
        <f t="shared" si="25"/>
        <v>2.2346707478518475E-3</v>
      </c>
      <c r="AE147" s="222"/>
      <c r="AF147" s="223"/>
    </row>
    <row r="148" spans="2:32" x14ac:dyDescent="0.25">
      <c r="B148" t="s">
        <v>403</v>
      </c>
      <c r="C148" t="s">
        <v>696</v>
      </c>
      <c r="D148" t="s">
        <v>697</v>
      </c>
      <c r="E148" t="s">
        <v>86</v>
      </c>
      <c r="F148" s="219">
        <v>475461</v>
      </c>
      <c r="G148" s="219">
        <v>0</v>
      </c>
      <c r="H148" s="219">
        <v>43699</v>
      </c>
      <c r="I148" s="219">
        <v>4125</v>
      </c>
      <c r="J148" s="219">
        <v>0</v>
      </c>
      <c r="K148" s="219">
        <v>0</v>
      </c>
      <c r="L148" s="219">
        <v>0</v>
      </c>
      <c r="M148" s="219">
        <v>0</v>
      </c>
      <c r="N148" s="219">
        <v>0</v>
      </c>
      <c r="O148" s="219">
        <v>523285</v>
      </c>
      <c r="Q148" s="219">
        <f>SUMIFS(Deficits!BY:BY,Deficits!BS:BS,C148)</f>
        <v>-12.148999999999999</v>
      </c>
      <c r="S148" s="219">
        <f>'Share of £1bn'!$L$15*O148/$O$1</f>
        <v>0.60006349761295974</v>
      </c>
      <c r="T148" s="220">
        <f t="shared" si="18"/>
        <v>-11.54893650238704</v>
      </c>
      <c r="U148" s="11">
        <f t="shared" si="19"/>
        <v>0.60006349761295974</v>
      </c>
      <c r="V148" s="11">
        <f t="shared" si="20"/>
        <v>0</v>
      </c>
      <c r="W148" s="11">
        <f t="shared" si="21"/>
        <v>0</v>
      </c>
      <c r="Y148" s="219">
        <f>'Share of £1bn'!$M$15*F148/$F$1</f>
        <v>2.9678737107385116</v>
      </c>
      <c r="Z148" s="220">
        <f t="shared" si="22"/>
        <v>-9.1811262892614884</v>
      </c>
      <c r="AA148" s="11">
        <f t="shared" si="23"/>
        <v>2.9678737107385116</v>
      </c>
      <c r="AB148" s="11">
        <f t="shared" si="24"/>
        <v>0</v>
      </c>
      <c r="AC148" s="11">
        <f t="shared" si="25"/>
        <v>0</v>
      </c>
      <c r="AE148" s="222"/>
      <c r="AF148" s="223"/>
    </row>
    <row r="149" spans="2:32" x14ac:dyDescent="0.25">
      <c r="B149" t="s">
        <v>408</v>
      </c>
      <c r="C149" t="s">
        <v>698</v>
      </c>
      <c r="D149" t="s">
        <v>699</v>
      </c>
      <c r="E149" t="s">
        <v>86</v>
      </c>
      <c r="F149" s="219">
        <v>551</v>
      </c>
      <c r="G149" s="219">
        <v>344463</v>
      </c>
      <c r="H149" s="219">
        <v>119995</v>
      </c>
      <c r="I149" s="219">
        <v>0</v>
      </c>
      <c r="J149" s="219">
        <v>5182</v>
      </c>
      <c r="K149" s="219">
        <v>0</v>
      </c>
      <c r="L149" s="219">
        <v>0</v>
      </c>
      <c r="M149" s="219">
        <v>0</v>
      </c>
      <c r="N149" s="219">
        <v>0</v>
      </c>
      <c r="O149" s="219">
        <v>470191</v>
      </c>
      <c r="Q149" s="219">
        <f>SUMIFS(Deficits!BY:BY,Deficits!BS:BS,C149)</f>
        <v>3.3124600000000357</v>
      </c>
      <c r="S149" s="219">
        <f>'Share of £1bn'!$L$15*O149/$O$1</f>
        <v>0.53917933058684109</v>
      </c>
      <c r="T149" s="220">
        <f t="shared" si="18"/>
        <v>3.8516393305868766</v>
      </c>
      <c r="U149" s="11">
        <f t="shared" si="19"/>
        <v>0</v>
      </c>
      <c r="V149" s="11">
        <f t="shared" si="20"/>
        <v>0</v>
      </c>
      <c r="W149" s="11">
        <f t="shared" si="21"/>
        <v>0.53917933058684109</v>
      </c>
      <c r="Y149" s="219">
        <f>'Share of £1bn'!$M$15*F149/$F$1</f>
        <v>3.4393954806323126E-3</v>
      </c>
      <c r="Z149" s="220">
        <f t="shared" si="22"/>
        <v>3.3158993954806681</v>
      </c>
      <c r="AA149" s="11">
        <f t="shared" si="23"/>
        <v>0</v>
      </c>
      <c r="AB149" s="11">
        <f t="shared" si="24"/>
        <v>0</v>
      </c>
      <c r="AC149" s="11">
        <f t="shared" si="25"/>
        <v>3.4393954806323126E-3</v>
      </c>
      <c r="AE149" s="222"/>
      <c r="AF149" s="223"/>
    </row>
    <row r="150" spans="2:32" x14ac:dyDescent="0.25">
      <c r="B150" t="s">
        <v>403</v>
      </c>
      <c r="C150" t="s">
        <v>700</v>
      </c>
      <c r="D150" t="s">
        <v>701</v>
      </c>
      <c r="E150" t="s">
        <v>86</v>
      </c>
      <c r="F150" s="219">
        <v>1260571</v>
      </c>
      <c r="G150" s="219">
        <v>0</v>
      </c>
      <c r="H150" s="219">
        <v>0</v>
      </c>
      <c r="I150" s="219">
        <v>6296</v>
      </c>
      <c r="J150" s="219">
        <v>0</v>
      </c>
      <c r="K150" s="219">
        <v>0</v>
      </c>
      <c r="L150" s="219">
        <v>0</v>
      </c>
      <c r="M150" s="219">
        <v>0</v>
      </c>
      <c r="N150" s="219">
        <v>0</v>
      </c>
      <c r="O150" s="219">
        <v>1266867</v>
      </c>
      <c r="Q150" s="219">
        <f>SUMIFS(Deficits!BY:BY,Deficits!BS:BS,C150)</f>
        <v>-34.353999999999999</v>
      </c>
      <c r="S150" s="219">
        <f>'Share of £1bn'!$L$15*O150/$O$1</f>
        <v>1.4527468645775008</v>
      </c>
      <c r="T150" s="220">
        <f t="shared" si="18"/>
        <v>-32.9012531354225</v>
      </c>
      <c r="U150" s="11">
        <f t="shared" si="19"/>
        <v>1.4527468645775008</v>
      </c>
      <c r="V150" s="11">
        <f t="shared" si="20"/>
        <v>0</v>
      </c>
      <c r="W150" s="11">
        <f t="shared" si="21"/>
        <v>0</v>
      </c>
      <c r="Y150" s="219">
        <f>'Share of £1bn'!$M$15*F150/$F$1</f>
        <v>7.8686065343305902</v>
      </c>
      <c r="Z150" s="220">
        <f t="shared" si="22"/>
        <v>-26.485393465669411</v>
      </c>
      <c r="AA150" s="11">
        <f t="shared" si="23"/>
        <v>7.8686065343305902</v>
      </c>
      <c r="AB150" s="11">
        <f t="shared" si="24"/>
        <v>0</v>
      </c>
      <c r="AC150" s="11">
        <f t="shared" si="25"/>
        <v>0</v>
      </c>
      <c r="AE150" s="222"/>
      <c r="AF150" s="223"/>
    </row>
    <row r="151" spans="2:32" x14ac:dyDescent="0.25">
      <c r="B151" t="s">
        <v>403</v>
      </c>
      <c r="C151" t="s">
        <v>702</v>
      </c>
      <c r="D151" t="s">
        <v>703</v>
      </c>
      <c r="E151" t="s">
        <v>86</v>
      </c>
      <c r="F151" s="219">
        <v>510824</v>
      </c>
      <c r="G151" s="219">
        <v>0</v>
      </c>
      <c r="H151" s="219">
        <v>1</v>
      </c>
      <c r="I151" s="219">
        <v>2840</v>
      </c>
      <c r="J151" s="219">
        <v>0</v>
      </c>
      <c r="K151" s="219">
        <v>0</v>
      </c>
      <c r="L151" s="219">
        <v>0</v>
      </c>
      <c r="M151" s="219">
        <v>0</v>
      </c>
      <c r="N151" s="219">
        <v>0</v>
      </c>
      <c r="O151" s="219">
        <v>513665</v>
      </c>
      <c r="Q151" s="219">
        <f>SUMIFS(Deficits!BY:BY,Deficits!BS:BS,C151)</f>
        <v>-15.362550000000001</v>
      </c>
      <c r="S151" s="219">
        <f>'Share of £1bn'!$L$15*O151/$O$1</f>
        <v>0.58903201219480961</v>
      </c>
      <c r="T151" s="220">
        <f t="shared" si="18"/>
        <v>-14.773517987805191</v>
      </c>
      <c r="U151" s="11">
        <f t="shared" si="19"/>
        <v>0.58903201219480961</v>
      </c>
      <c r="V151" s="11">
        <f t="shared" si="20"/>
        <v>0</v>
      </c>
      <c r="W151" s="11">
        <f t="shared" si="21"/>
        <v>0</v>
      </c>
      <c r="Y151" s="219">
        <f>'Share of £1bn'!$M$15*F151/$F$1</f>
        <v>3.1886129891080226</v>
      </c>
      <c r="Z151" s="220">
        <f t="shared" si="22"/>
        <v>-12.173937010891978</v>
      </c>
      <c r="AA151" s="11">
        <f t="shared" si="23"/>
        <v>3.1886129891080226</v>
      </c>
      <c r="AB151" s="11">
        <f t="shared" si="24"/>
        <v>0</v>
      </c>
      <c r="AC151" s="11">
        <f t="shared" si="25"/>
        <v>0</v>
      </c>
      <c r="AE151" s="222"/>
      <c r="AF151" s="223"/>
    </row>
    <row r="152" spans="2:32" x14ac:dyDescent="0.25">
      <c r="B152" t="s">
        <v>408</v>
      </c>
      <c r="C152" t="s">
        <v>704</v>
      </c>
      <c r="D152" t="s">
        <v>705</v>
      </c>
      <c r="E152" t="s">
        <v>38</v>
      </c>
      <c r="F152" s="219">
        <v>284</v>
      </c>
      <c r="G152" s="219">
        <v>285222</v>
      </c>
      <c r="H152" s="219">
        <v>6327</v>
      </c>
      <c r="I152" s="219">
        <v>0</v>
      </c>
      <c r="J152" s="219">
        <v>0</v>
      </c>
      <c r="K152" s="219">
        <v>0</v>
      </c>
      <c r="L152" s="219">
        <v>0</v>
      </c>
      <c r="M152" s="219">
        <v>0</v>
      </c>
      <c r="N152" s="219">
        <v>0</v>
      </c>
      <c r="O152" s="219">
        <v>291833</v>
      </c>
      <c r="Q152" s="219">
        <f>SUMIFS(Deficits!BY:BY,Deficits!BS:BS,C152)</f>
        <v>3.9140000000000001</v>
      </c>
      <c r="S152" s="219">
        <f>'Share of £1bn'!$L$15*O152/$O$1</f>
        <v>0.33465192141735933</v>
      </c>
      <c r="T152" s="220">
        <f t="shared" si="18"/>
        <v>4.248651921417359</v>
      </c>
      <c r="U152" s="11">
        <f t="shared" si="19"/>
        <v>0</v>
      </c>
      <c r="V152" s="11">
        <f t="shared" si="20"/>
        <v>0</v>
      </c>
      <c r="W152" s="11">
        <f t="shared" si="21"/>
        <v>0.33465192141735933</v>
      </c>
      <c r="Y152" s="219">
        <f>'Share of £1bn'!$M$15*F152/$F$1</f>
        <v>1.7727555653349852E-3</v>
      </c>
      <c r="Z152" s="220">
        <f t="shared" si="22"/>
        <v>3.9157727555653352</v>
      </c>
      <c r="AA152" s="11">
        <f t="shared" si="23"/>
        <v>0</v>
      </c>
      <c r="AB152" s="11">
        <f t="shared" si="24"/>
        <v>0</v>
      </c>
      <c r="AC152" s="11">
        <f t="shared" si="25"/>
        <v>1.7727555653349852E-3</v>
      </c>
      <c r="AE152" s="222"/>
      <c r="AF152" s="223"/>
    </row>
    <row r="153" spans="2:32" x14ac:dyDescent="0.25">
      <c r="B153" t="s">
        <v>408</v>
      </c>
      <c r="C153" t="s">
        <v>706</v>
      </c>
      <c r="D153" t="s">
        <v>707</v>
      </c>
      <c r="E153" t="s">
        <v>38</v>
      </c>
      <c r="F153" s="219">
        <v>4306</v>
      </c>
      <c r="G153" s="219">
        <v>5090</v>
      </c>
      <c r="H153" s="219">
        <v>0</v>
      </c>
      <c r="I153" s="219">
        <v>0</v>
      </c>
      <c r="J153" s="219">
        <v>0</v>
      </c>
      <c r="K153" s="219">
        <v>0</v>
      </c>
      <c r="L153" s="219">
        <v>0</v>
      </c>
      <c r="M153" s="219">
        <v>4460</v>
      </c>
      <c r="N153" s="219">
        <v>0</v>
      </c>
      <c r="O153" s="219">
        <v>13856</v>
      </c>
      <c r="Q153" s="219">
        <f>SUMIFS(Deficits!BY:BY,Deficits!BS:BS,C153)</f>
        <v>1.0639700000000021</v>
      </c>
      <c r="S153" s="219">
        <f>'Share of £1bn'!$L$15*O153/$O$1</f>
        <v>1.588900851911515E-2</v>
      </c>
      <c r="T153" s="220">
        <f t="shared" si="18"/>
        <v>1.0798590085191173</v>
      </c>
      <c r="U153" s="11">
        <f t="shared" si="19"/>
        <v>0</v>
      </c>
      <c r="V153" s="11">
        <f t="shared" si="20"/>
        <v>0</v>
      </c>
      <c r="W153" s="11">
        <f t="shared" si="21"/>
        <v>1.588900851911515E-2</v>
      </c>
      <c r="Y153" s="219">
        <f>'Share of £1bn'!$M$15*F153/$F$1</f>
        <v>2.6878469944832555E-2</v>
      </c>
      <c r="Z153" s="220">
        <f t="shared" si="22"/>
        <v>1.0908484699448346</v>
      </c>
      <c r="AA153" s="11">
        <f t="shared" si="23"/>
        <v>0</v>
      </c>
      <c r="AB153" s="11">
        <f t="shared" si="24"/>
        <v>0</v>
      </c>
      <c r="AC153" s="11">
        <f t="shared" si="25"/>
        <v>2.6878469944832555E-2</v>
      </c>
      <c r="AE153" s="222"/>
      <c r="AF153" s="223"/>
    </row>
    <row r="154" spans="2:32" x14ac:dyDescent="0.25">
      <c r="B154" t="s">
        <v>403</v>
      </c>
      <c r="C154" t="s">
        <v>708</v>
      </c>
      <c r="D154" t="s">
        <v>709</v>
      </c>
      <c r="E154" t="s">
        <v>38</v>
      </c>
      <c r="F154" s="219">
        <v>539548</v>
      </c>
      <c r="G154" s="219">
        <v>0</v>
      </c>
      <c r="H154" s="219">
        <v>36218</v>
      </c>
      <c r="I154" s="219">
        <v>0</v>
      </c>
      <c r="J154" s="219">
        <v>0</v>
      </c>
      <c r="K154" s="219">
        <v>0</v>
      </c>
      <c r="L154" s="219">
        <v>0</v>
      </c>
      <c r="M154" s="219">
        <v>1379</v>
      </c>
      <c r="N154" s="219">
        <v>0</v>
      </c>
      <c r="O154" s="219">
        <v>577145</v>
      </c>
      <c r="Q154" s="219">
        <f>SUMIFS(Deficits!BY:BY,Deficits!BS:BS,C154)</f>
        <v>-18.823</v>
      </c>
      <c r="S154" s="219">
        <f>'Share of £1bn'!$L$15*O154/$O$1</f>
        <v>0.66182605526592897</v>
      </c>
      <c r="T154" s="220">
        <f t="shared" si="18"/>
        <v>-18.16117394473407</v>
      </c>
      <c r="U154" s="11">
        <f t="shared" si="19"/>
        <v>0.66182605526592897</v>
      </c>
      <c r="V154" s="11">
        <f t="shared" si="20"/>
        <v>0</v>
      </c>
      <c r="W154" s="11">
        <f t="shared" si="21"/>
        <v>0</v>
      </c>
      <c r="Y154" s="219">
        <f>'Share of £1bn'!$M$15*F154/$F$1</f>
        <v>3.3679109850892974</v>
      </c>
      <c r="Z154" s="220">
        <f t="shared" si="22"/>
        <v>-15.455089014910703</v>
      </c>
      <c r="AA154" s="11">
        <f t="shared" si="23"/>
        <v>3.3679109850892974</v>
      </c>
      <c r="AB154" s="11">
        <f t="shared" si="24"/>
        <v>0</v>
      </c>
      <c r="AC154" s="11">
        <f t="shared" si="25"/>
        <v>0</v>
      </c>
      <c r="AE154" s="222"/>
      <c r="AF154" s="223"/>
    </row>
    <row r="155" spans="2:32" x14ac:dyDescent="0.25">
      <c r="B155" t="s">
        <v>403</v>
      </c>
      <c r="C155" t="s">
        <v>710</v>
      </c>
      <c r="D155" t="s">
        <v>711</v>
      </c>
      <c r="E155" t="s">
        <v>38</v>
      </c>
      <c r="F155" s="219">
        <v>441441</v>
      </c>
      <c r="G155" s="219">
        <v>0</v>
      </c>
      <c r="H155" s="219">
        <v>29873</v>
      </c>
      <c r="I155" s="219">
        <v>2753</v>
      </c>
      <c r="J155" s="219">
        <v>0</v>
      </c>
      <c r="K155" s="219">
        <v>0</v>
      </c>
      <c r="L155" s="219">
        <v>0</v>
      </c>
      <c r="M155" s="219">
        <v>1029</v>
      </c>
      <c r="N155" s="219">
        <v>0</v>
      </c>
      <c r="O155" s="219">
        <v>475096</v>
      </c>
      <c r="Q155" s="219">
        <f>SUMIFS(Deficits!BY:BY,Deficits!BS:BS,C155)</f>
        <v>-19.173999999999999</v>
      </c>
      <c r="S155" s="219">
        <f>'Share of £1bn'!$L$15*O155/$O$1</f>
        <v>0.54480401208123053</v>
      </c>
      <c r="T155" s="220">
        <f t="shared" si="18"/>
        <v>-18.62919598791877</v>
      </c>
      <c r="U155" s="11">
        <f t="shared" si="19"/>
        <v>0.54480401208123053</v>
      </c>
      <c r="V155" s="11">
        <f t="shared" si="20"/>
        <v>0</v>
      </c>
      <c r="W155" s="11">
        <f t="shared" si="21"/>
        <v>0</v>
      </c>
      <c r="Y155" s="219">
        <f>'Share of £1bn'!$M$15*F155/$F$1</f>
        <v>2.7555175687219755</v>
      </c>
      <c r="Z155" s="220">
        <f t="shared" si="22"/>
        <v>-16.418482431278022</v>
      </c>
      <c r="AA155" s="11">
        <f t="shared" si="23"/>
        <v>2.7555175687219755</v>
      </c>
      <c r="AB155" s="11">
        <f t="shared" si="24"/>
        <v>0</v>
      </c>
      <c r="AC155" s="11">
        <f t="shared" si="25"/>
        <v>0</v>
      </c>
      <c r="AE155" s="222"/>
      <c r="AF155" s="223"/>
    </row>
    <row r="156" spans="2:32" x14ac:dyDescent="0.25">
      <c r="B156" t="s">
        <v>403</v>
      </c>
      <c r="C156" t="s">
        <v>712</v>
      </c>
      <c r="D156" t="s">
        <v>713</v>
      </c>
      <c r="E156" t="s">
        <v>38</v>
      </c>
      <c r="F156" s="219">
        <v>618442</v>
      </c>
      <c r="G156" s="219">
        <v>0</v>
      </c>
      <c r="H156" s="219">
        <v>43026</v>
      </c>
      <c r="I156" s="219">
        <v>5598</v>
      </c>
      <c r="J156" s="219">
        <v>1523</v>
      </c>
      <c r="K156" s="219">
        <v>0</v>
      </c>
      <c r="L156" s="219">
        <v>0</v>
      </c>
      <c r="M156" s="219">
        <v>1655</v>
      </c>
      <c r="N156" s="219">
        <v>0</v>
      </c>
      <c r="O156" s="219">
        <v>670244</v>
      </c>
      <c r="Q156" s="219">
        <f>SUMIFS(Deficits!BY:BY,Deficits!BS:BS,C156)</f>
        <v>-26.750039060000127</v>
      </c>
      <c r="S156" s="219">
        <f>'Share of £1bn'!$L$15*O156/$O$1</f>
        <v>0.76858491814995766</v>
      </c>
      <c r="T156" s="220">
        <f t="shared" si="18"/>
        <v>-25.981454141850168</v>
      </c>
      <c r="U156" s="11">
        <f t="shared" si="19"/>
        <v>0.76858491814995766</v>
      </c>
      <c r="V156" s="11">
        <f t="shared" si="20"/>
        <v>0</v>
      </c>
      <c r="W156" s="11">
        <f t="shared" si="21"/>
        <v>0</v>
      </c>
      <c r="Y156" s="219">
        <f>'Share of £1bn'!$M$15*F156/$F$1</f>
        <v>3.860374990622883</v>
      </c>
      <c r="Z156" s="220">
        <f t="shared" si="22"/>
        <v>-22.889664069377243</v>
      </c>
      <c r="AA156" s="11">
        <f t="shared" si="23"/>
        <v>3.860374990622883</v>
      </c>
      <c r="AB156" s="11">
        <f t="shared" si="24"/>
        <v>0</v>
      </c>
      <c r="AC156" s="11">
        <f t="shared" si="25"/>
        <v>0</v>
      </c>
      <c r="AE156" s="222"/>
      <c r="AF156" s="223"/>
    </row>
    <row r="157" spans="2:32" x14ac:dyDescent="0.25">
      <c r="B157" t="s">
        <v>403</v>
      </c>
      <c r="C157" t="s">
        <v>714</v>
      </c>
      <c r="D157" t="s">
        <v>715</v>
      </c>
      <c r="E157" t="s">
        <v>38</v>
      </c>
      <c r="F157" s="219">
        <v>287880</v>
      </c>
      <c r="G157" s="219">
        <v>840</v>
      </c>
      <c r="H157" s="219">
        <v>40141</v>
      </c>
      <c r="I157" s="219">
        <v>0</v>
      </c>
      <c r="J157" s="219">
        <v>0</v>
      </c>
      <c r="K157" s="219">
        <v>0</v>
      </c>
      <c r="L157" s="219">
        <v>0</v>
      </c>
      <c r="M157" s="219">
        <v>1503</v>
      </c>
      <c r="N157" s="219">
        <v>0</v>
      </c>
      <c r="O157" s="219">
        <v>330364</v>
      </c>
      <c r="Q157" s="219">
        <f>SUMIFS(Deficits!BY:BY,Deficits!BS:BS,C157)</f>
        <v>-14.018000000000001</v>
      </c>
      <c r="S157" s="219">
        <f>'Share of £1bn'!$L$15*O157/$O$1</f>
        <v>0.37883634601681265</v>
      </c>
      <c r="T157" s="220">
        <f t="shared" si="18"/>
        <v>-13.639163653983188</v>
      </c>
      <c r="U157" s="11">
        <f t="shared" si="19"/>
        <v>0.37883634601681265</v>
      </c>
      <c r="V157" s="11">
        <f t="shared" si="20"/>
        <v>0</v>
      </c>
      <c r="W157" s="11">
        <f t="shared" si="21"/>
        <v>0</v>
      </c>
      <c r="Y157" s="219">
        <f>'Share of £1bn'!$M$15*F157/$F$1</f>
        <v>1.7969749019318153</v>
      </c>
      <c r="Z157" s="220">
        <f t="shared" si="22"/>
        <v>-12.221025098068186</v>
      </c>
      <c r="AA157" s="11">
        <f t="shared" si="23"/>
        <v>1.7969749019318153</v>
      </c>
      <c r="AB157" s="11">
        <f t="shared" si="24"/>
        <v>0</v>
      </c>
      <c r="AC157" s="11">
        <f t="shared" si="25"/>
        <v>0</v>
      </c>
      <c r="AE157" s="222"/>
      <c r="AF157" s="223"/>
    </row>
    <row r="158" spans="2:32" x14ac:dyDescent="0.25">
      <c r="B158" t="s">
        <v>236</v>
      </c>
      <c r="C158" t="s">
        <v>716</v>
      </c>
      <c r="D158" t="s">
        <v>717</v>
      </c>
      <c r="E158" t="s">
        <v>38</v>
      </c>
      <c r="F158" s="219">
        <v>53568</v>
      </c>
      <c r="G158" s="219">
        <v>0</v>
      </c>
      <c r="H158" s="219">
        <v>0</v>
      </c>
      <c r="I158" s="219">
        <v>0</v>
      </c>
      <c r="J158" s="219">
        <v>0</v>
      </c>
      <c r="K158" s="219">
        <v>0</v>
      </c>
      <c r="L158" s="219">
        <v>304348</v>
      </c>
      <c r="M158" s="219">
        <v>0</v>
      </c>
      <c r="N158" s="219">
        <v>0</v>
      </c>
      <c r="O158" s="219">
        <v>357916</v>
      </c>
      <c r="Q158" s="219">
        <f>SUMIFS(Deficits!BY:BY,Deficits!BS:BS,C158)</f>
        <v>1.0000000009313226E-5</v>
      </c>
      <c r="S158" s="219">
        <f>'Share of £1bn'!$L$15*O158/$O$1</f>
        <v>0.41043088720609244</v>
      </c>
      <c r="T158" s="220">
        <f t="shared" si="18"/>
        <v>0.41044088720610178</v>
      </c>
      <c r="U158" s="11">
        <f t="shared" si="19"/>
        <v>0</v>
      </c>
      <c r="V158" s="11">
        <f t="shared" si="20"/>
        <v>0</v>
      </c>
      <c r="W158" s="11">
        <f t="shared" si="21"/>
        <v>0.41043088720609244</v>
      </c>
      <c r="Y158" s="219">
        <f>'Share of £1bn'!$M$15*F158/$F$1</f>
        <v>0.33437665536571998</v>
      </c>
      <c r="Z158" s="220">
        <f t="shared" si="22"/>
        <v>0.33438665536572931</v>
      </c>
      <c r="AA158" s="11">
        <f t="shared" si="23"/>
        <v>0</v>
      </c>
      <c r="AB158" s="11">
        <f t="shared" si="24"/>
        <v>0</v>
      </c>
      <c r="AC158" s="11">
        <f t="shared" si="25"/>
        <v>0.33437665536571998</v>
      </c>
      <c r="AE158" s="222"/>
      <c r="AF158" s="223"/>
    </row>
    <row r="159" spans="2:32" x14ac:dyDescent="0.25">
      <c r="B159" t="s">
        <v>403</v>
      </c>
      <c r="C159" t="s">
        <v>718</v>
      </c>
      <c r="D159" t="s">
        <v>719</v>
      </c>
      <c r="E159" t="s">
        <v>62</v>
      </c>
      <c r="F159" s="219">
        <v>1106700</v>
      </c>
      <c r="G159" s="219">
        <v>979</v>
      </c>
      <c r="H159" s="219">
        <v>0</v>
      </c>
      <c r="I159" s="219">
        <v>20</v>
      </c>
      <c r="J159" s="219">
        <v>0</v>
      </c>
      <c r="K159" s="219">
        <v>0</v>
      </c>
      <c r="L159" s="219">
        <v>0</v>
      </c>
      <c r="M159" s="219">
        <v>0</v>
      </c>
      <c r="N159" s="219">
        <v>0</v>
      </c>
      <c r="O159" s="219">
        <v>1107699</v>
      </c>
      <c r="Q159" s="219">
        <f>SUMIFS(Deficits!BY:BY,Deficits!BS:BS,C159)</f>
        <v>0</v>
      </c>
      <c r="S159" s="219">
        <f>'Share of £1bn'!$L$15*O159/$O$1</f>
        <v>1.2702250900415222</v>
      </c>
      <c r="T159" s="220">
        <f t="shared" si="18"/>
        <v>1.2702250900415222</v>
      </c>
      <c r="U159" s="11">
        <f t="shared" si="19"/>
        <v>0</v>
      </c>
      <c r="V159" s="11">
        <f t="shared" si="20"/>
        <v>0</v>
      </c>
      <c r="W159" s="11">
        <f t="shared" si="21"/>
        <v>1.2702250900415222</v>
      </c>
      <c r="Y159" s="219">
        <f>'Share of £1bn'!$M$15*F159/$F$1</f>
        <v>6.9081288174515079</v>
      </c>
      <c r="Z159" s="220">
        <f t="shared" si="22"/>
        <v>6.9081288174515079</v>
      </c>
      <c r="AA159" s="11">
        <f t="shared" si="23"/>
        <v>0</v>
      </c>
      <c r="AB159" s="11">
        <f t="shared" si="24"/>
        <v>0</v>
      </c>
      <c r="AC159" s="11">
        <f t="shared" si="25"/>
        <v>6.9081288174515079</v>
      </c>
      <c r="AE159" s="222"/>
      <c r="AF159" s="223"/>
    </row>
    <row r="160" spans="2:32" x14ac:dyDescent="0.25">
      <c r="B160" t="s">
        <v>408</v>
      </c>
      <c r="C160" t="s">
        <v>720</v>
      </c>
      <c r="D160" t="s">
        <v>721</v>
      </c>
      <c r="E160" t="s">
        <v>62</v>
      </c>
      <c r="F160" s="219">
        <v>204</v>
      </c>
      <c r="G160" s="219">
        <v>141242</v>
      </c>
      <c r="H160" s="219">
        <v>84585</v>
      </c>
      <c r="I160" s="219">
        <v>0</v>
      </c>
      <c r="J160" s="219">
        <v>0</v>
      </c>
      <c r="K160" s="219">
        <v>0</v>
      </c>
      <c r="L160" s="219">
        <v>0</v>
      </c>
      <c r="M160" s="219">
        <v>0</v>
      </c>
      <c r="N160" s="219">
        <v>0</v>
      </c>
      <c r="O160" s="219">
        <v>226031</v>
      </c>
      <c r="Q160" s="219">
        <f>SUMIFS(Deficits!BY:BY,Deficits!BS:BS,C160)</f>
        <v>0</v>
      </c>
      <c r="S160" s="219">
        <f>'Share of £1bn'!$L$15*O160/$O$1</f>
        <v>0.25919518508834555</v>
      </c>
      <c r="T160" s="220">
        <f t="shared" si="18"/>
        <v>0.25919518508834555</v>
      </c>
      <c r="U160" s="11">
        <f t="shared" si="19"/>
        <v>0</v>
      </c>
      <c r="V160" s="11">
        <f t="shared" si="20"/>
        <v>0</v>
      </c>
      <c r="W160" s="11">
        <f t="shared" si="21"/>
        <v>0.25919518508834555</v>
      </c>
      <c r="Y160" s="219">
        <f>'Share of £1bn'!$M$15*F160/$F$1</f>
        <v>1.2733878004518907E-3</v>
      </c>
      <c r="Z160" s="220">
        <f t="shared" si="22"/>
        <v>1.2733878004518907E-3</v>
      </c>
      <c r="AA160" s="11">
        <f t="shared" si="23"/>
        <v>0</v>
      </c>
      <c r="AB160" s="11">
        <f t="shared" si="24"/>
        <v>0</v>
      </c>
      <c r="AC160" s="11">
        <f t="shared" si="25"/>
        <v>1.2733878004518907E-3</v>
      </c>
      <c r="AE160" s="222"/>
      <c r="AF160" s="223"/>
    </row>
    <row r="161" spans="2:32" x14ac:dyDescent="0.25">
      <c r="B161" t="s">
        <v>433</v>
      </c>
      <c r="C161" t="s">
        <v>722</v>
      </c>
      <c r="D161" t="s">
        <v>723</v>
      </c>
      <c r="E161" t="s">
        <v>62</v>
      </c>
      <c r="F161" s="219">
        <v>88</v>
      </c>
      <c r="G161" s="219">
        <v>0</v>
      </c>
      <c r="H161" s="219">
        <v>61322</v>
      </c>
      <c r="I161" s="219">
        <v>0</v>
      </c>
      <c r="J161" s="219">
        <v>0</v>
      </c>
      <c r="K161" s="219">
        <v>0</v>
      </c>
      <c r="L161" s="219">
        <v>0</v>
      </c>
      <c r="M161" s="219">
        <v>0</v>
      </c>
      <c r="N161" s="219">
        <v>0</v>
      </c>
      <c r="O161" s="219">
        <v>61410</v>
      </c>
      <c r="Q161" s="219">
        <f>SUMIFS(Deficits!BY:BY,Deficits!BS:BS,C161)</f>
        <v>0</v>
      </c>
      <c r="S161" s="219">
        <f>'Share of £1bn'!$L$15*O161/$O$1</f>
        <v>7.0420324275321966E-2</v>
      </c>
      <c r="T161" s="220">
        <f t="shared" si="18"/>
        <v>7.0420324275321966E-2</v>
      </c>
      <c r="U161" s="11">
        <f t="shared" si="19"/>
        <v>0</v>
      </c>
      <c r="V161" s="11">
        <f t="shared" si="20"/>
        <v>0</v>
      </c>
      <c r="W161" s="11">
        <f t="shared" si="21"/>
        <v>7.0420324275321966E-2</v>
      </c>
      <c r="Y161" s="219">
        <f>'Share of £1bn'!$M$15*F161/$F$1</f>
        <v>5.4930454137140379E-4</v>
      </c>
      <c r="Z161" s="220">
        <f t="shared" si="22"/>
        <v>5.4930454137140379E-4</v>
      </c>
      <c r="AA161" s="11">
        <f t="shared" si="23"/>
        <v>0</v>
      </c>
      <c r="AB161" s="11">
        <f t="shared" si="24"/>
        <v>0</v>
      </c>
      <c r="AC161" s="11">
        <f t="shared" si="25"/>
        <v>5.4930454137140379E-4</v>
      </c>
      <c r="AE161" s="222"/>
      <c r="AF161" s="223"/>
    </row>
    <row r="162" spans="2:32" x14ac:dyDescent="0.25">
      <c r="B162" t="s">
        <v>403</v>
      </c>
      <c r="C162" t="s">
        <v>724</v>
      </c>
      <c r="D162" t="s">
        <v>725</v>
      </c>
      <c r="E162" t="s">
        <v>62</v>
      </c>
      <c r="F162" s="219">
        <v>597275</v>
      </c>
      <c r="G162" s="219">
        <v>0</v>
      </c>
      <c r="H162" s="219">
        <v>0</v>
      </c>
      <c r="I162" s="219">
        <v>0</v>
      </c>
      <c r="J162" s="219">
        <v>0</v>
      </c>
      <c r="K162" s="219">
        <v>0</v>
      </c>
      <c r="L162" s="219">
        <v>0</v>
      </c>
      <c r="M162" s="219">
        <v>0</v>
      </c>
      <c r="N162" s="219">
        <v>0</v>
      </c>
      <c r="O162" s="219">
        <v>597275</v>
      </c>
      <c r="Q162" s="219">
        <f>SUMIFS(Deficits!BY:BY,Deficits!BS:BS,C162)</f>
        <v>0</v>
      </c>
      <c r="S162" s="219">
        <f>'Share of £1bn'!$L$15*O162/$O$1</f>
        <v>0.68490961051201649</v>
      </c>
      <c r="T162" s="220">
        <f t="shared" si="18"/>
        <v>0.68490961051201649</v>
      </c>
      <c r="U162" s="11">
        <f t="shared" si="19"/>
        <v>0</v>
      </c>
      <c r="V162" s="11">
        <f t="shared" si="20"/>
        <v>0</v>
      </c>
      <c r="W162" s="11">
        <f t="shared" si="21"/>
        <v>0.68490961051201649</v>
      </c>
      <c r="Y162" s="219">
        <f>'Share of £1bn'!$M$15*F162/$F$1</f>
        <v>3.7282485221318775</v>
      </c>
      <c r="Z162" s="220">
        <f t="shared" si="22"/>
        <v>3.7282485221318775</v>
      </c>
      <c r="AA162" s="11">
        <f t="shared" si="23"/>
        <v>0</v>
      </c>
      <c r="AB162" s="11">
        <f t="shared" si="24"/>
        <v>0</v>
      </c>
      <c r="AC162" s="11">
        <f t="shared" si="25"/>
        <v>3.7282485221318775</v>
      </c>
      <c r="AE162" s="222"/>
      <c r="AF162" s="223"/>
    </row>
    <row r="163" spans="2:32" x14ac:dyDescent="0.25">
      <c r="B163" t="s">
        <v>403</v>
      </c>
      <c r="C163" t="s">
        <v>726</v>
      </c>
      <c r="D163" t="s">
        <v>727</v>
      </c>
      <c r="E163" t="s">
        <v>62</v>
      </c>
      <c r="F163" s="219">
        <v>265437</v>
      </c>
      <c r="G163" s="219">
        <v>0</v>
      </c>
      <c r="H163" s="219">
        <v>0</v>
      </c>
      <c r="I163" s="219">
        <v>0</v>
      </c>
      <c r="J163" s="219">
        <v>0</v>
      </c>
      <c r="K163" s="219">
        <v>0</v>
      </c>
      <c r="L163" s="219">
        <v>0</v>
      </c>
      <c r="M163" s="219">
        <v>0</v>
      </c>
      <c r="N163" s="219">
        <v>0</v>
      </c>
      <c r="O163" s="219">
        <v>265437</v>
      </c>
      <c r="Q163" s="219">
        <f>SUMIFS(Deficits!BY:BY,Deficits!BS:BS,C163)</f>
        <v>0</v>
      </c>
      <c r="S163" s="219">
        <f>'Share of £1bn'!$L$15*O163/$O$1</f>
        <v>0.30438299323674706</v>
      </c>
      <c r="T163" s="220">
        <f t="shared" si="18"/>
        <v>0.30438299323674706</v>
      </c>
      <c r="U163" s="11">
        <f t="shared" si="19"/>
        <v>0</v>
      </c>
      <c r="V163" s="11">
        <f t="shared" si="20"/>
        <v>0</v>
      </c>
      <c r="W163" s="11">
        <f t="shared" si="21"/>
        <v>0.30438299323674706</v>
      </c>
      <c r="Y163" s="219">
        <f>'Share of £1bn'!$M$15*F163/$F$1</f>
        <v>1.656883517590924</v>
      </c>
      <c r="Z163" s="220">
        <f t="shared" si="22"/>
        <v>1.656883517590924</v>
      </c>
      <c r="AA163" s="11">
        <f t="shared" si="23"/>
        <v>0</v>
      </c>
      <c r="AB163" s="11">
        <f t="shared" si="24"/>
        <v>0</v>
      </c>
      <c r="AC163" s="11">
        <f t="shared" si="25"/>
        <v>1.656883517590924</v>
      </c>
      <c r="AE163" s="222"/>
      <c r="AF163" s="223"/>
    </row>
    <row r="164" spans="2:32" x14ac:dyDescent="0.25">
      <c r="B164" t="s">
        <v>408</v>
      </c>
      <c r="C164" t="s">
        <v>728</v>
      </c>
      <c r="D164" t="s">
        <v>729</v>
      </c>
      <c r="E164" t="s">
        <v>102</v>
      </c>
      <c r="F164" s="219">
        <v>560</v>
      </c>
      <c r="G164" s="219">
        <v>259407</v>
      </c>
      <c r="H164" s="219">
        <v>33</v>
      </c>
      <c r="I164" s="219">
        <v>0</v>
      </c>
      <c r="J164" s="219">
        <v>0</v>
      </c>
      <c r="K164" s="219">
        <v>0</v>
      </c>
      <c r="L164" s="219">
        <v>0</v>
      </c>
      <c r="M164" s="219">
        <v>0</v>
      </c>
      <c r="N164" s="219">
        <v>0</v>
      </c>
      <c r="O164" s="219">
        <v>260000</v>
      </c>
      <c r="Q164" s="219">
        <f>SUMIFS(Deficits!BY:BY,Deficits!BS:BS,C164)</f>
        <v>0</v>
      </c>
      <c r="S164" s="219">
        <f>'Share of £1bn'!$L$15*O164/$O$1</f>
        <v>0.29814825454459715</v>
      </c>
      <c r="T164" s="220">
        <f t="shared" si="18"/>
        <v>0.29814825454459715</v>
      </c>
      <c r="U164" s="11">
        <f t="shared" si="19"/>
        <v>0</v>
      </c>
      <c r="V164" s="11">
        <f t="shared" si="20"/>
        <v>0</v>
      </c>
      <c r="W164" s="11">
        <f t="shared" si="21"/>
        <v>0.29814825454459715</v>
      </c>
      <c r="Y164" s="219">
        <f>'Share of £1bn'!$M$15*F164/$F$1</f>
        <v>3.4955743541816606E-3</v>
      </c>
      <c r="Z164" s="220">
        <f t="shared" si="22"/>
        <v>3.4955743541816606E-3</v>
      </c>
      <c r="AA164" s="11">
        <f t="shared" si="23"/>
        <v>0</v>
      </c>
      <c r="AB164" s="11">
        <f t="shared" si="24"/>
        <v>0</v>
      </c>
      <c r="AC164" s="11">
        <f t="shared" si="25"/>
        <v>3.4955743541816606E-3</v>
      </c>
      <c r="AE164" s="222"/>
      <c r="AF164" s="223"/>
    </row>
    <row r="165" spans="2:32" x14ac:dyDescent="0.25">
      <c r="B165" t="s">
        <v>403</v>
      </c>
      <c r="C165" t="s">
        <v>730</v>
      </c>
      <c r="D165" t="s">
        <v>731</v>
      </c>
      <c r="E165" t="s">
        <v>102</v>
      </c>
      <c r="F165" s="219">
        <v>762853</v>
      </c>
      <c r="G165" s="219">
        <v>0</v>
      </c>
      <c r="H165" s="219">
        <v>0</v>
      </c>
      <c r="I165" s="219">
        <v>0</v>
      </c>
      <c r="J165" s="219">
        <v>0</v>
      </c>
      <c r="K165" s="219">
        <v>0</v>
      </c>
      <c r="L165" s="219">
        <v>0</v>
      </c>
      <c r="M165" s="219">
        <v>0</v>
      </c>
      <c r="N165" s="219">
        <v>0</v>
      </c>
      <c r="O165" s="219">
        <v>762853</v>
      </c>
      <c r="Q165" s="219">
        <f>SUMIFS(Deficits!BY:BY,Deficits!BS:BS,C165)</f>
        <v>0</v>
      </c>
      <c r="S165" s="219">
        <f>'Share of £1bn'!$L$15*O165/$O$1</f>
        <v>0.87478188624657538</v>
      </c>
      <c r="T165" s="220">
        <f t="shared" si="18"/>
        <v>0.87478188624657538</v>
      </c>
      <c r="U165" s="11">
        <f t="shared" si="19"/>
        <v>0</v>
      </c>
      <c r="V165" s="11">
        <f t="shared" si="20"/>
        <v>0</v>
      </c>
      <c r="W165" s="11">
        <f t="shared" si="21"/>
        <v>0.87478188624657538</v>
      </c>
      <c r="Y165" s="219">
        <f>'Share of £1bn'!$M$15*F165/$F$1</f>
        <v>4.7618024693045395</v>
      </c>
      <c r="Z165" s="220">
        <f t="shared" si="22"/>
        <v>4.7618024693045395</v>
      </c>
      <c r="AA165" s="11">
        <f t="shared" si="23"/>
        <v>0</v>
      </c>
      <c r="AB165" s="11">
        <f t="shared" si="24"/>
        <v>0</v>
      </c>
      <c r="AC165" s="11">
        <f t="shared" si="25"/>
        <v>4.7618024693045395</v>
      </c>
      <c r="AE165" s="222"/>
      <c r="AF165" s="223"/>
    </row>
    <row r="166" spans="2:32" x14ac:dyDescent="0.25">
      <c r="B166" t="s">
        <v>403</v>
      </c>
      <c r="C166" t="s">
        <v>732</v>
      </c>
      <c r="D166" t="s">
        <v>733</v>
      </c>
      <c r="E166" t="s">
        <v>102</v>
      </c>
      <c r="F166" s="219">
        <v>969401</v>
      </c>
      <c r="G166" s="219">
        <v>0</v>
      </c>
      <c r="H166" s="219">
        <v>6</v>
      </c>
      <c r="I166" s="219">
        <v>15</v>
      </c>
      <c r="J166" s="219">
        <v>0</v>
      </c>
      <c r="K166" s="219">
        <v>0</v>
      </c>
      <c r="L166" s="219">
        <v>0</v>
      </c>
      <c r="M166" s="219">
        <v>0</v>
      </c>
      <c r="N166" s="219">
        <v>218</v>
      </c>
      <c r="O166" s="219">
        <v>969640</v>
      </c>
      <c r="Q166" s="219">
        <f>SUMIFS(Deficits!BY:BY,Deficits!BS:BS,C166)</f>
        <v>0</v>
      </c>
      <c r="S166" s="219">
        <f>'Share of £1bn'!$L$15*O166/$O$1</f>
        <v>1.1119095136023969</v>
      </c>
      <c r="T166" s="220">
        <f t="shared" si="18"/>
        <v>1.1119095136023969</v>
      </c>
      <c r="U166" s="11">
        <f t="shared" si="19"/>
        <v>0</v>
      </c>
      <c r="V166" s="11">
        <f t="shared" si="20"/>
        <v>0</v>
      </c>
      <c r="W166" s="11">
        <f t="shared" si="21"/>
        <v>1.1119095136023969</v>
      </c>
      <c r="Y166" s="219">
        <f>'Share of £1bn'!$M$15*F166/$F$1</f>
        <v>6.0510951330679577</v>
      </c>
      <c r="Z166" s="220">
        <f t="shared" si="22"/>
        <v>6.0510951330679577</v>
      </c>
      <c r="AA166" s="11">
        <f t="shared" si="23"/>
        <v>0</v>
      </c>
      <c r="AB166" s="11">
        <f t="shared" si="24"/>
        <v>0</v>
      </c>
      <c r="AC166" s="11">
        <f t="shared" si="25"/>
        <v>6.0510951330679577</v>
      </c>
      <c r="AE166" s="222"/>
      <c r="AF166" s="223"/>
    </row>
    <row r="167" spans="2:32" x14ac:dyDescent="0.25">
      <c r="B167" t="s">
        <v>403</v>
      </c>
      <c r="C167" t="s">
        <v>734</v>
      </c>
      <c r="D167" t="s">
        <v>735</v>
      </c>
      <c r="E167" t="s">
        <v>108</v>
      </c>
      <c r="F167" s="219">
        <v>238457</v>
      </c>
      <c r="G167" s="219">
        <v>0</v>
      </c>
      <c r="H167" s="219">
        <v>0</v>
      </c>
      <c r="I167" s="219">
        <v>3</v>
      </c>
      <c r="J167" s="219">
        <v>0</v>
      </c>
      <c r="K167" s="219">
        <v>0</v>
      </c>
      <c r="L167" s="219">
        <v>0</v>
      </c>
      <c r="M167" s="219">
        <v>0</v>
      </c>
      <c r="N167" s="219">
        <v>0</v>
      </c>
      <c r="O167" s="219">
        <v>238460</v>
      </c>
      <c r="Q167" s="219">
        <f>SUMIFS(Deficits!BY:BY,Deficits!BS:BS,C167)</f>
        <v>0</v>
      </c>
      <c r="S167" s="219">
        <f>'Share of £1bn'!$L$15*O167/$O$1</f>
        <v>0.27344781837963322</v>
      </c>
      <c r="T167" s="220">
        <f t="shared" si="18"/>
        <v>0.27344781837963322</v>
      </c>
      <c r="U167" s="11">
        <f t="shared" si="19"/>
        <v>0</v>
      </c>
      <c r="V167" s="11">
        <f t="shared" si="20"/>
        <v>0</v>
      </c>
      <c r="W167" s="11">
        <f t="shared" si="21"/>
        <v>0.27344781837963322</v>
      </c>
      <c r="Y167" s="219">
        <f>'Share of £1bn'!$M$15*F167/$F$1</f>
        <v>1.4884717388841004</v>
      </c>
      <c r="Z167" s="220">
        <f t="shared" si="22"/>
        <v>1.4884717388841004</v>
      </c>
      <c r="AA167" s="11">
        <f t="shared" si="23"/>
        <v>0</v>
      </c>
      <c r="AB167" s="11">
        <f t="shared" si="24"/>
        <v>0</v>
      </c>
      <c r="AC167" s="11">
        <f t="shared" si="25"/>
        <v>1.4884717388841004</v>
      </c>
      <c r="AE167" s="222"/>
      <c r="AF167" s="223"/>
    </row>
    <row r="168" spans="2:32" x14ac:dyDescent="0.25">
      <c r="B168" t="s">
        <v>408</v>
      </c>
      <c r="C168" t="s">
        <v>736</v>
      </c>
      <c r="D168" t="s">
        <v>737</v>
      </c>
      <c r="E168" t="s">
        <v>108</v>
      </c>
      <c r="F168" s="219">
        <v>12252</v>
      </c>
      <c r="G168" s="219">
        <v>150911</v>
      </c>
      <c r="H168" s="219">
        <v>141791</v>
      </c>
      <c r="I168" s="219">
        <v>64</v>
      </c>
      <c r="J168" s="219">
        <v>0</v>
      </c>
      <c r="K168" s="219">
        <v>0</v>
      </c>
      <c r="L168" s="219">
        <v>0</v>
      </c>
      <c r="M168" s="219">
        <v>0</v>
      </c>
      <c r="N168" s="219">
        <v>0</v>
      </c>
      <c r="O168" s="219">
        <v>305018</v>
      </c>
      <c r="Q168" s="219">
        <f>SUMIFS(Deficits!BY:BY,Deficits!BS:BS,C168)</f>
        <v>0</v>
      </c>
      <c r="S168" s="219">
        <f>'Share of £1bn'!$L$15*O168/$O$1</f>
        <v>0.34977147809493819</v>
      </c>
      <c r="T168" s="220">
        <f t="shared" si="18"/>
        <v>0.34977147809493819</v>
      </c>
      <c r="U168" s="11">
        <f t="shared" si="19"/>
        <v>0</v>
      </c>
      <c r="V168" s="11">
        <f t="shared" si="20"/>
        <v>0</v>
      </c>
      <c r="W168" s="11">
        <f t="shared" si="21"/>
        <v>0.34977147809493819</v>
      </c>
      <c r="Y168" s="219">
        <f>'Share of £1bn'!$M$15*F168/$F$1</f>
        <v>7.6478173191845911E-2</v>
      </c>
      <c r="Z168" s="220">
        <f t="shared" si="22"/>
        <v>7.6478173191845911E-2</v>
      </c>
      <c r="AA168" s="11">
        <f t="shared" si="23"/>
        <v>0</v>
      </c>
      <c r="AB168" s="11">
        <f t="shared" si="24"/>
        <v>0</v>
      </c>
      <c r="AC168" s="11">
        <f t="shared" si="25"/>
        <v>7.6478173191845911E-2</v>
      </c>
      <c r="AE168" s="222"/>
      <c r="AF168" s="223"/>
    </row>
    <row r="169" spans="2:32" x14ac:dyDescent="0.25">
      <c r="B169" t="s">
        <v>236</v>
      </c>
      <c r="C169" t="s">
        <v>738</v>
      </c>
      <c r="D169" t="s">
        <v>739</v>
      </c>
      <c r="E169" t="s">
        <v>108</v>
      </c>
      <c r="F169" s="219">
        <v>11</v>
      </c>
      <c r="G169" s="219">
        <v>0</v>
      </c>
      <c r="H169" s="219">
        <v>0</v>
      </c>
      <c r="I169" s="219">
        <v>0</v>
      </c>
      <c r="J169" s="219">
        <v>0</v>
      </c>
      <c r="K169" s="219">
        <v>0</v>
      </c>
      <c r="L169" s="219">
        <v>352951</v>
      </c>
      <c r="M169" s="219">
        <v>0</v>
      </c>
      <c r="N169" s="219">
        <v>0</v>
      </c>
      <c r="O169" s="219">
        <v>352962</v>
      </c>
      <c r="Q169" s="219">
        <f>SUMIFS(Deficits!BY:BY,Deficits!BS:BS,C169)</f>
        <v>0</v>
      </c>
      <c r="S169" s="219">
        <f>'Share of £1bn'!$L$15*O169/$O$1</f>
        <v>0.40475001623296197</v>
      </c>
      <c r="T169" s="220">
        <f t="shared" si="18"/>
        <v>0.40475001623296197</v>
      </c>
      <c r="U169" s="11">
        <f t="shared" si="19"/>
        <v>0</v>
      </c>
      <c r="V169" s="11">
        <f t="shared" si="20"/>
        <v>0</v>
      </c>
      <c r="W169" s="11">
        <f t="shared" si="21"/>
        <v>0.40475001623296197</v>
      </c>
      <c r="Y169" s="219">
        <f>'Share of £1bn'!$M$15*F169/$F$1</f>
        <v>6.8663067671425473E-5</v>
      </c>
      <c r="Z169" s="220">
        <f t="shared" si="22"/>
        <v>6.8663067671425473E-5</v>
      </c>
      <c r="AA169" s="11">
        <f t="shared" si="23"/>
        <v>0</v>
      </c>
      <c r="AB169" s="11">
        <f t="shared" si="24"/>
        <v>0</v>
      </c>
      <c r="AC169" s="11">
        <f t="shared" si="25"/>
        <v>6.8663067671425473E-5</v>
      </c>
      <c r="AE169" s="222"/>
      <c r="AF169" s="223"/>
    </row>
    <row r="170" spans="2:32" x14ac:dyDescent="0.25">
      <c r="B170" t="s">
        <v>403</v>
      </c>
      <c r="C170" t="s">
        <v>740</v>
      </c>
      <c r="D170" t="s">
        <v>741</v>
      </c>
      <c r="E170" t="s">
        <v>108</v>
      </c>
      <c r="F170" s="219">
        <v>688041</v>
      </c>
      <c r="G170" s="219">
        <v>0</v>
      </c>
      <c r="H170" s="219">
        <v>2</v>
      </c>
      <c r="I170" s="219">
        <v>0</v>
      </c>
      <c r="J170" s="219">
        <v>0</v>
      </c>
      <c r="K170" s="219">
        <v>0</v>
      </c>
      <c r="L170" s="219">
        <v>0</v>
      </c>
      <c r="M170" s="219">
        <v>0</v>
      </c>
      <c r="N170" s="219">
        <v>0</v>
      </c>
      <c r="O170" s="219">
        <v>688043</v>
      </c>
      <c r="Q170" s="219">
        <f>SUMIFS(Deficits!BY:BY,Deficits!BS:BS,C170)</f>
        <v>0</v>
      </c>
      <c r="S170" s="219">
        <f>'Share of £1bn'!$L$15*O170/$O$1</f>
        <v>0.78899545962164719</v>
      </c>
      <c r="T170" s="220">
        <f t="shared" si="18"/>
        <v>0.78899545962164719</v>
      </c>
      <c r="U170" s="11">
        <f t="shared" si="19"/>
        <v>0</v>
      </c>
      <c r="V170" s="11">
        <f t="shared" si="20"/>
        <v>0</v>
      </c>
      <c r="W170" s="11">
        <f t="shared" si="21"/>
        <v>0.78899545962164719</v>
      </c>
      <c r="Y170" s="219">
        <f>'Share of £1bn'!$M$15*F170/$F$1</f>
        <v>4.2948187039741148</v>
      </c>
      <c r="Z170" s="220">
        <f t="shared" si="22"/>
        <v>4.2948187039741148</v>
      </c>
      <c r="AA170" s="11">
        <f t="shared" si="23"/>
        <v>0</v>
      </c>
      <c r="AB170" s="11">
        <f t="shared" si="24"/>
        <v>0</v>
      </c>
      <c r="AC170" s="11">
        <f t="shared" si="25"/>
        <v>4.2948187039741148</v>
      </c>
      <c r="AE170" s="222"/>
      <c r="AF170" s="223"/>
    </row>
    <row r="171" spans="2:32" x14ac:dyDescent="0.25">
      <c r="B171" t="s">
        <v>403</v>
      </c>
      <c r="C171" t="s">
        <v>742</v>
      </c>
      <c r="D171" t="s">
        <v>743</v>
      </c>
      <c r="E171" t="s">
        <v>82</v>
      </c>
      <c r="F171" s="219">
        <v>316687</v>
      </c>
      <c r="G171" s="219">
        <v>0</v>
      </c>
      <c r="H171" s="219">
        <v>48023</v>
      </c>
      <c r="I171" s="219">
        <v>227</v>
      </c>
      <c r="J171" s="219">
        <v>0</v>
      </c>
      <c r="K171" s="219">
        <v>0</v>
      </c>
      <c r="L171" s="219">
        <v>0</v>
      </c>
      <c r="M171" s="219">
        <v>0</v>
      </c>
      <c r="N171" s="219">
        <v>0</v>
      </c>
      <c r="O171" s="219">
        <v>364937</v>
      </c>
      <c r="Q171" s="219">
        <f>SUMIFS(Deficits!BY:BY,Deficits!BS:BS,C171)</f>
        <v>-16.443898290000011</v>
      </c>
      <c r="S171" s="219">
        <f>'Share of £1bn'!$L$15*O171/$O$1</f>
        <v>0.41848203680285256</v>
      </c>
      <c r="T171" s="220">
        <f t="shared" si="18"/>
        <v>-16.025416253197157</v>
      </c>
      <c r="U171" s="11">
        <f t="shared" si="19"/>
        <v>0.41848203680285256</v>
      </c>
      <c r="V171" s="11">
        <f t="shared" si="20"/>
        <v>0</v>
      </c>
      <c r="W171" s="11">
        <f t="shared" si="21"/>
        <v>0</v>
      </c>
      <c r="Y171" s="219">
        <f>'Share of £1bn'!$M$15*F171/$F$1</f>
        <v>1.9767909919691564</v>
      </c>
      <c r="Z171" s="220">
        <f t="shared" si="22"/>
        <v>-14.467107298030854</v>
      </c>
      <c r="AA171" s="11">
        <f t="shared" si="23"/>
        <v>1.9767909919691564</v>
      </c>
      <c r="AB171" s="11">
        <f t="shared" si="24"/>
        <v>0</v>
      </c>
      <c r="AC171" s="11">
        <f t="shared" si="25"/>
        <v>0</v>
      </c>
      <c r="AE171" s="222"/>
      <c r="AF171" s="223"/>
    </row>
    <row r="172" spans="2:32" x14ac:dyDescent="0.25">
      <c r="B172" t="s">
        <v>403</v>
      </c>
      <c r="C172" t="s">
        <v>744</v>
      </c>
      <c r="D172" t="s">
        <v>745</v>
      </c>
      <c r="E172" t="s">
        <v>82</v>
      </c>
      <c r="F172" s="219">
        <v>493280</v>
      </c>
      <c r="G172" s="219">
        <v>0</v>
      </c>
      <c r="H172" s="219">
        <v>52619</v>
      </c>
      <c r="I172" s="219">
        <v>666</v>
      </c>
      <c r="J172" s="219">
        <v>0</v>
      </c>
      <c r="K172" s="219">
        <v>0</v>
      </c>
      <c r="L172" s="219">
        <v>0</v>
      </c>
      <c r="M172" s="219">
        <v>0</v>
      </c>
      <c r="N172" s="219">
        <v>0</v>
      </c>
      <c r="O172" s="219">
        <v>546565</v>
      </c>
      <c r="Q172" s="219">
        <f>SUMIFS(Deficits!BY:BY,Deficits!BS:BS,C172)</f>
        <v>-37.880000000000003</v>
      </c>
      <c r="S172" s="219">
        <f>'Share of £1bn'!$L$15*O172/$O$1</f>
        <v>0.62675923363526065</v>
      </c>
      <c r="T172" s="220">
        <f t="shared" si="18"/>
        <v>-37.25324076636474</v>
      </c>
      <c r="U172" s="11">
        <f t="shared" si="19"/>
        <v>0.62675923363526065</v>
      </c>
      <c r="V172" s="11">
        <f t="shared" si="20"/>
        <v>0</v>
      </c>
      <c r="W172" s="11">
        <f t="shared" si="21"/>
        <v>0</v>
      </c>
      <c r="Y172" s="219">
        <f>'Share of £1bn'!$M$15*F172/$F$1</f>
        <v>3.0791016382691603</v>
      </c>
      <c r="Z172" s="220">
        <f t="shared" si="22"/>
        <v>-34.800898361730844</v>
      </c>
      <c r="AA172" s="11">
        <f t="shared" si="23"/>
        <v>3.0791016382691603</v>
      </c>
      <c r="AB172" s="11">
        <f t="shared" si="24"/>
        <v>0</v>
      </c>
      <c r="AC172" s="11">
        <f t="shared" si="25"/>
        <v>0</v>
      </c>
      <c r="AE172" s="222"/>
      <c r="AF172" s="223"/>
    </row>
    <row r="173" spans="2:32" x14ac:dyDescent="0.25">
      <c r="B173" t="s">
        <v>433</v>
      </c>
      <c r="C173" t="s">
        <v>746</v>
      </c>
      <c r="D173" t="s">
        <v>747</v>
      </c>
      <c r="E173" t="s">
        <v>82</v>
      </c>
      <c r="F173" s="219">
        <v>4736</v>
      </c>
      <c r="G173" s="219">
        <v>0</v>
      </c>
      <c r="H173" s="219">
        <v>96718</v>
      </c>
      <c r="I173" s="219">
        <v>0</v>
      </c>
      <c r="J173" s="219">
        <v>0</v>
      </c>
      <c r="K173" s="219">
        <v>0</v>
      </c>
      <c r="L173" s="219">
        <v>0</v>
      </c>
      <c r="M173" s="219">
        <v>0</v>
      </c>
      <c r="N173" s="219">
        <v>0</v>
      </c>
      <c r="O173" s="219">
        <v>101454</v>
      </c>
      <c r="Q173" s="219">
        <f>SUMIFS(Deficits!BY:BY,Deficits!BS:BS,C173)</f>
        <v>0.5</v>
      </c>
      <c r="S173" s="219">
        <f>'Share of £1bn'!$L$15*O173/$O$1</f>
        <v>0.11633974237141369</v>
      </c>
      <c r="T173" s="220">
        <f t="shared" si="18"/>
        <v>0.61633974237141365</v>
      </c>
      <c r="U173" s="11">
        <f t="shared" si="19"/>
        <v>0</v>
      </c>
      <c r="V173" s="11">
        <f t="shared" si="20"/>
        <v>0</v>
      </c>
      <c r="W173" s="11">
        <f t="shared" si="21"/>
        <v>0.11633974237141369</v>
      </c>
      <c r="Y173" s="219">
        <f>'Share of £1bn'!$M$15*F173/$F$1</f>
        <v>2.9562571681079189E-2</v>
      </c>
      <c r="Z173" s="220">
        <f t="shared" si="22"/>
        <v>0.52956257168107923</v>
      </c>
      <c r="AA173" s="11">
        <f t="shared" si="23"/>
        <v>0</v>
      </c>
      <c r="AB173" s="11">
        <f t="shared" si="24"/>
        <v>0</v>
      </c>
      <c r="AC173" s="11">
        <f t="shared" si="25"/>
        <v>2.9562571681079189E-2</v>
      </c>
      <c r="AE173" s="222"/>
      <c r="AF173" s="223"/>
    </row>
    <row r="174" spans="2:32" x14ac:dyDescent="0.25">
      <c r="B174" t="s">
        <v>403</v>
      </c>
      <c r="C174" t="s">
        <v>748</v>
      </c>
      <c r="D174" t="s">
        <v>749</v>
      </c>
      <c r="E174" t="s">
        <v>82</v>
      </c>
      <c r="F174" s="219">
        <v>326645</v>
      </c>
      <c r="G174" s="219">
        <v>0</v>
      </c>
      <c r="H174" s="219">
        <v>0</v>
      </c>
      <c r="I174" s="219">
        <v>862</v>
      </c>
      <c r="J174" s="219">
        <v>0</v>
      </c>
      <c r="K174" s="219">
        <v>0</v>
      </c>
      <c r="L174" s="219">
        <v>0</v>
      </c>
      <c r="M174" s="219">
        <v>0</v>
      </c>
      <c r="N174" s="219">
        <v>0</v>
      </c>
      <c r="O174" s="219">
        <v>327507</v>
      </c>
      <c r="Q174" s="219">
        <f>SUMIFS(Deficits!BY:BY,Deficits!BS:BS,C174)</f>
        <v>-16.799506809999993</v>
      </c>
      <c r="S174" s="219">
        <f>'Share of £1bn'!$L$15*O174/$O$1</f>
        <v>0.3755601553889899</v>
      </c>
      <c r="T174" s="220">
        <f t="shared" si="18"/>
        <v>-16.423946654611004</v>
      </c>
      <c r="U174" s="11">
        <f t="shared" si="19"/>
        <v>0.3755601553889899</v>
      </c>
      <c r="V174" s="11">
        <f t="shared" si="20"/>
        <v>0</v>
      </c>
      <c r="W174" s="11">
        <f t="shared" si="21"/>
        <v>0</v>
      </c>
      <c r="Y174" s="219">
        <f>'Share of £1bn'!$M$15*F174/$F$1</f>
        <v>2.0389497945029795</v>
      </c>
      <c r="Z174" s="220">
        <f t="shared" si="22"/>
        <v>-14.760557015497014</v>
      </c>
      <c r="AA174" s="11">
        <f t="shared" si="23"/>
        <v>2.0389497945029795</v>
      </c>
      <c r="AB174" s="11">
        <f t="shared" si="24"/>
        <v>0</v>
      </c>
      <c r="AC174" s="11">
        <f t="shared" si="25"/>
        <v>0</v>
      </c>
      <c r="AE174" s="222"/>
      <c r="AF174" s="223"/>
    </row>
    <row r="175" spans="2:32" x14ac:dyDescent="0.25">
      <c r="B175" t="s">
        <v>408</v>
      </c>
      <c r="C175" t="s">
        <v>750</v>
      </c>
      <c r="D175" t="s">
        <v>751</v>
      </c>
      <c r="E175" t="s">
        <v>82</v>
      </c>
      <c r="F175" s="219">
        <v>543</v>
      </c>
      <c r="G175" s="219">
        <v>229856</v>
      </c>
      <c r="H175" s="219">
        <v>201</v>
      </c>
      <c r="I175" s="219">
        <v>0</v>
      </c>
      <c r="J175" s="219">
        <v>0</v>
      </c>
      <c r="K175" s="219">
        <v>0</v>
      </c>
      <c r="L175" s="219">
        <v>0</v>
      </c>
      <c r="M175" s="219">
        <v>0</v>
      </c>
      <c r="N175" s="219">
        <v>0</v>
      </c>
      <c r="O175" s="219">
        <v>230600</v>
      </c>
      <c r="Q175" s="219">
        <f>SUMIFS(Deficits!BY:BY,Deficits!BS:BS,C175)</f>
        <v>0.25</v>
      </c>
      <c r="S175" s="219">
        <f>'Share of £1bn'!$L$15*O175/$O$1</f>
        <v>0.26443456729993886</v>
      </c>
      <c r="T175" s="220">
        <f t="shared" si="18"/>
        <v>0.51443456729993886</v>
      </c>
      <c r="U175" s="11">
        <f t="shared" si="19"/>
        <v>0</v>
      </c>
      <c r="V175" s="11">
        <f t="shared" si="20"/>
        <v>0</v>
      </c>
      <c r="W175" s="11">
        <f t="shared" si="21"/>
        <v>0.26443456729993886</v>
      </c>
      <c r="Y175" s="219">
        <f>'Share of £1bn'!$M$15*F175/$F$1</f>
        <v>3.3894587041440032E-3</v>
      </c>
      <c r="Z175" s="220">
        <f t="shared" si="22"/>
        <v>0.25338945870414398</v>
      </c>
      <c r="AA175" s="11">
        <f t="shared" si="23"/>
        <v>0</v>
      </c>
      <c r="AB175" s="11">
        <f t="shared" si="24"/>
        <v>0</v>
      </c>
      <c r="AC175" s="11">
        <f t="shared" si="25"/>
        <v>3.3894587041440032E-3</v>
      </c>
      <c r="AE175" s="222"/>
      <c r="AF175" s="223"/>
    </row>
    <row r="176" spans="2:32" x14ac:dyDescent="0.25">
      <c r="B176" t="s">
        <v>403</v>
      </c>
      <c r="C176" t="s">
        <v>752</v>
      </c>
      <c r="D176" t="s">
        <v>753</v>
      </c>
      <c r="E176" t="s">
        <v>82</v>
      </c>
      <c r="F176" s="219">
        <v>863611</v>
      </c>
      <c r="G176" s="219">
        <v>0</v>
      </c>
      <c r="H176" s="219">
        <v>15645</v>
      </c>
      <c r="I176" s="219">
        <v>1259</v>
      </c>
      <c r="J176" s="219">
        <v>0</v>
      </c>
      <c r="K176" s="219">
        <v>0</v>
      </c>
      <c r="L176" s="219">
        <v>0</v>
      </c>
      <c r="M176" s="219">
        <v>0</v>
      </c>
      <c r="N176" s="219">
        <v>0</v>
      </c>
      <c r="O176" s="219">
        <v>880515</v>
      </c>
      <c r="Q176" s="219">
        <f>SUMIFS(Deficits!BY:BY,Deficits!BS:BS,C176)</f>
        <v>-15.707000019999949</v>
      </c>
      <c r="S176" s="219">
        <f>'Share of £1bn'!$L$15*O176/$O$1</f>
        <v>1.0097077321166767</v>
      </c>
      <c r="T176" s="220">
        <f t="shared" si="18"/>
        <v>-14.697292287883272</v>
      </c>
      <c r="U176" s="11">
        <f t="shared" si="19"/>
        <v>1.0097077321166767</v>
      </c>
      <c r="V176" s="11">
        <f t="shared" si="20"/>
        <v>0</v>
      </c>
      <c r="W176" s="11">
        <f t="shared" si="21"/>
        <v>0</v>
      </c>
      <c r="Y176" s="219">
        <f>'Share of £1bn'!$M$15*F176/$F$1</f>
        <v>5.3907436849806754</v>
      </c>
      <c r="Z176" s="220">
        <f t="shared" si="22"/>
        <v>-10.316256335019274</v>
      </c>
      <c r="AA176" s="11">
        <f t="shared" si="23"/>
        <v>5.3907436849806754</v>
      </c>
      <c r="AB176" s="11">
        <f t="shared" si="24"/>
        <v>0</v>
      </c>
      <c r="AC176" s="11">
        <f t="shared" si="25"/>
        <v>0</v>
      </c>
      <c r="AE176" s="222"/>
      <c r="AF176" s="223"/>
    </row>
    <row r="177" spans="2:32" x14ac:dyDescent="0.25">
      <c r="B177" t="s">
        <v>403</v>
      </c>
      <c r="C177" t="s">
        <v>754</v>
      </c>
      <c r="D177" t="s">
        <v>755</v>
      </c>
      <c r="E177" t="s">
        <v>82</v>
      </c>
      <c r="F177" s="219">
        <v>297792</v>
      </c>
      <c r="G177" s="219">
        <v>0</v>
      </c>
      <c r="H177" s="219">
        <v>0</v>
      </c>
      <c r="I177" s="219">
        <v>1</v>
      </c>
      <c r="J177" s="219">
        <v>0</v>
      </c>
      <c r="K177" s="219">
        <v>0</v>
      </c>
      <c r="L177" s="219">
        <v>0</v>
      </c>
      <c r="M177" s="219">
        <v>0</v>
      </c>
      <c r="N177" s="219">
        <v>0</v>
      </c>
      <c r="O177" s="219">
        <v>297793</v>
      </c>
      <c r="Q177" s="219">
        <f>SUMIFS(Deficits!BY:BY,Deficits!BS:BS,C177)</f>
        <v>2.0018531600000933</v>
      </c>
      <c r="S177" s="219">
        <f>'Share of £1bn'!$L$15*O177/$O$1</f>
        <v>0.34148639679076626</v>
      </c>
      <c r="T177" s="220">
        <f t="shared" si="18"/>
        <v>2.3433395567908595</v>
      </c>
      <c r="U177" s="11">
        <f t="shared" si="19"/>
        <v>0</v>
      </c>
      <c r="V177" s="11">
        <f t="shared" si="20"/>
        <v>0</v>
      </c>
      <c r="W177" s="11">
        <f t="shared" si="21"/>
        <v>0.34148639679076626</v>
      </c>
      <c r="Y177" s="219">
        <f>'Share of £1bn'!$M$15*F177/$F$1</f>
        <v>1.8588465680008306</v>
      </c>
      <c r="Z177" s="220">
        <f t="shared" si="22"/>
        <v>3.8606997280009239</v>
      </c>
      <c r="AA177" s="11">
        <f t="shared" si="23"/>
        <v>0</v>
      </c>
      <c r="AB177" s="11">
        <f t="shared" si="24"/>
        <v>0</v>
      </c>
      <c r="AC177" s="11">
        <f t="shared" si="25"/>
        <v>1.8588465680008306</v>
      </c>
      <c r="AE177" s="222"/>
      <c r="AF177" s="223"/>
    </row>
    <row r="178" spans="2:32" x14ac:dyDescent="0.25">
      <c r="B178" t="s">
        <v>403</v>
      </c>
      <c r="C178" t="s">
        <v>756</v>
      </c>
      <c r="D178" t="s">
        <v>757</v>
      </c>
      <c r="E178" t="s">
        <v>25</v>
      </c>
      <c r="F178" s="219">
        <v>202588</v>
      </c>
      <c r="G178" s="219">
        <v>0</v>
      </c>
      <c r="H178" s="219">
        <v>5601</v>
      </c>
      <c r="I178" s="219">
        <v>1654</v>
      </c>
      <c r="J178" s="219">
        <v>0</v>
      </c>
      <c r="K178" s="219">
        <v>0</v>
      </c>
      <c r="L178" s="219">
        <v>0</v>
      </c>
      <c r="M178" s="219">
        <v>0</v>
      </c>
      <c r="N178" s="219">
        <v>0</v>
      </c>
      <c r="O178" s="219">
        <v>209843</v>
      </c>
      <c r="Q178" s="219">
        <f>SUMIFS(Deficits!BY:BY,Deficits!BS:BS,C178)</f>
        <v>-8.7223599899999975</v>
      </c>
      <c r="S178" s="219">
        <f>'Share of £1bn'!$L$15*O178/$O$1</f>
        <v>0.24063201607077656</v>
      </c>
      <c r="T178" s="220">
        <f t="shared" si="18"/>
        <v>-8.4817279739292211</v>
      </c>
      <c r="U178" s="11">
        <f t="shared" si="19"/>
        <v>0.24063201607077656</v>
      </c>
      <c r="V178" s="11">
        <f t="shared" si="20"/>
        <v>0</v>
      </c>
      <c r="W178" s="11">
        <f t="shared" si="21"/>
        <v>0</v>
      </c>
      <c r="Y178" s="219">
        <f>'Share of £1bn'!$M$15*F178/$F$1</f>
        <v>1.264573959401704</v>
      </c>
      <c r="Z178" s="220">
        <f t="shared" si="22"/>
        <v>-7.4577860305982933</v>
      </c>
      <c r="AA178" s="11">
        <f t="shared" si="23"/>
        <v>1.264573959401704</v>
      </c>
      <c r="AB178" s="11">
        <f t="shared" si="24"/>
        <v>0</v>
      </c>
      <c r="AC178" s="11">
        <f t="shared" si="25"/>
        <v>0</v>
      </c>
      <c r="AE178" s="222"/>
      <c r="AF178" s="223"/>
    </row>
    <row r="179" spans="2:32" x14ac:dyDescent="0.25">
      <c r="B179" t="s">
        <v>408</v>
      </c>
      <c r="C179" t="s">
        <v>758</v>
      </c>
      <c r="D179" t="s">
        <v>759</v>
      </c>
      <c r="E179" t="s">
        <v>25</v>
      </c>
      <c r="F179" s="219">
        <v>65</v>
      </c>
      <c r="G179" s="219">
        <v>111627</v>
      </c>
      <c r="H179" s="219">
        <v>44198</v>
      </c>
      <c r="I179" s="219">
        <v>0</v>
      </c>
      <c r="J179" s="219">
        <v>0</v>
      </c>
      <c r="K179" s="219">
        <v>0</v>
      </c>
      <c r="L179" s="219">
        <v>0</v>
      </c>
      <c r="M179" s="219">
        <v>0</v>
      </c>
      <c r="N179" s="219">
        <v>0</v>
      </c>
      <c r="O179" s="219">
        <v>155890</v>
      </c>
      <c r="Q179" s="219">
        <f>SUMIFS(Deficits!BY:BY,Deficits!BS:BS,C179)</f>
        <v>-0.29086619999999802</v>
      </c>
      <c r="S179" s="219">
        <f>'Share of £1bn'!$L$15*O179/$O$1</f>
        <v>0.17876281308060479</v>
      </c>
      <c r="T179" s="220">
        <f t="shared" si="18"/>
        <v>-0.11210338691939323</v>
      </c>
      <c r="U179" s="11">
        <f t="shared" si="19"/>
        <v>0.17876281308060479</v>
      </c>
      <c r="V179" s="11">
        <f t="shared" si="20"/>
        <v>0</v>
      </c>
      <c r="W179" s="11">
        <f t="shared" si="21"/>
        <v>0</v>
      </c>
      <c r="Y179" s="219">
        <f>'Share of £1bn'!$M$15*F179/$F$1</f>
        <v>4.0573630896751419E-4</v>
      </c>
      <c r="Z179" s="220">
        <f t="shared" si="22"/>
        <v>-0.29046046369103051</v>
      </c>
      <c r="AA179" s="11">
        <f t="shared" si="23"/>
        <v>4.0573630896751419E-4</v>
      </c>
      <c r="AB179" s="11">
        <f t="shared" si="24"/>
        <v>0</v>
      </c>
      <c r="AC179" s="11">
        <f t="shared" si="25"/>
        <v>0</v>
      </c>
      <c r="AE179" s="222"/>
      <c r="AF179" s="223"/>
    </row>
    <row r="180" spans="2:32" x14ac:dyDescent="0.25">
      <c r="B180" t="s">
        <v>403</v>
      </c>
      <c r="C180" t="s">
        <v>760</v>
      </c>
      <c r="D180" t="s">
        <v>761</v>
      </c>
      <c r="E180" t="s">
        <v>25</v>
      </c>
      <c r="F180" s="219">
        <v>484058</v>
      </c>
      <c r="G180" s="219">
        <v>0</v>
      </c>
      <c r="H180" s="219">
        <v>1</v>
      </c>
      <c r="I180" s="219">
        <v>20</v>
      </c>
      <c r="J180" s="219">
        <v>0</v>
      </c>
      <c r="K180" s="219">
        <v>0</v>
      </c>
      <c r="L180" s="219">
        <v>0</v>
      </c>
      <c r="M180" s="219">
        <v>0</v>
      </c>
      <c r="N180" s="219">
        <v>0</v>
      </c>
      <c r="O180" s="219">
        <v>484079</v>
      </c>
      <c r="Q180" s="219">
        <f>SUMIFS(Deficits!BY:BY,Deficits!BS:BS,C180)</f>
        <v>-3.7986697400000558</v>
      </c>
      <c r="S180" s="219">
        <f>'Share of £1bn'!$L$15*O180/$O$1</f>
        <v>0.55510503427574631</v>
      </c>
      <c r="T180" s="220">
        <f t="shared" si="18"/>
        <v>-3.2435647057243093</v>
      </c>
      <c r="U180" s="11">
        <f t="shared" si="19"/>
        <v>0.55510503427574631</v>
      </c>
      <c r="V180" s="11">
        <f t="shared" si="20"/>
        <v>0</v>
      </c>
      <c r="W180" s="11">
        <f t="shared" si="21"/>
        <v>0</v>
      </c>
      <c r="Y180" s="219">
        <f>'Share of £1bn'!$M$15*F180/$F$1</f>
        <v>3.021537019172261</v>
      </c>
      <c r="Z180" s="220">
        <f t="shared" si="22"/>
        <v>-0.77713272082779472</v>
      </c>
      <c r="AA180" s="11">
        <f t="shared" si="23"/>
        <v>3.021537019172261</v>
      </c>
      <c r="AB180" s="11">
        <f t="shared" si="24"/>
        <v>0</v>
      </c>
      <c r="AC180" s="11">
        <f t="shared" si="25"/>
        <v>0</v>
      </c>
      <c r="AE180" s="222"/>
      <c r="AF180" s="223"/>
    </row>
    <row r="181" spans="2:32" x14ac:dyDescent="0.25">
      <c r="B181" t="s">
        <v>403</v>
      </c>
      <c r="C181" t="s">
        <v>762</v>
      </c>
      <c r="D181" t="s">
        <v>763</v>
      </c>
      <c r="E181" t="s">
        <v>25</v>
      </c>
      <c r="F181" s="219">
        <v>426243</v>
      </c>
      <c r="G181" s="219">
        <v>0</v>
      </c>
      <c r="H181" s="219">
        <v>30391</v>
      </c>
      <c r="I181" s="219">
        <v>2968</v>
      </c>
      <c r="J181" s="219">
        <v>0</v>
      </c>
      <c r="K181" s="219">
        <v>0</v>
      </c>
      <c r="L181" s="219">
        <v>0</v>
      </c>
      <c r="M181" s="219">
        <v>0</v>
      </c>
      <c r="N181" s="219">
        <v>3803</v>
      </c>
      <c r="O181" s="219">
        <v>463405</v>
      </c>
      <c r="Q181" s="219">
        <f>SUMIFS(Deficits!BY:BY,Deficits!BS:BS,C181)</f>
        <v>-27.485505629999956</v>
      </c>
      <c r="S181" s="219">
        <f>'Share of £1bn'!$L$15*O181/$O$1</f>
        <v>0.53139766114322717</v>
      </c>
      <c r="T181" s="220">
        <f t="shared" si="18"/>
        <v>-26.954107968856729</v>
      </c>
      <c r="U181" s="11">
        <f t="shared" si="19"/>
        <v>0.53139766114322717</v>
      </c>
      <c r="V181" s="11">
        <f t="shared" si="20"/>
        <v>0</v>
      </c>
      <c r="W181" s="11">
        <f t="shared" si="21"/>
        <v>0</v>
      </c>
      <c r="Y181" s="219">
        <f>'Share of £1bn'!$M$15*F181/$F$1</f>
        <v>2.6606501775883102</v>
      </c>
      <c r="Z181" s="220">
        <f t="shared" si="22"/>
        <v>-24.824855452411647</v>
      </c>
      <c r="AA181" s="11">
        <f t="shared" si="23"/>
        <v>2.6606501775883102</v>
      </c>
      <c r="AB181" s="11">
        <f t="shared" si="24"/>
        <v>0</v>
      </c>
      <c r="AC181" s="11">
        <f t="shared" si="25"/>
        <v>0</v>
      </c>
      <c r="AE181" s="222"/>
      <c r="AF181" s="223"/>
    </row>
    <row r="182" spans="2:32" x14ac:dyDescent="0.25">
      <c r="B182" t="s">
        <v>408</v>
      </c>
      <c r="C182" t="s">
        <v>764</v>
      </c>
      <c r="D182" t="s">
        <v>765</v>
      </c>
      <c r="E182" t="s">
        <v>25</v>
      </c>
      <c r="F182" s="219">
        <v>242</v>
      </c>
      <c r="G182" s="219">
        <v>173307</v>
      </c>
      <c r="H182" s="219">
        <v>7</v>
      </c>
      <c r="I182" s="219">
        <v>0</v>
      </c>
      <c r="J182" s="219">
        <v>0</v>
      </c>
      <c r="K182" s="219">
        <v>0</v>
      </c>
      <c r="L182" s="219">
        <v>0</v>
      </c>
      <c r="M182" s="219">
        <v>0</v>
      </c>
      <c r="N182" s="219">
        <v>0</v>
      </c>
      <c r="O182" s="219">
        <v>173556</v>
      </c>
      <c r="Q182" s="219">
        <f>SUMIFS(Deficits!BY:BY,Deficits!BS:BS,C182)</f>
        <v>0.113</v>
      </c>
      <c r="S182" s="219">
        <f>'Share of £1bn'!$L$15*O182/$O$1</f>
        <v>0.19902084025285427</v>
      </c>
      <c r="T182" s="220">
        <f t="shared" si="18"/>
        <v>0.31202084025285426</v>
      </c>
      <c r="U182" s="11">
        <f t="shared" si="19"/>
        <v>0</v>
      </c>
      <c r="V182" s="11">
        <f t="shared" si="20"/>
        <v>0</v>
      </c>
      <c r="W182" s="11">
        <f t="shared" si="21"/>
        <v>0.19902084025285427</v>
      </c>
      <c r="Y182" s="219">
        <f>'Share of £1bn'!$M$15*F182/$F$1</f>
        <v>1.5105874887713605E-3</v>
      </c>
      <c r="Z182" s="220">
        <f t="shared" si="22"/>
        <v>0.11451058748877137</v>
      </c>
      <c r="AA182" s="11">
        <f t="shared" si="23"/>
        <v>0</v>
      </c>
      <c r="AB182" s="11">
        <f t="shared" si="24"/>
        <v>0</v>
      </c>
      <c r="AC182" s="11">
        <f t="shared" si="25"/>
        <v>1.5105874887713605E-3</v>
      </c>
      <c r="AE182" s="222"/>
      <c r="AF182" s="223"/>
    </row>
    <row r="183" spans="2:32" x14ac:dyDescent="0.25">
      <c r="B183" t="s">
        <v>433</v>
      </c>
      <c r="C183" t="s">
        <v>766</v>
      </c>
      <c r="D183" t="s">
        <v>767</v>
      </c>
      <c r="E183" t="s">
        <v>25</v>
      </c>
      <c r="F183" s="219">
        <v>13</v>
      </c>
      <c r="G183" s="219">
        <v>26021</v>
      </c>
      <c r="H183" s="219">
        <v>136128</v>
      </c>
      <c r="I183" s="219">
        <v>0</v>
      </c>
      <c r="J183" s="219">
        <v>0</v>
      </c>
      <c r="K183" s="219">
        <v>0</v>
      </c>
      <c r="L183" s="219">
        <v>0</v>
      </c>
      <c r="M183" s="219">
        <v>0</v>
      </c>
      <c r="N183" s="219">
        <v>0</v>
      </c>
      <c r="O183" s="219">
        <v>162162</v>
      </c>
      <c r="Q183" s="219">
        <f>SUMIFS(Deficits!BY:BY,Deficits!BS:BS,C183)</f>
        <v>0</v>
      </c>
      <c r="S183" s="219">
        <f>'Share of £1bn'!$L$15*O183/$O$1</f>
        <v>0.18595506635946524</v>
      </c>
      <c r="T183" s="220">
        <f t="shared" si="18"/>
        <v>0.18595506635946524</v>
      </c>
      <c r="U183" s="11">
        <f t="shared" si="19"/>
        <v>0</v>
      </c>
      <c r="V183" s="11">
        <f t="shared" si="20"/>
        <v>0</v>
      </c>
      <c r="W183" s="11">
        <f t="shared" si="21"/>
        <v>0.18595506635946524</v>
      </c>
      <c r="Y183" s="219">
        <f>'Share of £1bn'!$M$15*F183/$F$1</f>
        <v>8.1147261793502838E-5</v>
      </c>
      <c r="Z183" s="220">
        <f t="shared" si="22"/>
        <v>8.1147261793502838E-5</v>
      </c>
      <c r="AA183" s="11">
        <f t="shared" si="23"/>
        <v>0</v>
      </c>
      <c r="AB183" s="11">
        <f t="shared" si="24"/>
        <v>0</v>
      </c>
      <c r="AC183" s="11">
        <f t="shared" si="25"/>
        <v>8.1147261793502838E-5</v>
      </c>
      <c r="AE183" s="222"/>
      <c r="AF183" s="223"/>
    </row>
    <row r="184" spans="2:32" x14ac:dyDescent="0.25">
      <c r="B184" t="s">
        <v>403</v>
      </c>
      <c r="C184" t="s">
        <v>768</v>
      </c>
      <c r="D184" t="s">
        <v>769</v>
      </c>
      <c r="E184" t="s">
        <v>25</v>
      </c>
      <c r="F184" s="219">
        <v>1514397</v>
      </c>
      <c r="G184" s="219">
        <v>0</v>
      </c>
      <c r="H184" s="219">
        <v>2</v>
      </c>
      <c r="I184" s="219">
        <v>16492</v>
      </c>
      <c r="J184" s="219">
        <v>0</v>
      </c>
      <c r="K184" s="219">
        <v>0</v>
      </c>
      <c r="L184" s="219">
        <v>0</v>
      </c>
      <c r="M184" s="219">
        <v>0</v>
      </c>
      <c r="N184" s="219">
        <v>0</v>
      </c>
      <c r="O184" s="219">
        <v>1530891</v>
      </c>
      <c r="Q184" s="219">
        <f>SUMIFS(Deficits!BY:BY,Deficits!BS:BS,C184)</f>
        <v>-15.4</v>
      </c>
      <c r="S184" s="219">
        <f>'Share of £1bn'!$L$15*O184/$O$1</f>
        <v>1.7555095367232034</v>
      </c>
      <c r="T184" s="220">
        <f t="shared" si="18"/>
        <v>-13.644490463276798</v>
      </c>
      <c r="U184" s="11">
        <f t="shared" si="19"/>
        <v>1.7555095367232034</v>
      </c>
      <c r="V184" s="11">
        <f t="shared" si="20"/>
        <v>0</v>
      </c>
      <c r="W184" s="11">
        <f t="shared" si="21"/>
        <v>0</v>
      </c>
      <c r="Y184" s="219">
        <f>'Share of £1bn'!$M$15*F184/$F$1</f>
        <v>9.4530130629457947</v>
      </c>
      <c r="Z184" s="220">
        <f t="shared" si="22"/>
        <v>-5.9469869370542057</v>
      </c>
      <c r="AA184" s="11">
        <f t="shared" si="23"/>
        <v>9.4530130629457947</v>
      </c>
      <c r="AB184" s="11">
        <f t="shared" si="24"/>
        <v>0</v>
      </c>
      <c r="AC184" s="11">
        <f t="shared" si="25"/>
        <v>0</v>
      </c>
      <c r="AE184" s="222"/>
      <c r="AF184" s="223"/>
    </row>
    <row r="185" spans="2:32" x14ac:dyDescent="0.25">
      <c r="B185" t="s">
        <v>403</v>
      </c>
      <c r="C185" t="s">
        <v>770</v>
      </c>
      <c r="D185" t="s">
        <v>771</v>
      </c>
      <c r="E185" t="s">
        <v>25</v>
      </c>
      <c r="F185" s="219">
        <v>603223</v>
      </c>
      <c r="G185" s="219">
        <v>93</v>
      </c>
      <c r="H185" s="219">
        <v>37889</v>
      </c>
      <c r="I185" s="219">
        <v>79</v>
      </c>
      <c r="J185" s="219">
        <v>0</v>
      </c>
      <c r="K185" s="219">
        <v>0</v>
      </c>
      <c r="L185" s="219">
        <v>0</v>
      </c>
      <c r="M185" s="219">
        <v>0</v>
      </c>
      <c r="N185" s="219">
        <v>0</v>
      </c>
      <c r="O185" s="219">
        <v>641284</v>
      </c>
      <c r="Q185" s="219">
        <f>SUMIFS(Deficits!BY:BY,Deficits!BS:BS,C185)</f>
        <v>-18.600000000000001</v>
      </c>
      <c r="S185" s="219">
        <f>'Share of £1bn'!$L$15*O185/$O$1</f>
        <v>0.73537578948991333</v>
      </c>
      <c r="T185" s="220">
        <f t="shared" si="18"/>
        <v>-17.864624210510087</v>
      </c>
      <c r="U185" s="11">
        <f t="shared" si="19"/>
        <v>0.73537578948991333</v>
      </c>
      <c r="V185" s="11">
        <f t="shared" si="20"/>
        <v>0</v>
      </c>
      <c r="W185" s="11">
        <f t="shared" si="21"/>
        <v>0</v>
      </c>
      <c r="Y185" s="219">
        <f>'Share of £1bn'!$M$15*F185/$F$1</f>
        <v>3.765376515450936</v>
      </c>
      <c r="Z185" s="220">
        <f t="shared" si="22"/>
        <v>-14.834623484549066</v>
      </c>
      <c r="AA185" s="11">
        <f t="shared" si="23"/>
        <v>3.765376515450936</v>
      </c>
      <c r="AB185" s="11">
        <f t="shared" si="24"/>
        <v>0</v>
      </c>
      <c r="AC185" s="11">
        <f t="shared" si="25"/>
        <v>0</v>
      </c>
      <c r="AE185" s="222"/>
      <c r="AF185" s="223"/>
    </row>
    <row r="186" spans="2:32" x14ac:dyDescent="0.25">
      <c r="B186" t="s">
        <v>408</v>
      </c>
      <c r="C186" t="s">
        <v>772</v>
      </c>
      <c r="D186" t="s">
        <v>773</v>
      </c>
      <c r="E186" t="s">
        <v>25</v>
      </c>
      <c r="F186" s="219">
        <v>195</v>
      </c>
      <c r="G186" s="219">
        <v>298107</v>
      </c>
      <c r="H186" s="219">
        <v>36560</v>
      </c>
      <c r="I186" s="219">
        <v>7</v>
      </c>
      <c r="J186" s="219">
        <v>0</v>
      </c>
      <c r="K186" s="219">
        <v>0</v>
      </c>
      <c r="L186" s="219">
        <v>0</v>
      </c>
      <c r="M186" s="219">
        <v>0</v>
      </c>
      <c r="N186" s="219">
        <v>445</v>
      </c>
      <c r="O186" s="219">
        <v>335314</v>
      </c>
      <c r="Q186" s="219">
        <f>SUMIFS(Deficits!BY:BY,Deficits!BS:BS,C186)</f>
        <v>-4.3543000001227485E-4</v>
      </c>
      <c r="S186" s="219">
        <f>'Share of £1bn'!$L$15*O186/$O$1</f>
        <v>0.38451263009371944</v>
      </c>
      <c r="T186" s="220">
        <f t="shared" si="18"/>
        <v>0.38407720009370716</v>
      </c>
      <c r="U186" s="11">
        <f t="shared" si="19"/>
        <v>0</v>
      </c>
      <c r="V186" s="11">
        <f t="shared" si="20"/>
        <v>4.3543000001227485E-4</v>
      </c>
      <c r="W186" s="11">
        <f t="shared" si="21"/>
        <v>0.38407720009370716</v>
      </c>
      <c r="Y186" s="219">
        <f>'Share of £1bn'!$M$15*F186/$F$1</f>
        <v>1.2172089269025426E-3</v>
      </c>
      <c r="Z186" s="220">
        <f t="shared" si="22"/>
        <v>7.8177892689026778E-4</v>
      </c>
      <c r="AA186" s="11">
        <f t="shared" si="23"/>
        <v>0</v>
      </c>
      <c r="AB186" s="11">
        <f t="shared" si="24"/>
        <v>4.3543000001227485E-4</v>
      </c>
      <c r="AC186" s="11">
        <f t="shared" si="25"/>
        <v>7.8177892689026778E-4</v>
      </c>
      <c r="AE186" s="222"/>
      <c r="AF186" s="223"/>
    </row>
    <row r="187" spans="2:32" x14ac:dyDescent="0.25">
      <c r="B187" t="s">
        <v>236</v>
      </c>
      <c r="C187" t="s">
        <v>774</v>
      </c>
      <c r="D187" t="s">
        <v>775</v>
      </c>
      <c r="E187" t="s">
        <v>25</v>
      </c>
      <c r="F187" s="219">
        <v>4</v>
      </c>
      <c r="G187" s="219">
        <v>0</v>
      </c>
      <c r="H187" s="219">
        <v>0</v>
      </c>
      <c r="I187" s="219">
        <v>0</v>
      </c>
      <c r="J187" s="219">
        <v>0</v>
      </c>
      <c r="K187" s="219">
        <v>0</v>
      </c>
      <c r="L187" s="219">
        <v>357858</v>
      </c>
      <c r="M187" s="219">
        <v>0</v>
      </c>
      <c r="N187" s="219">
        <v>3417</v>
      </c>
      <c r="O187" s="219">
        <v>361279</v>
      </c>
      <c r="Q187" s="219">
        <f>SUMIFS(Deficits!BY:BY,Deficits!BS:BS,C187)</f>
        <v>2.0000000000006701E-3</v>
      </c>
      <c r="S187" s="219">
        <f>'Share of £1bn'!$L$15*O187/$O$1</f>
        <v>0.41428732020622122</v>
      </c>
      <c r="T187" s="220">
        <f t="shared" si="18"/>
        <v>0.41628732020622189</v>
      </c>
      <c r="U187" s="11">
        <f t="shared" si="19"/>
        <v>0</v>
      </c>
      <c r="V187" s="11">
        <f t="shared" si="20"/>
        <v>0</v>
      </c>
      <c r="W187" s="11">
        <f t="shared" si="21"/>
        <v>0.41428732020622122</v>
      </c>
      <c r="Y187" s="219">
        <f>'Share of £1bn'!$M$15*F187/$F$1</f>
        <v>2.496838824415472E-5</v>
      </c>
      <c r="Z187" s="220">
        <f t="shared" si="22"/>
        <v>2.024968388244825E-3</v>
      </c>
      <c r="AA187" s="11">
        <f t="shared" si="23"/>
        <v>0</v>
      </c>
      <c r="AB187" s="11">
        <f t="shared" si="24"/>
        <v>0</v>
      </c>
      <c r="AC187" s="11">
        <f t="shared" si="25"/>
        <v>2.496838824415472E-5</v>
      </c>
      <c r="AE187" s="222"/>
      <c r="AF187" s="223"/>
    </row>
    <row r="188" spans="2:32" x14ac:dyDescent="0.25">
      <c r="B188" t="s">
        <v>408</v>
      </c>
      <c r="C188" t="s">
        <v>776</v>
      </c>
      <c r="D188" t="s">
        <v>777</v>
      </c>
      <c r="E188" t="s">
        <v>40</v>
      </c>
      <c r="F188" s="219">
        <v>261</v>
      </c>
      <c r="G188" s="219">
        <v>172563</v>
      </c>
      <c r="H188" s="219">
        <v>45201</v>
      </c>
      <c r="I188" s="219">
        <v>0</v>
      </c>
      <c r="J188" s="219">
        <v>2925</v>
      </c>
      <c r="K188" s="219">
        <v>0</v>
      </c>
      <c r="L188" s="219">
        <v>0</v>
      </c>
      <c r="M188" s="219">
        <v>0</v>
      </c>
      <c r="N188" s="219">
        <v>0</v>
      </c>
      <c r="O188" s="219">
        <v>220950</v>
      </c>
      <c r="Q188" s="219">
        <f>SUMIFS(Deficits!BY:BY,Deficits!BS:BS,C188)</f>
        <v>-5</v>
      </c>
      <c r="S188" s="219">
        <f>'Share of £1bn'!$L$15*O188/$O$1</f>
        <v>0.25336868016011055</v>
      </c>
      <c r="T188" s="220">
        <f t="shared" si="18"/>
        <v>-4.7466313198398895</v>
      </c>
      <c r="U188" s="11">
        <f t="shared" si="19"/>
        <v>0.25336868016011055</v>
      </c>
      <c r="V188" s="11">
        <f t="shared" si="20"/>
        <v>0</v>
      </c>
      <c r="W188" s="11">
        <f t="shared" si="21"/>
        <v>0</v>
      </c>
      <c r="Y188" s="219">
        <f>'Share of £1bn'!$M$15*F188/$F$1</f>
        <v>1.6291873329310955E-3</v>
      </c>
      <c r="Z188" s="220">
        <f t="shared" si="22"/>
        <v>-4.9983708126670692</v>
      </c>
      <c r="AA188" s="11">
        <f t="shared" si="23"/>
        <v>1.6291873329310955E-3</v>
      </c>
      <c r="AB188" s="11">
        <f t="shared" si="24"/>
        <v>0</v>
      </c>
      <c r="AC188" s="11">
        <f t="shared" si="25"/>
        <v>0</v>
      </c>
      <c r="AE188" s="222"/>
      <c r="AF188" s="223"/>
    </row>
    <row r="189" spans="2:32" x14ac:dyDescent="0.25">
      <c r="B189" t="s">
        <v>403</v>
      </c>
      <c r="C189" t="s">
        <v>778</v>
      </c>
      <c r="D189" t="s">
        <v>779</v>
      </c>
      <c r="E189" t="s">
        <v>40</v>
      </c>
      <c r="F189" s="219">
        <v>205199</v>
      </c>
      <c r="G189" s="219">
        <v>0</v>
      </c>
      <c r="H189" s="219">
        <v>0</v>
      </c>
      <c r="I189" s="219">
        <v>585</v>
      </c>
      <c r="J189" s="219">
        <v>1897</v>
      </c>
      <c r="K189" s="219">
        <v>0</v>
      </c>
      <c r="L189" s="219">
        <v>0</v>
      </c>
      <c r="M189" s="219">
        <v>0</v>
      </c>
      <c r="N189" s="219">
        <v>0</v>
      </c>
      <c r="O189" s="219">
        <v>207681</v>
      </c>
      <c r="Q189" s="219">
        <f>SUMIFS(Deficits!BY:BY,Deficits!BS:BS,C189)</f>
        <v>-2</v>
      </c>
      <c r="S189" s="219">
        <f>'Share of £1bn'!$L$15*O189/$O$1</f>
        <v>0.23815279866183262</v>
      </c>
      <c r="T189" s="220">
        <f t="shared" si="18"/>
        <v>-1.7618472013381674</v>
      </c>
      <c r="U189" s="11">
        <f t="shared" si="19"/>
        <v>0.23815279866183262</v>
      </c>
      <c r="V189" s="11">
        <f t="shared" si="20"/>
        <v>0</v>
      </c>
      <c r="W189" s="11">
        <f t="shared" si="21"/>
        <v>0</v>
      </c>
      <c r="Y189" s="219">
        <f>'Share of £1bn'!$M$15*F189/$F$1</f>
        <v>1.280872074828076</v>
      </c>
      <c r="Z189" s="220">
        <f t="shared" si="22"/>
        <v>-0.71912792517192403</v>
      </c>
      <c r="AA189" s="11">
        <f t="shared" si="23"/>
        <v>1.280872074828076</v>
      </c>
      <c r="AB189" s="11">
        <f t="shared" si="24"/>
        <v>0</v>
      </c>
      <c r="AC189" s="11">
        <f t="shared" si="25"/>
        <v>0</v>
      </c>
      <c r="AE189" s="222"/>
      <c r="AF189" s="223"/>
    </row>
    <row r="190" spans="2:32" x14ac:dyDescent="0.25">
      <c r="B190" t="s">
        <v>403</v>
      </c>
      <c r="C190" t="s">
        <v>780</v>
      </c>
      <c r="D190" t="s">
        <v>781</v>
      </c>
      <c r="E190" t="s">
        <v>40</v>
      </c>
      <c r="F190" s="219">
        <v>265255</v>
      </c>
      <c r="G190" s="219">
        <v>0</v>
      </c>
      <c r="H190" s="219">
        <v>64857</v>
      </c>
      <c r="I190" s="219">
        <v>1448</v>
      </c>
      <c r="J190" s="219">
        <v>0</v>
      </c>
      <c r="K190" s="219">
        <v>0</v>
      </c>
      <c r="L190" s="219">
        <v>0</v>
      </c>
      <c r="M190" s="219">
        <v>0</v>
      </c>
      <c r="N190" s="219">
        <v>0</v>
      </c>
      <c r="O190" s="219">
        <v>331560</v>
      </c>
      <c r="Q190" s="219">
        <f>SUMIFS(Deficits!BY:BY,Deficits!BS:BS,C190)</f>
        <v>-8.9979999999999993</v>
      </c>
      <c r="S190" s="219">
        <f>'Share of £1bn'!$L$15*O190/$O$1</f>
        <v>0.38020782798771785</v>
      </c>
      <c r="T190" s="220">
        <f t="shared" si="18"/>
        <v>-8.6177921720122814</v>
      </c>
      <c r="U190" s="11">
        <f t="shared" si="19"/>
        <v>0.38020782798771785</v>
      </c>
      <c r="V190" s="11">
        <f t="shared" si="20"/>
        <v>0</v>
      </c>
      <c r="W190" s="11">
        <f t="shared" si="21"/>
        <v>0</v>
      </c>
      <c r="Y190" s="219">
        <f>'Share of £1bn'!$M$15*F190/$F$1</f>
        <v>1.6557474559258152</v>
      </c>
      <c r="Z190" s="220">
        <f t="shared" si="22"/>
        <v>-7.3422525440741842</v>
      </c>
      <c r="AA190" s="11">
        <f t="shared" si="23"/>
        <v>1.6557474559258152</v>
      </c>
      <c r="AB190" s="11">
        <f t="shared" si="24"/>
        <v>0</v>
      </c>
      <c r="AC190" s="11">
        <f t="shared" si="25"/>
        <v>0</v>
      </c>
      <c r="AE190" s="222"/>
      <c r="AF190" s="223"/>
    </row>
    <row r="191" spans="2:32" x14ac:dyDescent="0.25">
      <c r="B191" t="s">
        <v>403</v>
      </c>
      <c r="C191" t="s">
        <v>782</v>
      </c>
      <c r="D191" t="s">
        <v>783</v>
      </c>
      <c r="E191" t="s">
        <v>40</v>
      </c>
      <c r="F191" s="219">
        <v>777349</v>
      </c>
      <c r="G191" s="219">
        <v>0</v>
      </c>
      <c r="H191" s="219">
        <v>0</v>
      </c>
      <c r="I191" s="219">
        <v>5048</v>
      </c>
      <c r="J191" s="219">
        <v>0</v>
      </c>
      <c r="K191" s="219">
        <v>0</v>
      </c>
      <c r="L191" s="219">
        <v>0</v>
      </c>
      <c r="M191" s="219">
        <v>0</v>
      </c>
      <c r="N191" s="219">
        <v>0</v>
      </c>
      <c r="O191" s="219">
        <v>782397</v>
      </c>
      <c r="Q191" s="219">
        <f>SUMIFS(Deficits!BY:BY,Deficits!BS:BS,C191)</f>
        <v>-19.10009793999992</v>
      </c>
      <c r="S191" s="219">
        <f>'Share of £1bn'!$L$15*O191/$O$1</f>
        <v>0.8971934611958815</v>
      </c>
      <c r="T191" s="220">
        <f t="shared" si="18"/>
        <v>-18.202904478804037</v>
      </c>
      <c r="U191" s="11">
        <f t="shared" si="19"/>
        <v>0.8971934611958815</v>
      </c>
      <c r="V191" s="11">
        <f t="shared" si="20"/>
        <v>0</v>
      </c>
      <c r="W191" s="11">
        <f t="shared" si="21"/>
        <v>0</v>
      </c>
      <c r="Y191" s="219">
        <f>'Share of £1bn'!$M$15*F191/$F$1</f>
        <v>4.8522879083013564</v>
      </c>
      <c r="Z191" s="220">
        <f t="shared" si="22"/>
        <v>-14.247810031698563</v>
      </c>
      <c r="AA191" s="11">
        <f t="shared" si="23"/>
        <v>4.8522879083013564</v>
      </c>
      <c r="AB191" s="11">
        <f t="shared" si="24"/>
        <v>0</v>
      </c>
      <c r="AC191" s="11">
        <f t="shared" si="25"/>
        <v>0</v>
      </c>
      <c r="AE191" s="222"/>
      <c r="AF191" s="223"/>
    </row>
    <row r="192" spans="2:32" x14ac:dyDescent="0.25">
      <c r="B192" t="s">
        <v>403</v>
      </c>
      <c r="C192" t="s">
        <v>784</v>
      </c>
      <c r="D192" t="s">
        <v>785</v>
      </c>
      <c r="E192" t="s">
        <v>94</v>
      </c>
      <c r="F192" s="219">
        <v>353088</v>
      </c>
      <c r="G192" s="219">
        <v>28</v>
      </c>
      <c r="H192" s="219">
        <v>92</v>
      </c>
      <c r="I192" s="219">
        <v>6239</v>
      </c>
      <c r="J192" s="219">
        <v>192</v>
      </c>
      <c r="K192" s="219">
        <v>0</v>
      </c>
      <c r="L192" s="219">
        <v>0</v>
      </c>
      <c r="M192" s="219">
        <v>806</v>
      </c>
      <c r="N192" s="219">
        <v>0</v>
      </c>
      <c r="O192" s="219">
        <v>360445</v>
      </c>
      <c r="Q192" s="219">
        <f>SUMIFS(Deficits!BY:BY,Deficits!BS:BS,C192)</f>
        <v>-17.514806329999971</v>
      </c>
      <c r="S192" s="219">
        <f>'Share of £1bn'!$L$15*O192/$O$1</f>
        <v>0.41333095234356665</v>
      </c>
      <c r="T192" s="220">
        <f t="shared" si="18"/>
        <v>-17.101475377656403</v>
      </c>
      <c r="U192" s="11">
        <f t="shared" si="19"/>
        <v>0.41333095234356665</v>
      </c>
      <c r="V192" s="11">
        <f t="shared" si="20"/>
        <v>0</v>
      </c>
      <c r="W192" s="11">
        <f t="shared" si="21"/>
        <v>0</v>
      </c>
      <c r="Y192" s="219">
        <f>'Share of £1bn'!$M$15*F192/$F$1</f>
        <v>2.2040095670880255</v>
      </c>
      <c r="Z192" s="220">
        <f t="shared" si="22"/>
        <v>-15.310796762911945</v>
      </c>
      <c r="AA192" s="11">
        <f t="shared" si="23"/>
        <v>2.2040095670880255</v>
      </c>
      <c r="AB192" s="11">
        <f t="shared" si="24"/>
        <v>0</v>
      </c>
      <c r="AC192" s="11">
        <f t="shared" si="25"/>
        <v>0</v>
      </c>
      <c r="AE192" s="222"/>
      <c r="AF192" s="223"/>
    </row>
    <row r="193" spans="2:32" x14ac:dyDescent="0.25">
      <c r="B193" t="s">
        <v>403</v>
      </c>
      <c r="C193" t="s">
        <v>786</v>
      </c>
      <c r="D193" t="s">
        <v>787</v>
      </c>
      <c r="E193" t="s">
        <v>94</v>
      </c>
      <c r="F193" s="219">
        <v>409997</v>
      </c>
      <c r="G193" s="219">
        <v>0</v>
      </c>
      <c r="H193" s="219">
        <v>15350</v>
      </c>
      <c r="I193" s="219">
        <v>10019</v>
      </c>
      <c r="J193" s="219">
        <v>0</v>
      </c>
      <c r="K193" s="219">
        <v>0</v>
      </c>
      <c r="L193" s="219">
        <v>0</v>
      </c>
      <c r="M193" s="219">
        <v>492</v>
      </c>
      <c r="N193" s="219">
        <v>0</v>
      </c>
      <c r="O193" s="219">
        <v>435858</v>
      </c>
      <c r="Q193" s="219">
        <f>SUMIFS(Deficits!BY:BY,Deficits!BS:BS,C193)</f>
        <v>-2.8</v>
      </c>
      <c r="S193" s="219">
        <f>'Share of £1bn'!$L$15*O193/$O$1</f>
        <v>0.49980885357422705</v>
      </c>
      <c r="T193" s="220">
        <f t="shared" si="18"/>
        <v>-2.3001911464257727</v>
      </c>
      <c r="U193" s="11">
        <f t="shared" si="19"/>
        <v>0.49980885357422705</v>
      </c>
      <c r="V193" s="11">
        <f t="shared" si="20"/>
        <v>0</v>
      </c>
      <c r="W193" s="11">
        <f t="shared" si="21"/>
        <v>0</v>
      </c>
      <c r="Y193" s="219">
        <f>'Share of £1bn'!$M$15*F193/$F$1</f>
        <v>2.5592410687346758</v>
      </c>
      <c r="Z193" s="220">
        <f t="shared" si="22"/>
        <v>-0.24075893126532399</v>
      </c>
      <c r="AA193" s="11">
        <f t="shared" si="23"/>
        <v>2.5592410687346758</v>
      </c>
      <c r="AB193" s="11">
        <f t="shared" si="24"/>
        <v>0</v>
      </c>
      <c r="AC193" s="11">
        <f t="shared" si="25"/>
        <v>0</v>
      </c>
      <c r="AE193" s="222"/>
      <c r="AF193" s="223"/>
    </row>
    <row r="194" spans="2:32" x14ac:dyDescent="0.25">
      <c r="B194" t="s">
        <v>236</v>
      </c>
      <c r="C194" t="s">
        <v>788</v>
      </c>
      <c r="D194" t="s">
        <v>789</v>
      </c>
      <c r="E194" t="s">
        <v>94</v>
      </c>
      <c r="F194" s="219">
        <v>101242</v>
      </c>
      <c r="G194" s="219">
        <v>0</v>
      </c>
      <c r="H194" s="219">
        <v>0</v>
      </c>
      <c r="I194" s="219">
        <v>0</v>
      </c>
      <c r="J194" s="219">
        <v>0</v>
      </c>
      <c r="K194" s="219">
        <v>0</v>
      </c>
      <c r="L194" s="219">
        <v>182010</v>
      </c>
      <c r="M194" s="219">
        <v>14052</v>
      </c>
      <c r="N194" s="219">
        <v>0</v>
      </c>
      <c r="O194" s="219">
        <v>297304</v>
      </c>
      <c r="Q194" s="219">
        <f>SUMIFS(Deficits!BY:BY,Deficits!BS:BS,C194)</f>
        <v>0</v>
      </c>
      <c r="S194" s="219">
        <f>'Share of £1bn'!$L$15*O194/$O$1</f>
        <v>0.34092564872741121</v>
      </c>
      <c r="T194" s="220">
        <f t="shared" si="18"/>
        <v>0.34092564872741121</v>
      </c>
      <c r="U194" s="11">
        <f t="shared" si="19"/>
        <v>0</v>
      </c>
      <c r="V194" s="11">
        <f t="shared" si="20"/>
        <v>0</v>
      </c>
      <c r="W194" s="11">
        <f t="shared" si="21"/>
        <v>0.34092564872741121</v>
      </c>
      <c r="Y194" s="219">
        <f>'Share of £1bn'!$M$15*F194/$F$1</f>
        <v>0.63196239065367799</v>
      </c>
      <c r="Z194" s="220">
        <f t="shared" si="22"/>
        <v>0.63196239065367799</v>
      </c>
      <c r="AA194" s="11">
        <f t="shared" si="23"/>
        <v>0</v>
      </c>
      <c r="AB194" s="11">
        <f t="shared" si="24"/>
        <v>0</v>
      </c>
      <c r="AC194" s="11">
        <f t="shared" si="25"/>
        <v>0.63196239065367799</v>
      </c>
      <c r="AE194" s="222"/>
      <c r="AF194" s="223"/>
    </row>
    <row r="195" spans="2:32" x14ac:dyDescent="0.25">
      <c r="B195" t="s">
        <v>408</v>
      </c>
      <c r="C195" t="s">
        <v>790</v>
      </c>
      <c r="D195" t="s">
        <v>791</v>
      </c>
      <c r="E195" t="s">
        <v>94</v>
      </c>
      <c r="F195" s="219">
        <v>695</v>
      </c>
      <c r="G195" s="219">
        <v>243840</v>
      </c>
      <c r="H195" s="219">
        <v>35209</v>
      </c>
      <c r="I195" s="219">
        <v>0</v>
      </c>
      <c r="J195" s="219">
        <v>0</v>
      </c>
      <c r="K195" s="219">
        <v>0</v>
      </c>
      <c r="L195" s="219">
        <v>0</v>
      </c>
      <c r="M195" s="219">
        <v>5567</v>
      </c>
      <c r="N195" s="219">
        <v>0</v>
      </c>
      <c r="O195" s="219">
        <v>285311</v>
      </c>
      <c r="Q195" s="219">
        <f>SUMIFS(Deficits!BY:BY,Deficits!BS:BS,C195)</f>
        <v>-7</v>
      </c>
      <c r="S195" s="219">
        <f>'Share of £1bn'!$L$15*O195/$O$1</f>
        <v>0.32717298712451365</v>
      </c>
      <c r="T195" s="220">
        <f t="shared" si="18"/>
        <v>-6.6728270128754863</v>
      </c>
      <c r="U195" s="11">
        <f t="shared" si="19"/>
        <v>0.32717298712451365</v>
      </c>
      <c r="V195" s="11">
        <f t="shared" si="20"/>
        <v>0</v>
      </c>
      <c r="W195" s="11">
        <f t="shared" si="21"/>
        <v>0</v>
      </c>
      <c r="Y195" s="219">
        <f>'Share of £1bn'!$M$15*F195/$F$1</f>
        <v>4.3382574574218832E-3</v>
      </c>
      <c r="Z195" s="220">
        <f t="shared" si="22"/>
        <v>-6.9956617425425778</v>
      </c>
      <c r="AA195" s="11">
        <f t="shared" si="23"/>
        <v>4.3382574574218832E-3</v>
      </c>
      <c r="AB195" s="11">
        <f t="shared" si="24"/>
        <v>0</v>
      </c>
      <c r="AC195" s="11">
        <f t="shared" si="25"/>
        <v>0</v>
      </c>
      <c r="AE195" s="222"/>
      <c r="AF195" s="223"/>
    </row>
    <row r="196" spans="2:32" x14ac:dyDescent="0.25">
      <c r="B196" t="s">
        <v>403</v>
      </c>
      <c r="C196" t="s">
        <v>792</v>
      </c>
      <c r="D196" t="s">
        <v>793</v>
      </c>
      <c r="E196" t="s">
        <v>94</v>
      </c>
      <c r="F196" s="219">
        <v>377260</v>
      </c>
      <c r="G196" s="219">
        <v>151</v>
      </c>
      <c r="H196" s="219">
        <v>0</v>
      </c>
      <c r="I196" s="219">
        <v>2246</v>
      </c>
      <c r="J196" s="219">
        <v>785</v>
      </c>
      <c r="K196" s="219">
        <v>0</v>
      </c>
      <c r="L196" s="219">
        <v>0</v>
      </c>
      <c r="M196" s="219">
        <v>0</v>
      </c>
      <c r="N196" s="219">
        <v>0</v>
      </c>
      <c r="O196" s="219">
        <v>380442</v>
      </c>
      <c r="Q196" s="219">
        <f>SUMIFS(Deficits!BY:BY,Deficits!BS:BS,C196)</f>
        <v>-31.698</v>
      </c>
      <c r="S196" s="219">
        <f>'Share of £1bn'!$L$15*O196/$O$1</f>
        <v>0.43626199329021398</v>
      </c>
      <c r="T196" s="220">
        <f t="shared" ref="T196:T213" si="26">S196+$Q196</f>
        <v>-31.261738006709788</v>
      </c>
      <c r="U196" s="11">
        <f t="shared" ref="U196:U213" si="27">IF(AND($Q196&lt;0,T196&lt;0),S196,0)</f>
        <v>0.43626199329021398</v>
      </c>
      <c r="V196" s="11">
        <f t="shared" ref="V196:V213" si="28">IF(AND($Q196&lt;0,T196&gt;0),-$Q196,0)</f>
        <v>0</v>
      </c>
      <c r="W196" s="11">
        <f t="shared" ref="W196:W213" si="29">IF(OR($Q196&gt;=0,T196&gt;=0),S196-V196,0)</f>
        <v>0</v>
      </c>
      <c r="Y196" s="219">
        <f>'Share of £1bn'!$M$15*F196/$F$1</f>
        <v>2.3548935372474524</v>
      </c>
      <c r="Z196" s="220">
        <f t="shared" ref="Z196:Z213" si="30">Y196+$Q196</f>
        <v>-29.343106462752548</v>
      </c>
      <c r="AA196" s="11">
        <f t="shared" ref="AA196:AA213" si="31">IF(AND($Q196&lt;0,Z196&lt;0),Y196,0)</f>
        <v>2.3548935372474524</v>
      </c>
      <c r="AB196" s="11">
        <f t="shared" ref="AB196:AB213" si="32">IF(AND($Q196&lt;0,Z196&gt;0),-$Q196,0)</f>
        <v>0</v>
      </c>
      <c r="AC196" s="11">
        <f t="shared" ref="AC196:AC213" si="33">IF(OR($Q196&gt;=0,Z196&gt;=0),Y196-AB196,0)</f>
        <v>0</v>
      </c>
      <c r="AE196" s="222"/>
      <c r="AF196" s="223"/>
    </row>
    <row r="197" spans="2:32" x14ac:dyDescent="0.25">
      <c r="B197" t="s">
        <v>403</v>
      </c>
      <c r="C197" t="s">
        <v>794</v>
      </c>
      <c r="D197" t="s">
        <v>795</v>
      </c>
      <c r="E197" t="s">
        <v>29</v>
      </c>
      <c r="F197" s="219">
        <v>283929</v>
      </c>
      <c r="G197" s="219">
        <v>19222</v>
      </c>
      <c r="H197" s="219">
        <v>6554</v>
      </c>
      <c r="I197" s="219">
        <v>1954</v>
      </c>
      <c r="J197" s="219">
        <v>0</v>
      </c>
      <c r="K197" s="219">
        <v>0</v>
      </c>
      <c r="L197" s="219">
        <v>0</v>
      </c>
      <c r="M197" s="219">
        <v>1290</v>
      </c>
      <c r="N197" s="219">
        <v>0</v>
      </c>
      <c r="O197" s="219">
        <v>312949</v>
      </c>
      <c r="Q197" s="219">
        <f>SUMIFS(Deficits!BY:BY,Deficits!BS:BS,C197)</f>
        <v>12.307794669999916</v>
      </c>
      <c r="S197" s="219">
        <f>'Share of £1bn'!$L$15*O197/$O$1</f>
        <v>0.35886614658260441</v>
      </c>
      <c r="T197" s="220">
        <f t="shared" si="26"/>
        <v>12.666660816582521</v>
      </c>
      <c r="U197" s="11">
        <f t="shared" si="27"/>
        <v>0</v>
      </c>
      <c r="V197" s="11">
        <f t="shared" si="28"/>
        <v>0</v>
      </c>
      <c r="W197" s="11">
        <f t="shared" si="29"/>
        <v>0.35886614658260441</v>
      </c>
      <c r="Y197" s="219">
        <f>'Share of £1bn'!$M$15*F197/$F$1</f>
        <v>1.7723123764436512</v>
      </c>
      <c r="Z197" s="220">
        <f t="shared" si="30"/>
        <v>14.080107046443567</v>
      </c>
      <c r="AA197" s="11">
        <f t="shared" si="31"/>
        <v>0</v>
      </c>
      <c r="AB197" s="11">
        <f t="shared" si="32"/>
        <v>0</v>
      </c>
      <c r="AC197" s="11">
        <f t="shared" si="33"/>
        <v>1.7723123764436512</v>
      </c>
      <c r="AE197" s="222"/>
      <c r="AF197" s="223"/>
    </row>
    <row r="198" spans="2:32" x14ac:dyDescent="0.25">
      <c r="B198" t="s">
        <v>433</v>
      </c>
      <c r="C198" t="s">
        <v>796</v>
      </c>
      <c r="D198" t="s">
        <v>797</v>
      </c>
      <c r="E198" t="s">
        <v>29</v>
      </c>
      <c r="F198" s="219">
        <v>3581</v>
      </c>
      <c r="G198" s="219">
        <v>0</v>
      </c>
      <c r="H198" s="219">
        <v>57098</v>
      </c>
      <c r="I198" s="219">
        <v>0</v>
      </c>
      <c r="J198" s="219">
        <v>3253</v>
      </c>
      <c r="K198" s="219">
        <v>0</v>
      </c>
      <c r="L198" s="219">
        <v>0</v>
      </c>
      <c r="M198" s="219">
        <v>0</v>
      </c>
      <c r="N198" s="219">
        <v>51</v>
      </c>
      <c r="O198" s="219">
        <v>63983</v>
      </c>
      <c r="Q198" s="219">
        <f>SUMIFS(Deficits!BY:BY,Deficits!BS:BS,C198)</f>
        <v>3.8599999999132704E-4</v>
      </c>
      <c r="S198" s="219">
        <f>'Share of £1bn'!$L$15*O198/$O$1</f>
        <v>7.3370845271257534E-2</v>
      </c>
      <c r="T198" s="220">
        <f t="shared" si="26"/>
        <v>7.3756845271248858E-2</v>
      </c>
      <c r="U198" s="11">
        <f t="shared" si="27"/>
        <v>0</v>
      </c>
      <c r="V198" s="11">
        <f t="shared" si="28"/>
        <v>0</v>
      </c>
      <c r="W198" s="11">
        <f t="shared" si="29"/>
        <v>7.3370845271257534E-2</v>
      </c>
      <c r="Y198" s="219">
        <f>'Share of £1bn'!$M$15*F198/$F$1</f>
        <v>2.2352949575579512E-2</v>
      </c>
      <c r="Z198" s="220">
        <f t="shared" si="30"/>
        <v>2.2738949575570839E-2</v>
      </c>
      <c r="AA198" s="11">
        <f t="shared" si="31"/>
        <v>0</v>
      </c>
      <c r="AB198" s="11">
        <f t="shared" si="32"/>
        <v>0</v>
      </c>
      <c r="AC198" s="11">
        <f t="shared" si="33"/>
        <v>2.2352949575579512E-2</v>
      </c>
      <c r="AE198" s="222"/>
      <c r="AF198" s="223"/>
    </row>
    <row r="199" spans="2:32" x14ac:dyDescent="0.25">
      <c r="B199" t="s">
        <v>408</v>
      </c>
      <c r="C199" t="s">
        <v>798</v>
      </c>
      <c r="D199" t="s">
        <v>799</v>
      </c>
      <c r="E199" t="s">
        <v>29</v>
      </c>
      <c r="F199" s="219">
        <v>202</v>
      </c>
      <c r="G199" s="219">
        <v>169857</v>
      </c>
      <c r="H199" s="219">
        <v>20534</v>
      </c>
      <c r="I199" s="219">
        <v>0</v>
      </c>
      <c r="J199" s="219">
        <v>0</v>
      </c>
      <c r="K199" s="219">
        <v>0</v>
      </c>
      <c r="L199" s="219">
        <v>0</v>
      </c>
      <c r="M199" s="219">
        <v>4638</v>
      </c>
      <c r="N199" s="219">
        <v>0</v>
      </c>
      <c r="O199" s="219">
        <v>195231</v>
      </c>
      <c r="Q199" s="219">
        <f>SUMIFS(Deficits!BY:BY,Deficits!BS:BS,C199)</f>
        <v>0</v>
      </c>
      <c r="S199" s="219">
        <f>'Share of £1bn'!$L$15*O199/$O$1</f>
        <v>0.22387608416537019</v>
      </c>
      <c r="T199" s="220">
        <f t="shared" si="26"/>
        <v>0.22387608416537019</v>
      </c>
      <c r="U199" s="11">
        <f t="shared" si="27"/>
        <v>0</v>
      </c>
      <c r="V199" s="11">
        <f t="shared" si="28"/>
        <v>0</v>
      </c>
      <c r="W199" s="11">
        <f t="shared" si="29"/>
        <v>0.22387608416537019</v>
      </c>
      <c r="Y199" s="219">
        <f>'Share of £1bn'!$M$15*F199/$F$1</f>
        <v>1.2609036063298132E-3</v>
      </c>
      <c r="Z199" s="220">
        <f t="shared" si="30"/>
        <v>1.2609036063298132E-3</v>
      </c>
      <c r="AA199" s="11">
        <f t="shared" si="31"/>
        <v>0</v>
      </c>
      <c r="AB199" s="11">
        <f t="shared" si="32"/>
        <v>0</v>
      </c>
      <c r="AC199" s="11">
        <f t="shared" si="33"/>
        <v>1.2609036063298132E-3</v>
      </c>
      <c r="AE199" s="222"/>
      <c r="AF199" s="223"/>
    </row>
    <row r="200" spans="2:32" x14ac:dyDescent="0.25">
      <c r="B200" t="s">
        <v>403</v>
      </c>
      <c r="C200" t="s">
        <v>800</v>
      </c>
      <c r="D200" t="s">
        <v>801</v>
      </c>
      <c r="E200" t="s">
        <v>29</v>
      </c>
      <c r="F200" s="219">
        <v>255395</v>
      </c>
      <c r="G200" s="219">
        <v>107</v>
      </c>
      <c r="H200" s="219">
        <v>1619</v>
      </c>
      <c r="I200" s="219">
        <v>2915</v>
      </c>
      <c r="J200" s="219">
        <v>0</v>
      </c>
      <c r="K200" s="219">
        <v>0</v>
      </c>
      <c r="L200" s="219">
        <v>0</v>
      </c>
      <c r="M200" s="219">
        <v>1528</v>
      </c>
      <c r="N200" s="219">
        <v>0</v>
      </c>
      <c r="O200" s="219">
        <v>261564</v>
      </c>
      <c r="Q200" s="219">
        <f>SUMIFS(Deficits!BY:BY,Deficits!BS:BS,C200)</f>
        <v>-25.193843999999984</v>
      </c>
      <c r="S200" s="219">
        <f>'Share of £1bn'!$L$15*O200/$O$1</f>
        <v>0.29994173096808852</v>
      </c>
      <c r="T200" s="220">
        <f t="shared" si="26"/>
        <v>-24.893902269031894</v>
      </c>
      <c r="U200" s="11">
        <f t="shared" si="27"/>
        <v>0.29994173096808852</v>
      </c>
      <c r="V200" s="11">
        <f t="shared" si="28"/>
        <v>0</v>
      </c>
      <c r="W200" s="11">
        <f t="shared" si="29"/>
        <v>0</v>
      </c>
      <c r="Y200" s="219">
        <f>'Share of £1bn'!$M$15*F200/$F$1</f>
        <v>1.5942003789039738</v>
      </c>
      <c r="Z200" s="220">
        <f t="shared" si="30"/>
        <v>-23.599643621096011</v>
      </c>
      <c r="AA200" s="11">
        <f t="shared" si="31"/>
        <v>1.5942003789039738</v>
      </c>
      <c r="AB200" s="11">
        <f t="shared" si="32"/>
        <v>0</v>
      </c>
      <c r="AC200" s="11">
        <f t="shared" si="33"/>
        <v>0</v>
      </c>
      <c r="AE200" s="222"/>
      <c r="AF200" s="223"/>
    </row>
    <row r="201" spans="2:32" x14ac:dyDescent="0.25">
      <c r="B201" t="s">
        <v>403</v>
      </c>
      <c r="C201" t="s">
        <v>802</v>
      </c>
      <c r="D201" t="s">
        <v>803</v>
      </c>
      <c r="E201" t="s">
        <v>29</v>
      </c>
      <c r="F201" s="219">
        <v>143671</v>
      </c>
      <c r="G201" s="219">
        <v>0</v>
      </c>
      <c r="H201" s="219">
        <v>30893</v>
      </c>
      <c r="I201" s="219">
        <v>0</v>
      </c>
      <c r="J201" s="219">
        <v>1175</v>
      </c>
      <c r="K201" s="219">
        <v>0</v>
      </c>
      <c r="L201" s="219">
        <v>0</v>
      </c>
      <c r="M201" s="219">
        <v>3492</v>
      </c>
      <c r="N201" s="219">
        <v>0</v>
      </c>
      <c r="O201" s="219">
        <v>179231</v>
      </c>
      <c r="Q201" s="219">
        <f>SUMIFS(Deficits!BY:BY,Deficits!BS:BS,C201)</f>
        <v>-4.3579999999999997</v>
      </c>
      <c r="S201" s="219">
        <f>'Share of £1bn'!$L$15*O201/$O$1</f>
        <v>0.20552849927031808</v>
      </c>
      <c r="T201" s="220">
        <f t="shared" si="26"/>
        <v>-4.152471500729682</v>
      </c>
      <c r="U201" s="11">
        <f t="shared" si="27"/>
        <v>0.20552849927031808</v>
      </c>
      <c r="V201" s="11">
        <f t="shared" si="28"/>
        <v>0</v>
      </c>
      <c r="W201" s="11">
        <f t="shared" si="29"/>
        <v>0</v>
      </c>
      <c r="Y201" s="219">
        <f>'Share of £1bn'!$M$15*F201/$F$1</f>
        <v>0.89680832685648815</v>
      </c>
      <c r="Z201" s="220">
        <f t="shared" si="30"/>
        <v>-3.4611916731435115</v>
      </c>
      <c r="AA201" s="11">
        <f t="shared" si="31"/>
        <v>0.89680832685648815</v>
      </c>
      <c r="AB201" s="11">
        <f t="shared" si="32"/>
        <v>0</v>
      </c>
      <c r="AC201" s="11">
        <f t="shared" si="33"/>
        <v>0</v>
      </c>
      <c r="AE201" s="222"/>
      <c r="AF201" s="223"/>
    </row>
    <row r="202" spans="2:32" x14ac:dyDescent="0.25">
      <c r="B202" t="s">
        <v>403</v>
      </c>
      <c r="C202" t="s">
        <v>804</v>
      </c>
      <c r="D202" t="s">
        <v>805</v>
      </c>
      <c r="E202" t="s">
        <v>29</v>
      </c>
      <c r="F202" s="219">
        <v>160141</v>
      </c>
      <c r="G202" s="219">
        <v>0</v>
      </c>
      <c r="H202" s="219">
        <v>4473</v>
      </c>
      <c r="I202" s="219">
        <v>112</v>
      </c>
      <c r="J202" s="219">
        <v>0</v>
      </c>
      <c r="K202" s="219">
        <v>0</v>
      </c>
      <c r="L202" s="219">
        <v>0</v>
      </c>
      <c r="M202" s="219">
        <v>0</v>
      </c>
      <c r="N202" s="219">
        <v>0</v>
      </c>
      <c r="O202" s="219">
        <v>164726</v>
      </c>
      <c r="Q202" s="219">
        <f>SUMIFS(Deficits!BY:BY,Deficits!BS:BS,C202)</f>
        <v>9.8239999999999998</v>
      </c>
      <c r="S202" s="219">
        <f>'Share of £1bn'!$L$15*O202/$O$1</f>
        <v>0.18889526683889735</v>
      </c>
      <c r="T202" s="220">
        <f t="shared" si="26"/>
        <v>10.012895266838898</v>
      </c>
      <c r="U202" s="11">
        <f t="shared" si="27"/>
        <v>0</v>
      </c>
      <c r="V202" s="11">
        <f t="shared" si="28"/>
        <v>0</v>
      </c>
      <c r="W202" s="11">
        <f t="shared" si="29"/>
        <v>0.18889526683889735</v>
      </c>
      <c r="Y202" s="219">
        <f>'Share of £1bn'!$M$15*F202/$F$1</f>
        <v>0.99961566545179525</v>
      </c>
      <c r="Z202" s="220">
        <f t="shared" si="30"/>
        <v>10.823615665451795</v>
      </c>
      <c r="AA202" s="11">
        <f t="shared" si="31"/>
        <v>0</v>
      </c>
      <c r="AB202" s="11">
        <f t="shared" si="32"/>
        <v>0</v>
      </c>
      <c r="AC202" s="11">
        <f t="shared" si="33"/>
        <v>0.99961566545179525</v>
      </c>
      <c r="AE202" s="222"/>
      <c r="AF202" s="223"/>
    </row>
    <row r="203" spans="2:32" x14ac:dyDescent="0.25">
      <c r="B203" t="s">
        <v>403</v>
      </c>
      <c r="C203" t="s">
        <v>806</v>
      </c>
      <c r="D203" t="s">
        <v>807</v>
      </c>
      <c r="E203" t="s">
        <v>29</v>
      </c>
      <c r="F203" s="219">
        <v>902909</v>
      </c>
      <c r="G203" s="219">
        <v>0</v>
      </c>
      <c r="H203" s="219">
        <v>9064</v>
      </c>
      <c r="I203" s="219">
        <v>0</v>
      </c>
      <c r="J203" s="219">
        <v>0</v>
      </c>
      <c r="K203" s="219">
        <v>0</v>
      </c>
      <c r="L203" s="219">
        <v>0</v>
      </c>
      <c r="M203" s="219">
        <v>0</v>
      </c>
      <c r="N203" s="219">
        <v>121</v>
      </c>
      <c r="O203" s="219">
        <v>912094</v>
      </c>
      <c r="Q203" s="219">
        <f>SUMIFS(Deficits!BY:BY,Deficits!BS:BS,C203)</f>
        <v>-72.663186900000028</v>
      </c>
      <c r="S203" s="219">
        <f>'Share of £1bn'!$L$15*O203/$O$1</f>
        <v>1.0459201310792301</v>
      </c>
      <c r="T203" s="220">
        <f t="shared" si="26"/>
        <v>-71.6172667689208</v>
      </c>
      <c r="U203" s="11">
        <f t="shared" si="27"/>
        <v>1.0459201310792301</v>
      </c>
      <c r="V203" s="11">
        <f t="shared" si="28"/>
        <v>0</v>
      </c>
      <c r="W203" s="11">
        <f t="shared" si="29"/>
        <v>0</v>
      </c>
      <c r="Y203" s="219">
        <f>'Share of £1bn'!$M$15*F203/$F$1</f>
        <v>5.6360456152853731</v>
      </c>
      <c r="Z203" s="220">
        <f t="shared" si="30"/>
        <v>-67.027141284714659</v>
      </c>
      <c r="AA203" s="11">
        <f t="shared" si="31"/>
        <v>5.6360456152853731</v>
      </c>
      <c r="AB203" s="11">
        <f t="shared" si="32"/>
        <v>0</v>
      </c>
      <c r="AC203" s="11">
        <f t="shared" si="33"/>
        <v>0</v>
      </c>
      <c r="AE203" s="222"/>
      <c r="AF203" s="223"/>
    </row>
    <row r="204" spans="2:32" x14ac:dyDescent="0.25">
      <c r="B204" t="s">
        <v>403</v>
      </c>
      <c r="C204" t="s">
        <v>808</v>
      </c>
      <c r="D204" t="s">
        <v>809</v>
      </c>
      <c r="E204" t="s">
        <v>29</v>
      </c>
      <c r="F204" s="219">
        <v>118939</v>
      </c>
      <c r="G204" s="219">
        <v>0</v>
      </c>
      <c r="H204" s="219">
        <v>0</v>
      </c>
      <c r="I204" s="219">
        <v>0</v>
      </c>
      <c r="J204" s="219">
        <v>0</v>
      </c>
      <c r="K204" s="219">
        <v>0</v>
      </c>
      <c r="L204" s="219">
        <v>0</v>
      </c>
      <c r="M204" s="219">
        <v>0</v>
      </c>
      <c r="N204" s="219">
        <v>0</v>
      </c>
      <c r="O204" s="219">
        <v>118939</v>
      </c>
      <c r="Q204" s="219">
        <f>SUMIFS(Deficits!BY:BY,Deficits!BS:BS,C204)</f>
        <v>-15.424116070000032</v>
      </c>
      <c r="S204" s="219">
        <f>'Share of £1bn'!$L$15*O204/$O$1</f>
        <v>0.13639021248953787</v>
      </c>
      <c r="T204" s="220">
        <f t="shared" si="26"/>
        <v>-15.287725857510495</v>
      </c>
      <c r="U204" s="11">
        <f t="shared" si="27"/>
        <v>0.13639021248953787</v>
      </c>
      <c r="V204" s="11">
        <f t="shared" si="28"/>
        <v>0</v>
      </c>
      <c r="W204" s="11">
        <f t="shared" si="29"/>
        <v>0</v>
      </c>
      <c r="Y204" s="219">
        <f>'Share of £1bn'!$M$15*F204/$F$1</f>
        <v>0.74242878234287957</v>
      </c>
      <c r="Z204" s="220">
        <f t="shared" si="30"/>
        <v>-14.681687287657153</v>
      </c>
      <c r="AA204" s="11">
        <f t="shared" si="31"/>
        <v>0.74242878234287957</v>
      </c>
      <c r="AB204" s="11">
        <f t="shared" si="32"/>
        <v>0</v>
      </c>
      <c r="AC204" s="11">
        <f t="shared" si="33"/>
        <v>0</v>
      </c>
      <c r="AE204" s="222"/>
      <c r="AF204" s="223"/>
    </row>
    <row r="205" spans="2:32" x14ac:dyDescent="0.25">
      <c r="B205" t="s">
        <v>408</v>
      </c>
      <c r="C205" t="s">
        <v>810</v>
      </c>
      <c r="D205" t="s">
        <v>811</v>
      </c>
      <c r="E205" t="s">
        <v>29</v>
      </c>
      <c r="F205" s="219">
        <v>25870</v>
      </c>
      <c r="G205" s="219">
        <v>413379</v>
      </c>
      <c r="H205" s="219">
        <v>169480</v>
      </c>
      <c r="I205" s="219">
        <v>4458</v>
      </c>
      <c r="J205" s="219">
        <v>0</v>
      </c>
      <c r="K205" s="219">
        <v>0</v>
      </c>
      <c r="L205" s="219">
        <v>0</v>
      </c>
      <c r="M205" s="219">
        <v>0</v>
      </c>
      <c r="N205" s="219">
        <v>4059</v>
      </c>
      <c r="O205" s="219">
        <v>617246</v>
      </c>
      <c r="Q205" s="219">
        <f>SUMIFS(Deficits!BY:BY,Deficits!BS:BS,C205)</f>
        <v>6.4</v>
      </c>
      <c r="S205" s="219">
        <f>'Share of £1bn'!$L$15*O205/$O$1</f>
        <v>0.70781083663320921</v>
      </c>
      <c r="T205" s="220">
        <f t="shared" si="26"/>
        <v>7.1078108366332096</v>
      </c>
      <c r="U205" s="11">
        <f t="shared" si="27"/>
        <v>0</v>
      </c>
      <c r="V205" s="11">
        <f t="shared" si="28"/>
        <v>0</v>
      </c>
      <c r="W205" s="11">
        <f t="shared" si="29"/>
        <v>0.70781083663320921</v>
      </c>
      <c r="Y205" s="219">
        <f>'Share of £1bn'!$M$15*F205/$F$1</f>
        <v>0.16148305096907065</v>
      </c>
      <c r="Z205" s="220">
        <f t="shared" si="30"/>
        <v>6.5614830509690707</v>
      </c>
      <c r="AA205" s="11">
        <f t="shared" si="31"/>
        <v>0</v>
      </c>
      <c r="AB205" s="11">
        <f t="shared" si="32"/>
        <v>0</v>
      </c>
      <c r="AC205" s="11">
        <f t="shared" si="33"/>
        <v>0.16148305096907065</v>
      </c>
      <c r="AE205" s="222"/>
      <c r="AF205" s="223"/>
    </row>
    <row r="206" spans="2:32" x14ac:dyDescent="0.25">
      <c r="B206" t="s">
        <v>403</v>
      </c>
      <c r="C206" t="s">
        <v>812</v>
      </c>
      <c r="D206" t="s">
        <v>813</v>
      </c>
      <c r="E206" t="s">
        <v>29</v>
      </c>
      <c r="F206" s="219">
        <v>287192</v>
      </c>
      <c r="G206" s="219">
        <v>0</v>
      </c>
      <c r="H206" s="219">
        <v>34615</v>
      </c>
      <c r="I206" s="219">
        <v>0</v>
      </c>
      <c r="J206" s="219">
        <v>0</v>
      </c>
      <c r="K206" s="219">
        <v>0</v>
      </c>
      <c r="L206" s="219">
        <v>0</v>
      </c>
      <c r="M206" s="219">
        <v>0</v>
      </c>
      <c r="N206" s="219">
        <v>5814</v>
      </c>
      <c r="O206" s="219">
        <v>327621</v>
      </c>
      <c r="Q206" s="219">
        <f>SUMIFS(Deficits!BY:BY,Deficits!BS:BS,C206)</f>
        <v>-18.908999999999999</v>
      </c>
      <c r="S206" s="219">
        <f>'Share of £1bn'!$L$15*O206/$O$1</f>
        <v>0.37569088193136718</v>
      </c>
      <c r="T206" s="220">
        <f t="shared" si="26"/>
        <v>-18.533309118068633</v>
      </c>
      <c r="U206" s="11">
        <f t="shared" si="27"/>
        <v>0.37569088193136718</v>
      </c>
      <c r="V206" s="11">
        <f t="shared" si="28"/>
        <v>0</v>
      </c>
      <c r="W206" s="11">
        <f t="shared" si="29"/>
        <v>0</v>
      </c>
      <c r="Y206" s="219">
        <f>'Share of £1bn'!$M$15*F206/$F$1</f>
        <v>1.7926803391538204</v>
      </c>
      <c r="Z206" s="220">
        <f t="shared" si="30"/>
        <v>-17.11631966084618</v>
      </c>
      <c r="AA206" s="11">
        <f t="shared" si="31"/>
        <v>1.7926803391538204</v>
      </c>
      <c r="AB206" s="11">
        <f t="shared" si="32"/>
        <v>0</v>
      </c>
      <c r="AC206" s="11">
        <f t="shared" si="33"/>
        <v>0</v>
      </c>
      <c r="AE206" s="222"/>
      <c r="AF206" s="223"/>
    </row>
    <row r="207" spans="2:32" x14ac:dyDescent="0.25">
      <c r="B207" t="s">
        <v>403</v>
      </c>
      <c r="C207" t="s">
        <v>814</v>
      </c>
      <c r="D207" t="s">
        <v>815</v>
      </c>
      <c r="E207" t="s">
        <v>29</v>
      </c>
      <c r="F207" s="219">
        <v>215693</v>
      </c>
      <c r="G207" s="219">
        <v>0</v>
      </c>
      <c r="H207" s="219">
        <v>0</v>
      </c>
      <c r="I207" s="219">
        <v>0</v>
      </c>
      <c r="J207" s="219">
        <v>0</v>
      </c>
      <c r="K207" s="219">
        <v>0</v>
      </c>
      <c r="L207" s="219">
        <v>0</v>
      </c>
      <c r="M207" s="219">
        <v>0</v>
      </c>
      <c r="N207" s="219">
        <v>0</v>
      </c>
      <c r="O207" s="219">
        <v>215693</v>
      </c>
      <c r="Q207" s="219">
        <f>SUMIFS(Deficits!BY:BY,Deficits!BS:BS,C207)</f>
        <v>0.36260800000001836</v>
      </c>
      <c r="S207" s="219">
        <f>'Share of £1bn'!$L$15*O207/$O$1</f>
        <v>0.24734035179802996</v>
      </c>
      <c r="T207" s="220">
        <f t="shared" si="26"/>
        <v>0.60994835179804829</v>
      </c>
      <c r="U207" s="11">
        <f t="shared" si="27"/>
        <v>0</v>
      </c>
      <c r="V207" s="11">
        <f t="shared" si="28"/>
        <v>0</v>
      </c>
      <c r="W207" s="11">
        <f t="shared" si="29"/>
        <v>0.24734035179802996</v>
      </c>
      <c r="Y207" s="219">
        <f>'Share of £1bn'!$M$15*F207/$F$1</f>
        <v>1.3463766413866161</v>
      </c>
      <c r="Z207" s="220">
        <f t="shared" si="30"/>
        <v>1.7089846413866345</v>
      </c>
      <c r="AA207" s="11">
        <f t="shared" si="31"/>
        <v>0</v>
      </c>
      <c r="AB207" s="11">
        <f t="shared" si="32"/>
        <v>0</v>
      </c>
      <c r="AC207" s="11">
        <f t="shared" si="33"/>
        <v>1.3463766413866161</v>
      </c>
      <c r="AE207" s="222"/>
      <c r="AF207" s="223"/>
    </row>
    <row r="208" spans="2:32" x14ac:dyDescent="0.25">
      <c r="B208" t="s">
        <v>403</v>
      </c>
      <c r="C208" t="s">
        <v>816</v>
      </c>
      <c r="D208" t="s">
        <v>817</v>
      </c>
      <c r="E208" t="s">
        <v>29</v>
      </c>
      <c r="F208" s="219">
        <v>143678</v>
      </c>
      <c r="G208" s="219">
        <v>0</v>
      </c>
      <c r="H208" s="219">
        <v>506</v>
      </c>
      <c r="I208" s="219">
        <v>0</v>
      </c>
      <c r="J208" s="219">
        <v>0</v>
      </c>
      <c r="K208" s="219">
        <v>0</v>
      </c>
      <c r="L208" s="219">
        <v>0</v>
      </c>
      <c r="M208" s="219">
        <v>0</v>
      </c>
      <c r="N208" s="219">
        <v>0</v>
      </c>
      <c r="O208" s="219">
        <v>144184</v>
      </c>
      <c r="Q208" s="219">
        <f>SUMIFS(Deficits!BY:BY,Deficits!BS:BS,C208)</f>
        <v>4.0789999999999997</v>
      </c>
      <c r="S208" s="219">
        <f>'Share of £1bn'!$L$15*O208/$O$1</f>
        <v>0.16533926128176232</v>
      </c>
      <c r="T208" s="220">
        <f t="shared" si="26"/>
        <v>4.2443392612817616</v>
      </c>
      <c r="U208" s="11">
        <f t="shared" si="27"/>
        <v>0</v>
      </c>
      <c r="V208" s="11">
        <f t="shared" si="28"/>
        <v>0</v>
      </c>
      <c r="W208" s="11">
        <f t="shared" si="29"/>
        <v>0.16533926128176232</v>
      </c>
      <c r="Y208" s="219">
        <f>'Share of £1bn'!$M$15*F208/$F$1</f>
        <v>0.89685202153591548</v>
      </c>
      <c r="Z208" s="220">
        <f t="shared" si="30"/>
        <v>4.975852021535915</v>
      </c>
      <c r="AA208" s="11">
        <f t="shared" si="31"/>
        <v>0</v>
      </c>
      <c r="AB208" s="11">
        <f t="shared" si="32"/>
        <v>0</v>
      </c>
      <c r="AC208" s="11">
        <f t="shared" si="33"/>
        <v>0.89685202153591548</v>
      </c>
      <c r="AE208" s="222"/>
      <c r="AF208" s="223"/>
    </row>
    <row r="209" spans="2:32" x14ac:dyDescent="0.25">
      <c r="B209" t="s">
        <v>403</v>
      </c>
      <c r="C209" t="s">
        <v>818</v>
      </c>
      <c r="D209" t="s">
        <v>819</v>
      </c>
      <c r="E209" t="s">
        <v>29</v>
      </c>
      <c r="F209" s="219">
        <v>298156</v>
      </c>
      <c r="G209" s="219">
        <v>0</v>
      </c>
      <c r="H209" s="219">
        <v>31</v>
      </c>
      <c r="I209" s="219">
        <v>0</v>
      </c>
      <c r="J209" s="219">
        <v>0</v>
      </c>
      <c r="K209" s="219">
        <v>0</v>
      </c>
      <c r="L209" s="219">
        <v>0</v>
      </c>
      <c r="M209" s="219">
        <v>0</v>
      </c>
      <c r="N209" s="219">
        <v>0</v>
      </c>
      <c r="O209" s="219">
        <v>298187</v>
      </c>
      <c r="Q209" s="219">
        <f>SUMIFS(Deficits!BY:BY,Deficits!BS:BS,C209)</f>
        <v>-17.047999999999998</v>
      </c>
      <c r="S209" s="219">
        <f>'Share of £1bn'!$L$15*O209/$O$1</f>
        <v>0.34193820606880693</v>
      </c>
      <c r="T209" s="220">
        <f t="shared" si="26"/>
        <v>-16.706061793931191</v>
      </c>
      <c r="U209" s="11">
        <f t="shared" si="27"/>
        <v>0.34193820606880693</v>
      </c>
      <c r="V209" s="11">
        <f t="shared" si="28"/>
        <v>0</v>
      </c>
      <c r="W209" s="11">
        <f t="shared" si="29"/>
        <v>0</v>
      </c>
      <c r="Y209" s="219">
        <f>'Share of £1bn'!$M$15*F209/$F$1</f>
        <v>1.8611186913310485</v>
      </c>
      <c r="Z209" s="220">
        <f t="shared" si="30"/>
        <v>-15.18688130866895</v>
      </c>
      <c r="AA209" s="11">
        <f t="shared" si="31"/>
        <v>1.8611186913310485</v>
      </c>
      <c r="AB209" s="11">
        <f t="shared" si="32"/>
        <v>0</v>
      </c>
      <c r="AC209" s="11">
        <f t="shared" si="33"/>
        <v>0</v>
      </c>
      <c r="AE209" s="222"/>
      <c r="AF209" s="223"/>
    </row>
    <row r="210" spans="2:32" x14ac:dyDescent="0.25">
      <c r="B210" t="s">
        <v>433</v>
      </c>
      <c r="C210" t="s">
        <v>820</v>
      </c>
      <c r="D210" t="s">
        <v>821</v>
      </c>
      <c r="E210" t="s">
        <v>29</v>
      </c>
      <c r="F210" s="219">
        <v>2768</v>
      </c>
      <c r="G210" s="219">
        <v>0</v>
      </c>
      <c r="H210" s="219">
        <v>61694</v>
      </c>
      <c r="I210" s="219">
        <v>0</v>
      </c>
      <c r="J210" s="219">
        <v>0</v>
      </c>
      <c r="K210" s="219">
        <v>0</v>
      </c>
      <c r="L210" s="219">
        <v>0</v>
      </c>
      <c r="M210" s="219">
        <v>0</v>
      </c>
      <c r="N210" s="219">
        <v>0</v>
      </c>
      <c r="O210" s="219">
        <v>64462</v>
      </c>
      <c r="Q210" s="219">
        <f>SUMIFS(Deficits!BY:BY,Deficits!BS:BS,C210)</f>
        <v>0.20399999999999999</v>
      </c>
      <c r="S210" s="219">
        <f>'Share of £1bn'!$L$15*O210/$O$1</f>
        <v>7.3920126094053171E-2</v>
      </c>
      <c r="T210" s="220">
        <f t="shared" si="26"/>
        <v>0.27792012609405314</v>
      </c>
      <c r="U210" s="11">
        <f t="shared" si="27"/>
        <v>0</v>
      </c>
      <c r="V210" s="11">
        <f t="shared" si="28"/>
        <v>0</v>
      </c>
      <c r="W210" s="11">
        <f t="shared" si="29"/>
        <v>7.3920126094053171E-2</v>
      </c>
      <c r="Y210" s="219">
        <f>'Share of £1bn'!$M$15*F210/$F$1</f>
        <v>1.7278124664955066E-2</v>
      </c>
      <c r="Z210" s="220">
        <f t="shared" si="30"/>
        <v>0.22127812466495506</v>
      </c>
      <c r="AA210" s="11">
        <f t="shared" si="31"/>
        <v>0</v>
      </c>
      <c r="AB210" s="11">
        <f t="shared" si="32"/>
        <v>0</v>
      </c>
      <c r="AC210" s="11">
        <f t="shared" si="33"/>
        <v>1.7278124664955066E-2</v>
      </c>
      <c r="AE210" s="222"/>
      <c r="AF210" s="223"/>
    </row>
    <row r="211" spans="2:32" x14ac:dyDescent="0.25">
      <c r="B211" t="s">
        <v>403</v>
      </c>
      <c r="C211" t="s">
        <v>822</v>
      </c>
      <c r="D211" t="s">
        <v>823</v>
      </c>
      <c r="E211" t="s">
        <v>29</v>
      </c>
      <c r="F211" s="219">
        <v>416564</v>
      </c>
      <c r="G211" s="219">
        <v>0</v>
      </c>
      <c r="H211" s="219">
        <v>37</v>
      </c>
      <c r="I211" s="219">
        <v>0</v>
      </c>
      <c r="J211" s="219">
        <v>0</v>
      </c>
      <c r="K211" s="219">
        <v>0</v>
      </c>
      <c r="L211" s="219">
        <v>0</v>
      </c>
      <c r="M211" s="219">
        <v>0</v>
      </c>
      <c r="N211" s="219">
        <v>0</v>
      </c>
      <c r="O211" s="219">
        <v>416601</v>
      </c>
      <c r="Q211" s="219">
        <f>SUMIFS(Deficits!BY:BY,Deficits!BS:BS,C211)</f>
        <v>-19.450000100000008</v>
      </c>
      <c r="S211" s="219">
        <f>'Share of £1bn'!$L$15*O211/$O$1</f>
        <v>0.47772638842897586</v>
      </c>
      <c r="T211" s="220">
        <f t="shared" si="26"/>
        <v>-18.972273711571031</v>
      </c>
      <c r="U211" s="11">
        <f t="shared" si="27"/>
        <v>0.47772638842897586</v>
      </c>
      <c r="V211" s="11">
        <f t="shared" si="28"/>
        <v>0</v>
      </c>
      <c r="W211" s="11">
        <f t="shared" si="29"/>
        <v>0</v>
      </c>
      <c r="Y211" s="219">
        <f>'Share of £1bn'!$M$15*F211/$F$1</f>
        <v>2.6002329201345167</v>
      </c>
      <c r="Z211" s="220">
        <f t="shared" si="30"/>
        <v>-16.849767179865491</v>
      </c>
      <c r="AA211" s="11">
        <f t="shared" si="31"/>
        <v>2.6002329201345167</v>
      </c>
      <c r="AB211" s="11">
        <f t="shared" si="32"/>
        <v>0</v>
      </c>
      <c r="AC211" s="11">
        <f t="shared" si="33"/>
        <v>0</v>
      </c>
      <c r="AE211" s="222"/>
      <c r="AF211" s="223"/>
    </row>
    <row r="212" spans="2:32" x14ac:dyDescent="0.25">
      <c r="B212" t="s">
        <v>403</v>
      </c>
      <c r="C212" t="s">
        <v>824</v>
      </c>
      <c r="D212" t="s">
        <v>825</v>
      </c>
      <c r="E212" t="s">
        <v>29</v>
      </c>
      <c r="F212" s="219">
        <v>657279</v>
      </c>
      <c r="G212" s="219">
        <v>0</v>
      </c>
      <c r="H212" s="219">
        <v>17918</v>
      </c>
      <c r="I212" s="219">
        <v>12</v>
      </c>
      <c r="J212" s="219">
        <v>0</v>
      </c>
      <c r="K212" s="219">
        <v>0</v>
      </c>
      <c r="L212" s="219">
        <v>0</v>
      </c>
      <c r="M212" s="219">
        <v>0</v>
      </c>
      <c r="N212" s="219">
        <v>3915</v>
      </c>
      <c r="O212" s="219">
        <v>679124</v>
      </c>
      <c r="Q212" s="219">
        <f>SUMIFS(Deficits!BY:BY,Deficits!BS:BS,C212)</f>
        <v>5.5880920599999371</v>
      </c>
      <c r="S212" s="219">
        <f>'Share of £1bn'!$L$15*O212/$O$1</f>
        <v>0.77876782776671161</v>
      </c>
      <c r="T212" s="220">
        <f t="shared" si="26"/>
        <v>6.3668598877666485</v>
      </c>
      <c r="U212" s="11">
        <f t="shared" si="27"/>
        <v>0</v>
      </c>
      <c r="V212" s="11">
        <f t="shared" si="28"/>
        <v>0</v>
      </c>
      <c r="W212" s="11">
        <f t="shared" si="29"/>
        <v>0.77876782776671161</v>
      </c>
      <c r="Y212" s="219">
        <f>'Share of £1bn'!$M$15*F212/$F$1</f>
        <v>4.1027993141824419</v>
      </c>
      <c r="Z212" s="220">
        <f t="shared" si="30"/>
        <v>9.6908913741823781</v>
      </c>
      <c r="AA212" s="11">
        <f t="shared" si="31"/>
        <v>0</v>
      </c>
      <c r="AB212" s="11">
        <f t="shared" si="32"/>
        <v>0</v>
      </c>
      <c r="AC212" s="11">
        <f t="shared" si="33"/>
        <v>4.1027993141824419</v>
      </c>
      <c r="AE212" s="222"/>
      <c r="AF212" s="223"/>
    </row>
    <row r="213" spans="2:32" x14ac:dyDescent="0.25">
      <c r="B213" t="s">
        <v>403</v>
      </c>
      <c r="C213" t="s">
        <v>826</v>
      </c>
      <c r="D213" t="s">
        <v>827</v>
      </c>
      <c r="E213" t="s">
        <v>29</v>
      </c>
      <c r="F213" s="219">
        <v>20219</v>
      </c>
      <c r="G213" s="219">
        <v>0</v>
      </c>
      <c r="H213" s="219">
        <v>0</v>
      </c>
      <c r="I213" s="219">
        <v>996</v>
      </c>
      <c r="J213" s="219">
        <v>0</v>
      </c>
      <c r="K213" s="219">
        <v>0</v>
      </c>
      <c r="L213" s="219">
        <v>0</v>
      </c>
      <c r="M213" s="219">
        <v>455</v>
      </c>
      <c r="N213" s="219">
        <v>0</v>
      </c>
      <c r="O213" s="219">
        <v>21670</v>
      </c>
      <c r="Q213" s="219">
        <f>SUMIFS(Deficits!BY:BY,Deficits!BS:BS,C213)</f>
        <v>0</v>
      </c>
      <c r="S213" s="219">
        <f>'Share of £1bn'!$L$15*O213/$O$1</f>
        <v>2.4849510292236233E-2</v>
      </c>
      <c r="T213" s="220">
        <f t="shared" si="26"/>
        <v>2.4849510292236233E-2</v>
      </c>
      <c r="U213" s="11">
        <f t="shared" si="27"/>
        <v>0</v>
      </c>
      <c r="V213" s="11">
        <f t="shared" si="28"/>
        <v>0</v>
      </c>
      <c r="W213" s="11">
        <f t="shared" si="29"/>
        <v>2.4849510292236233E-2</v>
      </c>
      <c r="Y213" s="219">
        <f>'Share of £1bn'!$M$15*F213/$F$1</f>
        <v>0.12620896047714106</v>
      </c>
      <c r="Z213" s="220">
        <f t="shared" si="30"/>
        <v>0.12620896047714106</v>
      </c>
      <c r="AA213" s="11">
        <f t="shared" si="31"/>
        <v>0</v>
      </c>
      <c r="AB213" s="11">
        <f t="shared" si="32"/>
        <v>0</v>
      </c>
      <c r="AC213" s="11">
        <f t="shared" si="33"/>
        <v>0.12620896047714106</v>
      </c>
      <c r="AE213" s="222"/>
      <c r="AF213" s="223"/>
    </row>
    <row r="215" spans="2:32" x14ac:dyDescent="0.25">
      <c r="O215" t="s">
        <v>828</v>
      </c>
      <c r="P215" t="s">
        <v>256</v>
      </c>
      <c r="Q215">
        <f>SUMIFS(Q$3:Q$213,Q$3:Q$213,$O215)</f>
        <v>-2574.9886211100015</v>
      </c>
      <c r="T215">
        <f>SUMIFS(T$3:T$213,T$3:T$213,$O215)</f>
        <v>-2501.0411273498403</v>
      </c>
      <c r="Z215">
        <f>SUMIFS(Z$3:Z$213,Z$3:Z$213,$O215)</f>
        <v>-2230.1027317815392</v>
      </c>
    </row>
    <row r="216" spans="2:32" x14ac:dyDescent="0.25">
      <c r="O216" t="s">
        <v>829</v>
      </c>
      <c r="P216" t="s">
        <v>253</v>
      </c>
      <c r="Q216">
        <f>SUMIFS(Q$3:Q$213,Q$3:Q$213,$O216)</f>
        <v>114.47228218999969</v>
      </c>
      <c r="T216">
        <f>SUMIFS(T$3:T$213,T$3:T$213,$O216)</f>
        <v>159.09104004309225</v>
      </c>
      <c r="Z216">
        <f>SUMIFS(Z$3:Z$213,Z$3:Z$213,$O216)</f>
        <v>262.10607790090779</v>
      </c>
    </row>
    <row r="218" spans="2:32" x14ac:dyDescent="0.25">
      <c r="O218" t="s">
        <v>828</v>
      </c>
      <c r="P218" t="s">
        <v>256</v>
      </c>
      <c r="Q218">
        <f>COUNTIFS(Q$3:Q$213,$O218)</f>
        <v>128</v>
      </c>
      <c r="T218">
        <f>COUNTIFS(T$3:T$213,$O218)</f>
        <v>119</v>
      </c>
      <c r="Z218">
        <f>COUNTIFS(Z$3:Z$213,$O218)</f>
        <v>117</v>
      </c>
    </row>
    <row r="219" spans="2:32" x14ac:dyDescent="0.25">
      <c r="O219">
        <v>0</v>
      </c>
      <c r="P219" t="s">
        <v>257</v>
      </c>
      <c r="Q219">
        <f>COUNTIFS(Q$3:Q$213,$O219)</f>
        <v>38</v>
      </c>
      <c r="T219">
        <f>COUNTIFS(T$3:T$213,$O219)</f>
        <v>0</v>
      </c>
      <c r="Z219">
        <f>COUNTIFS(Z$3:Z$213,$O219)</f>
        <v>1</v>
      </c>
    </row>
    <row r="220" spans="2:32" x14ac:dyDescent="0.25">
      <c r="O220" t="s">
        <v>829</v>
      </c>
      <c r="P220" t="s">
        <v>253</v>
      </c>
      <c r="Q220">
        <f>COUNTIFS(Q$3:Q$213,$O220)</f>
        <v>45</v>
      </c>
      <c r="T220">
        <f>COUNTIFS(T$3:T$213,$O220)</f>
        <v>92</v>
      </c>
      <c r="Z220">
        <f>COUNTIFS(Z$3:Z$213,$O220)</f>
        <v>93</v>
      </c>
    </row>
    <row r="224" spans="2:32" x14ac:dyDescent="0.25">
      <c r="O224" t="s">
        <v>403</v>
      </c>
      <c r="Q224" s="219">
        <f>SUMIFS(Q$3:Q$213,$B$3:$B$213,$O224)</f>
        <v>-2341.1997278899998</v>
      </c>
      <c r="R224" s="219"/>
      <c r="S224" s="219">
        <f>SUMIFS(S$3:S$213,$B$3:$B$213,$O224)</f>
        <v>94.310529944596382</v>
      </c>
      <c r="T224" s="219">
        <f t="shared" ref="T224:W224" si="34">SUMIFS(T$3:T$213,$B$3:$B$213,$O224)</f>
        <v>-2246.8891979454042</v>
      </c>
      <c r="U224" s="219">
        <f t="shared" si="34"/>
        <v>67.895381244647368</v>
      </c>
      <c r="V224" s="219">
        <f t="shared" si="34"/>
        <v>0.15534998000033376</v>
      </c>
      <c r="W224" s="219">
        <f t="shared" si="34"/>
        <v>26.259798719948595</v>
      </c>
      <c r="X224" s="219"/>
      <c r="Y224" s="219">
        <f>SUMIFS(Y$3:Y$213,$B$3:$B$213,$O224)</f>
        <v>489.05509021290243</v>
      </c>
      <c r="Z224" s="219">
        <f t="shared" ref="Z224:AC224" si="35">SUMIFS(Z$3:Z$213,$B$3:$B$213,$O224)</f>
        <v>-1852.1446376770975</v>
      </c>
      <c r="AA224" s="219">
        <f t="shared" si="35"/>
        <v>341.26515278791464</v>
      </c>
      <c r="AB224" s="219">
        <f t="shared" si="35"/>
        <v>2.9902532500002268</v>
      </c>
      <c r="AC224" s="219">
        <f t="shared" si="35"/>
        <v>144.79968417498762</v>
      </c>
    </row>
    <row r="225" spans="15:29" x14ac:dyDescent="0.25">
      <c r="O225" t="s">
        <v>408</v>
      </c>
      <c r="Q225" s="219">
        <f t="shared" ref="Q225:AC227" si="36">SUMIFS(Q$3:Q$213,$B$3:$B$213,$O225)</f>
        <v>-52.902324430000448</v>
      </c>
      <c r="R225" s="219"/>
      <c r="S225" s="219">
        <f t="shared" si="36"/>
        <v>16.602938275310855</v>
      </c>
      <c r="T225" s="219">
        <f t="shared" si="36"/>
        <v>-36.299386154689614</v>
      </c>
      <c r="U225" s="219">
        <f t="shared" si="36"/>
        <v>3.8456342996939763</v>
      </c>
      <c r="V225" s="219">
        <f t="shared" si="36"/>
        <v>8.2396000017615737E-4</v>
      </c>
      <c r="W225" s="219">
        <f t="shared" si="36"/>
        <v>12.756480015616701</v>
      </c>
      <c r="X225" s="219"/>
      <c r="Y225" s="219">
        <f t="shared" si="36"/>
        <v>0.91756329958444183</v>
      </c>
      <c r="Z225" s="219">
        <f t="shared" si="36"/>
        <v>-51.984761130416011</v>
      </c>
      <c r="AA225" s="219">
        <f t="shared" si="36"/>
        <v>0.11985450566900366</v>
      </c>
      <c r="AB225" s="219">
        <f t="shared" si="36"/>
        <v>8.2396000017615737E-4</v>
      </c>
      <c r="AC225" s="219">
        <f t="shared" si="36"/>
        <v>0.79688483391526199</v>
      </c>
    </row>
    <row r="226" spans="15:29" x14ac:dyDescent="0.25">
      <c r="O226" t="s">
        <v>236</v>
      </c>
      <c r="Q226" s="219">
        <f t="shared" si="36"/>
        <v>-35.346989999999984</v>
      </c>
      <c r="R226" s="219"/>
      <c r="S226" s="219">
        <f t="shared" si="36"/>
        <v>4.218193478228569</v>
      </c>
      <c r="T226" s="219">
        <f t="shared" si="36"/>
        <v>-31.12879652177142</v>
      </c>
      <c r="U226" s="219">
        <f t="shared" si="36"/>
        <v>0.35586287628009555</v>
      </c>
      <c r="V226" s="219">
        <f t="shared" si="36"/>
        <v>0</v>
      </c>
      <c r="W226" s="219">
        <f t="shared" si="36"/>
        <v>3.8623306019484742</v>
      </c>
      <c r="X226" s="219"/>
      <c r="Y226" s="219">
        <f t="shared" si="36"/>
        <v>2.2993825680836353</v>
      </c>
      <c r="Z226" s="219">
        <f t="shared" si="36"/>
        <v>-33.047607431916354</v>
      </c>
      <c r="AA226" s="219">
        <f t="shared" si="36"/>
        <v>0.3881335952553851</v>
      </c>
      <c r="AB226" s="219">
        <f t="shared" si="36"/>
        <v>0</v>
      </c>
      <c r="AC226" s="219">
        <f t="shared" si="36"/>
        <v>1.91124897282825</v>
      </c>
    </row>
    <row r="227" spans="15:29" x14ac:dyDescent="0.25">
      <c r="O227" t="s">
        <v>433</v>
      </c>
      <c r="Q227" s="219">
        <f t="shared" si="36"/>
        <v>-31.067296600000031</v>
      </c>
      <c r="R227" s="219"/>
      <c r="S227" s="219">
        <f t="shared" si="36"/>
        <v>3.4345899151179551</v>
      </c>
      <c r="T227" s="219">
        <f t="shared" si="36"/>
        <v>-27.632706684882077</v>
      </c>
      <c r="U227" s="219">
        <f t="shared" si="36"/>
        <v>1.6944223995391834</v>
      </c>
      <c r="V227" s="219">
        <f t="shared" si="36"/>
        <v>1.9000000036612617E-5</v>
      </c>
      <c r="W227" s="219">
        <f t="shared" si="36"/>
        <v>1.7401485155787357</v>
      </c>
      <c r="X227" s="219"/>
      <c r="Y227" s="219">
        <f t="shared" si="36"/>
        <v>0.24764895879964857</v>
      </c>
      <c r="Z227" s="219">
        <f t="shared" si="36"/>
        <v>-30.81964764120038</v>
      </c>
      <c r="AA227" s="219">
        <f t="shared" si="36"/>
        <v>0.12165222962258285</v>
      </c>
      <c r="AB227" s="219">
        <f t="shared" si="36"/>
        <v>1.9000000036612617E-5</v>
      </c>
      <c r="AC227" s="219">
        <f t="shared" si="36"/>
        <v>0.12597772917702915</v>
      </c>
    </row>
    <row r="228" spans="15:29" x14ac:dyDescent="0.25">
      <c r="O228" t="s">
        <v>115</v>
      </c>
      <c r="Q228" s="219">
        <f>SUM(Q224:Q227)</f>
        <v>-2460.5163389200006</v>
      </c>
      <c r="R228" s="219"/>
      <c r="S228" s="219">
        <f>SUM(S224:S227)</f>
        <v>118.56625161325375</v>
      </c>
      <c r="T228" s="219">
        <f t="shared" ref="T228:W228" si="37">SUM(T224:T227)</f>
        <v>-2341.9500873067477</v>
      </c>
      <c r="U228" s="219">
        <f t="shared" si="37"/>
        <v>73.791300820160615</v>
      </c>
      <c r="V228" s="219">
        <f t="shared" si="37"/>
        <v>0.15619294000054651</v>
      </c>
      <c r="W228" s="219">
        <f t="shared" si="37"/>
        <v>44.618757853092504</v>
      </c>
      <c r="X228" s="219"/>
      <c r="Y228" s="219">
        <f>SUM(Y224:Y227)</f>
        <v>492.51968503937013</v>
      </c>
      <c r="Z228" s="219">
        <f t="shared" ref="Z228" si="38">SUM(Z224:Z227)</f>
        <v>-1967.9966538806302</v>
      </c>
      <c r="AA228" s="219">
        <f t="shared" ref="AA228" si="39">SUM(AA224:AA227)</f>
        <v>341.89479311846162</v>
      </c>
      <c r="AB228" s="219">
        <f t="shared" ref="AB228" si="40">SUM(AB224:AB227)</f>
        <v>2.9910962100004395</v>
      </c>
      <c r="AC228" s="219">
        <f t="shared" ref="AC228" si="41">SUM(AC224:AC227)</f>
        <v>147.63379571090817</v>
      </c>
    </row>
    <row r="230" spans="15:29" x14ac:dyDescent="0.25">
      <c r="P230" t="s">
        <v>828</v>
      </c>
      <c r="Q230" t="s">
        <v>829</v>
      </c>
      <c r="T230" t="s">
        <v>828</v>
      </c>
      <c r="U230">
        <v>0</v>
      </c>
      <c r="V230" t="s">
        <v>829</v>
      </c>
    </row>
    <row r="231" spans="15:29" x14ac:dyDescent="0.25">
      <c r="P231" s="55" t="s">
        <v>256</v>
      </c>
      <c r="Q231" s="55" t="s">
        <v>253</v>
      </c>
      <c r="R231" s="55" t="s">
        <v>115</v>
      </c>
      <c r="T231" s="55" t="s">
        <v>256</v>
      </c>
      <c r="U231" s="55" t="s">
        <v>257</v>
      </c>
      <c r="V231" s="55" t="s">
        <v>253</v>
      </c>
      <c r="W231" s="55" t="s">
        <v>115</v>
      </c>
    </row>
    <row r="232" spans="15:29" x14ac:dyDescent="0.25">
      <c r="O232" s="98" t="s">
        <v>403</v>
      </c>
      <c r="P232" s="108">
        <f>SUMIFS($Q$3:$Q$213,$B$3:$B$213,$O224,$Q$3:$Q$213,P$230)</f>
        <v>-2415.5126667400004</v>
      </c>
      <c r="Q232" s="108">
        <f t="shared" ref="Q232:Q235" si="42">SUMIFS($Q$3:$Q$213,$B$3:$B$213,$O224,$Q$3:$Q$213,Q$230)</f>
        <v>74.31293885000008</v>
      </c>
      <c r="R232" s="108">
        <f>SUM(P232:Q232)</f>
        <v>-2341.1997278900003</v>
      </c>
      <c r="T232" s="108">
        <f>COUNTIFS($Q$3:$Q$213,T$230,$B$3:$B$213,$O232)</f>
        <v>101</v>
      </c>
      <c r="U232" s="108">
        <f t="shared" ref="U232:V235" si="43">COUNTIFS($Q$3:$Q$213,U$230,$B$3:$B$213,$O232)</f>
        <v>17</v>
      </c>
      <c r="V232" s="108">
        <f t="shared" si="43"/>
        <v>18</v>
      </c>
      <c r="W232" s="108">
        <f>SUM(T232:V232)</f>
        <v>136</v>
      </c>
    </row>
    <row r="233" spans="15:29" x14ac:dyDescent="0.25">
      <c r="O233" s="98" t="s">
        <v>408</v>
      </c>
      <c r="P233" s="108">
        <f t="shared" ref="P233" si="44">SUMIFS($Q$3:$Q$213,$B$3:$B$213,$O225,$Q$3:$Q$213,P$230)</f>
        <v>-89.196271770000095</v>
      </c>
      <c r="Q233" s="108">
        <f t="shared" si="42"/>
        <v>36.293947339999626</v>
      </c>
      <c r="R233" s="108">
        <f t="shared" ref="R233:R236" si="45">SUM(P233:Q233)</f>
        <v>-52.902324430000469</v>
      </c>
      <c r="T233" s="108">
        <f t="shared" ref="T233:T235" si="46">COUNTIFS($Q$3:$Q$213,T$230,$B$3:$B$213,$O233)</f>
        <v>17</v>
      </c>
      <c r="U233" s="108">
        <f t="shared" si="43"/>
        <v>11</v>
      </c>
      <c r="V233" s="108">
        <f t="shared" si="43"/>
        <v>19</v>
      </c>
      <c r="W233" s="108">
        <f t="shared" ref="W233:W236" si="47">SUM(T233:V233)</f>
        <v>47</v>
      </c>
    </row>
    <row r="234" spans="15:29" x14ac:dyDescent="0.25">
      <c r="O234" s="98" t="s">
        <v>236</v>
      </c>
      <c r="P234" s="108">
        <f t="shared" ref="P234" si="48">SUMIFS($Q$3:$Q$213,$B$3:$B$213,$O226,$Q$3:$Q$213,P$230)</f>
        <v>-35.4</v>
      </c>
      <c r="Q234" s="108">
        <f t="shared" si="42"/>
        <v>5.301000000000998E-2</v>
      </c>
      <c r="R234" s="108">
        <f t="shared" si="45"/>
        <v>-35.346989999999991</v>
      </c>
      <c r="T234" s="108">
        <f t="shared" si="46"/>
        <v>1</v>
      </c>
      <c r="U234" s="108">
        <f t="shared" si="43"/>
        <v>6</v>
      </c>
      <c r="V234" s="108">
        <f t="shared" si="43"/>
        <v>3</v>
      </c>
      <c r="W234" s="108">
        <f t="shared" si="47"/>
        <v>10</v>
      </c>
    </row>
    <row r="235" spans="15:29" x14ac:dyDescent="0.25">
      <c r="O235" s="98" t="s">
        <v>433</v>
      </c>
      <c r="P235" s="108">
        <f t="shared" ref="P235" si="49">SUMIFS($Q$3:$Q$213,$B$3:$B$213,$O227,$Q$3:$Q$213,P$230)</f>
        <v>-34.879682600000024</v>
      </c>
      <c r="Q235" s="108">
        <f t="shared" si="42"/>
        <v>3.8123859999999916</v>
      </c>
      <c r="R235" s="108">
        <f t="shared" si="45"/>
        <v>-31.067296600000031</v>
      </c>
      <c r="T235" s="108">
        <f t="shared" si="46"/>
        <v>9</v>
      </c>
      <c r="U235" s="108">
        <f t="shared" si="43"/>
        <v>4</v>
      </c>
      <c r="V235" s="108">
        <f t="shared" si="43"/>
        <v>5</v>
      </c>
      <c r="W235" s="108">
        <f t="shared" si="47"/>
        <v>18</v>
      </c>
    </row>
    <row r="236" spans="15:29" x14ac:dyDescent="0.25">
      <c r="O236" s="99" t="s">
        <v>115</v>
      </c>
      <c r="P236" s="237">
        <f>SUM(P232:P235)</f>
        <v>-2574.9886211100011</v>
      </c>
      <c r="Q236" s="237">
        <f>SUM(Q232:Q235)</f>
        <v>114.4722821899997</v>
      </c>
      <c r="R236" s="237">
        <f t="shared" si="45"/>
        <v>-2460.5163389200015</v>
      </c>
      <c r="S236" s="85"/>
      <c r="T236" s="237">
        <f t="shared" ref="T236:V236" si="50">SUM(T232:T235)</f>
        <v>128</v>
      </c>
      <c r="U236" s="237">
        <f t="shared" si="50"/>
        <v>38</v>
      </c>
      <c r="V236" s="237">
        <f t="shared" si="50"/>
        <v>45</v>
      </c>
      <c r="W236" s="237">
        <f t="shared" si="47"/>
        <v>211</v>
      </c>
    </row>
  </sheetData>
  <autoFilter ref="B2:AC213" xr:uid="{F2DE99A9-9F73-406D-B3FA-8DB8914322F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155A-38B0-4F97-83BB-CC4FD0D59424}">
  <sheetPr codeName="Sheet40"/>
  <dimension ref="A1:E54"/>
  <sheetViews>
    <sheetView topLeftCell="A22" workbookViewId="0">
      <selection activeCell="J5" sqref="J4:BB61"/>
    </sheetView>
  </sheetViews>
  <sheetFormatPr defaultRowHeight="15" x14ac:dyDescent="0.25"/>
  <cols>
    <col min="2" max="2" width="51.28515625" bestFit="1" customWidth="1"/>
    <col min="3" max="5" width="10.28515625" customWidth="1"/>
  </cols>
  <sheetData>
    <row r="1" spans="1:5" x14ac:dyDescent="0.25">
      <c r="A1" t="s">
        <v>1134</v>
      </c>
    </row>
    <row r="2" spans="1:5" x14ac:dyDescent="0.25">
      <c r="B2" t="s">
        <v>1135</v>
      </c>
    </row>
    <row r="3" spans="1:5" x14ac:dyDescent="0.25">
      <c r="B3" t="s">
        <v>16</v>
      </c>
      <c r="C3" t="s">
        <v>1136</v>
      </c>
    </row>
    <row r="4" spans="1:5" x14ac:dyDescent="0.25">
      <c r="A4" t="s">
        <v>1137</v>
      </c>
      <c r="C4" t="s">
        <v>1138</v>
      </c>
      <c r="D4" t="s">
        <v>1139</v>
      </c>
      <c r="E4" t="s">
        <v>1140</v>
      </c>
    </row>
    <row r="5" spans="1:5" x14ac:dyDescent="0.25">
      <c r="A5" t="s">
        <v>60</v>
      </c>
      <c r="B5" t="s">
        <v>903</v>
      </c>
      <c r="C5">
        <v>0</v>
      </c>
      <c r="D5">
        <v>0</v>
      </c>
      <c r="E5">
        <v>0</v>
      </c>
    </row>
    <row r="6" spans="1:5" x14ac:dyDescent="0.25">
      <c r="A6" t="s">
        <v>62</v>
      </c>
      <c r="B6" t="s">
        <v>906</v>
      </c>
      <c r="C6">
        <v>0</v>
      </c>
      <c r="D6">
        <v>0</v>
      </c>
      <c r="E6">
        <v>0</v>
      </c>
    </row>
    <row r="7" spans="1:5" x14ac:dyDescent="0.25">
      <c r="A7" t="s">
        <v>64</v>
      </c>
      <c r="B7" t="s">
        <v>909</v>
      </c>
      <c r="C7">
        <v>0</v>
      </c>
      <c r="D7">
        <v>0</v>
      </c>
      <c r="E7">
        <v>0</v>
      </c>
    </row>
    <row r="8" spans="1:5" x14ac:dyDescent="0.25">
      <c r="A8" t="s">
        <v>66</v>
      </c>
      <c r="B8" t="s">
        <v>952</v>
      </c>
      <c r="C8" s="53">
        <v>-40321</v>
      </c>
      <c r="D8" s="53">
        <v>-56614</v>
      </c>
      <c r="E8" s="53">
        <v>-16293</v>
      </c>
    </row>
    <row r="9" spans="1:5" x14ac:dyDescent="0.25">
      <c r="A9" t="s">
        <v>68</v>
      </c>
      <c r="B9" t="s">
        <v>957</v>
      </c>
      <c r="C9">
        <v>0</v>
      </c>
      <c r="D9">
        <v>0</v>
      </c>
      <c r="E9">
        <v>0</v>
      </c>
    </row>
    <row r="10" spans="1:5" x14ac:dyDescent="0.25">
      <c r="A10" t="s">
        <v>70</v>
      </c>
      <c r="B10" t="s">
        <v>912</v>
      </c>
      <c r="C10">
        <v>0</v>
      </c>
      <c r="D10">
        <v>0</v>
      </c>
      <c r="E10">
        <v>0</v>
      </c>
    </row>
    <row r="11" spans="1:5" x14ac:dyDescent="0.25">
      <c r="B11" t="s">
        <v>59</v>
      </c>
      <c r="C11" s="53">
        <v>-40321</v>
      </c>
      <c r="D11" s="53">
        <v>-56614</v>
      </c>
      <c r="E11" s="53">
        <v>-16293</v>
      </c>
    </row>
    <row r="12" spans="1:5" x14ac:dyDescent="0.25">
      <c r="A12" t="s">
        <v>76</v>
      </c>
      <c r="B12" t="s">
        <v>968</v>
      </c>
      <c r="C12">
        <v>21</v>
      </c>
      <c r="D12" s="53">
        <v>-31213</v>
      </c>
      <c r="E12" s="53">
        <v>-31234</v>
      </c>
    </row>
    <row r="13" spans="1:5" x14ac:dyDescent="0.25">
      <c r="A13" t="s">
        <v>74</v>
      </c>
      <c r="B13" t="s">
        <v>915</v>
      </c>
      <c r="C13">
        <v>1</v>
      </c>
      <c r="D13">
        <v>1</v>
      </c>
      <c r="E13">
        <v>0</v>
      </c>
    </row>
    <row r="14" spans="1:5" x14ac:dyDescent="0.25">
      <c r="A14" t="s">
        <v>78</v>
      </c>
      <c r="B14" t="s">
        <v>919</v>
      </c>
      <c r="C14">
        <v>0</v>
      </c>
      <c r="D14">
        <v>0</v>
      </c>
      <c r="E14">
        <v>0</v>
      </c>
    </row>
    <row r="15" spans="1:5" x14ac:dyDescent="0.25">
      <c r="A15" t="s">
        <v>80</v>
      </c>
      <c r="B15" t="s">
        <v>992</v>
      </c>
      <c r="C15">
        <v>5</v>
      </c>
      <c r="D15">
        <v>7</v>
      </c>
      <c r="E15">
        <v>0</v>
      </c>
    </row>
    <row r="16" spans="1:5" x14ac:dyDescent="0.25">
      <c r="A16" t="s">
        <v>82</v>
      </c>
      <c r="B16" t="s">
        <v>970</v>
      </c>
      <c r="C16" s="53">
        <v>-81580</v>
      </c>
      <c r="D16" s="53">
        <v>-81580</v>
      </c>
      <c r="E16">
        <v>0</v>
      </c>
    </row>
    <row r="17" spans="1:5" x14ac:dyDescent="0.25">
      <c r="B17" t="s">
        <v>73</v>
      </c>
      <c r="C17" s="53">
        <v>-81553</v>
      </c>
      <c r="D17" s="53">
        <v>-112785</v>
      </c>
      <c r="E17" s="53">
        <v>-31234</v>
      </c>
    </row>
    <row r="18" spans="1:5" x14ac:dyDescent="0.25">
      <c r="A18" t="s">
        <v>36</v>
      </c>
      <c r="B18" t="s">
        <v>960</v>
      </c>
      <c r="C18">
        <v>0</v>
      </c>
      <c r="D18">
        <v>0</v>
      </c>
      <c r="E18">
        <v>0</v>
      </c>
    </row>
    <row r="19" spans="1:5" x14ac:dyDescent="0.25">
      <c r="A19" t="s">
        <v>38</v>
      </c>
      <c r="B19" t="s">
        <v>955</v>
      </c>
      <c r="C19" s="53">
        <v>-68801</v>
      </c>
      <c r="D19" s="53">
        <v>-78751</v>
      </c>
      <c r="E19" s="53">
        <v>-9950</v>
      </c>
    </row>
    <row r="20" spans="1:5" x14ac:dyDescent="0.25">
      <c r="A20" t="s">
        <v>40</v>
      </c>
      <c r="B20" t="s">
        <v>921</v>
      </c>
      <c r="C20">
        <v>0</v>
      </c>
      <c r="D20">
        <v>0</v>
      </c>
      <c r="E20">
        <v>0</v>
      </c>
    </row>
    <row r="21" spans="1:5" x14ac:dyDescent="0.25">
      <c r="A21" t="s">
        <v>44</v>
      </c>
      <c r="B21" t="s">
        <v>940</v>
      </c>
      <c r="C21" s="53">
        <v>-19198</v>
      </c>
      <c r="D21" s="53">
        <v>-65655</v>
      </c>
      <c r="E21" s="53">
        <v>-46457</v>
      </c>
    </row>
    <row r="22" spans="1:5" x14ac:dyDescent="0.25">
      <c r="A22" t="s">
        <v>42</v>
      </c>
      <c r="B22" t="s">
        <v>996</v>
      </c>
      <c r="C22">
        <v>0</v>
      </c>
      <c r="D22" s="53">
        <v>-62500</v>
      </c>
      <c r="E22" s="53">
        <v>-62500</v>
      </c>
    </row>
    <row r="23" spans="1:5" x14ac:dyDescent="0.25">
      <c r="A23" t="s">
        <v>46</v>
      </c>
      <c r="B23" t="s">
        <v>981</v>
      </c>
      <c r="C23" s="53">
        <v>-10002</v>
      </c>
      <c r="D23" s="53">
        <v>-61072</v>
      </c>
      <c r="E23" s="53">
        <v>-51070</v>
      </c>
    </row>
    <row r="24" spans="1:5" x14ac:dyDescent="0.25">
      <c r="A24" t="s">
        <v>48</v>
      </c>
      <c r="B24" t="s">
        <v>976</v>
      </c>
      <c r="C24" s="53">
        <v>-15428</v>
      </c>
      <c r="D24" s="53">
        <v>-28894</v>
      </c>
      <c r="E24" s="53">
        <v>-13466</v>
      </c>
    </row>
    <row r="25" spans="1:5" x14ac:dyDescent="0.25">
      <c r="A25" t="s">
        <v>50</v>
      </c>
      <c r="B25" t="s">
        <v>1000</v>
      </c>
      <c r="C25">
        <v>0</v>
      </c>
      <c r="D25" s="53">
        <v>-34826</v>
      </c>
      <c r="E25" s="53">
        <v>-34826</v>
      </c>
    </row>
    <row r="26" spans="1:5" x14ac:dyDescent="0.25">
      <c r="A26" t="s">
        <v>52</v>
      </c>
      <c r="B26" t="s">
        <v>1004</v>
      </c>
      <c r="C26">
        <v>0</v>
      </c>
      <c r="D26" s="53">
        <v>-91486</v>
      </c>
      <c r="E26" s="53">
        <v>-91486</v>
      </c>
    </row>
    <row r="27" spans="1:5" x14ac:dyDescent="0.25">
      <c r="A27" t="s">
        <v>54</v>
      </c>
      <c r="B27" t="s">
        <v>1008</v>
      </c>
      <c r="C27" s="53">
        <v>-57099</v>
      </c>
      <c r="D27" s="53">
        <v>-130814</v>
      </c>
      <c r="E27" s="53">
        <v>-73715</v>
      </c>
    </row>
    <row r="28" spans="1:5" x14ac:dyDescent="0.25">
      <c r="A28" t="s">
        <v>56</v>
      </c>
      <c r="B28" t="s">
        <v>1006</v>
      </c>
      <c r="C28">
        <v>0</v>
      </c>
      <c r="D28" s="53">
        <v>-91446</v>
      </c>
      <c r="E28" s="53">
        <v>-91446</v>
      </c>
    </row>
    <row r="29" spans="1:5" x14ac:dyDescent="0.25">
      <c r="B29" t="s">
        <v>35</v>
      </c>
      <c r="C29" s="53">
        <v>-170527</v>
      </c>
      <c r="D29" s="53">
        <v>-645444</v>
      </c>
      <c r="E29" s="53">
        <v>-474916</v>
      </c>
    </row>
    <row r="30" spans="1:5" x14ac:dyDescent="0.25">
      <c r="A30" t="s">
        <v>21</v>
      </c>
      <c r="B30" t="s">
        <v>946</v>
      </c>
      <c r="C30" s="53">
        <v>-49873</v>
      </c>
      <c r="D30" s="53">
        <v>-34638</v>
      </c>
      <c r="E30" s="53">
        <v>15235</v>
      </c>
    </row>
    <row r="31" spans="1:5" x14ac:dyDescent="0.25">
      <c r="A31" t="s">
        <v>19</v>
      </c>
      <c r="B31" t="s">
        <v>942</v>
      </c>
      <c r="C31" s="53">
        <v>-30000</v>
      </c>
      <c r="D31" s="53">
        <v>-30000</v>
      </c>
      <c r="E31">
        <v>0</v>
      </c>
    </row>
    <row r="32" spans="1:5" x14ac:dyDescent="0.25">
      <c r="A32" t="s">
        <v>23</v>
      </c>
      <c r="B32" t="s">
        <v>994</v>
      </c>
      <c r="C32">
        <v>0</v>
      </c>
      <c r="D32" s="53">
        <v>-54500</v>
      </c>
      <c r="E32" s="53">
        <v>-54500</v>
      </c>
    </row>
    <row r="33" spans="1:5" x14ac:dyDescent="0.25">
      <c r="A33" t="s">
        <v>25</v>
      </c>
      <c r="B33" t="s">
        <v>962</v>
      </c>
      <c r="C33">
        <v>0</v>
      </c>
      <c r="D33">
        <v>0</v>
      </c>
      <c r="E33">
        <v>0</v>
      </c>
    </row>
    <row r="34" spans="1:5" x14ac:dyDescent="0.25">
      <c r="B34" t="s">
        <v>18</v>
      </c>
      <c r="C34" s="53">
        <v>-79873</v>
      </c>
      <c r="D34" s="53">
        <v>-119138</v>
      </c>
      <c r="E34" s="53">
        <v>-39265</v>
      </c>
    </row>
    <row r="35" spans="1:5" x14ac:dyDescent="0.25">
      <c r="A35" t="s">
        <v>29</v>
      </c>
      <c r="B35" t="s">
        <v>964</v>
      </c>
      <c r="C35" s="53">
        <v>-51175</v>
      </c>
      <c r="D35">
        <v>0</v>
      </c>
      <c r="E35" s="53">
        <v>51175</v>
      </c>
    </row>
    <row r="36" spans="1:5" x14ac:dyDescent="0.25">
      <c r="A36" t="s">
        <v>31</v>
      </c>
      <c r="B36" t="s">
        <v>1002</v>
      </c>
      <c r="C36">
        <v>0</v>
      </c>
      <c r="D36" s="53">
        <v>-200422</v>
      </c>
      <c r="E36" s="53">
        <v>-200422</v>
      </c>
    </row>
    <row r="37" spans="1:5" x14ac:dyDescent="0.25">
      <c r="A37" t="s">
        <v>32</v>
      </c>
      <c r="B37" t="s">
        <v>998</v>
      </c>
      <c r="C37" s="53">
        <v>-80001</v>
      </c>
      <c r="D37" s="53">
        <v>-198490</v>
      </c>
      <c r="E37" s="53">
        <v>-118489</v>
      </c>
    </row>
    <row r="38" spans="1:5" x14ac:dyDescent="0.25">
      <c r="B38" t="s">
        <v>28</v>
      </c>
      <c r="C38" s="53">
        <v>-131176</v>
      </c>
      <c r="D38" s="53">
        <v>-398912</v>
      </c>
      <c r="E38" s="53">
        <v>-267736</v>
      </c>
    </row>
    <row r="39" spans="1:5" x14ac:dyDescent="0.25">
      <c r="A39" t="s">
        <v>86</v>
      </c>
      <c r="B39" t="s">
        <v>983</v>
      </c>
      <c r="C39" s="53">
        <v>-20431</v>
      </c>
      <c r="D39" s="53">
        <v>-47550</v>
      </c>
      <c r="E39" s="53">
        <v>-27119</v>
      </c>
    </row>
    <row r="40" spans="1:5" x14ac:dyDescent="0.25">
      <c r="A40" t="s">
        <v>88</v>
      </c>
      <c r="B40" t="s">
        <v>990</v>
      </c>
      <c r="C40">
        <v>0</v>
      </c>
      <c r="D40" s="53">
        <v>-25000</v>
      </c>
      <c r="E40" s="53">
        <v>-25000</v>
      </c>
    </row>
    <row r="41" spans="1:5" x14ac:dyDescent="0.25">
      <c r="A41" t="s">
        <v>90</v>
      </c>
      <c r="B41" t="s">
        <v>972</v>
      </c>
      <c r="C41" s="53">
        <v>-105375</v>
      </c>
      <c r="D41" s="53">
        <v>-139903</v>
      </c>
      <c r="E41" s="53">
        <v>-34528</v>
      </c>
    </row>
    <row r="42" spans="1:5" x14ac:dyDescent="0.25">
      <c r="A42" t="s">
        <v>92</v>
      </c>
      <c r="B42" t="s">
        <v>948</v>
      </c>
      <c r="C42" s="53">
        <v>-47978</v>
      </c>
      <c r="D42" s="53">
        <v>-117340</v>
      </c>
      <c r="E42" s="53">
        <v>-69362</v>
      </c>
    </row>
    <row r="43" spans="1:5" x14ac:dyDescent="0.25">
      <c r="A43" t="s">
        <v>94</v>
      </c>
      <c r="B43" t="s">
        <v>985</v>
      </c>
      <c r="C43">
        <v>0</v>
      </c>
      <c r="D43" s="53">
        <v>-22896</v>
      </c>
      <c r="E43" s="53">
        <v>-22896</v>
      </c>
    </row>
    <row r="44" spans="1:5" x14ac:dyDescent="0.25">
      <c r="A44" t="s">
        <v>96</v>
      </c>
      <c r="B44" t="s">
        <v>987</v>
      </c>
      <c r="C44">
        <v>0</v>
      </c>
      <c r="D44" s="53">
        <v>-15992</v>
      </c>
      <c r="E44" s="53">
        <v>-15992</v>
      </c>
    </row>
    <row r="45" spans="1:5" x14ac:dyDescent="0.25">
      <c r="B45" t="s">
        <v>85</v>
      </c>
      <c r="C45" s="53">
        <v>-173784</v>
      </c>
      <c r="D45" s="53">
        <v>-368681</v>
      </c>
      <c r="E45" s="53">
        <v>-194897</v>
      </c>
    </row>
    <row r="46" spans="1:5" x14ac:dyDescent="0.25">
      <c r="A46" t="s">
        <v>100</v>
      </c>
      <c r="B46" t="s">
        <v>978</v>
      </c>
      <c r="C46">
        <v>0</v>
      </c>
      <c r="D46" s="53">
        <v>-9984</v>
      </c>
      <c r="E46" s="53">
        <v>-9984</v>
      </c>
    </row>
    <row r="47" spans="1:5" x14ac:dyDescent="0.25">
      <c r="A47" t="s">
        <v>102</v>
      </c>
      <c r="B47" t="s">
        <v>924</v>
      </c>
      <c r="C47">
        <v>0</v>
      </c>
      <c r="D47">
        <v>0</v>
      </c>
      <c r="E47">
        <v>0</v>
      </c>
    </row>
    <row r="48" spans="1:5" x14ac:dyDescent="0.25">
      <c r="A48" t="s">
        <v>104</v>
      </c>
      <c r="B48" t="s">
        <v>928</v>
      </c>
      <c r="C48">
        <v>0</v>
      </c>
      <c r="D48">
        <v>0</v>
      </c>
      <c r="E48">
        <v>0</v>
      </c>
    </row>
    <row r="49" spans="1:5" x14ac:dyDescent="0.25">
      <c r="A49" t="s">
        <v>106</v>
      </c>
      <c r="B49" t="s">
        <v>930</v>
      </c>
      <c r="C49" s="53">
        <v>-42339</v>
      </c>
      <c r="D49" s="53">
        <v>-89339</v>
      </c>
      <c r="E49" s="53">
        <v>-47000</v>
      </c>
    </row>
    <row r="50" spans="1:5" x14ac:dyDescent="0.25">
      <c r="A50" t="s">
        <v>108</v>
      </c>
      <c r="B50" t="s">
        <v>933</v>
      </c>
      <c r="C50">
        <v>0</v>
      </c>
      <c r="D50" s="53">
        <v>-31688</v>
      </c>
      <c r="E50" s="53">
        <v>-31688</v>
      </c>
    </row>
    <row r="51" spans="1:5" x14ac:dyDescent="0.25">
      <c r="A51" t="s">
        <v>110</v>
      </c>
      <c r="B51" t="s">
        <v>936</v>
      </c>
      <c r="C51">
        <v>0</v>
      </c>
      <c r="D51">
        <v>0</v>
      </c>
      <c r="E51">
        <v>0</v>
      </c>
    </row>
    <row r="52" spans="1:5" x14ac:dyDescent="0.25">
      <c r="A52" t="s">
        <v>112</v>
      </c>
      <c r="B52" t="s">
        <v>938</v>
      </c>
      <c r="C52">
        <v>0</v>
      </c>
      <c r="D52">
        <v>0</v>
      </c>
      <c r="E52">
        <v>0</v>
      </c>
    </row>
    <row r="53" spans="1:5" x14ac:dyDescent="0.25">
      <c r="B53" t="s">
        <v>99</v>
      </c>
      <c r="C53" s="53">
        <v>-42339</v>
      </c>
      <c r="D53" s="53">
        <v>-131011</v>
      </c>
      <c r="E53" s="53">
        <v>-88672</v>
      </c>
    </row>
    <row r="54" spans="1:5" x14ac:dyDescent="0.25">
      <c r="B54" t="s">
        <v>1141</v>
      </c>
      <c r="C54" s="53">
        <v>-719572</v>
      </c>
      <c r="D54" s="53">
        <v>-1832584</v>
      </c>
      <c r="E54" s="53">
        <v>-1113012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42463-0745-44AC-B523-00F67912ED8D}">
  <sheetPr codeName="Sheet14"/>
  <dimension ref="A1:CV258"/>
  <sheetViews>
    <sheetView showGridLines="0" zoomScale="130" zoomScaleNormal="130" workbookViewId="0">
      <pane xSplit="5" ySplit="5" topLeftCell="F6" activePane="bottomRight" state="frozen"/>
      <selection activeCell="J5" sqref="J4:BB61"/>
      <selection pane="topRight" activeCell="J5" sqref="J4:BB61"/>
      <selection pane="bottomLeft" activeCell="J5" sqref="J4:BB61"/>
      <selection pane="bottomRight" activeCell="J5" sqref="J4:BB61"/>
    </sheetView>
  </sheetViews>
  <sheetFormatPr defaultColWidth="8.7109375" defaultRowHeight="15" outlineLevelCol="1" x14ac:dyDescent="0.25"/>
  <cols>
    <col min="1" max="1" width="1.7109375" style="110" customWidth="1"/>
    <col min="2" max="2" width="52.42578125" style="110" customWidth="1"/>
    <col min="3" max="3" width="8.7109375" style="110" customWidth="1"/>
    <col min="4" max="4" width="9.42578125" style="110" customWidth="1"/>
    <col min="5" max="5" width="9.7109375" style="111" customWidth="1"/>
    <col min="6" max="10" width="5.7109375" style="111" customWidth="1"/>
    <col min="11" max="11" width="8.42578125" style="110" bestFit="1" customWidth="1"/>
    <col min="12" max="12" width="9.5703125" style="110" bestFit="1" customWidth="1"/>
    <col min="13" max="13" width="4.28515625" style="110" customWidth="1"/>
    <col min="14" max="14" width="9.42578125" style="110" customWidth="1"/>
    <col min="15" max="15" width="10.7109375" style="110" customWidth="1"/>
    <col min="16" max="17" width="9.42578125" style="110" customWidth="1"/>
    <col min="18" max="18" width="1.7109375" style="110" customWidth="1"/>
    <col min="19" max="19" width="9.7109375" style="110" hidden="1" customWidth="1"/>
    <col min="20" max="20" width="0" style="110" hidden="1" customWidth="1"/>
    <col min="21" max="21" width="10.7109375" style="110" hidden="1" customWidth="1"/>
    <col min="22" max="26" width="0" style="110" hidden="1" customWidth="1"/>
    <col min="27" max="27" width="2.28515625" style="110" customWidth="1"/>
    <col min="28" max="29" width="10" style="110" customWidth="1"/>
    <col min="30" max="30" width="2.28515625" style="110" customWidth="1"/>
    <col min="31" max="31" width="11.28515625" style="110" customWidth="1"/>
    <col min="32" max="34" width="8.7109375" style="110"/>
    <col min="35" max="35" width="10.42578125" style="110" customWidth="1"/>
    <col min="36" max="36" width="1.7109375" style="110" customWidth="1"/>
    <col min="37" max="37" width="69.7109375" style="110" hidden="1" customWidth="1"/>
    <col min="38" max="38" width="1.7109375" style="110" customWidth="1"/>
    <col min="39" max="39" width="8.7109375" style="110"/>
    <col min="40" max="40" width="0" style="110" hidden="1" customWidth="1"/>
    <col min="41" max="41" width="8.7109375" style="110"/>
    <col min="42" max="42" width="1.7109375" style="110" customWidth="1"/>
    <col min="43" max="43" width="10.28515625" style="110" customWidth="1"/>
    <col min="44" max="44" width="11.28515625" style="110" customWidth="1"/>
    <col min="45" max="45" width="3.28515625" style="110" customWidth="1"/>
    <col min="46" max="46" width="8.7109375" style="115" customWidth="1" outlineLevel="1"/>
    <col min="47" max="48" width="10.28515625" style="110" customWidth="1" outlineLevel="1"/>
    <col min="49" max="49" width="10.28515625" style="116" customWidth="1"/>
    <col min="50" max="53" width="9.7109375" style="110" customWidth="1"/>
    <col min="54" max="55" width="8.7109375" style="110"/>
    <col min="56" max="58" width="10.7109375" style="110" customWidth="1"/>
    <col min="59" max="59" width="8.7109375" style="110"/>
    <col min="60" max="60" width="10.42578125" style="110" customWidth="1"/>
    <col min="61" max="61" width="2.28515625" style="110" customWidth="1"/>
    <col min="62" max="69" width="8.7109375" style="110"/>
    <col min="70" max="70" width="53.7109375" style="110" bestFit="1" customWidth="1"/>
    <col min="71" max="71" width="8.7109375" style="110"/>
    <col min="72" max="72" width="82.42578125" style="110" bestFit="1" customWidth="1"/>
    <col min="73" max="16384" width="8.7109375" style="110"/>
  </cols>
  <sheetData>
    <row r="1" spans="1:100" x14ac:dyDescent="0.25">
      <c r="A1" s="109" t="s">
        <v>830</v>
      </c>
      <c r="Q1" s="112"/>
      <c r="AM1" s="113">
        <v>1.02</v>
      </c>
      <c r="AO1" s="114">
        <v>600</v>
      </c>
    </row>
    <row r="2" spans="1:100" x14ac:dyDescent="0.25">
      <c r="A2" s="109"/>
      <c r="Q2" s="112"/>
      <c r="AM2" s="113">
        <v>1.03</v>
      </c>
      <c r="AO2" s="114">
        <v>800</v>
      </c>
    </row>
    <row r="3" spans="1:100" x14ac:dyDescent="0.25">
      <c r="T3" s="116" t="s">
        <v>831</v>
      </c>
      <c r="AM3" s="113">
        <v>1.05</v>
      </c>
      <c r="AO3" s="114">
        <v>900</v>
      </c>
    </row>
    <row r="4" spans="1:100" ht="13.9" customHeight="1" x14ac:dyDescent="0.25">
      <c r="B4" s="117" t="s">
        <v>832</v>
      </c>
      <c r="C4" s="118" t="s">
        <v>833</v>
      </c>
      <c r="D4" s="119"/>
      <c r="E4" s="120"/>
      <c r="F4" s="120"/>
      <c r="G4" s="120"/>
      <c r="H4" s="120"/>
      <c r="I4" s="120"/>
      <c r="J4" s="120"/>
      <c r="K4" s="552" t="s">
        <v>834</v>
      </c>
      <c r="L4" s="553"/>
      <c r="M4" s="123"/>
      <c r="N4" s="554" t="s">
        <v>835</v>
      </c>
      <c r="O4" s="555"/>
      <c r="P4" s="555"/>
      <c r="Q4" s="556"/>
      <c r="S4" s="557" t="s">
        <v>836</v>
      </c>
      <c r="T4" s="544" t="s">
        <v>837</v>
      </c>
      <c r="U4" s="544" t="s">
        <v>838</v>
      </c>
      <c r="V4" s="544" t="s">
        <v>839</v>
      </c>
      <c r="W4" s="124"/>
      <c r="X4" s="542" t="s">
        <v>840</v>
      </c>
      <c r="Y4" s="124"/>
      <c r="Z4" s="124"/>
      <c r="AB4" s="544" t="s">
        <v>841</v>
      </c>
      <c r="AC4" s="221"/>
      <c r="AE4" s="125"/>
      <c r="AF4" s="125"/>
      <c r="AG4" s="125"/>
      <c r="AH4" s="125"/>
      <c r="AI4" s="546" t="s">
        <v>842</v>
      </c>
      <c r="AM4" s="126">
        <v>1.03</v>
      </c>
      <c r="AN4" s="127"/>
      <c r="AO4" s="128">
        <v>800</v>
      </c>
      <c r="AP4" s="111"/>
      <c r="AQ4" s="129"/>
      <c r="AR4" s="548" t="s">
        <v>843</v>
      </c>
      <c r="AT4" s="550" t="s">
        <v>844</v>
      </c>
      <c r="AU4" s="551"/>
      <c r="AV4" s="551"/>
      <c r="AW4" s="110"/>
      <c r="BD4" s="130">
        <f>COUNTIF(BD7:BD48,"&gt;=0")</f>
        <v>24</v>
      </c>
      <c r="BE4" s="130"/>
      <c r="BF4" s="130"/>
      <c r="BG4" s="130"/>
      <c r="BH4" s="130">
        <f>COUNTIF(BH7:BH48,"&gt;=0")</f>
        <v>34</v>
      </c>
      <c r="BQ4" s="61"/>
      <c r="BR4" s="61"/>
      <c r="BS4" s="61"/>
      <c r="BT4" s="61"/>
      <c r="BU4" s="61"/>
      <c r="BV4" s="224">
        <v>-744.64904272000103</v>
      </c>
      <c r="BW4" s="224">
        <v>-1931.74516019</v>
      </c>
      <c r="BX4" s="224">
        <v>-992.64300811702299</v>
      </c>
      <c r="BY4" s="224">
        <v>-3669.0372110270241</v>
      </c>
      <c r="CL4" s="110">
        <v>-972.64559186000008</v>
      </c>
      <c r="CM4" s="110">
        <v>-2389.0896186500004</v>
      </c>
      <c r="CN4" s="110">
        <v>-1416.4440267900002</v>
      </c>
      <c r="CO4" s="110">
        <v>-719.57089513000017</v>
      </c>
      <c r="CP4" s="110">
        <v>-744.64904271999956</v>
      </c>
      <c r="CQ4" s="110">
        <v>-25.078147589999581</v>
      </c>
      <c r="CR4" s="110">
        <v>-308.44841288000066</v>
      </c>
      <c r="CS4" s="110">
        <v>1.6503710000235379E-2</v>
      </c>
      <c r="CU4" s="110">
        <v>-2924.3881683070217</v>
      </c>
      <c r="CV4" s="110">
        <v>-3669.0372110270218</v>
      </c>
    </row>
    <row r="5" spans="1:100" ht="72" customHeight="1" x14ac:dyDescent="0.25">
      <c r="B5" s="131" t="s">
        <v>845</v>
      </c>
      <c r="C5" s="132"/>
      <c r="D5" s="133" t="s">
        <v>14</v>
      </c>
      <c r="E5" s="134" t="s">
        <v>846</v>
      </c>
      <c r="F5" s="134"/>
      <c r="G5" s="134"/>
      <c r="H5" s="134"/>
      <c r="I5" s="134"/>
      <c r="J5" s="134"/>
      <c r="K5" s="121" t="s">
        <v>847</v>
      </c>
      <c r="L5" s="122" t="s">
        <v>848</v>
      </c>
      <c r="M5" s="123"/>
      <c r="N5" s="135" t="s">
        <v>849</v>
      </c>
      <c r="O5" s="135" t="s">
        <v>850</v>
      </c>
      <c r="P5" s="135" t="s">
        <v>851</v>
      </c>
      <c r="Q5" s="136" t="s">
        <v>852</v>
      </c>
      <c r="S5" s="558"/>
      <c r="T5" s="545"/>
      <c r="U5" s="545"/>
      <c r="V5" s="545"/>
      <c r="W5" s="138" t="s">
        <v>853</v>
      </c>
      <c r="X5" s="543"/>
      <c r="Y5" s="138" t="s">
        <v>854</v>
      </c>
      <c r="Z5" s="138" t="s">
        <v>855</v>
      </c>
      <c r="AB5" s="545"/>
      <c r="AC5" s="221" t="s">
        <v>856</v>
      </c>
      <c r="AE5" s="140" t="s">
        <v>857</v>
      </c>
      <c r="AF5" s="140" t="s">
        <v>858</v>
      </c>
      <c r="AG5" s="140" t="s">
        <v>859</v>
      </c>
      <c r="AH5" s="140" t="s">
        <v>860</v>
      </c>
      <c r="AI5" s="547"/>
      <c r="AK5" s="141" t="s">
        <v>861</v>
      </c>
      <c r="AM5" s="127" t="s">
        <v>862</v>
      </c>
      <c r="AN5" s="142" t="s">
        <v>863</v>
      </c>
      <c r="AO5" s="127" t="s">
        <v>864</v>
      </c>
      <c r="AP5" s="111"/>
      <c r="AQ5" s="142" t="s">
        <v>865</v>
      </c>
      <c r="AR5" s="549"/>
      <c r="AT5" s="143" t="s">
        <v>866</v>
      </c>
      <c r="AU5" s="143" t="s">
        <v>867</v>
      </c>
      <c r="AV5" s="143" t="s">
        <v>868</v>
      </c>
      <c r="AW5" s="143" t="s">
        <v>869</v>
      </c>
      <c r="AX5" s="143" t="s">
        <v>870</v>
      </c>
      <c r="AY5" s="143" t="s">
        <v>871</v>
      </c>
      <c r="AZ5" s="143" t="s">
        <v>862</v>
      </c>
      <c r="BA5" s="143" t="s">
        <v>864</v>
      </c>
      <c r="BB5" s="143" t="s">
        <v>872</v>
      </c>
      <c r="BC5" s="143" t="s">
        <v>873</v>
      </c>
      <c r="BD5" s="143" t="s">
        <v>874</v>
      </c>
      <c r="BE5" s="143" t="s">
        <v>875</v>
      </c>
      <c r="BF5" s="143" t="s">
        <v>876</v>
      </c>
      <c r="BG5" s="143" t="s">
        <v>877</v>
      </c>
      <c r="BH5" s="143" t="s">
        <v>878</v>
      </c>
      <c r="BJ5" s="143" t="s">
        <v>879</v>
      </c>
      <c r="BK5" s="143" t="s">
        <v>880</v>
      </c>
      <c r="BL5" s="143" t="s">
        <v>881</v>
      </c>
      <c r="BQ5" s="225" t="s">
        <v>882</v>
      </c>
      <c r="BR5" s="225" t="s">
        <v>883</v>
      </c>
      <c r="BS5" s="225" t="s">
        <v>884</v>
      </c>
      <c r="BT5" s="226" t="s">
        <v>885</v>
      </c>
      <c r="BU5" s="227"/>
      <c r="BV5" s="228" t="s">
        <v>886</v>
      </c>
      <c r="BW5" s="228" t="s">
        <v>887</v>
      </c>
      <c r="BX5" s="228" t="s">
        <v>888</v>
      </c>
      <c r="BY5" s="228" t="s">
        <v>889</v>
      </c>
      <c r="CJ5" s="110" t="s">
        <v>890</v>
      </c>
      <c r="CK5" s="110" t="s">
        <v>16</v>
      </c>
      <c r="CL5" s="110" t="s">
        <v>891</v>
      </c>
      <c r="CM5" s="110" t="s">
        <v>892</v>
      </c>
      <c r="CN5" s="110" t="s">
        <v>893</v>
      </c>
      <c r="CO5" s="110" t="s">
        <v>894</v>
      </c>
      <c r="CP5" s="110" t="s">
        <v>895</v>
      </c>
      <c r="CQ5" s="110" t="s">
        <v>896</v>
      </c>
      <c r="CR5" s="110" t="s">
        <v>897</v>
      </c>
      <c r="CS5" s="110" t="s">
        <v>898</v>
      </c>
      <c r="CU5" s="110" t="s">
        <v>899</v>
      </c>
      <c r="CV5" s="110" t="s">
        <v>900</v>
      </c>
    </row>
    <row r="6" spans="1:100" ht="20.65" customHeight="1" x14ac:dyDescent="0.25">
      <c r="B6" s="144"/>
      <c r="C6" s="144"/>
      <c r="D6" s="144"/>
      <c r="E6" s="145"/>
      <c r="F6" s="145"/>
      <c r="G6" s="145"/>
      <c r="H6" s="145"/>
      <c r="I6" s="145"/>
      <c r="J6" s="145"/>
      <c r="K6" s="146"/>
      <c r="L6" s="147"/>
      <c r="M6" s="123"/>
      <c r="N6" s="137"/>
      <c r="O6" s="148"/>
      <c r="P6" s="148"/>
      <c r="Q6" s="139"/>
      <c r="S6" s="137"/>
      <c r="T6" s="138"/>
      <c r="U6" s="148"/>
      <c r="V6" s="148"/>
      <c r="W6" s="148"/>
      <c r="X6" s="148"/>
      <c r="Y6" s="148"/>
      <c r="Z6" s="148"/>
      <c r="AB6" s="139"/>
      <c r="AC6" s="221"/>
      <c r="AE6" s="139"/>
      <c r="AF6" s="139"/>
      <c r="AG6" s="139"/>
      <c r="AH6" s="139"/>
      <c r="AI6" s="139"/>
      <c r="BQ6" s="83" t="s">
        <v>100</v>
      </c>
      <c r="BR6" s="83" t="s">
        <v>101</v>
      </c>
      <c r="BS6" s="83" t="s">
        <v>636</v>
      </c>
      <c r="BT6" s="83" t="s">
        <v>637</v>
      </c>
      <c r="BU6" s="4" t="s">
        <v>901</v>
      </c>
      <c r="BV6" s="229">
        <v>-4.0905000001657755E-4</v>
      </c>
      <c r="BW6" s="229">
        <v>-6.93</v>
      </c>
      <c r="BX6" s="229">
        <v>0</v>
      </c>
      <c r="BY6" s="229">
        <v>-6.9304090500000166</v>
      </c>
      <c r="CJ6" s="110" t="s">
        <v>100</v>
      </c>
      <c r="CK6" s="110" t="s">
        <v>902</v>
      </c>
      <c r="CL6" s="110">
        <v>-11.17770917</v>
      </c>
      <c r="CM6" s="110">
        <v>-31.661827959999972</v>
      </c>
      <c r="CN6" s="110">
        <v>-20.484118789999972</v>
      </c>
      <c r="CO6" s="110">
        <v>0</v>
      </c>
      <c r="CP6" s="110">
        <v>-4.0905000001657755E-4</v>
      </c>
      <c r="CQ6" s="110">
        <v>-4.0905000001657755E-4</v>
      </c>
      <c r="CR6" s="110">
        <v>-4.4603906799999171</v>
      </c>
      <c r="CS6" s="110">
        <v>0</v>
      </c>
      <c r="CU6" s="110">
        <v>-41.99</v>
      </c>
      <c r="CV6" s="110">
        <v>-41.990409050000018</v>
      </c>
    </row>
    <row r="7" spans="1:100" x14ac:dyDescent="0.25">
      <c r="B7" s="149" t="s">
        <v>903</v>
      </c>
      <c r="C7" s="150" t="s">
        <v>60</v>
      </c>
      <c r="D7" s="151" t="s">
        <v>904</v>
      </c>
      <c r="E7" s="152">
        <f t="shared" ref="E7:E48" si="0">SUM(F7:J7)</f>
        <v>1</v>
      </c>
      <c r="F7" s="152">
        <f t="shared" ref="F7:F48" si="1">IF(AND(BC7=0,BF7=0,BH7&gt;=0),1,"")</f>
        <v>1</v>
      </c>
      <c r="G7" s="153" t="str">
        <f t="shared" ref="G7:G48" si="2">IF(AND(BC7=0,BF7&gt;0,BH7&gt;=0),2,"")</f>
        <v/>
      </c>
      <c r="H7" s="153" t="str">
        <f t="shared" ref="H7:H48" si="3">IF(AND(BC7&gt;0,BF7&gt;0,BH7&gt;=0),3,"")</f>
        <v/>
      </c>
      <c r="I7" s="153" t="str">
        <f t="shared" ref="I7:I48" si="4">IF(AND(BC7&gt;0,BF7=0,BH7&gt;=0),4,"")</f>
        <v/>
      </c>
      <c r="J7" s="153" t="str">
        <f t="shared" ref="J7:J48" si="5">IF(BH7&lt;0,5,"")</f>
        <v/>
      </c>
      <c r="K7" s="154">
        <v>1009.51044312</v>
      </c>
      <c r="L7" s="155">
        <v>2018.5170000000001</v>
      </c>
      <c r="N7" s="156">
        <v>0.88551457000022737</v>
      </c>
      <c r="O7" s="157">
        <v>-17.490690050000197</v>
      </c>
      <c r="P7" s="157">
        <v>-18.376204620000422</v>
      </c>
      <c r="Q7" s="158">
        <v>-1.8203085213469212E-2</v>
      </c>
      <c r="S7" s="159">
        <v>-5.5300000000000029</v>
      </c>
      <c r="T7" s="160">
        <v>-0.34722000000000003</v>
      </c>
      <c r="U7" s="161">
        <v>-6.2352261500000008</v>
      </c>
      <c r="V7" s="161">
        <v>-6.4959314499999996</v>
      </c>
      <c r="W7" s="161">
        <v>6.4423776000000004</v>
      </c>
      <c r="X7" s="161">
        <f t="shared" ref="X7:X48" si="6">S7-T7</f>
        <v>-5.1827800000000028</v>
      </c>
      <c r="Y7" s="161">
        <v>-5.3694899999999999</v>
      </c>
      <c r="Z7" s="161">
        <v>-1.1879346199999974</v>
      </c>
      <c r="AB7" s="162">
        <v>-13.166</v>
      </c>
      <c r="AC7" s="163">
        <f>SUMIFS(CV:CV,CJ:CJ,C7)</f>
        <v>-13.165733999999855</v>
      </c>
      <c r="AE7" s="162">
        <v>4</v>
      </c>
      <c r="AF7" s="162">
        <v>5</v>
      </c>
      <c r="AG7" s="162">
        <f>12.1-AF7</f>
        <v>7.1</v>
      </c>
      <c r="AH7" s="162"/>
      <c r="AI7" s="162">
        <v>-34</v>
      </c>
      <c r="AJ7" s="163"/>
      <c r="AM7" s="164">
        <v>14.801893420706094</v>
      </c>
      <c r="AN7" s="165">
        <v>1.1947525959280149E-2</v>
      </c>
      <c r="AO7" s="164">
        <f t="shared" ref="AO7:AO48" si="7">AN7*$AO$4</f>
        <v>9.5580207674241198</v>
      </c>
      <c r="AP7" s="166"/>
      <c r="AQ7" s="166">
        <v>1.02</v>
      </c>
      <c r="AR7" s="166">
        <v>1.0813955953957377</v>
      </c>
      <c r="AT7" s="167">
        <f t="shared" ref="AT7:AT48" si="8">AE7</f>
        <v>4</v>
      </c>
      <c r="AU7" s="168">
        <v>5.0673353262515182</v>
      </c>
      <c r="AV7" s="168">
        <v>3.6919124233582341</v>
      </c>
      <c r="AW7" s="168">
        <f>AT7</f>
        <v>4</v>
      </c>
      <c r="AX7" s="168">
        <f t="shared" ref="AX7:AX48" si="9">AG7</f>
        <v>7.1</v>
      </c>
      <c r="AY7" s="168">
        <f t="shared" ref="AY7:AY48" si="10">SUM(AI7,AW7:AX7)</f>
        <v>-22.9</v>
      </c>
      <c r="AZ7" s="168">
        <f t="shared" ref="AZ7:AZ48" si="11">AM7</f>
        <v>14.801893420706094</v>
      </c>
      <c r="BA7" s="168">
        <f t="shared" ref="BA7:BA48" si="12">AO7</f>
        <v>9.5580207674241198</v>
      </c>
      <c r="BB7" s="168">
        <f t="shared" ref="BB7:BB48" si="13">MIN(SUM(AY7:BA7))</f>
        <v>1.4599141881302149</v>
      </c>
      <c r="BC7" s="168">
        <v>0</v>
      </c>
      <c r="BD7" s="168">
        <f t="shared" ref="BD7:BD48" si="14">SUM(BB7:BC7)</f>
        <v>1.4599141881302149</v>
      </c>
      <c r="BE7" s="168">
        <v>0</v>
      </c>
      <c r="BF7" s="168">
        <v>0</v>
      </c>
      <c r="BG7" s="168">
        <f t="shared" ref="BG7:BG48" si="15">SUM(BE7:BF7)</f>
        <v>0</v>
      </c>
      <c r="BH7" s="168">
        <f t="shared" ref="BH7:BH48" si="16">BD7-BG7</f>
        <v>1.4599141881302149</v>
      </c>
      <c r="BJ7" s="168">
        <f t="shared" ref="BJ7:BJ48" si="17">P7+AF7+AW7*0.5</f>
        <v>-11.376204620000422</v>
      </c>
      <c r="BK7" s="169">
        <f t="shared" ref="BK7:BK48" si="18">BC7/L7</f>
        <v>0</v>
      </c>
      <c r="BL7" s="170">
        <f t="shared" ref="BL7:BL48" si="19">MIN(BH7/L7,0)</f>
        <v>0</v>
      </c>
      <c r="BQ7" s="83" t="s">
        <v>100</v>
      </c>
      <c r="BR7" s="83" t="s">
        <v>101</v>
      </c>
      <c r="BS7" s="83" t="s">
        <v>638</v>
      </c>
      <c r="BT7" s="83" t="s">
        <v>639</v>
      </c>
      <c r="BU7" s="4" t="s">
        <v>901</v>
      </c>
      <c r="BV7" s="229">
        <v>0</v>
      </c>
      <c r="BW7" s="229">
        <v>-7.06</v>
      </c>
      <c r="BX7" s="229">
        <v>0</v>
      </c>
      <c r="BY7" s="229">
        <v>-7.06</v>
      </c>
      <c r="CJ7" s="110" t="s">
        <v>60</v>
      </c>
      <c r="CK7" s="110" t="s">
        <v>905</v>
      </c>
      <c r="CL7" s="110">
        <v>0.88551456999999933</v>
      </c>
      <c r="CM7" s="110">
        <v>-17.490690049999916</v>
      </c>
      <c r="CN7" s="110">
        <v>-18.376204619999914</v>
      </c>
      <c r="CO7" s="110">
        <v>-4.8543000001518519E-4</v>
      </c>
      <c r="CP7" s="110">
        <v>2.6600000014586836E-4</v>
      </c>
      <c r="CQ7" s="110">
        <v>7.5143000016105355E-4</v>
      </c>
      <c r="CR7" s="110">
        <v>-4.115876549999979</v>
      </c>
      <c r="CS7" s="110">
        <v>6.213200001582666E-4</v>
      </c>
      <c r="CU7" s="110">
        <v>-13.166</v>
      </c>
      <c r="CV7" s="110">
        <v>-13.165733999999855</v>
      </c>
    </row>
    <row r="8" spans="1:100" x14ac:dyDescent="0.25">
      <c r="B8" s="171" t="s">
        <v>906</v>
      </c>
      <c r="C8" s="172" t="s">
        <v>62</v>
      </c>
      <c r="D8" s="173" t="s">
        <v>904</v>
      </c>
      <c r="E8" s="152">
        <f t="shared" si="0"/>
        <v>1</v>
      </c>
      <c r="F8" s="152">
        <f t="shared" si="1"/>
        <v>1</v>
      </c>
      <c r="G8" s="153" t="str">
        <f t="shared" si="2"/>
        <v/>
      </c>
      <c r="H8" s="153" t="str">
        <f t="shared" si="3"/>
        <v/>
      </c>
      <c r="I8" s="153" t="str">
        <f t="shared" si="4"/>
        <v/>
      </c>
      <c r="J8" s="153" t="str">
        <f t="shared" si="5"/>
        <v/>
      </c>
      <c r="K8" s="154">
        <v>945.60827117000008</v>
      </c>
      <c r="L8" s="155">
        <v>1888.502</v>
      </c>
      <c r="N8" s="174">
        <v>-1.4355836899995449</v>
      </c>
      <c r="O8" s="175">
        <v>-20.124418739999722</v>
      </c>
      <c r="P8" s="175">
        <v>-18.688835050000179</v>
      </c>
      <c r="Q8" s="176">
        <v>-1.9763823582968985E-2</v>
      </c>
      <c r="S8" s="177">
        <v>-7.3510812067000053</v>
      </c>
      <c r="T8" s="178">
        <v>-1.4472829999999999</v>
      </c>
      <c r="U8" s="179">
        <v>-7.10218785</v>
      </c>
      <c r="V8" s="179">
        <v>-2.2234911499999996</v>
      </c>
      <c r="W8" s="179">
        <v>6.34038726</v>
      </c>
      <c r="X8" s="179">
        <f t="shared" si="6"/>
        <v>-5.9037982067000057</v>
      </c>
      <c r="Y8" s="179">
        <v>-3.327645</v>
      </c>
      <c r="Z8" s="179">
        <v>-5.0248171032999949</v>
      </c>
      <c r="AB8" s="180">
        <v>-17.100000000000001</v>
      </c>
      <c r="AC8" s="163">
        <f t="shared" ref="AC8:AC48" si="20">SUMIFS(CV:CV,CJ:CJ,C8)</f>
        <v>-17.099998000000003</v>
      </c>
      <c r="AE8" s="181" t="s">
        <v>352</v>
      </c>
      <c r="AF8" s="180">
        <v>10</v>
      </c>
      <c r="AG8" s="180">
        <f>24.1-AF8</f>
        <v>14.100000000000001</v>
      </c>
      <c r="AH8" s="180"/>
      <c r="AI8" s="180">
        <v>-35</v>
      </c>
      <c r="AJ8" s="163"/>
      <c r="AK8" s="110" t="s">
        <v>907</v>
      </c>
      <c r="AM8" s="164">
        <v>22.249898742688956</v>
      </c>
      <c r="AN8" s="165">
        <v>2.3069562032156991E-2</v>
      </c>
      <c r="AO8" s="164">
        <f t="shared" si="7"/>
        <v>18.455649625725592</v>
      </c>
      <c r="AP8" s="166"/>
      <c r="AQ8" s="166">
        <v>1.056559933104855</v>
      </c>
      <c r="AR8" s="166">
        <v>1.1706616641094083</v>
      </c>
      <c r="AT8" s="167" t="str">
        <f t="shared" si="8"/>
        <v>?</v>
      </c>
      <c r="AU8" s="168">
        <v>8.5378383817674841</v>
      </c>
      <c r="AV8" s="168">
        <v>8.5995798167839901</v>
      </c>
      <c r="AW8" s="168">
        <f>AU8</f>
        <v>8.5378383817674841</v>
      </c>
      <c r="AX8" s="168">
        <f t="shared" si="9"/>
        <v>14.100000000000001</v>
      </c>
      <c r="AY8" s="168">
        <f t="shared" si="10"/>
        <v>-12.362161618232513</v>
      </c>
      <c r="AZ8" s="168">
        <f t="shared" si="11"/>
        <v>22.249898742688956</v>
      </c>
      <c r="BA8" s="168">
        <f t="shared" si="12"/>
        <v>18.455649625725592</v>
      </c>
      <c r="BB8" s="168">
        <f t="shared" si="13"/>
        <v>28.343386750182034</v>
      </c>
      <c r="BC8" s="168">
        <v>0</v>
      </c>
      <c r="BD8" s="168">
        <f t="shared" si="14"/>
        <v>28.343386750182034</v>
      </c>
      <c r="BE8" s="168">
        <v>0</v>
      </c>
      <c r="BF8" s="168">
        <v>0</v>
      </c>
      <c r="BG8" s="168">
        <f t="shared" si="15"/>
        <v>0</v>
      </c>
      <c r="BH8" s="168">
        <f t="shared" si="16"/>
        <v>28.343386750182034</v>
      </c>
      <c r="BJ8" s="168">
        <f t="shared" si="17"/>
        <v>-4.4199158591164371</v>
      </c>
      <c r="BK8" s="169">
        <f t="shared" si="18"/>
        <v>0</v>
      </c>
      <c r="BL8" s="170">
        <f t="shared" si="19"/>
        <v>0</v>
      </c>
      <c r="BQ8" s="83" t="s">
        <v>100</v>
      </c>
      <c r="BR8" s="83" t="s">
        <v>101</v>
      </c>
      <c r="BS8" s="83" t="s">
        <v>640</v>
      </c>
      <c r="BT8" s="83" t="s">
        <v>641</v>
      </c>
      <c r="BU8" s="4" t="s">
        <v>901</v>
      </c>
      <c r="BV8" s="229">
        <v>0</v>
      </c>
      <c r="BW8" s="229">
        <v>-12</v>
      </c>
      <c r="BX8" s="229">
        <v>0</v>
      </c>
      <c r="BY8" s="229">
        <v>-12</v>
      </c>
      <c r="CJ8" s="110" t="s">
        <v>36</v>
      </c>
      <c r="CK8" s="110" t="s">
        <v>908</v>
      </c>
      <c r="CL8" s="110">
        <v>-2.9846191599998981</v>
      </c>
      <c r="CM8" s="110">
        <v>-51.563779929999889</v>
      </c>
      <c r="CN8" s="110">
        <v>-48.579160769999987</v>
      </c>
      <c r="CO8" s="110">
        <v>3.5196000001451466E-4</v>
      </c>
      <c r="CP8" s="110">
        <v>1.0481100001227428E-3</v>
      </c>
      <c r="CQ8" s="110">
        <v>6.9615000010822819E-4</v>
      </c>
      <c r="CR8" s="110">
        <v>-10.742222719999951</v>
      </c>
      <c r="CS8" s="110">
        <v>5.5794000007732653E-4</v>
      </c>
      <c r="CU8" s="110">
        <v>-50.762999999999998</v>
      </c>
      <c r="CV8" s="110">
        <v>-50.761951889999878</v>
      </c>
    </row>
    <row r="9" spans="1:100" x14ac:dyDescent="0.25">
      <c r="B9" s="171" t="s">
        <v>909</v>
      </c>
      <c r="C9" s="172" t="s">
        <v>64</v>
      </c>
      <c r="D9" s="173" t="s">
        <v>904</v>
      </c>
      <c r="E9" s="152">
        <f t="shared" si="0"/>
        <v>1</v>
      </c>
      <c r="F9" s="152">
        <f t="shared" si="1"/>
        <v>1</v>
      </c>
      <c r="G9" s="153" t="str">
        <f t="shared" si="2"/>
        <v/>
      </c>
      <c r="H9" s="153" t="str">
        <f t="shared" si="3"/>
        <v/>
      </c>
      <c r="I9" s="153" t="str">
        <f t="shared" si="4"/>
        <v/>
      </c>
      <c r="J9" s="153" t="str">
        <f t="shared" si="5"/>
        <v/>
      </c>
      <c r="K9" s="154">
        <v>1579.4459203600002</v>
      </c>
      <c r="L9" s="155">
        <v>3173.9180000000001</v>
      </c>
      <c r="N9" s="174">
        <v>-16.990525689999725</v>
      </c>
      <c r="O9" s="175">
        <v>-39.513889060000153</v>
      </c>
      <c r="P9" s="175">
        <v>-22.523363370000425</v>
      </c>
      <c r="Q9" s="176">
        <v>-1.4260294119387586E-2</v>
      </c>
      <c r="S9" s="177">
        <v>-0.6944337365000024</v>
      </c>
      <c r="T9" s="178">
        <v>-1.32</v>
      </c>
      <c r="U9" s="179">
        <v>-4.9659255</v>
      </c>
      <c r="V9" s="179">
        <v>-5.1535666000000004</v>
      </c>
      <c r="W9" s="179">
        <v>9.6216030400000001</v>
      </c>
      <c r="X9" s="179">
        <f t="shared" si="6"/>
        <v>0.62556626349999767</v>
      </c>
      <c r="Y9" s="179">
        <v>0.83099999999999996</v>
      </c>
      <c r="Z9" s="179">
        <v>-22.162040573500001</v>
      </c>
      <c r="AB9" s="180">
        <v>-54.283000000000001</v>
      </c>
      <c r="AC9" s="163">
        <f t="shared" si="20"/>
        <v>-54.283007180000013</v>
      </c>
      <c r="AE9" s="181" t="s">
        <v>352</v>
      </c>
      <c r="AF9" s="180">
        <v>4.5</v>
      </c>
      <c r="AG9" s="180">
        <f>10.7-AF9</f>
        <v>6.1999999999999993</v>
      </c>
      <c r="AH9" s="180"/>
      <c r="AI9" s="180">
        <v>-38</v>
      </c>
      <c r="AJ9" s="163"/>
      <c r="AK9" s="110" t="s">
        <v>910</v>
      </c>
      <c r="AM9" s="164">
        <v>28.383213068417131</v>
      </c>
      <c r="AN9" s="165">
        <v>1.7036228986714093E-2</v>
      </c>
      <c r="AO9" s="164">
        <f t="shared" si="7"/>
        <v>13.628983189371274</v>
      </c>
      <c r="AP9" s="166"/>
      <c r="AQ9" s="166">
        <v>1.0160089477563148</v>
      </c>
      <c r="AR9" s="166">
        <v>1.0877443029386411</v>
      </c>
      <c r="AT9" s="167" t="str">
        <f t="shared" si="8"/>
        <v>?</v>
      </c>
      <c r="AU9" s="168">
        <v>5.3919669538742578</v>
      </c>
      <c r="AV9" s="168">
        <v>1.2316712222723236</v>
      </c>
      <c r="AW9" s="168">
        <f>AVERAGE(AU9:AV9)</f>
        <v>3.3118190880732907</v>
      </c>
      <c r="AX9" s="168">
        <f t="shared" si="9"/>
        <v>6.1999999999999993</v>
      </c>
      <c r="AY9" s="168">
        <f t="shared" si="10"/>
        <v>-28.488180911926708</v>
      </c>
      <c r="AZ9" s="168">
        <f t="shared" si="11"/>
        <v>28.383213068417131</v>
      </c>
      <c r="BA9" s="168">
        <f t="shared" si="12"/>
        <v>13.628983189371274</v>
      </c>
      <c r="BB9" s="168">
        <f t="shared" si="13"/>
        <v>13.524015345861697</v>
      </c>
      <c r="BC9" s="168">
        <v>0</v>
      </c>
      <c r="BD9" s="168">
        <f t="shared" si="14"/>
        <v>13.524015345861697</v>
      </c>
      <c r="BE9" s="168">
        <v>0</v>
      </c>
      <c r="BF9" s="168">
        <v>0</v>
      </c>
      <c r="BG9" s="168">
        <f t="shared" si="15"/>
        <v>0</v>
      </c>
      <c r="BH9" s="168">
        <f t="shared" si="16"/>
        <v>13.524015345861697</v>
      </c>
      <c r="BJ9" s="168">
        <f t="shared" si="17"/>
        <v>-16.367453825963779</v>
      </c>
      <c r="BK9" s="169">
        <f t="shared" si="18"/>
        <v>0</v>
      </c>
      <c r="BL9" s="170">
        <f t="shared" si="19"/>
        <v>0</v>
      </c>
      <c r="BQ9" s="83" t="s">
        <v>60</v>
      </c>
      <c r="BR9" s="83" t="s">
        <v>61</v>
      </c>
      <c r="BS9" s="83" t="s">
        <v>442</v>
      </c>
      <c r="BT9" s="83" t="s">
        <v>443</v>
      </c>
      <c r="BU9" s="4" t="s">
        <v>901</v>
      </c>
      <c r="BV9" s="229">
        <v>-3.3999999897787348E-5</v>
      </c>
      <c r="BW9" s="229">
        <v>0</v>
      </c>
      <c r="BX9" s="229">
        <v>0</v>
      </c>
      <c r="BY9" s="229">
        <v>-3.3999999897787348E-5</v>
      </c>
      <c r="CJ9" s="110" t="s">
        <v>38</v>
      </c>
      <c r="CK9" s="110" t="s">
        <v>911</v>
      </c>
      <c r="CL9" s="110">
        <v>-52.159778660000015</v>
      </c>
      <c r="CM9" s="110">
        <v>-79.214277590000037</v>
      </c>
      <c r="CN9" s="110">
        <v>-27.054498930000022</v>
      </c>
      <c r="CO9" s="110">
        <v>-68.80112727999996</v>
      </c>
      <c r="CP9" s="110">
        <v>-68.787059060000033</v>
      </c>
      <c r="CQ9" s="110">
        <v>1.4068219999927578E-2</v>
      </c>
      <c r="CR9" s="110">
        <v>-2.2526077199999737</v>
      </c>
      <c r="CS9" s="110">
        <v>1.4403109999848085E-2</v>
      </c>
      <c r="CU9" s="110">
        <v>-46.5</v>
      </c>
      <c r="CV9" s="110">
        <v>-115.28705906000003</v>
      </c>
    </row>
    <row r="10" spans="1:100" x14ac:dyDescent="0.25">
      <c r="B10" s="171" t="s">
        <v>912</v>
      </c>
      <c r="C10" s="172" t="s">
        <v>70</v>
      </c>
      <c r="D10" s="173" t="s">
        <v>904</v>
      </c>
      <c r="E10" s="152">
        <f t="shared" si="0"/>
        <v>1</v>
      </c>
      <c r="F10" s="152">
        <f t="shared" si="1"/>
        <v>1</v>
      </c>
      <c r="G10" s="153" t="str">
        <f t="shared" si="2"/>
        <v/>
      </c>
      <c r="H10" s="153" t="str">
        <f t="shared" si="3"/>
        <v/>
      </c>
      <c r="I10" s="153" t="str">
        <f t="shared" si="4"/>
        <v/>
      </c>
      <c r="J10" s="153" t="str">
        <f t="shared" si="5"/>
        <v/>
      </c>
      <c r="K10" s="154">
        <v>1115.555826</v>
      </c>
      <c r="L10" s="155">
        <v>2193.1080000000002</v>
      </c>
      <c r="N10" s="174">
        <v>-3.5644999999998288</v>
      </c>
      <c r="O10" s="175">
        <v>-6.0384996200006649</v>
      </c>
      <c r="P10" s="175">
        <v>-2.4739996200008361</v>
      </c>
      <c r="Q10" s="176">
        <v>-2.2177282053841706E-3</v>
      </c>
      <c r="S10" s="177">
        <v>-11.042504000000001</v>
      </c>
      <c r="T10" s="178">
        <v>-2.5065040000000001</v>
      </c>
      <c r="U10" s="179">
        <v>-5.4629981699999997</v>
      </c>
      <c r="V10" s="179">
        <v>-1.056541</v>
      </c>
      <c r="W10" s="179">
        <v>9.0260435499998657</v>
      </c>
      <c r="X10" s="179">
        <f t="shared" si="6"/>
        <v>-8.5360000000000014</v>
      </c>
      <c r="Y10" s="179">
        <v>0.96499999999999997</v>
      </c>
      <c r="Z10" s="179">
        <v>5.0970000000000013</v>
      </c>
      <c r="AB10" s="180">
        <v>-4</v>
      </c>
      <c r="AC10" s="163">
        <f t="shared" si="20"/>
        <v>-3.9920001000000003</v>
      </c>
      <c r="AE10" s="180">
        <v>5</v>
      </c>
      <c r="AF10" s="180">
        <v>0.7</v>
      </c>
      <c r="AG10" s="180">
        <f>1.5-AF10</f>
        <v>0.8</v>
      </c>
      <c r="AH10" s="180"/>
      <c r="AI10" s="180">
        <v>-5</v>
      </c>
      <c r="AJ10" s="163"/>
      <c r="AK10" s="110" t="s">
        <v>913</v>
      </c>
      <c r="AM10" s="164">
        <v>14.48495483358419</v>
      </c>
      <c r="AN10" s="165">
        <v>1.3036971633515387E-2</v>
      </c>
      <c r="AO10" s="164">
        <f t="shared" si="7"/>
        <v>10.429577306812309</v>
      </c>
      <c r="AP10" s="166"/>
      <c r="AQ10" s="166">
        <v>1.0409354075088022</v>
      </c>
      <c r="AR10" s="166">
        <v>1.0944658426413683</v>
      </c>
      <c r="AT10" s="167">
        <f t="shared" si="8"/>
        <v>5</v>
      </c>
      <c r="AU10" s="168">
        <v>7.5445092909137967</v>
      </c>
      <c r="AV10" s="168">
        <v>6.0699016596572637</v>
      </c>
      <c r="AW10" s="168">
        <v>6</v>
      </c>
      <c r="AX10" s="168">
        <f t="shared" si="9"/>
        <v>0.8</v>
      </c>
      <c r="AY10" s="168">
        <f t="shared" si="10"/>
        <v>1.8</v>
      </c>
      <c r="AZ10" s="168">
        <f t="shared" si="11"/>
        <v>14.48495483358419</v>
      </c>
      <c r="BA10" s="168">
        <f t="shared" si="12"/>
        <v>10.429577306812309</v>
      </c>
      <c r="BB10" s="168">
        <f t="shared" si="13"/>
        <v>26.7145321403965</v>
      </c>
      <c r="BC10" s="168">
        <v>0</v>
      </c>
      <c r="BD10" s="168">
        <f t="shared" si="14"/>
        <v>26.7145321403965</v>
      </c>
      <c r="BE10" s="168">
        <v>0</v>
      </c>
      <c r="BF10" s="168">
        <v>0</v>
      </c>
      <c r="BG10" s="168">
        <f t="shared" si="15"/>
        <v>0</v>
      </c>
      <c r="BH10" s="168">
        <f t="shared" si="16"/>
        <v>26.7145321403965</v>
      </c>
      <c r="BJ10" s="168">
        <f t="shared" si="17"/>
        <v>1.2260003799991639</v>
      </c>
      <c r="BK10" s="169">
        <f t="shared" si="18"/>
        <v>0</v>
      </c>
      <c r="BL10" s="170">
        <f t="shared" si="19"/>
        <v>0</v>
      </c>
      <c r="BQ10" s="83" t="s">
        <v>60</v>
      </c>
      <c r="BR10" s="83" t="s">
        <v>61</v>
      </c>
      <c r="BS10" s="83" t="s">
        <v>444</v>
      </c>
      <c r="BT10" s="83" t="s">
        <v>445</v>
      </c>
      <c r="BU10" s="4" t="s">
        <v>901</v>
      </c>
      <c r="BV10" s="229">
        <v>0</v>
      </c>
      <c r="BW10" s="229">
        <v>0</v>
      </c>
      <c r="BX10" s="229">
        <v>0</v>
      </c>
      <c r="BY10" s="229">
        <v>0</v>
      </c>
      <c r="CJ10" s="110" t="s">
        <v>102</v>
      </c>
      <c r="CK10" s="110" t="s">
        <v>914</v>
      </c>
      <c r="CL10" s="110">
        <v>-5.4210000000000003</v>
      </c>
      <c r="CM10" s="110">
        <v>-23.698649510000003</v>
      </c>
      <c r="CN10" s="110">
        <v>-18.277649510000003</v>
      </c>
      <c r="CO10" s="110">
        <v>0</v>
      </c>
      <c r="CP10" s="110">
        <v>-3.1602999999999997E-4</v>
      </c>
      <c r="CQ10" s="110">
        <v>-3.1602999999999997E-4</v>
      </c>
      <c r="CR10" s="110">
        <v>-6.887840409999999</v>
      </c>
      <c r="CS10" s="110">
        <v>-3.0643000000000001E-4</v>
      </c>
      <c r="CU10" s="110">
        <v>-13.6</v>
      </c>
      <c r="CV10" s="110">
        <v>-13.60031603</v>
      </c>
    </row>
    <row r="11" spans="1:100" x14ac:dyDescent="0.25">
      <c r="B11" s="171" t="s">
        <v>915</v>
      </c>
      <c r="C11" s="172" t="s">
        <v>74</v>
      </c>
      <c r="D11" s="173" t="s">
        <v>916</v>
      </c>
      <c r="E11" s="152">
        <f t="shared" si="0"/>
        <v>1</v>
      </c>
      <c r="F11" s="152">
        <f t="shared" si="1"/>
        <v>1</v>
      </c>
      <c r="G11" s="153" t="str">
        <f t="shared" si="2"/>
        <v/>
      </c>
      <c r="H11" s="153" t="str">
        <f t="shared" si="3"/>
        <v/>
      </c>
      <c r="I11" s="153" t="str">
        <f t="shared" si="4"/>
        <v/>
      </c>
      <c r="J11" s="153" t="str">
        <f t="shared" si="5"/>
        <v/>
      </c>
      <c r="K11" s="154">
        <v>1761.3255164100001</v>
      </c>
      <c r="L11" s="155">
        <v>3500.799</v>
      </c>
      <c r="N11" s="174">
        <v>-56.820883929999596</v>
      </c>
      <c r="O11" s="175">
        <v>-87.558363219998583</v>
      </c>
      <c r="P11" s="175">
        <v>-30.737479289998976</v>
      </c>
      <c r="Q11" s="176">
        <v>-1.7451333670932823E-2</v>
      </c>
      <c r="S11" s="177">
        <v>-19.922000000000008</v>
      </c>
      <c r="T11" s="178">
        <v>-1.161</v>
      </c>
      <c r="U11" s="179">
        <v>-0.90979100000000002</v>
      </c>
      <c r="V11" s="179">
        <v>-2.0158208200000001</v>
      </c>
      <c r="W11" s="179">
        <v>4.0870645400004104</v>
      </c>
      <c r="X11" s="179">
        <f t="shared" si="6"/>
        <v>-18.761000000000006</v>
      </c>
      <c r="Y11" s="179">
        <v>-8.695821819999999</v>
      </c>
      <c r="Z11" s="179">
        <v>-3.2811101899999962</v>
      </c>
      <c r="AB11" s="180">
        <v>-72.654648117000008</v>
      </c>
      <c r="AC11" s="163">
        <f t="shared" si="20"/>
        <v>-72.654775387022852</v>
      </c>
      <c r="AE11" s="180">
        <v>8.9</v>
      </c>
      <c r="AF11" s="180">
        <v>13.8</v>
      </c>
      <c r="AG11" s="180">
        <f>AF11</f>
        <v>13.8</v>
      </c>
      <c r="AH11" s="180"/>
      <c r="AI11" s="180">
        <f>-74.5-AE11</f>
        <v>-83.4</v>
      </c>
      <c r="AJ11" s="163"/>
      <c r="AK11" s="110" t="s">
        <v>917</v>
      </c>
      <c r="AM11" s="164">
        <v>29.347518434211789</v>
      </c>
      <c r="AN11" s="165">
        <v>4.7245222470317184E-2</v>
      </c>
      <c r="AO11" s="164">
        <f t="shared" si="7"/>
        <v>37.796177976253745</v>
      </c>
      <c r="AP11" s="166"/>
      <c r="AQ11" s="166">
        <v>1.03</v>
      </c>
      <c r="AR11" s="166">
        <v>1.1086478007365541</v>
      </c>
      <c r="AT11" s="167">
        <f t="shared" si="8"/>
        <v>8.9</v>
      </c>
      <c r="AU11" s="168">
        <v>4.1652838059974995</v>
      </c>
      <c r="AV11" s="168">
        <v>0.48525865272036028</v>
      </c>
      <c r="AW11" s="168">
        <v>6.5326419029987495</v>
      </c>
      <c r="AX11" s="168">
        <f t="shared" si="9"/>
        <v>13.8</v>
      </c>
      <c r="AY11" s="168">
        <f t="shared" si="10"/>
        <v>-63.067358097001261</v>
      </c>
      <c r="AZ11" s="168">
        <f t="shared" si="11"/>
        <v>29.347518434211789</v>
      </c>
      <c r="BA11" s="168">
        <f t="shared" si="12"/>
        <v>37.796177976253745</v>
      </c>
      <c r="BB11" s="168">
        <f t="shared" si="13"/>
        <v>4.0763383134642766</v>
      </c>
      <c r="BC11" s="168">
        <v>0</v>
      </c>
      <c r="BD11" s="168">
        <f t="shared" si="14"/>
        <v>4.0763383134642766</v>
      </c>
      <c r="BE11" s="168">
        <v>0</v>
      </c>
      <c r="BF11" s="168">
        <v>0</v>
      </c>
      <c r="BG11" s="168">
        <f t="shared" si="15"/>
        <v>0</v>
      </c>
      <c r="BH11" s="168">
        <f t="shared" si="16"/>
        <v>4.0763383134642766</v>
      </c>
      <c r="BJ11" s="168">
        <f t="shared" si="17"/>
        <v>-13.671158338499602</v>
      </c>
      <c r="BK11" s="169">
        <f t="shared" si="18"/>
        <v>0</v>
      </c>
      <c r="BL11" s="170">
        <f t="shared" si="19"/>
        <v>0</v>
      </c>
      <c r="BQ11" s="83" t="s">
        <v>36</v>
      </c>
      <c r="BR11" s="83" t="s">
        <v>37</v>
      </c>
      <c r="BS11" s="83" t="s">
        <v>446</v>
      </c>
      <c r="BT11" s="83" t="s">
        <v>447</v>
      </c>
      <c r="BU11" s="4" t="s">
        <v>901</v>
      </c>
      <c r="BV11" s="229">
        <v>-2.0000319636892526E-8</v>
      </c>
      <c r="BW11" s="229">
        <v>0</v>
      </c>
      <c r="BX11" s="229">
        <v>0</v>
      </c>
      <c r="BY11" s="229">
        <v>-2.0000319636892526E-8</v>
      </c>
      <c r="CJ11" s="110" t="s">
        <v>86</v>
      </c>
      <c r="CK11" s="110" t="s">
        <v>918</v>
      </c>
      <c r="CL11" s="110">
        <v>-24.21110495000001</v>
      </c>
      <c r="CM11" s="110">
        <v>-59.111402679999983</v>
      </c>
      <c r="CN11" s="110">
        <v>-34.900297729999977</v>
      </c>
      <c r="CO11" s="110">
        <v>-20.431102669999976</v>
      </c>
      <c r="CP11" s="110">
        <v>-20.430478060000038</v>
      </c>
      <c r="CQ11" s="110">
        <v>6.2460999993874111E-4</v>
      </c>
      <c r="CR11" s="110">
        <v>-4.5325240399999895</v>
      </c>
      <c r="CS11" s="110">
        <v>4.3553999992491298E-4</v>
      </c>
      <c r="CU11" s="110">
        <v>-59.793500000000002</v>
      </c>
      <c r="CV11" s="110">
        <v>-80.223978060000036</v>
      </c>
    </row>
    <row r="12" spans="1:100" x14ac:dyDescent="0.25">
      <c r="B12" s="171" t="s">
        <v>919</v>
      </c>
      <c r="C12" s="172" t="s">
        <v>78</v>
      </c>
      <c r="D12" s="173" t="s">
        <v>916</v>
      </c>
      <c r="E12" s="152">
        <f t="shared" si="0"/>
        <v>1</v>
      </c>
      <c r="F12" s="152">
        <f t="shared" si="1"/>
        <v>1</v>
      </c>
      <c r="G12" s="153" t="str">
        <f t="shared" si="2"/>
        <v/>
      </c>
      <c r="H12" s="153" t="str">
        <f t="shared" si="3"/>
        <v/>
      </c>
      <c r="I12" s="153" t="str">
        <f t="shared" si="4"/>
        <v/>
      </c>
      <c r="J12" s="153" t="str">
        <f t="shared" si="5"/>
        <v/>
      </c>
      <c r="K12" s="154">
        <v>2496.5983386099997</v>
      </c>
      <c r="L12" s="155">
        <v>5071.6842804999997</v>
      </c>
      <c r="N12" s="174">
        <v>-10.867000010000002</v>
      </c>
      <c r="O12" s="175">
        <v>-60.243909280002384</v>
      </c>
      <c r="P12" s="175">
        <v>-49.376909270002386</v>
      </c>
      <c r="Q12" s="176">
        <v>-1.9777674488677805E-2</v>
      </c>
      <c r="S12" s="177">
        <v>-19.225540379009999</v>
      </c>
      <c r="T12" s="178">
        <v>1.7961792104999998</v>
      </c>
      <c r="U12" s="179">
        <v>-2.1373060399999999</v>
      </c>
      <c r="V12" s="179">
        <v>-14.579935859999999</v>
      </c>
      <c r="W12" s="179">
        <v>12.7535215895</v>
      </c>
      <c r="X12" s="179">
        <f t="shared" si="6"/>
        <v>-21.021719589509999</v>
      </c>
      <c r="Y12" s="179">
        <v>-8.62006111</v>
      </c>
      <c r="Z12" s="179">
        <v>-17.567587470490004</v>
      </c>
      <c r="AB12" s="180">
        <v>-66.444000000000003</v>
      </c>
      <c r="AC12" s="163">
        <f t="shared" si="20"/>
        <v>-66.444040259999838</v>
      </c>
      <c r="AE12" s="180">
        <v>13.6</v>
      </c>
      <c r="AF12" s="180">
        <v>14.6</v>
      </c>
      <c r="AG12" s="180">
        <f>AF12</f>
        <v>14.6</v>
      </c>
      <c r="AH12" s="180"/>
      <c r="AI12" s="180">
        <f>-53.4-AE12</f>
        <v>-67</v>
      </c>
      <c r="AJ12" s="163"/>
      <c r="AK12" s="110" t="s">
        <v>917</v>
      </c>
      <c r="AM12" s="164">
        <v>42.058601568974851</v>
      </c>
      <c r="AN12" s="165">
        <v>4.6402243179158219E-2</v>
      </c>
      <c r="AO12" s="164">
        <f t="shared" si="7"/>
        <v>37.121794543326573</v>
      </c>
      <c r="AP12" s="166"/>
      <c r="AQ12" s="166">
        <v>1.0487500000000003</v>
      </c>
      <c r="AR12" s="166">
        <v>1.1272959772327906</v>
      </c>
      <c r="AT12" s="167">
        <f t="shared" si="8"/>
        <v>13.6</v>
      </c>
      <c r="AU12" s="168">
        <v>4.1999598554253312</v>
      </c>
      <c r="AV12" s="168">
        <v>-2.8796510236330835</v>
      </c>
      <c r="AW12" s="168">
        <v>8.8999799277126659</v>
      </c>
      <c r="AX12" s="168">
        <f t="shared" si="9"/>
        <v>14.6</v>
      </c>
      <c r="AY12" s="168">
        <f t="shared" si="10"/>
        <v>-43.500020072287334</v>
      </c>
      <c r="AZ12" s="168">
        <f t="shared" si="11"/>
        <v>42.058601568974851</v>
      </c>
      <c r="BA12" s="168">
        <f t="shared" si="12"/>
        <v>37.121794543326573</v>
      </c>
      <c r="BB12" s="168">
        <f t="shared" si="13"/>
        <v>35.680376040014089</v>
      </c>
      <c r="BC12" s="168">
        <v>0</v>
      </c>
      <c r="BD12" s="168">
        <f t="shared" si="14"/>
        <v>35.680376040014089</v>
      </c>
      <c r="BE12" s="168">
        <v>0</v>
      </c>
      <c r="BF12" s="168">
        <v>0</v>
      </c>
      <c r="BG12" s="168">
        <f t="shared" si="15"/>
        <v>0</v>
      </c>
      <c r="BH12" s="168">
        <f t="shared" si="16"/>
        <v>35.680376040014089</v>
      </c>
      <c r="BJ12" s="168">
        <f t="shared" si="17"/>
        <v>-30.326919306146053</v>
      </c>
      <c r="BK12" s="169">
        <f t="shared" si="18"/>
        <v>0</v>
      </c>
      <c r="BL12" s="170">
        <f t="shared" si="19"/>
        <v>0</v>
      </c>
      <c r="BQ12" s="83" t="s">
        <v>36</v>
      </c>
      <c r="BR12" s="83" t="s">
        <v>37</v>
      </c>
      <c r="BS12" s="83" t="s">
        <v>448</v>
      </c>
      <c r="BT12" s="83" t="s">
        <v>449</v>
      </c>
      <c r="BU12" s="4" t="s">
        <v>901</v>
      </c>
      <c r="BV12" s="229">
        <v>-6.6559999999299185E-5</v>
      </c>
      <c r="BW12" s="229">
        <v>-1</v>
      </c>
      <c r="BX12" s="229">
        <v>0</v>
      </c>
      <c r="BY12" s="229">
        <v>-1.0000665599999994</v>
      </c>
      <c r="CJ12" s="110" t="s">
        <v>62</v>
      </c>
      <c r="CK12" s="110" t="s">
        <v>920</v>
      </c>
      <c r="CL12" s="110">
        <v>-1.4355836899999996</v>
      </c>
      <c r="CM12" s="110">
        <v>-20.12441874000001</v>
      </c>
      <c r="CN12" s="110">
        <v>-18.688835050000009</v>
      </c>
      <c r="CO12" s="110">
        <v>4.392100001568906E-4</v>
      </c>
      <c r="CP12" s="110">
        <v>1.9999999999999999E-6</v>
      </c>
      <c r="CQ12" s="110">
        <v>-4.3721000015689061E-4</v>
      </c>
      <c r="CR12" s="110">
        <v>-7.3583257400000015</v>
      </c>
      <c r="CS12" s="110">
        <v>-2.8039999995962717E-4</v>
      </c>
      <c r="CU12" s="110">
        <v>-17.100000000000001</v>
      </c>
      <c r="CV12" s="110">
        <v>-17.099998000000003</v>
      </c>
    </row>
    <row r="13" spans="1:100" x14ac:dyDescent="0.25">
      <c r="B13" s="171" t="s">
        <v>921</v>
      </c>
      <c r="C13" s="172" t="s">
        <v>40</v>
      </c>
      <c r="D13" s="173" t="s">
        <v>922</v>
      </c>
      <c r="E13" s="152">
        <f t="shared" si="0"/>
        <v>1</v>
      </c>
      <c r="F13" s="152">
        <f t="shared" si="1"/>
        <v>1</v>
      </c>
      <c r="G13" s="153" t="str">
        <f t="shared" si="2"/>
        <v/>
      </c>
      <c r="H13" s="153" t="str">
        <f t="shared" si="3"/>
        <v/>
      </c>
      <c r="I13" s="153" t="str">
        <f t="shared" si="4"/>
        <v/>
      </c>
      <c r="J13" s="153" t="str">
        <f t="shared" si="5"/>
        <v/>
      </c>
      <c r="K13" s="154">
        <v>1053.3319716800002</v>
      </c>
      <c r="L13" s="155">
        <v>2085.15</v>
      </c>
      <c r="N13" s="174">
        <v>-7.6960029999997719</v>
      </c>
      <c r="O13" s="175">
        <v>-20.377091420000127</v>
      </c>
      <c r="P13" s="175">
        <v>-12.681088420000354</v>
      </c>
      <c r="Q13" s="176">
        <v>-1.2039023556623646E-2</v>
      </c>
      <c r="S13" s="177">
        <v>-9.9329647749999985</v>
      </c>
      <c r="T13" s="178">
        <v>-1.7525217749999999</v>
      </c>
      <c r="U13" s="179">
        <v>-6.38112542</v>
      </c>
      <c r="V13" s="179">
        <v>1.6666168100000001</v>
      </c>
      <c r="W13" s="179">
        <v>0.51994696499999971</v>
      </c>
      <c r="X13" s="179">
        <f t="shared" si="6"/>
        <v>-8.1804429999999986</v>
      </c>
      <c r="Y13" s="179">
        <v>-6.4119999999999999</v>
      </c>
      <c r="Z13" s="179">
        <v>7.8584379999999987</v>
      </c>
      <c r="AB13" s="180">
        <v>-35.097999999999999</v>
      </c>
      <c r="AC13" s="163">
        <f t="shared" si="20"/>
        <v>-35.098100829999993</v>
      </c>
      <c r="AE13" s="180">
        <v>5</v>
      </c>
      <c r="AF13" s="180">
        <v>8</v>
      </c>
      <c r="AG13" s="180">
        <v>8</v>
      </c>
      <c r="AH13" s="180"/>
      <c r="AI13" s="180">
        <v>-34</v>
      </c>
      <c r="AJ13" s="163"/>
      <c r="AM13" s="164">
        <v>19.779962638034046</v>
      </c>
      <c r="AN13" s="165">
        <v>1.4544113037573508E-2</v>
      </c>
      <c r="AO13" s="164">
        <f t="shared" si="7"/>
        <v>11.635290430058806</v>
      </c>
      <c r="AP13" s="166"/>
      <c r="AQ13" s="166">
        <v>1.0367888547127257</v>
      </c>
      <c r="AR13" s="166">
        <v>1.1133839484529915</v>
      </c>
      <c r="AT13" s="167">
        <f t="shared" si="8"/>
        <v>5</v>
      </c>
      <c r="AU13" s="168">
        <v>1.997071267984172</v>
      </c>
      <c r="AV13" s="168">
        <v>0.80177546132546373</v>
      </c>
      <c r="AW13" s="168">
        <f>AU13</f>
        <v>1.997071267984172</v>
      </c>
      <c r="AX13" s="168">
        <f t="shared" si="9"/>
        <v>8</v>
      </c>
      <c r="AY13" s="168">
        <f t="shared" si="10"/>
        <v>-24.002928732015825</v>
      </c>
      <c r="AZ13" s="168">
        <f t="shared" si="11"/>
        <v>19.779962638034046</v>
      </c>
      <c r="BA13" s="168">
        <f t="shared" si="12"/>
        <v>11.635290430058806</v>
      </c>
      <c r="BB13" s="168">
        <f t="shared" si="13"/>
        <v>7.4123243360770275</v>
      </c>
      <c r="BC13" s="168">
        <v>0</v>
      </c>
      <c r="BD13" s="168">
        <f t="shared" si="14"/>
        <v>7.4123243360770275</v>
      </c>
      <c r="BE13" s="168">
        <v>0</v>
      </c>
      <c r="BF13" s="168">
        <v>0</v>
      </c>
      <c r="BG13" s="168">
        <f t="shared" si="15"/>
        <v>0</v>
      </c>
      <c r="BH13" s="168">
        <f t="shared" si="16"/>
        <v>7.4123243360770275</v>
      </c>
      <c r="BJ13" s="168">
        <f t="shared" si="17"/>
        <v>-3.6825527860082676</v>
      </c>
      <c r="BK13" s="169">
        <f t="shared" si="18"/>
        <v>0</v>
      </c>
      <c r="BL13" s="170">
        <f t="shared" si="19"/>
        <v>0</v>
      </c>
      <c r="BQ13" s="83" t="s">
        <v>36</v>
      </c>
      <c r="BR13" s="83" t="s">
        <v>37</v>
      </c>
      <c r="BS13" s="83" t="s">
        <v>450</v>
      </c>
      <c r="BT13" s="83" t="s">
        <v>451</v>
      </c>
      <c r="BU13" s="4" t="s">
        <v>901</v>
      </c>
      <c r="BV13" s="229">
        <v>4.0090999996755274E-4</v>
      </c>
      <c r="BW13" s="229">
        <v>0</v>
      </c>
      <c r="BX13" s="229">
        <v>0</v>
      </c>
      <c r="BY13" s="229">
        <v>4.0090999996755274E-4</v>
      </c>
      <c r="CJ13" s="110" t="s">
        <v>29</v>
      </c>
      <c r="CK13" s="110" t="s">
        <v>923</v>
      </c>
      <c r="CL13" s="110">
        <v>-71.477433750000017</v>
      </c>
      <c r="CM13" s="110">
        <v>-128.20256871000012</v>
      </c>
      <c r="CN13" s="110">
        <v>-56.725134960000105</v>
      </c>
      <c r="CO13" s="110">
        <v>-51.174740159999956</v>
      </c>
      <c r="CP13" s="110">
        <v>-51.170266339999884</v>
      </c>
      <c r="CQ13" s="110">
        <v>4.4738200000722372E-3</v>
      </c>
      <c r="CR13" s="110">
        <v>-6.7847192700001218</v>
      </c>
      <c r="CS13" s="110">
        <v>2.9383400001534027E-3</v>
      </c>
      <c r="CU13" s="110">
        <v>-139.292</v>
      </c>
      <c r="CV13" s="110">
        <v>-190.46226633999987</v>
      </c>
    </row>
    <row r="14" spans="1:100" x14ac:dyDescent="0.25">
      <c r="B14" s="171" t="s">
        <v>924</v>
      </c>
      <c r="C14" s="172" t="s">
        <v>102</v>
      </c>
      <c r="D14" s="173" t="s">
        <v>925</v>
      </c>
      <c r="E14" s="152">
        <f t="shared" si="0"/>
        <v>1</v>
      </c>
      <c r="F14" s="152">
        <f t="shared" si="1"/>
        <v>1</v>
      </c>
      <c r="G14" s="153" t="str">
        <f t="shared" si="2"/>
        <v/>
      </c>
      <c r="H14" s="153" t="str">
        <f t="shared" si="3"/>
        <v/>
      </c>
      <c r="I14" s="153" t="str">
        <f t="shared" si="4"/>
        <v/>
      </c>
      <c r="J14" s="153" t="str">
        <f t="shared" si="5"/>
        <v/>
      </c>
      <c r="K14" s="154">
        <v>1072.115184</v>
      </c>
      <c r="L14" s="155">
        <v>2096.8175017399999</v>
      </c>
      <c r="N14" s="174">
        <v>-5.4210000000000003</v>
      </c>
      <c r="O14" s="175">
        <v>-23.698569910000352</v>
      </c>
      <c r="P14" s="175">
        <v>-18.277569910000352</v>
      </c>
      <c r="Q14" s="176">
        <v>-1.7048140146479217E-2</v>
      </c>
      <c r="S14" s="177">
        <v>-3.8952183800000011</v>
      </c>
      <c r="T14" s="178">
        <v>-6.9000000000000006E-2</v>
      </c>
      <c r="U14" s="179">
        <v>-1.6444398</v>
      </c>
      <c r="V14" s="179">
        <v>-4.2076110299999998</v>
      </c>
      <c r="W14" s="179">
        <v>3.4654013199999998</v>
      </c>
      <c r="X14" s="179">
        <f t="shared" si="6"/>
        <v>-3.8262183800000011</v>
      </c>
      <c r="Y14" s="179">
        <v>-5.173</v>
      </c>
      <c r="Z14" s="179">
        <v>-6.8227816199999989</v>
      </c>
      <c r="AB14" s="180">
        <v>-13.6</v>
      </c>
      <c r="AC14" s="163">
        <f t="shared" si="20"/>
        <v>-13.60031603</v>
      </c>
      <c r="AE14" s="180">
        <v>0</v>
      </c>
      <c r="AF14" s="180">
        <v>19</v>
      </c>
      <c r="AG14" s="180">
        <v>19</v>
      </c>
      <c r="AH14" s="180"/>
      <c r="AI14" s="180">
        <v>-40</v>
      </c>
      <c r="AJ14" s="163"/>
      <c r="AK14" s="110" t="s">
        <v>926</v>
      </c>
      <c r="AM14" s="164">
        <v>11.912334428400516</v>
      </c>
      <c r="AN14" s="165">
        <v>2.329362606011277E-2</v>
      </c>
      <c r="AO14" s="164">
        <f t="shared" si="7"/>
        <v>18.634900848090215</v>
      </c>
      <c r="AP14" s="166"/>
      <c r="AQ14" s="166">
        <v>1</v>
      </c>
      <c r="AR14" s="166">
        <v>1.0518408904893217</v>
      </c>
      <c r="AT14" s="167">
        <f t="shared" si="8"/>
        <v>0</v>
      </c>
      <c r="AU14" s="168">
        <v>11.041548233487834</v>
      </c>
      <c r="AV14" s="168">
        <v>11.190536454972786</v>
      </c>
      <c r="AW14" s="168">
        <v>0</v>
      </c>
      <c r="AX14" s="168">
        <f t="shared" si="9"/>
        <v>19</v>
      </c>
      <c r="AY14" s="168">
        <f t="shared" si="10"/>
        <v>-21</v>
      </c>
      <c r="AZ14" s="168">
        <f t="shared" si="11"/>
        <v>11.912334428400516</v>
      </c>
      <c r="BA14" s="168">
        <f t="shared" si="12"/>
        <v>18.634900848090215</v>
      </c>
      <c r="BB14" s="168">
        <f t="shared" si="13"/>
        <v>9.5472352764907313</v>
      </c>
      <c r="BC14" s="168">
        <v>0</v>
      </c>
      <c r="BD14" s="168">
        <f t="shared" si="14"/>
        <v>9.5472352764907313</v>
      </c>
      <c r="BE14" s="168">
        <v>0</v>
      </c>
      <c r="BF14" s="168">
        <v>0</v>
      </c>
      <c r="BG14" s="168">
        <f t="shared" si="15"/>
        <v>0</v>
      </c>
      <c r="BH14" s="168">
        <f t="shared" si="16"/>
        <v>9.5472352764907313</v>
      </c>
      <c r="BJ14" s="168">
        <f t="shared" si="17"/>
        <v>0.72243008999964786</v>
      </c>
      <c r="BK14" s="169">
        <f t="shared" si="18"/>
        <v>0</v>
      </c>
      <c r="BL14" s="170">
        <f t="shared" si="19"/>
        <v>0</v>
      </c>
      <c r="BQ14" s="83" t="s">
        <v>36</v>
      </c>
      <c r="BR14" s="83" t="s">
        <v>37</v>
      </c>
      <c r="BS14" s="83" t="s">
        <v>452</v>
      </c>
      <c r="BT14" s="83" t="s">
        <v>453</v>
      </c>
      <c r="BU14" s="4" t="s">
        <v>901</v>
      </c>
      <c r="BV14" s="229">
        <v>0</v>
      </c>
      <c r="BW14" s="229">
        <v>0</v>
      </c>
      <c r="BX14" s="229">
        <v>0</v>
      </c>
      <c r="BY14" s="229">
        <v>0</v>
      </c>
      <c r="CJ14" s="110" t="s">
        <v>104</v>
      </c>
      <c r="CK14" s="110" t="s">
        <v>927</v>
      </c>
      <c r="CL14" s="110">
        <v>-0.57545999999999187</v>
      </c>
      <c r="CM14" s="110">
        <v>-8.4262332999999998</v>
      </c>
      <c r="CN14" s="110">
        <v>-7.8507733000000082</v>
      </c>
      <c r="CO14" s="110">
        <v>-1.7310000001452861E-4</v>
      </c>
      <c r="CP14" s="110">
        <v>0</v>
      </c>
      <c r="CQ14" s="110">
        <v>1.7310000001452861E-4</v>
      </c>
      <c r="CR14" s="110">
        <v>-2.7562086700000203</v>
      </c>
      <c r="CS14" s="110">
        <v>0</v>
      </c>
      <c r="CU14" s="110">
        <v>0</v>
      </c>
      <c r="CV14" s="110">
        <v>0</v>
      </c>
    </row>
    <row r="15" spans="1:100" x14ac:dyDescent="0.25">
      <c r="B15" s="171" t="s">
        <v>928</v>
      </c>
      <c r="C15" s="172" t="s">
        <v>104</v>
      </c>
      <c r="D15" s="173" t="s">
        <v>925</v>
      </c>
      <c r="E15" s="152">
        <f t="shared" si="0"/>
        <v>1</v>
      </c>
      <c r="F15" s="152">
        <f t="shared" si="1"/>
        <v>1</v>
      </c>
      <c r="G15" s="153" t="str">
        <f t="shared" si="2"/>
        <v/>
      </c>
      <c r="H15" s="153" t="str">
        <f t="shared" si="3"/>
        <v/>
      </c>
      <c r="I15" s="153" t="str">
        <f t="shared" si="4"/>
        <v/>
      </c>
      <c r="J15" s="153" t="str">
        <f t="shared" si="5"/>
        <v/>
      </c>
      <c r="K15" s="154">
        <v>677.97376705999989</v>
      </c>
      <c r="L15" s="155">
        <v>1363.684</v>
      </c>
      <c r="N15" s="174">
        <v>-0.57546000000022735</v>
      </c>
      <c r="O15" s="175">
        <v>-8.4262333000003693</v>
      </c>
      <c r="P15" s="175">
        <v>-7.8507733000001432</v>
      </c>
      <c r="Q15" s="176">
        <v>-1.1579759691948905E-2</v>
      </c>
      <c r="S15" s="177">
        <v>-4.4970000000000017</v>
      </c>
      <c r="T15" s="178">
        <v>-0.36699999999999999</v>
      </c>
      <c r="U15" s="179">
        <v>-2.0638681999999999</v>
      </c>
      <c r="V15" s="179">
        <v>0.91830564999999997</v>
      </c>
      <c r="W15" s="179">
        <v>0.12932924999999984</v>
      </c>
      <c r="X15" s="179">
        <f t="shared" si="6"/>
        <v>-4.1300000000000017</v>
      </c>
      <c r="Y15" s="179">
        <v>-5.7065799999999998</v>
      </c>
      <c r="Z15" s="179">
        <v>3.3690400000000018</v>
      </c>
      <c r="AB15" s="180">
        <v>0</v>
      </c>
      <c r="AC15" s="163">
        <f t="shared" si="20"/>
        <v>0</v>
      </c>
      <c r="AE15" s="180">
        <v>10</v>
      </c>
      <c r="AF15" s="180">
        <v>6</v>
      </c>
      <c r="AG15" s="180">
        <v>6</v>
      </c>
      <c r="AH15" s="180"/>
      <c r="AI15" s="180">
        <v>-20</v>
      </c>
      <c r="AJ15" s="163"/>
      <c r="AM15" s="164">
        <v>7.8656464821979997</v>
      </c>
      <c r="AN15" s="165">
        <v>6.7030363833640947E-3</v>
      </c>
      <c r="AO15" s="164">
        <f t="shared" si="7"/>
        <v>5.3624291066912759</v>
      </c>
      <c r="AP15" s="166"/>
      <c r="AQ15" s="166">
        <v>1</v>
      </c>
      <c r="AR15" s="166">
        <v>1.0423328724535272</v>
      </c>
      <c r="AT15" s="167">
        <f t="shared" si="8"/>
        <v>10</v>
      </c>
      <c r="AU15" s="168">
        <v>7.5335339870547866</v>
      </c>
      <c r="AV15" s="168">
        <v>7.5244187988789069</v>
      </c>
      <c r="AW15" s="168">
        <v>10</v>
      </c>
      <c r="AX15" s="168">
        <f t="shared" si="9"/>
        <v>6</v>
      </c>
      <c r="AY15" s="168">
        <f t="shared" si="10"/>
        <v>-4</v>
      </c>
      <c r="AZ15" s="168">
        <f t="shared" si="11"/>
        <v>7.8656464821979997</v>
      </c>
      <c r="BA15" s="168">
        <f t="shared" si="12"/>
        <v>5.3624291066912759</v>
      </c>
      <c r="BB15" s="168">
        <f t="shared" si="13"/>
        <v>9.2280755888892756</v>
      </c>
      <c r="BC15" s="168">
        <v>0</v>
      </c>
      <c r="BD15" s="168">
        <f t="shared" si="14"/>
        <v>9.2280755888892756</v>
      </c>
      <c r="BE15" s="168">
        <v>0</v>
      </c>
      <c r="BF15" s="168">
        <v>0</v>
      </c>
      <c r="BG15" s="168">
        <f t="shared" si="15"/>
        <v>0</v>
      </c>
      <c r="BH15" s="168">
        <f t="shared" si="16"/>
        <v>9.2280755888892756</v>
      </c>
      <c r="BJ15" s="168">
        <f t="shared" si="17"/>
        <v>3.1492266999998568</v>
      </c>
      <c r="BK15" s="169">
        <f t="shared" si="18"/>
        <v>0</v>
      </c>
      <c r="BL15" s="170">
        <f t="shared" si="19"/>
        <v>0</v>
      </c>
      <c r="BQ15" s="83" t="s">
        <v>36</v>
      </c>
      <c r="BR15" s="83" t="s">
        <v>37</v>
      </c>
      <c r="BS15" s="83" t="s">
        <v>454</v>
      </c>
      <c r="BT15" s="83" t="s">
        <v>455</v>
      </c>
      <c r="BU15" s="4" t="s">
        <v>901</v>
      </c>
      <c r="BV15" s="229">
        <v>3.6030000017490239E-4</v>
      </c>
      <c r="BW15" s="229">
        <v>-49.762999999999998</v>
      </c>
      <c r="BX15" s="229">
        <v>0</v>
      </c>
      <c r="BY15" s="229">
        <v>-49.762639699999824</v>
      </c>
      <c r="CJ15" s="110" t="s">
        <v>40</v>
      </c>
      <c r="CK15" s="110" t="s">
        <v>929</v>
      </c>
      <c r="CL15" s="110">
        <v>-7.6960030000000259</v>
      </c>
      <c r="CM15" s="110">
        <v>-21.678373440000016</v>
      </c>
      <c r="CN15" s="110">
        <v>-13.98237043999999</v>
      </c>
      <c r="CO15" s="110">
        <v>3.5992999994778076E-4</v>
      </c>
      <c r="CP15" s="110">
        <v>-1.0082999999237712E-4</v>
      </c>
      <c r="CQ15" s="110">
        <v>-4.6075999994015789E-4</v>
      </c>
      <c r="CR15" s="110">
        <v>-2.4005716899999978</v>
      </c>
      <c r="CS15" s="110">
        <v>-3.5630000025923365E-5</v>
      </c>
      <c r="CU15" s="110">
        <v>-35.097999999999999</v>
      </c>
      <c r="CV15" s="110">
        <v>-35.098100829999993</v>
      </c>
    </row>
    <row r="16" spans="1:100" x14ac:dyDescent="0.25">
      <c r="B16" s="171" t="s">
        <v>930</v>
      </c>
      <c r="C16" s="172" t="s">
        <v>106</v>
      </c>
      <c r="D16" s="173" t="s">
        <v>925</v>
      </c>
      <c r="E16" s="152">
        <f t="shared" si="0"/>
        <v>1</v>
      </c>
      <c r="F16" s="152">
        <f t="shared" si="1"/>
        <v>1</v>
      </c>
      <c r="G16" s="153" t="str">
        <f t="shared" si="2"/>
        <v/>
      </c>
      <c r="H16" s="153" t="str">
        <f t="shared" si="3"/>
        <v/>
      </c>
      <c r="I16" s="153" t="str">
        <f t="shared" si="4"/>
        <v/>
      </c>
      <c r="J16" s="153" t="str">
        <f t="shared" si="5"/>
        <v/>
      </c>
      <c r="K16" s="154">
        <v>1409.13650523</v>
      </c>
      <c r="L16" s="155">
        <v>2783.933</v>
      </c>
      <c r="N16" s="174">
        <v>-36.942499999999768</v>
      </c>
      <c r="O16" s="175">
        <v>-57.686656670000275</v>
      </c>
      <c r="P16" s="175">
        <v>-20.7441566700005</v>
      </c>
      <c r="Q16" s="176">
        <v>-1.4721183216110512E-2</v>
      </c>
      <c r="S16" s="177">
        <v>9.4589849099999945</v>
      </c>
      <c r="T16" s="178">
        <v>-1.6339999999999999</v>
      </c>
      <c r="U16" s="179">
        <v>-7.04444728</v>
      </c>
      <c r="V16" s="179">
        <v>-1.03110269</v>
      </c>
      <c r="W16" s="179">
        <v>9.7094932999992238</v>
      </c>
      <c r="X16" s="179">
        <f t="shared" si="6"/>
        <v>11.092984909999995</v>
      </c>
      <c r="Y16" s="179">
        <v>-9.9730000000000008</v>
      </c>
      <c r="Z16" s="179">
        <v>-21.864084909999995</v>
      </c>
      <c r="AB16" s="180">
        <v>-129.03434399</v>
      </c>
      <c r="AC16" s="163">
        <f t="shared" si="20"/>
        <v>-171.3735821899995</v>
      </c>
      <c r="AE16" s="180">
        <v>0</v>
      </c>
      <c r="AF16" s="180">
        <v>13</v>
      </c>
      <c r="AG16" s="180">
        <v>13</v>
      </c>
      <c r="AH16" s="180"/>
      <c r="AI16" s="182">
        <v>-95</v>
      </c>
      <c r="AJ16" s="163"/>
      <c r="AK16" s="110" t="s">
        <v>931</v>
      </c>
      <c r="AM16" s="164">
        <v>24.44723076125598</v>
      </c>
      <c r="AN16" s="165">
        <v>2.3537010974470925E-2</v>
      </c>
      <c r="AO16" s="164">
        <f t="shared" si="7"/>
        <v>18.829608779576741</v>
      </c>
      <c r="AP16" s="166"/>
      <c r="AQ16" s="166">
        <v>1</v>
      </c>
      <c r="AR16" s="166">
        <v>1.0725260386732063</v>
      </c>
      <c r="AT16" s="167">
        <f t="shared" si="8"/>
        <v>0</v>
      </c>
      <c r="AU16" s="168">
        <v>18.319318287851793</v>
      </c>
      <c r="AV16" s="168">
        <v>18.221032970184392</v>
      </c>
      <c r="AW16" s="168">
        <v>10</v>
      </c>
      <c r="AX16" s="168">
        <f t="shared" si="9"/>
        <v>13</v>
      </c>
      <c r="AY16" s="168">
        <f t="shared" si="10"/>
        <v>-72</v>
      </c>
      <c r="AZ16" s="168">
        <f t="shared" si="11"/>
        <v>24.44723076125598</v>
      </c>
      <c r="BA16" s="168">
        <f t="shared" si="12"/>
        <v>18.829608779576741</v>
      </c>
      <c r="BB16" s="168">
        <f t="shared" si="13"/>
        <v>-28.723160459167278</v>
      </c>
      <c r="BC16" s="168">
        <v>0</v>
      </c>
      <c r="BD16" s="168">
        <f t="shared" si="14"/>
        <v>-28.723160459167278</v>
      </c>
      <c r="BE16" s="168">
        <v>-39</v>
      </c>
      <c r="BF16" s="168">
        <v>0</v>
      </c>
      <c r="BG16" s="168">
        <f t="shared" si="15"/>
        <v>-39</v>
      </c>
      <c r="BH16" s="168">
        <f t="shared" si="16"/>
        <v>10.276839540832722</v>
      </c>
      <c r="BJ16" s="168">
        <f t="shared" si="17"/>
        <v>-2.7441566700004998</v>
      </c>
      <c r="BK16" s="169">
        <f t="shared" si="18"/>
        <v>0</v>
      </c>
      <c r="BL16" s="170">
        <f t="shared" si="19"/>
        <v>0</v>
      </c>
      <c r="BQ16" s="83" t="s">
        <v>38</v>
      </c>
      <c r="BR16" s="83" t="s">
        <v>39</v>
      </c>
      <c r="BS16" s="83" t="s">
        <v>704</v>
      </c>
      <c r="BT16" s="83" t="s">
        <v>705</v>
      </c>
      <c r="BU16" s="4" t="s">
        <v>901</v>
      </c>
      <c r="BV16" s="229">
        <v>3.9140000000000001</v>
      </c>
      <c r="BW16" s="229">
        <v>0</v>
      </c>
      <c r="BX16" s="229">
        <v>0</v>
      </c>
      <c r="BY16" s="229">
        <v>3.9140000000000001</v>
      </c>
      <c r="CJ16" s="110" t="s">
        <v>106</v>
      </c>
      <c r="CK16" s="110" t="s">
        <v>932</v>
      </c>
      <c r="CL16" s="110">
        <v>-36.942499999999995</v>
      </c>
      <c r="CM16" s="110">
        <v>-57.686175170000013</v>
      </c>
      <c r="CN16" s="110">
        <v>-20.743675170000017</v>
      </c>
      <c r="CO16" s="110">
        <v>-42.339329009999979</v>
      </c>
      <c r="CP16" s="110">
        <v>-42.339238199999919</v>
      </c>
      <c r="CQ16" s="110">
        <v>9.0810000060059792E-5</v>
      </c>
      <c r="CR16" s="110">
        <v>-13.582904670000042</v>
      </c>
      <c r="CS16" s="110">
        <v>-2.3964999993813762E-4</v>
      </c>
      <c r="CU16" s="110">
        <v>-129.03434398999957</v>
      </c>
      <c r="CV16" s="110">
        <v>-171.3735821899995</v>
      </c>
    </row>
    <row r="17" spans="2:100" x14ac:dyDescent="0.25">
      <c r="B17" s="171" t="s">
        <v>933</v>
      </c>
      <c r="C17" s="172" t="s">
        <v>108</v>
      </c>
      <c r="D17" s="173" t="s">
        <v>925</v>
      </c>
      <c r="E17" s="152">
        <f t="shared" si="0"/>
        <v>1</v>
      </c>
      <c r="F17" s="152">
        <f t="shared" si="1"/>
        <v>1</v>
      </c>
      <c r="G17" s="153" t="str">
        <f t="shared" si="2"/>
        <v/>
      </c>
      <c r="H17" s="153" t="str">
        <f t="shared" si="3"/>
        <v/>
      </c>
      <c r="I17" s="153" t="str">
        <f t="shared" si="4"/>
        <v/>
      </c>
      <c r="J17" s="153" t="str">
        <f t="shared" si="5"/>
        <v/>
      </c>
      <c r="K17" s="154">
        <v>909.12853284000005</v>
      </c>
      <c r="L17" s="155">
        <v>1804.6169999700001</v>
      </c>
      <c r="N17" s="174">
        <v>-6.6679999999998856</v>
      </c>
      <c r="O17" s="175">
        <v>-26.650998919999488</v>
      </c>
      <c r="P17" s="175">
        <v>-19.982998919999599</v>
      </c>
      <c r="Q17" s="176">
        <v>-2.1980389128889499E-2</v>
      </c>
      <c r="S17" s="177">
        <v>-4.6524200000000011</v>
      </c>
      <c r="T17" s="178">
        <v>0</v>
      </c>
      <c r="U17" s="179">
        <v>-3.1702983499999999</v>
      </c>
      <c r="V17" s="179">
        <v>-4.0088247099999998</v>
      </c>
      <c r="W17" s="179">
        <v>7.1791245399997443</v>
      </c>
      <c r="X17" s="179">
        <f t="shared" si="6"/>
        <v>-4.6524200000000011</v>
      </c>
      <c r="Y17" s="179">
        <v>-9.6910000000000007</v>
      </c>
      <c r="Z17" s="179">
        <v>-5.6395799999999987</v>
      </c>
      <c r="AB17" s="180">
        <v>-3.2949999999999999</v>
      </c>
      <c r="AC17" s="163">
        <f t="shared" si="20"/>
        <v>-3.2949999000000001</v>
      </c>
      <c r="AE17" s="181" t="s">
        <v>352</v>
      </c>
      <c r="AF17" s="180">
        <v>14</v>
      </c>
      <c r="AG17" s="180">
        <v>14</v>
      </c>
      <c r="AH17" s="180"/>
      <c r="AI17" s="180">
        <v>-28</v>
      </c>
      <c r="AJ17" s="163"/>
      <c r="AK17" s="110" t="s">
        <v>934</v>
      </c>
      <c r="AM17" s="164">
        <v>8.8609811866917614</v>
      </c>
      <c r="AN17" s="165">
        <v>1.1595265869817111E-2</v>
      </c>
      <c r="AO17" s="164">
        <f t="shared" si="7"/>
        <v>9.2762126958536886</v>
      </c>
      <c r="AP17" s="166"/>
      <c r="AQ17" s="166">
        <v>1.0363638336057968</v>
      </c>
      <c r="AR17" s="166">
        <v>1.0743599083859245</v>
      </c>
      <c r="AT17" s="167" t="str">
        <f t="shared" si="8"/>
        <v>?</v>
      </c>
      <c r="AU17" s="168">
        <v>8.5568236914224851</v>
      </c>
      <c r="AV17" s="168">
        <v>8.0084596588501409</v>
      </c>
      <c r="AW17" s="168">
        <v>8</v>
      </c>
      <c r="AX17" s="168">
        <f t="shared" si="9"/>
        <v>14</v>
      </c>
      <c r="AY17" s="168">
        <f t="shared" si="10"/>
        <v>-6</v>
      </c>
      <c r="AZ17" s="168">
        <f t="shared" si="11"/>
        <v>8.8609811866917614</v>
      </c>
      <c r="BA17" s="168">
        <f t="shared" si="12"/>
        <v>9.2762126958536886</v>
      </c>
      <c r="BB17" s="168">
        <f t="shared" si="13"/>
        <v>12.13719388254545</v>
      </c>
      <c r="BC17" s="168">
        <v>0</v>
      </c>
      <c r="BD17" s="168">
        <f t="shared" si="14"/>
        <v>12.13719388254545</v>
      </c>
      <c r="BE17" s="168">
        <v>0</v>
      </c>
      <c r="BF17" s="168">
        <v>0</v>
      </c>
      <c r="BG17" s="168">
        <f t="shared" si="15"/>
        <v>0</v>
      </c>
      <c r="BH17" s="168">
        <f t="shared" si="16"/>
        <v>12.13719388254545</v>
      </c>
      <c r="BJ17" s="168">
        <f t="shared" si="17"/>
        <v>-1.9829989199995985</v>
      </c>
      <c r="BK17" s="169">
        <f t="shared" si="18"/>
        <v>0</v>
      </c>
      <c r="BL17" s="170">
        <f t="shared" si="19"/>
        <v>0</v>
      </c>
      <c r="BQ17" s="83" t="s">
        <v>38</v>
      </c>
      <c r="BR17" s="83" t="s">
        <v>39</v>
      </c>
      <c r="BS17" s="83" t="s">
        <v>706</v>
      </c>
      <c r="BT17" s="83" t="s">
        <v>707</v>
      </c>
      <c r="BU17" s="4" t="s">
        <v>901</v>
      </c>
      <c r="BV17" s="229">
        <v>1.0639700000000021</v>
      </c>
      <c r="BW17" s="229">
        <v>0</v>
      </c>
      <c r="BX17" s="229">
        <v>0</v>
      </c>
      <c r="BY17" s="229">
        <v>1.0639700000000021</v>
      </c>
      <c r="CJ17" s="110" t="s">
        <v>108</v>
      </c>
      <c r="CK17" s="110" t="s">
        <v>935</v>
      </c>
      <c r="CL17" s="110">
        <v>-6.6280000000000001</v>
      </c>
      <c r="CM17" s="110">
        <v>-26.650998520000002</v>
      </c>
      <c r="CN17" s="110">
        <v>-20.022998520000002</v>
      </c>
      <c r="CO17" s="110">
        <v>2.499999999690772E-4</v>
      </c>
      <c r="CP17" s="110">
        <v>1.0000000000000001E-7</v>
      </c>
      <c r="CQ17" s="110">
        <v>-2.498999999690772E-4</v>
      </c>
      <c r="CR17" s="110">
        <v>-9.480000350000001</v>
      </c>
      <c r="CS17" s="110">
        <v>-2.1827872842550278E-14</v>
      </c>
      <c r="CU17" s="110">
        <v>-3.2949999999999999</v>
      </c>
      <c r="CV17" s="110">
        <v>-3.2949999000000001</v>
      </c>
    </row>
    <row r="18" spans="2:100" x14ac:dyDescent="0.25">
      <c r="B18" s="171" t="s">
        <v>936</v>
      </c>
      <c r="C18" s="172" t="s">
        <v>110</v>
      </c>
      <c r="D18" s="173" t="s">
        <v>925</v>
      </c>
      <c r="E18" s="152">
        <f t="shared" si="0"/>
        <v>1</v>
      </c>
      <c r="F18" s="152">
        <f t="shared" si="1"/>
        <v>1</v>
      </c>
      <c r="G18" s="153" t="str">
        <f t="shared" si="2"/>
        <v/>
      </c>
      <c r="H18" s="153" t="str">
        <f t="shared" si="3"/>
        <v/>
      </c>
      <c r="I18" s="153" t="str">
        <f t="shared" si="4"/>
        <v/>
      </c>
      <c r="J18" s="153" t="str">
        <f t="shared" si="5"/>
        <v/>
      </c>
      <c r="K18" s="154">
        <v>654.04194194000002</v>
      </c>
      <c r="L18" s="155">
        <v>1308.0479996600002</v>
      </c>
      <c r="N18" s="174">
        <v>-8.9580000000000002</v>
      </c>
      <c r="O18" s="175">
        <v>-14.913323910000097</v>
      </c>
      <c r="P18" s="175">
        <v>-5.9553239100000965</v>
      </c>
      <c r="Q18" s="176">
        <v>-9.1054159192537256E-3</v>
      </c>
      <c r="S18" s="177">
        <v>0.11361685349999817</v>
      </c>
      <c r="T18" s="178">
        <v>0</v>
      </c>
      <c r="U18" s="179">
        <v>-2.0902483799999998</v>
      </c>
      <c r="V18" s="179">
        <v>-0.97404646000000006</v>
      </c>
      <c r="W18" s="179">
        <v>6.3130739999999852E-2</v>
      </c>
      <c r="X18" s="179">
        <f t="shared" si="6"/>
        <v>0.11361685349999817</v>
      </c>
      <c r="Y18" s="179">
        <v>-6.1465890099999996</v>
      </c>
      <c r="Z18" s="179">
        <v>3.0788123465000012</v>
      </c>
      <c r="AB18" s="180">
        <v>-30.814</v>
      </c>
      <c r="AC18" s="163">
        <f t="shared" si="20"/>
        <v>-30.814019000000041</v>
      </c>
      <c r="AE18" s="180">
        <v>0</v>
      </c>
      <c r="AF18" s="180">
        <v>6</v>
      </c>
      <c r="AG18" s="180">
        <v>6</v>
      </c>
      <c r="AH18" s="180"/>
      <c r="AI18" s="180">
        <v>-12</v>
      </c>
      <c r="AJ18" s="163"/>
      <c r="AK18" s="110" t="s">
        <v>926</v>
      </c>
      <c r="AM18" s="164">
        <v>0.16076926910150052</v>
      </c>
      <c r="AN18" s="165">
        <v>8.2822530543171114E-3</v>
      </c>
      <c r="AO18" s="164">
        <f t="shared" si="7"/>
        <v>6.6258024434536891</v>
      </c>
      <c r="AP18" s="166"/>
      <c r="AQ18" s="166">
        <v>1.0299708832184287</v>
      </c>
      <c r="AR18" s="166">
        <v>1.0309674623241796</v>
      </c>
      <c r="AT18" s="167">
        <f t="shared" si="8"/>
        <v>0</v>
      </c>
      <c r="AU18" s="168">
        <v>6.1354595873166691</v>
      </c>
      <c r="AV18" s="168">
        <v>5.9734527634581429</v>
      </c>
      <c r="AW18" s="168">
        <v>0</v>
      </c>
      <c r="AX18" s="168">
        <f t="shared" si="9"/>
        <v>6</v>
      </c>
      <c r="AY18" s="168">
        <f t="shared" si="10"/>
        <v>-6</v>
      </c>
      <c r="AZ18" s="168">
        <f t="shared" si="11"/>
        <v>0.16076926910150052</v>
      </c>
      <c r="BA18" s="168">
        <f t="shared" si="12"/>
        <v>6.6258024434536891</v>
      </c>
      <c r="BB18" s="168">
        <f t="shared" si="13"/>
        <v>0.78657171255518943</v>
      </c>
      <c r="BC18" s="168">
        <v>0</v>
      </c>
      <c r="BD18" s="168">
        <f t="shared" si="14"/>
        <v>0.78657171255518943</v>
      </c>
      <c r="BE18" s="168">
        <v>0</v>
      </c>
      <c r="BF18" s="168">
        <v>0</v>
      </c>
      <c r="BG18" s="168">
        <f t="shared" si="15"/>
        <v>0</v>
      </c>
      <c r="BH18" s="168">
        <f t="shared" si="16"/>
        <v>0.78657171255518943</v>
      </c>
      <c r="BJ18" s="168">
        <f t="shared" si="17"/>
        <v>4.4676089999903468E-2</v>
      </c>
      <c r="BK18" s="169">
        <f t="shared" si="18"/>
        <v>0</v>
      </c>
      <c r="BL18" s="170">
        <f t="shared" si="19"/>
        <v>0</v>
      </c>
      <c r="BQ18" s="83" t="s">
        <v>38</v>
      </c>
      <c r="BR18" s="83" t="s">
        <v>39</v>
      </c>
      <c r="BS18" s="83" t="s">
        <v>708</v>
      </c>
      <c r="BT18" s="83" t="s">
        <v>709</v>
      </c>
      <c r="BU18" s="4" t="s">
        <v>901</v>
      </c>
      <c r="BV18" s="229">
        <v>-18.823</v>
      </c>
      <c r="BW18" s="229">
        <v>0</v>
      </c>
      <c r="BX18" s="229">
        <v>0</v>
      </c>
      <c r="BY18" s="229">
        <v>-18.823</v>
      </c>
      <c r="CJ18" s="110" t="s">
        <v>88</v>
      </c>
      <c r="CK18" s="110" t="s">
        <v>937</v>
      </c>
      <c r="CL18" s="110">
        <v>0.162161</v>
      </c>
      <c r="CM18" s="110">
        <v>-16.079450430000001</v>
      </c>
      <c r="CN18" s="110">
        <v>-16.241611430000003</v>
      </c>
      <c r="CO18" s="110">
        <v>0</v>
      </c>
      <c r="CP18" s="110">
        <v>-3.8850000000000002E-5</v>
      </c>
      <c r="CQ18" s="110">
        <v>-3.8850000000000002E-5</v>
      </c>
      <c r="CR18" s="110">
        <v>-4.1970043000000006</v>
      </c>
      <c r="CS18" s="110">
        <v>-3.926E-5</v>
      </c>
      <c r="CU18" s="110">
        <v>-60.9</v>
      </c>
      <c r="CV18" s="110">
        <v>-60.900038850000001</v>
      </c>
    </row>
    <row r="19" spans="2:100" x14ac:dyDescent="0.25">
      <c r="B19" s="171" t="s">
        <v>938</v>
      </c>
      <c r="C19" s="172" t="s">
        <v>112</v>
      </c>
      <c r="D19" s="173" t="s">
        <v>925</v>
      </c>
      <c r="E19" s="152">
        <f t="shared" si="0"/>
        <v>1</v>
      </c>
      <c r="F19" s="152">
        <f t="shared" si="1"/>
        <v>1</v>
      </c>
      <c r="G19" s="153" t="str">
        <f t="shared" si="2"/>
        <v/>
      </c>
      <c r="H19" s="153" t="str">
        <f t="shared" si="3"/>
        <v/>
      </c>
      <c r="I19" s="153" t="str">
        <f t="shared" si="4"/>
        <v/>
      </c>
      <c r="J19" s="153" t="str">
        <f t="shared" si="5"/>
        <v/>
      </c>
      <c r="K19" s="154">
        <v>646.64078238000002</v>
      </c>
      <c r="L19" s="155">
        <v>1293.2002817</v>
      </c>
      <c r="N19" s="174">
        <v>-6.1660000000000004</v>
      </c>
      <c r="O19" s="175">
        <v>-11.696999000000343</v>
      </c>
      <c r="P19" s="175">
        <v>-5.5309990000003424</v>
      </c>
      <c r="Q19" s="176">
        <v>-8.5534336075172527E-3</v>
      </c>
      <c r="S19" s="177">
        <v>0.2970000000000006</v>
      </c>
      <c r="T19" s="178">
        <v>0</v>
      </c>
      <c r="U19" s="179">
        <v>-2.5</v>
      </c>
      <c r="V19" s="179">
        <v>0.88731048999999995</v>
      </c>
      <c r="W19" s="179">
        <v>-0.88731048999999995</v>
      </c>
      <c r="X19" s="179">
        <f t="shared" si="6"/>
        <v>0.2970000000000006</v>
      </c>
      <c r="Y19" s="179">
        <v>-2.76</v>
      </c>
      <c r="Z19" s="179">
        <v>-0.56800000000000095</v>
      </c>
      <c r="AB19" s="180">
        <v>0</v>
      </c>
      <c r="AC19" s="163">
        <f t="shared" si="20"/>
        <v>0</v>
      </c>
      <c r="AE19" s="183">
        <v>0</v>
      </c>
      <c r="AF19" s="180">
        <v>4</v>
      </c>
      <c r="AG19" s="180">
        <v>4</v>
      </c>
      <c r="AH19" s="180"/>
      <c r="AI19" s="180">
        <v>-8</v>
      </c>
      <c r="AJ19" s="163"/>
      <c r="AK19" s="110" t="s">
        <v>926</v>
      </c>
      <c r="AM19" s="164">
        <v>14.415993015003025</v>
      </c>
      <c r="AN19" s="165">
        <v>7.3572071587062401E-3</v>
      </c>
      <c r="AO19" s="164">
        <f t="shared" si="7"/>
        <v>5.8857657269649923</v>
      </c>
      <c r="AP19" s="166"/>
      <c r="AQ19" s="166">
        <v>1.0487500000000001</v>
      </c>
      <c r="AR19" s="166">
        <v>1.1458693979646828</v>
      </c>
      <c r="AT19" s="167">
        <f t="shared" si="8"/>
        <v>0</v>
      </c>
      <c r="AU19" s="168">
        <v>9.3512059929550162</v>
      </c>
      <c r="AV19" s="168">
        <v>10.042215554330715</v>
      </c>
      <c r="AW19" s="168">
        <v>0</v>
      </c>
      <c r="AX19" s="168">
        <f t="shared" si="9"/>
        <v>4</v>
      </c>
      <c r="AY19" s="168">
        <f t="shared" si="10"/>
        <v>-4</v>
      </c>
      <c r="AZ19" s="168">
        <f t="shared" si="11"/>
        <v>14.415993015003025</v>
      </c>
      <c r="BA19" s="168">
        <f t="shared" si="12"/>
        <v>5.8857657269649923</v>
      </c>
      <c r="BB19" s="168">
        <f t="shared" si="13"/>
        <v>16.301758741968015</v>
      </c>
      <c r="BC19" s="168">
        <v>0</v>
      </c>
      <c r="BD19" s="168">
        <f t="shared" si="14"/>
        <v>16.301758741968015</v>
      </c>
      <c r="BE19" s="168">
        <v>0</v>
      </c>
      <c r="BF19" s="168">
        <v>0</v>
      </c>
      <c r="BG19" s="168">
        <f t="shared" si="15"/>
        <v>0</v>
      </c>
      <c r="BH19" s="168">
        <f t="shared" si="16"/>
        <v>16.301758741968015</v>
      </c>
      <c r="BJ19" s="168">
        <f t="shared" si="17"/>
        <v>-1.5309990000003424</v>
      </c>
      <c r="BK19" s="169">
        <f t="shared" si="18"/>
        <v>0</v>
      </c>
      <c r="BL19" s="170">
        <f t="shared" si="19"/>
        <v>0</v>
      </c>
      <c r="BQ19" s="83" t="s">
        <v>38</v>
      </c>
      <c r="BR19" s="83" t="s">
        <v>39</v>
      </c>
      <c r="BS19" s="83" t="s">
        <v>710</v>
      </c>
      <c r="BT19" s="83" t="s">
        <v>711</v>
      </c>
      <c r="BU19" s="4" t="s">
        <v>901</v>
      </c>
      <c r="BV19" s="229">
        <v>-19.173999999999999</v>
      </c>
      <c r="BW19" s="229">
        <v>0</v>
      </c>
      <c r="BX19" s="229">
        <v>0</v>
      </c>
      <c r="BY19" s="229">
        <v>-19.173999999999999</v>
      </c>
      <c r="CJ19" s="110" t="s">
        <v>110</v>
      </c>
      <c r="CK19" s="110" t="s">
        <v>939</v>
      </c>
      <c r="CL19" s="110">
        <v>-8.9580000000000002</v>
      </c>
      <c r="CM19" s="110">
        <v>-14.91332391000002</v>
      </c>
      <c r="CN19" s="110">
        <v>-5.9553239100000201</v>
      </c>
      <c r="CO19" s="110">
        <v>0</v>
      </c>
      <c r="CP19" s="110">
        <v>-1.9000000042524335E-5</v>
      </c>
      <c r="CQ19" s="110">
        <v>-1.9000000042524335E-5</v>
      </c>
      <c r="CR19" s="110">
        <v>-3.1817343099999933</v>
      </c>
      <c r="CS19" s="110">
        <v>-4.0400000001341143E-4</v>
      </c>
      <c r="CU19" s="110">
        <v>-30.814</v>
      </c>
      <c r="CV19" s="110">
        <v>-30.814019000000041</v>
      </c>
    </row>
    <row r="20" spans="2:100" x14ac:dyDescent="0.25">
      <c r="B20" s="171" t="s">
        <v>940</v>
      </c>
      <c r="C20" s="172" t="s">
        <v>44</v>
      </c>
      <c r="D20" s="173" t="s">
        <v>922</v>
      </c>
      <c r="E20" s="152">
        <f t="shared" si="0"/>
        <v>2</v>
      </c>
      <c r="F20" s="152" t="str">
        <f t="shared" si="1"/>
        <v/>
      </c>
      <c r="G20" s="153">
        <f t="shared" si="2"/>
        <v>2</v>
      </c>
      <c r="H20" s="153" t="str">
        <f t="shared" si="3"/>
        <v/>
      </c>
      <c r="I20" s="153" t="str">
        <f t="shared" si="4"/>
        <v/>
      </c>
      <c r="J20" s="153" t="str">
        <f t="shared" si="5"/>
        <v/>
      </c>
      <c r="K20" s="154">
        <v>857.8958169</v>
      </c>
      <c r="L20" s="155">
        <v>1707.5440000000001</v>
      </c>
      <c r="N20" s="174">
        <v>-21.803996780000013</v>
      </c>
      <c r="O20" s="175">
        <v>-42.546817019999942</v>
      </c>
      <c r="P20" s="175">
        <v>-20.742820239999929</v>
      </c>
      <c r="Q20" s="176">
        <v>-2.4178717078903535E-2</v>
      </c>
      <c r="S20" s="177">
        <v>-5.6574890840999998</v>
      </c>
      <c r="T20" s="178">
        <v>0</v>
      </c>
      <c r="U20" s="179">
        <v>-10.945938869999999</v>
      </c>
      <c r="V20" s="179">
        <v>-3.9518779300000002</v>
      </c>
      <c r="W20" s="179">
        <v>3.7752775500000002</v>
      </c>
      <c r="X20" s="179">
        <f t="shared" si="6"/>
        <v>-5.6574890840999998</v>
      </c>
      <c r="Y20" s="179">
        <v>-7.1059999999999999</v>
      </c>
      <c r="Z20" s="179">
        <v>3.1432080941000002</v>
      </c>
      <c r="AB20" s="180">
        <v>-17.175000000000001</v>
      </c>
      <c r="AC20" s="163">
        <f t="shared" si="20"/>
        <v>-36.37329800000002</v>
      </c>
      <c r="AE20" s="180">
        <v>7</v>
      </c>
      <c r="AF20" s="180">
        <v>2</v>
      </c>
      <c r="AG20" s="180">
        <v>2</v>
      </c>
      <c r="AH20" s="180"/>
      <c r="AI20" s="180">
        <v>-39</v>
      </c>
      <c r="AJ20" s="163"/>
      <c r="AM20" s="164">
        <v>27.843238708927899</v>
      </c>
      <c r="AN20" s="165">
        <v>8.7276225075843764E-3</v>
      </c>
      <c r="AO20" s="164">
        <f t="shared" si="7"/>
        <v>6.9820980060675009</v>
      </c>
      <c r="AP20" s="166"/>
      <c r="AQ20" s="166">
        <v>1.0316337295817457</v>
      </c>
      <c r="AR20" s="166">
        <v>1.1670349054764486</v>
      </c>
      <c r="AT20" s="167">
        <f t="shared" si="8"/>
        <v>7</v>
      </c>
      <c r="AU20" s="168">
        <v>5.7763227145719691</v>
      </c>
      <c r="AV20" s="168">
        <v>5.867957116247128</v>
      </c>
      <c r="AW20" s="168">
        <f>AV20</f>
        <v>5.867957116247128</v>
      </c>
      <c r="AX20" s="168">
        <f t="shared" si="9"/>
        <v>2</v>
      </c>
      <c r="AY20" s="168">
        <f t="shared" si="10"/>
        <v>-31.132042883752874</v>
      </c>
      <c r="AZ20" s="184">
        <f t="shared" si="11"/>
        <v>27.843238708927899</v>
      </c>
      <c r="BA20" s="184">
        <f t="shared" si="12"/>
        <v>6.9820980060675009</v>
      </c>
      <c r="BB20" s="184">
        <f t="shared" si="13"/>
        <v>3.6932938312425261</v>
      </c>
      <c r="BC20" s="184">
        <v>0</v>
      </c>
      <c r="BD20" s="184">
        <f t="shared" si="14"/>
        <v>3.6932938312425261</v>
      </c>
      <c r="BE20" s="184">
        <v>-19</v>
      </c>
      <c r="BF20" s="184">
        <v>19</v>
      </c>
      <c r="BG20" s="184">
        <f t="shared" si="15"/>
        <v>0</v>
      </c>
      <c r="BH20" s="184">
        <f t="shared" si="16"/>
        <v>3.6932938312425261</v>
      </c>
      <c r="BJ20" s="168">
        <f t="shared" si="17"/>
        <v>-15.808841681876366</v>
      </c>
      <c r="BK20" s="169">
        <f t="shared" si="18"/>
        <v>0</v>
      </c>
      <c r="BL20" s="170">
        <f t="shared" si="19"/>
        <v>0</v>
      </c>
      <c r="BQ20" s="83" t="s">
        <v>38</v>
      </c>
      <c r="BR20" s="83" t="s">
        <v>39</v>
      </c>
      <c r="BS20" s="83" t="s">
        <v>712</v>
      </c>
      <c r="BT20" s="83" t="s">
        <v>713</v>
      </c>
      <c r="BU20" s="4" t="s">
        <v>901</v>
      </c>
      <c r="BV20" s="229">
        <v>-26.750039060000127</v>
      </c>
      <c r="BW20" s="229">
        <v>0</v>
      </c>
      <c r="BX20" s="229">
        <v>0</v>
      </c>
      <c r="BY20" s="229">
        <v>-26.750039060000127</v>
      </c>
      <c r="CJ20" s="110" t="s">
        <v>31</v>
      </c>
      <c r="CK20" s="110" t="s">
        <v>941</v>
      </c>
      <c r="CL20" s="110">
        <v>-20.399910080000048</v>
      </c>
      <c r="CM20" s="110">
        <v>-186.51630947000007</v>
      </c>
      <c r="CN20" s="110">
        <v>-166.11639939000003</v>
      </c>
      <c r="CO20" s="110">
        <v>-1.8633999994221995E-4</v>
      </c>
      <c r="CP20" s="110">
        <v>4.0035999995780003E-4</v>
      </c>
      <c r="CQ20" s="110">
        <v>5.8669999990001998E-4</v>
      </c>
      <c r="CR20" s="110">
        <v>-36.469635120000135</v>
      </c>
      <c r="CS20" s="110">
        <v>-9.8210000100152657E-5</v>
      </c>
      <c r="CU20" s="110">
        <v>-226.88499999999999</v>
      </c>
      <c r="CV20" s="110">
        <v>-226.88459964000003</v>
      </c>
    </row>
    <row r="21" spans="2:100" x14ac:dyDescent="0.25">
      <c r="B21" s="171" t="s">
        <v>942</v>
      </c>
      <c r="C21" s="172" t="s">
        <v>19</v>
      </c>
      <c r="D21" s="173" t="s">
        <v>943</v>
      </c>
      <c r="E21" s="152">
        <f t="shared" si="0"/>
        <v>2</v>
      </c>
      <c r="F21" s="152" t="str">
        <f t="shared" si="1"/>
        <v/>
      </c>
      <c r="G21" s="153">
        <f t="shared" si="2"/>
        <v>2</v>
      </c>
      <c r="H21" s="153" t="str">
        <f t="shared" si="3"/>
        <v/>
      </c>
      <c r="I21" s="153" t="str">
        <f t="shared" si="4"/>
        <v/>
      </c>
      <c r="J21" s="153" t="str">
        <f t="shared" si="5"/>
        <v/>
      </c>
      <c r="K21" s="154">
        <v>1885.2385086199999</v>
      </c>
      <c r="L21" s="155">
        <v>3765.35728789</v>
      </c>
      <c r="N21" s="174">
        <v>-27.078987999999928</v>
      </c>
      <c r="O21" s="175">
        <v>-57.724400290001505</v>
      </c>
      <c r="P21" s="175">
        <v>-30.645412290001577</v>
      </c>
      <c r="Q21" s="176">
        <v>-1.6255456352010391E-2</v>
      </c>
      <c r="S21" s="177">
        <v>-6.689523233400001</v>
      </c>
      <c r="T21" s="178">
        <v>0.23166666667000002</v>
      </c>
      <c r="U21" s="179">
        <v>-1.4653462799999999</v>
      </c>
      <c r="V21" s="179">
        <v>0.42356228000000001</v>
      </c>
      <c r="W21" s="179">
        <v>0.81005246333104575</v>
      </c>
      <c r="X21" s="179">
        <f t="shared" si="6"/>
        <v>-6.9211899000700008</v>
      </c>
      <c r="Y21" s="179">
        <v>-7.5256482599999996</v>
      </c>
      <c r="Z21" s="179">
        <v>-16.198457209929998</v>
      </c>
      <c r="AB21" s="180">
        <v>-63.314</v>
      </c>
      <c r="AC21" s="163">
        <f t="shared" si="20"/>
        <v>-93.313923579999994</v>
      </c>
      <c r="AE21" s="181" t="s">
        <v>352</v>
      </c>
      <c r="AF21" s="180">
        <v>7</v>
      </c>
      <c r="AG21" s="180">
        <v>7</v>
      </c>
      <c r="AH21" s="180">
        <v>-13</v>
      </c>
      <c r="AI21" s="180">
        <v>-53</v>
      </c>
      <c r="AJ21" s="163"/>
      <c r="AK21" s="110" t="s">
        <v>944</v>
      </c>
      <c r="AM21" s="164">
        <v>35.810114803346458</v>
      </c>
      <c r="AN21" s="165">
        <v>2.2266405568736193E-2</v>
      </c>
      <c r="AO21" s="164">
        <f t="shared" si="7"/>
        <v>17.813124454988955</v>
      </c>
      <c r="AP21" s="166"/>
      <c r="AQ21" s="166">
        <v>1.048750000000001</v>
      </c>
      <c r="AR21" s="166">
        <v>1.1263107931684844</v>
      </c>
      <c r="AT21" s="167" t="str">
        <f t="shared" si="8"/>
        <v>?</v>
      </c>
      <c r="AU21" s="168">
        <v>14.466032264322131</v>
      </c>
      <c r="AV21" s="168">
        <v>13.313587202909192</v>
      </c>
      <c r="AW21" s="168">
        <f>AV21</f>
        <v>13.313587202909192</v>
      </c>
      <c r="AX21" s="168">
        <f t="shared" si="9"/>
        <v>7</v>
      </c>
      <c r="AY21" s="168">
        <f t="shared" si="10"/>
        <v>-32.68641279709081</v>
      </c>
      <c r="AZ21" s="184">
        <f t="shared" si="11"/>
        <v>35.810114803346458</v>
      </c>
      <c r="BA21" s="184">
        <f t="shared" si="12"/>
        <v>17.813124454988955</v>
      </c>
      <c r="BB21" s="184">
        <f t="shared" si="13"/>
        <v>20.936826461244603</v>
      </c>
      <c r="BC21" s="184">
        <v>0</v>
      </c>
      <c r="BD21" s="184">
        <f t="shared" si="14"/>
        <v>20.936826461244603</v>
      </c>
      <c r="BE21" s="184">
        <v>-30</v>
      </c>
      <c r="BF21" s="184">
        <v>30</v>
      </c>
      <c r="BG21" s="184">
        <f t="shared" si="15"/>
        <v>0</v>
      </c>
      <c r="BH21" s="184">
        <f t="shared" si="16"/>
        <v>20.936826461244603</v>
      </c>
      <c r="BJ21" s="168">
        <f t="shared" si="17"/>
        <v>-16.988618688546982</v>
      </c>
      <c r="BK21" s="169">
        <f t="shared" si="18"/>
        <v>0</v>
      </c>
      <c r="BL21" s="170">
        <f t="shared" si="19"/>
        <v>0</v>
      </c>
      <c r="BQ21" s="83" t="s">
        <v>38</v>
      </c>
      <c r="BR21" s="83" t="s">
        <v>39</v>
      </c>
      <c r="BS21" s="83" t="s">
        <v>714</v>
      </c>
      <c r="BT21" s="83" t="s">
        <v>715</v>
      </c>
      <c r="BU21" s="4" t="s">
        <v>901</v>
      </c>
      <c r="BV21" s="229">
        <v>-14.018000000000001</v>
      </c>
      <c r="BW21" s="229">
        <v>0</v>
      </c>
      <c r="BX21" s="229">
        <v>0</v>
      </c>
      <c r="BY21" s="229">
        <v>-14.018000000000001</v>
      </c>
      <c r="CJ21" s="110" t="s">
        <v>90</v>
      </c>
      <c r="CK21" s="110" t="s">
        <v>945</v>
      </c>
      <c r="CL21" s="110">
        <v>-103.14384893</v>
      </c>
      <c r="CM21" s="110">
        <v>-136.99293949000005</v>
      </c>
      <c r="CN21" s="110">
        <v>-33.84909056000005</v>
      </c>
      <c r="CO21" s="110">
        <v>-105.37454924000021</v>
      </c>
      <c r="CP21" s="110">
        <v>-105.37424117999997</v>
      </c>
      <c r="CQ21" s="110">
        <v>3.0806000023630986E-4</v>
      </c>
      <c r="CR21" s="110">
        <v>-2.5568672900000169</v>
      </c>
      <c r="CS21" s="110">
        <v>3.8907000014478402E-4</v>
      </c>
      <c r="CU21" s="110">
        <v>-135.52199999999999</v>
      </c>
      <c r="CV21" s="110">
        <v>-240.89624117999995</v>
      </c>
    </row>
    <row r="22" spans="2:100" x14ac:dyDescent="0.25">
      <c r="B22" s="171" t="s">
        <v>946</v>
      </c>
      <c r="C22" s="172" t="s">
        <v>21</v>
      </c>
      <c r="D22" s="173" t="s">
        <v>943</v>
      </c>
      <c r="E22" s="152">
        <f t="shared" si="0"/>
        <v>2</v>
      </c>
      <c r="F22" s="152" t="str">
        <f t="shared" si="1"/>
        <v/>
      </c>
      <c r="G22" s="153">
        <f t="shared" si="2"/>
        <v>2</v>
      </c>
      <c r="H22" s="153" t="str">
        <f t="shared" si="3"/>
        <v/>
      </c>
      <c r="I22" s="153" t="str">
        <f t="shared" si="4"/>
        <v/>
      </c>
      <c r="J22" s="153" t="str">
        <f t="shared" si="5"/>
        <v/>
      </c>
      <c r="K22" s="154">
        <v>3629.9034364299996</v>
      </c>
      <c r="L22" s="155">
        <v>7340.1962051199998</v>
      </c>
      <c r="N22" s="174">
        <v>-44.20118270000183</v>
      </c>
      <c r="O22" s="175">
        <v>-65.690090152000082</v>
      </c>
      <c r="P22" s="175">
        <v>-21.488907451998251</v>
      </c>
      <c r="Q22" s="176">
        <v>-5.9199666956244257E-3</v>
      </c>
      <c r="S22" s="177">
        <v>26.144176858000002</v>
      </c>
      <c r="T22" s="178">
        <v>17.031666858000001</v>
      </c>
      <c r="U22" s="179">
        <v>-18.52168631</v>
      </c>
      <c r="V22" s="179">
        <v>-9.3307579499999989</v>
      </c>
      <c r="W22" s="179">
        <v>1.0061061420000001</v>
      </c>
      <c r="X22" s="179">
        <f t="shared" si="6"/>
        <v>9.1125100000000003</v>
      </c>
      <c r="Y22" s="179">
        <v>-4.2190151880000002</v>
      </c>
      <c r="Z22" s="179">
        <v>-16.567731004000002</v>
      </c>
      <c r="AB22" s="180">
        <v>-90.317999999999998</v>
      </c>
      <c r="AC22" s="163">
        <f t="shared" si="20"/>
        <v>-140.19005211000049</v>
      </c>
      <c r="AE22" s="181" t="s">
        <v>352</v>
      </c>
      <c r="AF22" s="180">
        <v>8.1</v>
      </c>
      <c r="AG22" s="180">
        <v>8.1</v>
      </c>
      <c r="AH22" s="180">
        <v>-22</v>
      </c>
      <c r="AI22" s="180">
        <v>-107</v>
      </c>
      <c r="AJ22" s="163"/>
      <c r="AM22" s="164">
        <v>45.640002588419556</v>
      </c>
      <c r="AN22" s="165">
        <v>5.7968313190030776E-2</v>
      </c>
      <c r="AO22" s="164">
        <f t="shared" si="7"/>
        <v>46.374650552024619</v>
      </c>
      <c r="AP22" s="166"/>
      <c r="AQ22" s="166">
        <v>1.0487500000000001</v>
      </c>
      <c r="AR22" s="166">
        <v>1.1071614389708671</v>
      </c>
      <c r="AT22" s="167" t="str">
        <f t="shared" si="8"/>
        <v>?</v>
      </c>
      <c r="AU22" s="168">
        <v>30.966392559632158</v>
      </c>
      <c r="AV22" s="168">
        <v>27.541792174482978</v>
      </c>
      <c r="AW22" s="168">
        <f>AV22</f>
        <v>27.541792174482978</v>
      </c>
      <c r="AX22" s="168">
        <f t="shared" si="9"/>
        <v>8.1</v>
      </c>
      <c r="AY22" s="168">
        <f t="shared" si="10"/>
        <v>-71.358207825517027</v>
      </c>
      <c r="AZ22" s="184">
        <f t="shared" si="11"/>
        <v>45.640002588419556</v>
      </c>
      <c r="BA22" s="184">
        <f t="shared" si="12"/>
        <v>46.374650552024619</v>
      </c>
      <c r="BB22" s="184">
        <f t="shared" si="13"/>
        <v>20.656445314927147</v>
      </c>
      <c r="BC22" s="184">
        <v>0</v>
      </c>
      <c r="BD22" s="184">
        <f t="shared" si="14"/>
        <v>20.656445314927147</v>
      </c>
      <c r="BE22" s="184">
        <v>-50</v>
      </c>
      <c r="BF22" s="184">
        <v>50</v>
      </c>
      <c r="BG22" s="184">
        <f t="shared" si="15"/>
        <v>0</v>
      </c>
      <c r="BH22" s="184">
        <f t="shared" si="16"/>
        <v>20.656445314927147</v>
      </c>
      <c r="BJ22" s="168">
        <f t="shared" si="17"/>
        <v>0.38198863524323734</v>
      </c>
      <c r="BK22" s="169">
        <f t="shared" si="18"/>
        <v>0</v>
      </c>
      <c r="BL22" s="170">
        <f t="shared" si="19"/>
        <v>0</v>
      </c>
      <c r="BQ22" s="83" t="s">
        <v>38</v>
      </c>
      <c r="BR22" s="83" t="s">
        <v>39</v>
      </c>
      <c r="BS22" s="83" t="s">
        <v>716</v>
      </c>
      <c r="BT22" s="83" t="s">
        <v>717</v>
      </c>
      <c r="BU22" s="4" t="s">
        <v>901</v>
      </c>
      <c r="BV22" s="229">
        <v>1.0000000009313226E-5</v>
      </c>
      <c r="BW22" s="229">
        <v>0</v>
      </c>
      <c r="BX22" s="229">
        <v>0</v>
      </c>
      <c r="BY22" s="229">
        <v>1.0000000009313226E-5</v>
      </c>
      <c r="CJ22" s="110" t="s">
        <v>32</v>
      </c>
      <c r="CK22" s="110" t="s">
        <v>947</v>
      </c>
      <c r="CL22" s="110">
        <v>-87.590000139999987</v>
      </c>
      <c r="CM22" s="110">
        <v>-159.46879674000002</v>
      </c>
      <c r="CN22" s="110">
        <v>-71.87879660000003</v>
      </c>
      <c r="CO22" s="110">
        <v>-80.000999919999998</v>
      </c>
      <c r="CP22" s="110">
        <v>-80.001460099999989</v>
      </c>
      <c r="CQ22" s="110">
        <v>-4.6017999999037329E-4</v>
      </c>
      <c r="CR22" s="110">
        <v>-14.841564860000004</v>
      </c>
      <c r="CS22" s="110">
        <v>-7.48519999964401E-4</v>
      </c>
      <c r="CU22" s="110">
        <v>-101.5</v>
      </c>
      <c r="CV22" s="110">
        <v>-181.50146009999997</v>
      </c>
    </row>
    <row r="23" spans="2:100" x14ac:dyDescent="0.25">
      <c r="B23" s="171" t="s">
        <v>948</v>
      </c>
      <c r="C23" s="172" t="s">
        <v>92</v>
      </c>
      <c r="D23" s="173" t="s">
        <v>949</v>
      </c>
      <c r="E23" s="152">
        <f t="shared" si="0"/>
        <v>0</v>
      </c>
      <c r="F23" s="152" t="str">
        <f t="shared" si="1"/>
        <v/>
      </c>
      <c r="G23" s="153" t="str">
        <f t="shared" si="2"/>
        <v/>
      </c>
      <c r="H23" s="153" t="str">
        <f t="shared" si="3"/>
        <v/>
      </c>
      <c r="I23" s="153" t="str">
        <f t="shared" si="4"/>
        <v/>
      </c>
      <c r="J23" s="153" t="str">
        <f t="shared" si="5"/>
        <v/>
      </c>
      <c r="K23" s="154">
        <v>2044.47672607</v>
      </c>
      <c r="L23" s="155">
        <v>4041.8379995300002</v>
      </c>
      <c r="N23" s="174">
        <v>-35.283031200000011</v>
      </c>
      <c r="O23" s="175">
        <v>-75.104515920000622</v>
      </c>
      <c r="P23" s="175">
        <v>-39.821484720000612</v>
      </c>
      <c r="Q23" s="176">
        <v>-1.9477592585046225E-2</v>
      </c>
      <c r="S23" s="177">
        <v>-18.01013</v>
      </c>
      <c r="T23" s="178">
        <v>0</v>
      </c>
      <c r="U23" s="179">
        <v>-8.4762686600000006</v>
      </c>
      <c r="V23" s="179">
        <v>-8.8145075199999994</v>
      </c>
      <c r="W23" s="179">
        <v>13.965074120000001</v>
      </c>
      <c r="X23" s="179">
        <f t="shared" si="6"/>
        <v>-18.01013</v>
      </c>
      <c r="Y23" s="179">
        <v>-6.5149516400000005</v>
      </c>
      <c r="Z23" s="179">
        <v>-11.970701019999996</v>
      </c>
      <c r="AB23" s="180">
        <v>-112.17430999999999</v>
      </c>
      <c r="AC23" s="163">
        <f t="shared" si="20"/>
        <v>-160.24231011000001</v>
      </c>
      <c r="AE23" s="180">
        <v>5</v>
      </c>
      <c r="AF23" s="180">
        <v>10</v>
      </c>
      <c r="AG23" s="180">
        <v>10</v>
      </c>
      <c r="AH23" s="180"/>
      <c r="AI23" s="180">
        <v>-125</v>
      </c>
      <c r="AJ23" s="163"/>
      <c r="AK23" s="110" t="s">
        <v>950</v>
      </c>
      <c r="AM23" s="164">
        <v>37.574399271890876</v>
      </c>
      <c r="AN23" s="165">
        <v>2.3101352624407198E-2</v>
      </c>
      <c r="AO23" s="164">
        <f t="shared" si="7"/>
        <v>18.481082099525757</v>
      </c>
      <c r="AP23" s="166"/>
      <c r="AQ23" s="166">
        <v>1.0487500000000005</v>
      </c>
      <c r="AR23" s="166">
        <v>1.1275041180578997</v>
      </c>
      <c r="AT23" s="167">
        <f t="shared" si="8"/>
        <v>5</v>
      </c>
      <c r="AU23" s="168">
        <v>10.525440828661495</v>
      </c>
      <c r="AV23" s="168">
        <v>7.3403062284838869</v>
      </c>
      <c r="AW23" s="168">
        <f>AU23</f>
        <v>10.525440828661495</v>
      </c>
      <c r="AX23" s="168">
        <f t="shared" si="9"/>
        <v>10</v>
      </c>
      <c r="AY23" s="168">
        <f t="shared" si="10"/>
        <v>-104.47455917133851</v>
      </c>
      <c r="AZ23" s="168">
        <f t="shared" si="11"/>
        <v>37.574399271890876</v>
      </c>
      <c r="BA23" s="168">
        <f t="shared" si="12"/>
        <v>18.481082099525757</v>
      </c>
      <c r="BB23" s="168">
        <f t="shared" si="13"/>
        <v>-48.419077799921872</v>
      </c>
      <c r="BC23" s="168">
        <v>0.4</v>
      </c>
      <c r="BD23" s="168">
        <f t="shared" si="14"/>
        <v>-48.019077799921874</v>
      </c>
      <c r="BE23" s="168">
        <v>-48</v>
      </c>
      <c r="BF23" s="168">
        <f>BD23-BE23</f>
        <v>-1.9077799921873861E-2</v>
      </c>
      <c r="BG23" s="168">
        <f t="shared" si="15"/>
        <v>-48.019077799921874</v>
      </c>
      <c r="BH23" s="168">
        <f t="shared" si="16"/>
        <v>0</v>
      </c>
      <c r="BJ23" s="168">
        <f t="shared" si="17"/>
        <v>-24.558764305669865</v>
      </c>
      <c r="BK23" s="169">
        <f t="shared" si="18"/>
        <v>9.8964876881882328E-5</v>
      </c>
      <c r="BL23" s="170">
        <f t="shared" si="19"/>
        <v>0</v>
      </c>
      <c r="BQ23" s="83" t="s">
        <v>102</v>
      </c>
      <c r="BR23" s="83" t="s">
        <v>103</v>
      </c>
      <c r="BS23" s="83" t="s">
        <v>728</v>
      </c>
      <c r="BT23" s="83" t="s">
        <v>729</v>
      </c>
      <c r="BU23" s="4" t="s">
        <v>901</v>
      </c>
      <c r="BV23" s="229">
        <v>0</v>
      </c>
      <c r="BW23" s="229">
        <v>0</v>
      </c>
      <c r="BX23" s="229">
        <v>0</v>
      </c>
      <c r="BY23" s="229">
        <v>0</v>
      </c>
      <c r="CJ23" s="110" t="s">
        <v>44</v>
      </c>
      <c r="CK23" s="110" t="s">
        <v>951</v>
      </c>
      <c r="CL23" s="110">
        <v>-21.803996780000027</v>
      </c>
      <c r="CM23" s="110">
        <v>-42.546817019999999</v>
      </c>
      <c r="CN23" s="110">
        <v>-20.742820239999972</v>
      </c>
      <c r="CO23" s="110">
        <v>-19.198299029999994</v>
      </c>
      <c r="CP23" s="110">
        <v>-19.198298000000019</v>
      </c>
      <c r="CQ23" s="110">
        <v>1.0299999750884581E-6</v>
      </c>
      <c r="CR23" s="110">
        <v>-2.4082538299999579</v>
      </c>
      <c r="CS23" s="110">
        <v>-3.1497000001357381E-4</v>
      </c>
      <c r="CU23" s="110">
        <v>-17.175000000000001</v>
      </c>
      <c r="CV23" s="110">
        <v>-36.37329800000002</v>
      </c>
    </row>
    <row r="24" spans="2:100" x14ac:dyDescent="0.25">
      <c r="B24" s="171" t="s">
        <v>952</v>
      </c>
      <c r="C24" s="172" t="s">
        <v>66</v>
      </c>
      <c r="D24" s="173" t="s">
        <v>904</v>
      </c>
      <c r="E24" s="152">
        <f t="shared" si="0"/>
        <v>3</v>
      </c>
      <c r="F24" s="152" t="str">
        <f t="shared" si="1"/>
        <v/>
      </c>
      <c r="G24" s="153" t="str">
        <f t="shared" si="2"/>
        <v/>
      </c>
      <c r="H24" s="153">
        <f t="shared" si="3"/>
        <v>3</v>
      </c>
      <c r="I24" s="153" t="str">
        <f t="shared" si="4"/>
        <v/>
      </c>
      <c r="J24" s="153" t="str">
        <f t="shared" si="5"/>
        <v/>
      </c>
      <c r="K24" s="154">
        <v>1279.1086094300001</v>
      </c>
      <c r="L24" s="155">
        <v>2567.7800000000002</v>
      </c>
      <c r="N24" s="174">
        <v>-22.088497999999962</v>
      </c>
      <c r="O24" s="175">
        <v>-44.971633169999279</v>
      </c>
      <c r="P24" s="175">
        <v>-22.883135169999314</v>
      </c>
      <c r="Q24" s="176">
        <v>-1.7889907863411662E-2</v>
      </c>
      <c r="S24" s="177">
        <v>-11.280773180000002</v>
      </c>
      <c r="T24" s="178">
        <v>-0.15428985429</v>
      </c>
      <c r="U24" s="179">
        <v>-3.09848531</v>
      </c>
      <c r="V24" s="179">
        <v>-0.17688015999999998</v>
      </c>
      <c r="W24" s="179">
        <v>3.4296553242900001</v>
      </c>
      <c r="X24" s="179">
        <f t="shared" si="6"/>
        <v>-11.126483325710002</v>
      </c>
      <c r="Y24" s="179">
        <v>-2.1645167299999999</v>
      </c>
      <c r="Z24" s="179">
        <v>-9.5921351142900022</v>
      </c>
      <c r="AB24" s="180">
        <v>-60.165999999999997</v>
      </c>
      <c r="AC24" s="163">
        <f t="shared" si="20"/>
        <v>-100.48689878999991</v>
      </c>
      <c r="AE24" s="181" t="s">
        <v>352</v>
      </c>
      <c r="AF24" s="180">
        <v>3.5</v>
      </c>
      <c r="AG24" s="180">
        <f>8.3-AF24</f>
        <v>4.8000000000000007</v>
      </c>
      <c r="AH24" s="180"/>
      <c r="AI24" s="180">
        <v>-80</v>
      </c>
      <c r="AJ24" s="163"/>
      <c r="AK24" s="110" t="s">
        <v>953</v>
      </c>
      <c r="AM24" s="164">
        <v>23.67799136478126</v>
      </c>
      <c r="AN24" s="165">
        <v>1.5696640571499193E-2</v>
      </c>
      <c r="AO24" s="164">
        <f t="shared" si="7"/>
        <v>12.557312457199355</v>
      </c>
      <c r="AP24" s="166"/>
      <c r="AQ24" s="166">
        <v>1.0305903627116404</v>
      </c>
      <c r="AR24" s="166">
        <v>1.1075755018878204</v>
      </c>
      <c r="AT24" s="167" t="str">
        <f t="shared" si="8"/>
        <v>?</v>
      </c>
      <c r="AU24" s="168">
        <v>4.9321916852175871</v>
      </c>
      <c r="AV24" s="168">
        <v>2.5765997806679741</v>
      </c>
      <c r="AW24" s="168">
        <f>AVERAGE(AU24:AV24)</f>
        <v>3.7543957329427808</v>
      </c>
      <c r="AX24" s="168">
        <f t="shared" si="9"/>
        <v>4.8000000000000007</v>
      </c>
      <c r="AY24" s="168">
        <f t="shared" si="10"/>
        <v>-71.44560426705722</v>
      </c>
      <c r="AZ24" s="184">
        <f t="shared" si="11"/>
        <v>23.67799136478126</v>
      </c>
      <c r="BA24" s="184">
        <f t="shared" si="12"/>
        <v>12.557312457199355</v>
      </c>
      <c r="BB24" s="184">
        <f t="shared" si="13"/>
        <v>-35.210300445076598</v>
      </c>
      <c r="BC24" s="184">
        <f>BG24-BB24</f>
        <v>10.210300445076598</v>
      </c>
      <c r="BD24" s="184">
        <f t="shared" si="14"/>
        <v>-25</v>
      </c>
      <c r="BE24" s="184">
        <v>-40</v>
      </c>
      <c r="BF24" s="184">
        <v>15</v>
      </c>
      <c r="BG24" s="184">
        <f t="shared" si="15"/>
        <v>-25</v>
      </c>
      <c r="BH24" s="184">
        <f t="shared" si="16"/>
        <v>0</v>
      </c>
      <c r="BJ24" s="168">
        <f t="shared" si="17"/>
        <v>-17.505937303527922</v>
      </c>
      <c r="BK24" s="169">
        <f t="shared" si="18"/>
        <v>3.9763143435483555E-3</v>
      </c>
      <c r="BL24" s="170">
        <f t="shared" si="19"/>
        <v>0</v>
      </c>
      <c r="BQ24" s="83" t="s">
        <v>102</v>
      </c>
      <c r="BR24" s="83" t="s">
        <v>103</v>
      </c>
      <c r="BS24" s="83" t="s">
        <v>730</v>
      </c>
      <c r="BT24" s="83" t="s">
        <v>731</v>
      </c>
      <c r="BU24" s="4" t="s">
        <v>901</v>
      </c>
      <c r="BV24" s="229">
        <v>0</v>
      </c>
      <c r="BW24" s="229">
        <v>0</v>
      </c>
      <c r="BX24" s="229">
        <v>0</v>
      </c>
      <c r="BY24" s="229">
        <v>0</v>
      </c>
      <c r="CJ24" s="110" t="s">
        <v>64</v>
      </c>
      <c r="CK24" s="110" t="s">
        <v>954</v>
      </c>
      <c r="CL24" s="110">
        <v>-16.991525689999992</v>
      </c>
      <c r="CM24" s="110">
        <v>-39.513740069999969</v>
      </c>
      <c r="CN24" s="110">
        <v>-22.522214379999976</v>
      </c>
      <c r="CO24" s="110">
        <v>-4.0731000003013662E-4</v>
      </c>
      <c r="CP24" s="110">
        <v>-7.1800000132071773E-6</v>
      </c>
      <c r="CQ24" s="110">
        <v>4.0013000001692944E-4</v>
      </c>
      <c r="CR24" s="110">
        <v>-3.5482026999999903</v>
      </c>
      <c r="CS24" s="110">
        <v>-1.9985000004362518E-4</v>
      </c>
      <c r="CU24" s="110">
        <v>-54.283000000000001</v>
      </c>
      <c r="CV24" s="110">
        <v>-54.283007180000013</v>
      </c>
    </row>
    <row r="25" spans="2:100" x14ac:dyDescent="0.25">
      <c r="B25" s="171" t="s">
        <v>955</v>
      </c>
      <c r="C25" s="172" t="s">
        <v>38</v>
      </c>
      <c r="D25" s="173" t="s">
        <v>922</v>
      </c>
      <c r="E25" s="152">
        <f t="shared" si="0"/>
        <v>3</v>
      </c>
      <c r="F25" s="152" t="str">
        <f t="shared" si="1"/>
        <v/>
      </c>
      <c r="G25" s="153" t="str">
        <f t="shared" si="2"/>
        <v/>
      </c>
      <c r="H25" s="153">
        <f t="shared" si="3"/>
        <v>3</v>
      </c>
      <c r="I25" s="153" t="str">
        <f t="shared" si="4"/>
        <v/>
      </c>
      <c r="J25" s="153" t="str">
        <f t="shared" si="5"/>
        <v/>
      </c>
      <c r="K25" s="154">
        <v>1402.6343810000001</v>
      </c>
      <c r="L25" s="155">
        <v>2836.9250000000002</v>
      </c>
      <c r="N25" s="174">
        <v>-52.159778652999762</v>
      </c>
      <c r="O25" s="175">
        <v>-79.214277590000989</v>
      </c>
      <c r="P25" s="175">
        <v>-27.054498937001227</v>
      </c>
      <c r="Q25" s="176">
        <v>-1.9288347201152221E-2</v>
      </c>
      <c r="S25" s="177">
        <v>-6.2256545800000005</v>
      </c>
      <c r="T25" s="178">
        <v>0</v>
      </c>
      <c r="U25" s="179">
        <v>-5.8293009800000002</v>
      </c>
      <c r="V25" s="179">
        <v>-0.79559771999999995</v>
      </c>
      <c r="W25" s="179">
        <v>6.2248986999999998</v>
      </c>
      <c r="X25" s="179">
        <f t="shared" si="6"/>
        <v>-6.2256545800000005</v>
      </c>
      <c r="Y25" s="179">
        <v>-2.8453309199999999</v>
      </c>
      <c r="Z25" s="179">
        <v>-17.583513437000001</v>
      </c>
      <c r="AB25" s="180">
        <v>-46.5</v>
      </c>
      <c r="AC25" s="163">
        <f t="shared" si="20"/>
        <v>-115.28705906000003</v>
      </c>
      <c r="AE25" s="180">
        <v>8</v>
      </c>
      <c r="AF25" s="180">
        <v>10</v>
      </c>
      <c r="AG25" s="180">
        <v>10</v>
      </c>
      <c r="AH25" s="180"/>
      <c r="AI25" s="180">
        <v>-117</v>
      </c>
      <c r="AJ25" s="163"/>
      <c r="AM25" s="164">
        <v>18.087852320005535</v>
      </c>
      <c r="AN25" s="165">
        <v>2.3507802475911263E-2</v>
      </c>
      <c r="AO25" s="164">
        <f t="shared" si="7"/>
        <v>18.806241980729009</v>
      </c>
      <c r="AP25" s="166"/>
      <c r="AQ25" s="166">
        <v>1.0265211488111268</v>
      </c>
      <c r="AR25" s="166">
        <v>1.0820688793495776</v>
      </c>
      <c r="AT25" s="167">
        <f t="shared" si="8"/>
        <v>8</v>
      </c>
      <c r="AU25" s="168">
        <v>5.1327960567391573</v>
      </c>
      <c r="AV25" s="168">
        <v>2.9337907693762437</v>
      </c>
      <c r="AW25" s="168">
        <f>AU25</f>
        <v>5.1327960567391573</v>
      </c>
      <c r="AX25" s="168">
        <f t="shared" si="9"/>
        <v>10</v>
      </c>
      <c r="AY25" s="168">
        <f t="shared" si="10"/>
        <v>-101.86720394326085</v>
      </c>
      <c r="AZ25" s="184">
        <f t="shared" si="11"/>
        <v>18.087852320005535</v>
      </c>
      <c r="BA25" s="184">
        <f t="shared" si="12"/>
        <v>18.806241980729009</v>
      </c>
      <c r="BB25" s="184">
        <f t="shared" si="13"/>
        <v>-64.973109642526296</v>
      </c>
      <c r="BC25" s="184">
        <v>10</v>
      </c>
      <c r="BD25" s="184">
        <f t="shared" si="14"/>
        <v>-54.973109642526296</v>
      </c>
      <c r="BE25" s="184">
        <v>-69</v>
      </c>
      <c r="BF25" s="184">
        <f>BD25-BE25</f>
        <v>14.026890357473704</v>
      </c>
      <c r="BG25" s="184">
        <f t="shared" si="15"/>
        <v>-54.973109642526296</v>
      </c>
      <c r="BH25" s="184">
        <f t="shared" si="16"/>
        <v>0</v>
      </c>
      <c r="BJ25" s="168">
        <f t="shared" si="17"/>
        <v>-14.488100908631649</v>
      </c>
      <c r="BK25" s="169">
        <f t="shared" si="18"/>
        <v>3.5249433805969489E-3</v>
      </c>
      <c r="BL25" s="170">
        <f t="shared" si="19"/>
        <v>0</v>
      </c>
      <c r="BQ25" s="83" t="s">
        <v>102</v>
      </c>
      <c r="BR25" s="83" t="s">
        <v>103</v>
      </c>
      <c r="BS25" s="83" t="s">
        <v>732</v>
      </c>
      <c r="BT25" s="83" t="s">
        <v>733</v>
      </c>
      <c r="BU25" s="4" t="s">
        <v>901</v>
      </c>
      <c r="BV25" s="229">
        <v>0</v>
      </c>
      <c r="BW25" s="229">
        <v>0</v>
      </c>
      <c r="BX25" s="229">
        <v>0</v>
      </c>
      <c r="BY25" s="229">
        <v>0</v>
      </c>
      <c r="CJ25" s="110" t="s">
        <v>19</v>
      </c>
      <c r="CK25" s="110" t="s">
        <v>956</v>
      </c>
      <c r="CL25" s="110">
        <v>-27.079484000000019</v>
      </c>
      <c r="CM25" s="110">
        <v>-57.72434424000005</v>
      </c>
      <c r="CN25" s="110">
        <v>-30.644860240000032</v>
      </c>
      <c r="CO25" s="110">
        <v>-30.000115999999931</v>
      </c>
      <c r="CP25" s="110">
        <v>-29.999923580000001</v>
      </c>
      <c r="CQ25" s="110">
        <v>1.9241999993013792E-4</v>
      </c>
      <c r="CR25" s="110">
        <v>-11.532873519999995</v>
      </c>
      <c r="CS25" s="110">
        <v>4.5714999991257419E-4</v>
      </c>
      <c r="CU25" s="110">
        <v>-63.314</v>
      </c>
      <c r="CV25" s="110">
        <v>-93.313923579999994</v>
      </c>
    </row>
    <row r="26" spans="2:100" x14ac:dyDescent="0.25">
      <c r="B26" s="171" t="s">
        <v>957</v>
      </c>
      <c r="C26" s="172" t="s">
        <v>68</v>
      </c>
      <c r="D26" s="173" t="s">
        <v>904</v>
      </c>
      <c r="E26" s="152">
        <f t="shared" si="0"/>
        <v>4</v>
      </c>
      <c r="F26" s="152" t="str">
        <f t="shared" si="1"/>
        <v/>
      </c>
      <c r="G26" s="153" t="str">
        <f t="shared" si="2"/>
        <v/>
      </c>
      <c r="H26" s="153" t="str">
        <f t="shared" si="3"/>
        <v/>
      </c>
      <c r="I26" s="153">
        <f t="shared" si="4"/>
        <v>4</v>
      </c>
      <c r="J26" s="153" t="str">
        <f t="shared" si="5"/>
        <v/>
      </c>
      <c r="K26" s="154">
        <v>1181.13924352</v>
      </c>
      <c r="L26" s="155">
        <v>2370.5320000000002</v>
      </c>
      <c r="N26" s="174">
        <v>-13.97564079999928</v>
      </c>
      <c r="O26" s="175">
        <v>-25.282244727298629</v>
      </c>
      <c r="P26" s="175">
        <v>-11.306603927299349</v>
      </c>
      <c r="Q26" s="176">
        <v>-9.5726257419097398E-3</v>
      </c>
      <c r="S26" s="177">
        <v>1.5034678870999962</v>
      </c>
      <c r="T26" s="178">
        <v>2.298</v>
      </c>
      <c r="U26" s="179">
        <v>3.7462529800000004</v>
      </c>
      <c r="V26" s="179">
        <v>-4.0369439499999995</v>
      </c>
      <c r="W26" s="179">
        <v>-2.0073094999998542</v>
      </c>
      <c r="X26" s="179">
        <f t="shared" si="6"/>
        <v>-0.79453211290000381</v>
      </c>
      <c r="Y26" s="179">
        <v>-8.6939558199999993</v>
      </c>
      <c r="Z26" s="179">
        <v>-1.818115524099996</v>
      </c>
      <c r="AB26" s="180">
        <v>-55.506999999999998</v>
      </c>
      <c r="AC26" s="163">
        <f t="shared" si="20"/>
        <v>-55.506704229999848</v>
      </c>
      <c r="AE26" s="180">
        <v>6</v>
      </c>
      <c r="AF26" s="180">
        <v>6.3</v>
      </c>
      <c r="AG26" s="180">
        <f>15.2-AF26</f>
        <v>8.8999999999999986</v>
      </c>
      <c r="AH26" s="180"/>
      <c r="AI26" s="180">
        <f>-30-AE26-2</f>
        <v>-38</v>
      </c>
      <c r="AJ26" s="163"/>
      <c r="AK26" s="110" t="s">
        <v>958</v>
      </c>
      <c r="AM26" s="164">
        <v>2.2103774918192327</v>
      </c>
      <c r="AN26" s="165">
        <v>1.6978982488852247E-2</v>
      </c>
      <c r="AO26" s="164">
        <f t="shared" si="7"/>
        <v>13.583185991081798</v>
      </c>
      <c r="AP26" s="166"/>
      <c r="AQ26" s="166">
        <v>1</v>
      </c>
      <c r="AR26" s="166">
        <v>1.0083234146102329</v>
      </c>
      <c r="AT26" s="167">
        <f t="shared" si="8"/>
        <v>6</v>
      </c>
      <c r="AU26" s="168">
        <v>14.225821489213024</v>
      </c>
      <c r="AV26" s="168">
        <v>14.3540270567019</v>
      </c>
      <c r="AW26" s="168">
        <v>10</v>
      </c>
      <c r="AX26" s="168">
        <f t="shared" si="9"/>
        <v>8.8999999999999986</v>
      </c>
      <c r="AY26" s="168">
        <f t="shared" si="10"/>
        <v>-19.100000000000001</v>
      </c>
      <c r="AZ26" s="168">
        <f t="shared" si="11"/>
        <v>2.2103774918192327</v>
      </c>
      <c r="BA26" s="168">
        <f t="shared" si="12"/>
        <v>13.583185991081798</v>
      </c>
      <c r="BB26" s="168">
        <f t="shared" si="13"/>
        <v>-3.3064365170989696</v>
      </c>
      <c r="BC26" s="168">
        <f>-BB26</f>
        <v>3.3064365170989696</v>
      </c>
      <c r="BD26" s="168">
        <f t="shared" si="14"/>
        <v>0</v>
      </c>
      <c r="BE26" s="168">
        <v>0</v>
      </c>
      <c r="BF26" s="168">
        <v>0</v>
      </c>
      <c r="BG26" s="168">
        <f t="shared" si="15"/>
        <v>0</v>
      </c>
      <c r="BH26" s="168">
        <f t="shared" si="16"/>
        <v>0</v>
      </c>
      <c r="BJ26" s="168">
        <f t="shared" si="17"/>
        <v>-6.6039272993494436E-3</v>
      </c>
      <c r="BK26" s="169">
        <f t="shared" si="18"/>
        <v>1.3948077971944566E-3</v>
      </c>
      <c r="BL26" s="170">
        <f t="shared" si="19"/>
        <v>0</v>
      </c>
      <c r="BQ26" s="83" t="s">
        <v>86</v>
      </c>
      <c r="BR26" s="83" t="s">
        <v>87</v>
      </c>
      <c r="BS26" s="83" t="s">
        <v>694</v>
      </c>
      <c r="BT26" s="83" t="s">
        <v>695</v>
      </c>
      <c r="BU26" s="4" t="s">
        <v>901</v>
      </c>
      <c r="BV26" s="229">
        <v>1.311811939999985</v>
      </c>
      <c r="BW26" s="229">
        <v>0</v>
      </c>
      <c r="BX26" s="229">
        <v>0</v>
      </c>
      <c r="BY26" s="229">
        <v>1.311811939999985</v>
      </c>
      <c r="CJ26" s="110" t="s">
        <v>42</v>
      </c>
      <c r="CK26" s="110" t="s">
        <v>959</v>
      </c>
      <c r="CL26" s="110">
        <v>-15.622221269999995</v>
      </c>
      <c r="CM26" s="110">
        <v>-36.179818320000088</v>
      </c>
      <c r="CN26" s="110">
        <v>-20.557597050000091</v>
      </c>
      <c r="CO26" s="110">
        <v>-2.602600000130036E-4</v>
      </c>
      <c r="CP26" s="110">
        <v>6.9159000002271714E-4</v>
      </c>
      <c r="CQ26" s="110">
        <v>9.5185000003572074E-4</v>
      </c>
      <c r="CR26" s="110">
        <v>-3.2472255200002142</v>
      </c>
      <c r="CS26" s="110">
        <v>1.2674400000593218E-3</v>
      </c>
      <c r="CU26" s="110">
        <v>-73.584000000000003</v>
      </c>
      <c r="CV26" s="110">
        <v>-73.583308409999987</v>
      </c>
    </row>
    <row r="27" spans="2:100" x14ac:dyDescent="0.25">
      <c r="B27" s="171" t="s">
        <v>960</v>
      </c>
      <c r="C27" s="172" t="s">
        <v>36</v>
      </c>
      <c r="D27" s="173" t="s">
        <v>922</v>
      </c>
      <c r="E27" s="152">
        <f t="shared" si="0"/>
        <v>4</v>
      </c>
      <c r="F27" s="152" t="str">
        <f t="shared" si="1"/>
        <v/>
      </c>
      <c r="G27" s="153" t="str">
        <f t="shared" si="2"/>
        <v/>
      </c>
      <c r="H27" s="153" t="str">
        <f t="shared" si="3"/>
        <v/>
      </c>
      <c r="I27" s="153">
        <f t="shared" si="4"/>
        <v>4</v>
      </c>
      <c r="J27" s="153" t="str">
        <f t="shared" si="5"/>
        <v/>
      </c>
      <c r="K27" s="154">
        <v>1590.7524413900001</v>
      </c>
      <c r="L27" s="155">
        <v>3185.8969999999999</v>
      </c>
      <c r="N27" s="174">
        <v>-2.9846191599999461</v>
      </c>
      <c r="O27" s="175">
        <v>-51.566380741569951</v>
      </c>
      <c r="P27" s="175">
        <v>-48.581761581569999</v>
      </c>
      <c r="Q27" s="176">
        <v>-3.0540114424793364E-2</v>
      </c>
      <c r="S27" s="177">
        <v>0.1510448800000006</v>
      </c>
      <c r="T27" s="178">
        <v>2.6989999999999998</v>
      </c>
      <c r="U27" s="179">
        <v>-4.91065825</v>
      </c>
      <c r="V27" s="179">
        <v>-0.15168614999999999</v>
      </c>
      <c r="W27" s="179">
        <v>0.28218605000000019</v>
      </c>
      <c r="X27" s="179">
        <f t="shared" si="6"/>
        <v>-2.5479551199999992</v>
      </c>
      <c r="Y27" s="179">
        <v>-10.723138209999998</v>
      </c>
      <c r="Z27" s="179">
        <v>-33.227309902000002</v>
      </c>
      <c r="AB27" s="180">
        <v>-50.762999999999998</v>
      </c>
      <c r="AC27" s="163">
        <f t="shared" si="20"/>
        <v>-50.761951889999878</v>
      </c>
      <c r="AE27" s="180">
        <v>7</v>
      </c>
      <c r="AF27" s="180">
        <v>22</v>
      </c>
      <c r="AG27" s="180">
        <v>22</v>
      </c>
      <c r="AH27" s="180"/>
      <c r="AI27" s="180">
        <v>-73</v>
      </c>
      <c r="AJ27" s="163"/>
      <c r="AM27" s="164">
        <v>15.20520505831468</v>
      </c>
      <c r="AN27" s="165">
        <v>3.1530635440289528E-2</v>
      </c>
      <c r="AO27" s="164">
        <f t="shared" si="7"/>
        <v>25.224508352231624</v>
      </c>
      <c r="AP27" s="166"/>
      <c r="AQ27" s="166">
        <v>1</v>
      </c>
      <c r="AR27" s="166">
        <v>1.0445706543516773</v>
      </c>
      <c r="AT27" s="167">
        <f t="shared" si="8"/>
        <v>7</v>
      </c>
      <c r="AU27" s="168">
        <v>3.8096909713007308</v>
      </c>
      <c r="AV27" s="168">
        <v>1.59671510267848</v>
      </c>
      <c r="AW27" s="168">
        <f>AU27</f>
        <v>3.8096909713007308</v>
      </c>
      <c r="AX27" s="168">
        <f t="shared" si="9"/>
        <v>22</v>
      </c>
      <c r="AY27" s="168">
        <f t="shared" si="10"/>
        <v>-47.190309028699275</v>
      </c>
      <c r="AZ27" s="168">
        <f t="shared" si="11"/>
        <v>15.20520505831468</v>
      </c>
      <c r="BA27" s="168">
        <f t="shared" si="12"/>
        <v>25.224508352231624</v>
      </c>
      <c r="BB27" s="168">
        <f t="shared" si="13"/>
        <v>-6.7605956181529692</v>
      </c>
      <c r="BC27" s="168">
        <f>-BB27</f>
        <v>6.7605956181529692</v>
      </c>
      <c r="BD27" s="168">
        <f t="shared" si="14"/>
        <v>0</v>
      </c>
      <c r="BE27" s="168">
        <v>0</v>
      </c>
      <c r="BF27" s="168">
        <v>0</v>
      </c>
      <c r="BG27" s="168">
        <f t="shared" si="15"/>
        <v>0</v>
      </c>
      <c r="BH27" s="168">
        <f t="shared" si="16"/>
        <v>0</v>
      </c>
      <c r="BJ27" s="168">
        <f t="shared" si="17"/>
        <v>-24.676916095919633</v>
      </c>
      <c r="BK27" s="169">
        <f t="shared" si="18"/>
        <v>2.1220383515703645E-3</v>
      </c>
      <c r="BL27" s="170">
        <f t="shared" si="19"/>
        <v>0</v>
      </c>
      <c r="BQ27" s="83" t="s">
        <v>86</v>
      </c>
      <c r="BR27" s="83" t="s">
        <v>87</v>
      </c>
      <c r="BS27" s="83" t="s">
        <v>696</v>
      </c>
      <c r="BT27" s="83" t="s">
        <v>697</v>
      </c>
      <c r="BU27" s="4" t="s">
        <v>901</v>
      </c>
      <c r="BV27" s="229">
        <v>-12.148999999999999</v>
      </c>
      <c r="BW27" s="229">
        <v>0</v>
      </c>
      <c r="BX27" s="229">
        <v>0</v>
      </c>
      <c r="BY27" s="229">
        <v>-12.148999999999999</v>
      </c>
      <c r="CJ27" s="110" t="s">
        <v>92</v>
      </c>
      <c r="CK27" s="110" t="s">
        <v>961</v>
      </c>
      <c r="CL27" s="110">
        <v>-35.283031200000025</v>
      </c>
      <c r="CM27" s="110">
        <v>-75.104515920000011</v>
      </c>
      <c r="CN27" s="110">
        <v>-39.821484719999987</v>
      </c>
      <c r="CO27" s="110">
        <v>-47.978310390000068</v>
      </c>
      <c r="CP27" s="110">
        <v>-48.068000110000007</v>
      </c>
      <c r="CQ27" s="110">
        <v>-8.9689719999938688E-2</v>
      </c>
      <c r="CR27" s="110">
        <v>-9.2205136500000098</v>
      </c>
      <c r="CS27" s="110">
        <v>1.6389999989314677E-5</v>
      </c>
      <c r="CU27" s="110">
        <v>-112.17430999999999</v>
      </c>
      <c r="CV27" s="110">
        <v>-160.24231011000001</v>
      </c>
    </row>
    <row r="28" spans="2:100" x14ac:dyDescent="0.25">
      <c r="B28" s="171" t="s">
        <v>962</v>
      </c>
      <c r="C28" s="172" t="s">
        <v>25</v>
      </c>
      <c r="D28" s="173" t="s">
        <v>943</v>
      </c>
      <c r="E28" s="152">
        <f t="shared" si="0"/>
        <v>4</v>
      </c>
      <c r="F28" s="152" t="str">
        <f t="shared" si="1"/>
        <v/>
      </c>
      <c r="G28" s="153" t="str">
        <f t="shared" si="2"/>
        <v/>
      </c>
      <c r="H28" s="153" t="str">
        <f t="shared" si="3"/>
        <v/>
      </c>
      <c r="I28" s="153">
        <f t="shared" si="4"/>
        <v>4</v>
      </c>
      <c r="J28" s="153" t="str">
        <f t="shared" si="5"/>
        <v/>
      </c>
      <c r="K28" s="154">
        <v>2723.0285244799998</v>
      </c>
      <c r="L28" s="155">
        <v>5446.3614263199997</v>
      </c>
      <c r="N28" s="174">
        <v>-9.6363648599985421</v>
      </c>
      <c r="O28" s="175">
        <v>-50.409899270000011</v>
      </c>
      <c r="P28" s="175">
        <v>-40.773534410001474</v>
      </c>
      <c r="Q28" s="176">
        <v>-1.4973597978665225E-2</v>
      </c>
      <c r="S28" s="177">
        <v>-21.411680553899998</v>
      </c>
      <c r="T28" s="178">
        <v>-10.542999999999999</v>
      </c>
      <c r="U28" s="179">
        <v>-4.9111107499999997</v>
      </c>
      <c r="V28" s="179">
        <v>-3.8108106799999999</v>
      </c>
      <c r="W28" s="179">
        <v>-1.7795808799999997</v>
      </c>
      <c r="X28" s="179">
        <f t="shared" si="6"/>
        <v>-10.868680553899999</v>
      </c>
      <c r="Y28" s="179">
        <v>-3.4355277099999997</v>
      </c>
      <c r="Z28" s="179">
        <v>-5.4248238361000025</v>
      </c>
      <c r="AB28" s="180">
        <v>-102.8608662</v>
      </c>
      <c r="AC28" s="163">
        <f t="shared" si="20"/>
        <v>-127.88683690000011</v>
      </c>
      <c r="AE28" s="181" t="s">
        <v>352</v>
      </c>
      <c r="AF28" s="180">
        <v>11</v>
      </c>
      <c r="AG28" s="180">
        <v>11</v>
      </c>
      <c r="AH28" s="180">
        <v>-1</v>
      </c>
      <c r="AI28" s="180">
        <v>-77</v>
      </c>
      <c r="AJ28" s="163"/>
      <c r="AK28" s="110" t="s">
        <v>944</v>
      </c>
      <c r="AM28" s="164">
        <v>0</v>
      </c>
      <c r="AN28" s="165">
        <v>4.0318710607437622E-2</v>
      </c>
      <c r="AO28" s="164">
        <f t="shared" si="7"/>
        <v>32.254968485950094</v>
      </c>
      <c r="AP28" s="166"/>
      <c r="AQ28" s="166">
        <v>1.0312822522330383</v>
      </c>
      <c r="AR28" s="166">
        <v>1.0265593355317737</v>
      </c>
      <c r="AT28" s="167" t="str">
        <f t="shared" si="8"/>
        <v>?</v>
      </c>
      <c r="AU28" s="168">
        <v>17.330138014677832</v>
      </c>
      <c r="AV28" s="168">
        <v>13.561816525893899</v>
      </c>
      <c r="AW28" s="168">
        <f>AV28</f>
        <v>13.561816525893899</v>
      </c>
      <c r="AX28" s="168">
        <f t="shared" si="9"/>
        <v>11</v>
      </c>
      <c r="AY28" s="168">
        <f t="shared" si="10"/>
        <v>-52.438183474106097</v>
      </c>
      <c r="AZ28" s="168">
        <f t="shared" si="11"/>
        <v>0</v>
      </c>
      <c r="BA28" s="168">
        <f t="shared" si="12"/>
        <v>32.254968485950094</v>
      </c>
      <c r="BB28" s="168">
        <f t="shared" si="13"/>
        <v>-20.183214988156003</v>
      </c>
      <c r="BC28" s="168">
        <f>-BB28</f>
        <v>20.183214988156003</v>
      </c>
      <c r="BD28" s="168">
        <f t="shared" si="14"/>
        <v>0</v>
      </c>
      <c r="BE28" s="168">
        <v>0</v>
      </c>
      <c r="BF28" s="168">
        <v>0</v>
      </c>
      <c r="BG28" s="168">
        <f t="shared" si="15"/>
        <v>0</v>
      </c>
      <c r="BH28" s="168">
        <f t="shared" si="16"/>
        <v>0</v>
      </c>
      <c r="BJ28" s="168">
        <f t="shared" si="17"/>
        <v>-22.992626147054523</v>
      </c>
      <c r="BK28" s="169">
        <f t="shared" si="18"/>
        <v>3.7058163071255093E-3</v>
      </c>
      <c r="BL28" s="170">
        <f t="shared" si="19"/>
        <v>0</v>
      </c>
      <c r="BQ28" s="83" t="s">
        <v>86</v>
      </c>
      <c r="BR28" s="83" t="s">
        <v>87</v>
      </c>
      <c r="BS28" s="83" t="s">
        <v>698</v>
      </c>
      <c r="BT28" s="83" t="s">
        <v>699</v>
      </c>
      <c r="BU28" s="4" t="s">
        <v>901</v>
      </c>
      <c r="BV28" s="229">
        <v>3.3124600000000357</v>
      </c>
      <c r="BW28" s="229">
        <v>0</v>
      </c>
      <c r="BX28" s="229">
        <v>0</v>
      </c>
      <c r="BY28" s="229">
        <v>3.3124600000000357</v>
      </c>
      <c r="CJ28" s="110" t="s">
        <v>46</v>
      </c>
      <c r="CK28" s="110" t="s">
        <v>963</v>
      </c>
      <c r="CL28" s="110">
        <v>-21.662923540000012</v>
      </c>
      <c r="CM28" s="110">
        <v>-62.025584080000016</v>
      </c>
      <c r="CN28" s="110">
        <v>-40.362660540000007</v>
      </c>
      <c r="CO28" s="110">
        <v>-10.001632540000021</v>
      </c>
      <c r="CP28" s="110">
        <v>-10.001864879999891</v>
      </c>
      <c r="CQ28" s="110">
        <v>-2.3233999987049003E-4</v>
      </c>
      <c r="CR28" s="110">
        <v>-8.5659742899999767</v>
      </c>
      <c r="CS28" s="110">
        <v>-3.0984999991778752E-4</v>
      </c>
      <c r="CU28" s="110">
        <v>-68.379000000000005</v>
      </c>
      <c r="CV28" s="110">
        <v>-78.380864879999891</v>
      </c>
    </row>
    <row r="29" spans="2:100" x14ac:dyDescent="0.25">
      <c r="B29" s="171" t="s">
        <v>964</v>
      </c>
      <c r="C29" s="172" t="s">
        <v>29</v>
      </c>
      <c r="D29" s="173" t="s">
        <v>965</v>
      </c>
      <c r="E29" s="152">
        <f t="shared" si="0"/>
        <v>4</v>
      </c>
      <c r="F29" s="152" t="str">
        <f t="shared" si="1"/>
        <v/>
      </c>
      <c r="G29" s="153" t="str">
        <f t="shared" si="2"/>
        <v/>
      </c>
      <c r="H29" s="153" t="str">
        <f t="shared" si="3"/>
        <v/>
      </c>
      <c r="I29" s="153">
        <f t="shared" si="4"/>
        <v>4</v>
      </c>
      <c r="J29" s="153" t="str">
        <f t="shared" si="5"/>
        <v/>
      </c>
      <c r="K29" s="154">
        <v>3283.8780479099996</v>
      </c>
      <c r="L29" s="155">
        <v>6433.0110000000004</v>
      </c>
      <c r="N29" s="174">
        <v>-71.477467609998854</v>
      </c>
      <c r="O29" s="175">
        <v>-128.20302300999953</v>
      </c>
      <c r="P29" s="175">
        <v>-56.725555400000687</v>
      </c>
      <c r="Q29" s="176">
        <v>-1.7273953104349673E-2</v>
      </c>
      <c r="S29" s="177">
        <v>-11.034396444730001</v>
      </c>
      <c r="T29" s="178">
        <v>-3.6749999999999998</v>
      </c>
      <c r="U29" s="179">
        <v>-21.945118950000001</v>
      </c>
      <c r="V29" s="179">
        <v>-15.147325839999999</v>
      </c>
      <c r="W29" s="179">
        <v>1.5794270000000008</v>
      </c>
      <c r="X29" s="179">
        <f t="shared" si="6"/>
        <v>-7.3593964447300015</v>
      </c>
      <c r="Y29" s="179">
        <v>-2.7928054200000001</v>
      </c>
      <c r="Z29" s="179">
        <v>-7.3853357452699981</v>
      </c>
      <c r="AB29" s="180">
        <v>-139.292</v>
      </c>
      <c r="AC29" s="163">
        <f t="shared" si="20"/>
        <v>-190.46226633999987</v>
      </c>
      <c r="AE29" s="180">
        <v>13</v>
      </c>
      <c r="AF29" s="180">
        <v>20</v>
      </c>
      <c r="AG29" s="180">
        <v>20</v>
      </c>
      <c r="AH29" s="180"/>
      <c r="AI29" s="180">
        <v>-178</v>
      </c>
      <c r="AJ29" s="163"/>
      <c r="AK29" s="110" t="s">
        <v>966</v>
      </c>
      <c r="AM29" s="164">
        <v>16.618156445509197</v>
      </c>
      <c r="AN29" s="165">
        <v>5.1555662358923789E-2</v>
      </c>
      <c r="AO29" s="164">
        <f t="shared" si="7"/>
        <v>41.244529887139031</v>
      </c>
      <c r="AP29" s="166"/>
      <c r="AQ29" s="166">
        <v>1.006785094070229</v>
      </c>
      <c r="AR29" s="166">
        <v>1.0293154123358572</v>
      </c>
      <c r="AT29" s="167">
        <f t="shared" si="8"/>
        <v>13</v>
      </c>
      <c r="AU29" s="168">
        <v>23.048136239061765</v>
      </c>
      <c r="AV29" s="168">
        <v>20.172647146728487</v>
      </c>
      <c r="AW29" s="168">
        <f>AU29</f>
        <v>23.048136239061765</v>
      </c>
      <c r="AX29" s="168">
        <f t="shared" si="9"/>
        <v>20</v>
      </c>
      <c r="AY29" s="168">
        <f t="shared" si="10"/>
        <v>-134.95186376093824</v>
      </c>
      <c r="AZ29" s="168">
        <f t="shared" si="11"/>
        <v>16.618156445509197</v>
      </c>
      <c r="BA29" s="168">
        <f t="shared" si="12"/>
        <v>41.244529887139031</v>
      </c>
      <c r="BB29" s="168">
        <f t="shared" si="13"/>
        <v>-77.089177428290014</v>
      </c>
      <c r="BC29" s="168">
        <f>BE29-BB29</f>
        <v>26.089177428290014</v>
      </c>
      <c r="BD29" s="168">
        <f t="shared" si="14"/>
        <v>-51</v>
      </c>
      <c r="BE29" s="168">
        <v>-51</v>
      </c>
      <c r="BF29" s="168">
        <v>0</v>
      </c>
      <c r="BG29" s="168">
        <f t="shared" si="15"/>
        <v>-51</v>
      </c>
      <c r="BH29" s="168">
        <f t="shared" si="16"/>
        <v>0</v>
      </c>
      <c r="BJ29" s="168">
        <f t="shared" si="17"/>
        <v>-25.201487280469806</v>
      </c>
      <c r="BK29" s="169">
        <f t="shared" si="18"/>
        <v>4.0555157496683925E-3</v>
      </c>
      <c r="BL29" s="170">
        <f t="shared" si="19"/>
        <v>0</v>
      </c>
      <c r="BQ29" s="83" t="s">
        <v>86</v>
      </c>
      <c r="BR29" s="83" t="s">
        <v>87</v>
      </c>
      <c r="BS29" s="83" t="s">
        <v>700</v>
      </c>
      <c r="BT29" s="83" t="s">
        <v>701</v>
      </c>
      <c r="BU29" s="4" t="s">
        <v>901</v>
      </c>
      <c r="BV29" s="229">
        <v>-2.8540000000000001</v>
      </c>
      <c r="BW29" s="229">
        <v>-31.5</v>
      </c>
      <c r="BX29" s="229">
        <v>0</v>
      </c>
      <c r="BY29" s="229">
        <v>-34.353999999999999</v>
      </c>
      <c r="CJ29" s="110" t="s">
        <v>48</v>
      </c>
      <c r="CK29" s="110" t="s">
        <v>967</v>
      </c>
      <c r="CL29" s="110">
        <v>-30.488999999999997</v>
      </c>
      <c r="CM29" s="110">
        <v>-38.063766880000003</v>
      </c>
      <c r="CN29" s="110">
        <v>-7.5747668800000056</v>
      </c>
      <c r="CO29" s="110">
        <v>-15.427999999999999</v>
      </c>
      <c r="CP29" s="110">
        <v>-15.427692010000023</v>
      </c>
      <c r="CQ29" s="110">
        <v>3.0798999997649901E-4</v>
      </c>
      <c r="CR29" s="110">
        <v>-2.450889620000007</v>
      </c>
      <c r="CS29" s="110">
        <v>1.1688999995885813E-4</v>
      </c>
      <c r="CU29" s="110">
        <v>-39.377000000000002</v>
      </c>
      <c r="CV29" s="110">
        <v>-54.804692010000025</v>
      </c>
    </row>
    <row r="30" spans="2:100" x14ac:dyDescent="0.25">
      <c r="B30" s="171" t="s">
        <v>968</v>
      </c>
      <c r="C30" s="172" t="s">
        <v>76</v>
      </c>
      <c r="D30" s="173" t="s">
        <v>916</v>
      </c>
      <c r="E30" s="152">
        <f t="shared" si="0"/>
        <v>4</v>
      </c>
      <c r="F30" s="152" t="str">
        <f t="shared" si="1"/>
        <v/>
      </c>
      <c r="G30" s="153" t="str">
        <f t="shared" si="2"/>
        <v/>
      </c>
      <c r="H30" s="153" t="str">
        <f t="shared" si="3"/>
        <v/>
      </c>
      <c r="I30" s="153">
        <f t="shared" si="4"/>
        <v>4</v>
      </c>
      <c r="J30" s="153" t="str">
        <f t="shared" si="5"/>
        <v/>
      </c>
      <c r="K30" s="154">
        <v>2293.99767479</v>
      </c>
      <c r="L30" s="155">
        <v>4546.5300010000001</v>
      </c>
      <c r="N30" s="174">
        <v>-5.3179850000015474</v>
      </c>
      <c r="O30" s="175">
        <v>-88.411179799999701</v>
      </c>
      <c r="P30" s="175">
        <v>-83.093194799998173</v>
      </c>
      <c r="Q30" s="176">
        <v>-3.6222004805477756E-2</v>
      </c>
      <c r="S30" s="177">
        <v>-27.446799403299998</v>
      </c>
      <c r="T30" s="178">
        <v>-9.7072594293000005</v>
      </c>
      <c r="U30" s="179">
        <v>-11.479990820000001</v>
      </c>
      <c r="V30" s="179">
        <v>-8.3784942999999998</v>
      </c>
      <c r="W30" s="179">
        <v>12.533189999300001</v>
      </c>
      <c r="X30" s="179">
        <f t="shared" si="6"/>
        <v>-17.739539973999996</v>
      </c>
      <c r="Y30" s="179">
        <v>-14.67657166</v>
      </c>
      <c r="Z30" s="179">
        <v>-33.644528615999995</v>
      </c>
      <c r="AB30" s="180">
        <v>-54.9</v>
      </c>
      <c r="AC30" s="163">
        <f t="shared" si="20"/>
        <v>-54.878945179999981</v>
      </c>
      <c r="AE30" s="180">
        <v>12.5</v>
      </c>
      <c r="AF30" s="180">
        <v>17.7</v>
      </c>
      <c r="AG30" s="180">
        <f>AF30</f>
        <v>17.7</v>
      </c>
      <c r="AH30" s="180"/>
      <c r="AI30" s="180">
        <f>-117.3-AE30</f>
        <v>-129.80000000000001</v>
      </c>
      <c r="AK30" s="110" t="s">
        <v>917</v>
      </c>
      <c r="AM30" s="164">
        <v>48.925245550231573</v>
      </c>
      <c r="AN30" s="165">
        <v>3.8784745188330083E-2</v>
      </c>
      <c r="AO30" s="164">
        <f t="shared" si="7"/>
        <v>31.027796150664066</v>
      </c>
      <c r="AP30" s="166"/>
      <c r="AQ30" s="166">
        <v>1.039613768233943</v>
      </c>
      <c r="AR30" s="166">
        <v>1.1479585548998847</v>
      </c>
      <c r="AT30" s="167">
        <f t="shared" si="8"/>
        <v>12.5</v>
      </c>
      <c r="AU30" s="168">
        <v>3.5294020458916169</v>
      </c>
      <c r="AV30" s="168">
        <v>-3.5749288449637011</v>
      </c>
      <c r="AW30" s="168">
        <v>8</v>
      </c>
      <c r="AX30" s="168">
        <f t="shared" si="9"/>
        <v>17.7</v>
      </c>
      <c r="AY30" s="168">
        <f t="shared" si="10"/>
        <v>-104.10000000000001</v>
      </c>
      <c r="AZ30" s="168">
        <f t="shared" si="11"/>
        <v>48.925245550231573</v>
      </c>
      <c r="BA30" s="168">
        <f t="shared" si="12"/>
        <v>31.027796150664066</v>
      </c>
      <c r="BB30" s="168">
        <f t="shared" si="13"/>
        <v>-24.146958299104369</v>
      </c>
      <c r="BC30" s="168">
        <f>-BB30</f>
        <v>24.146958299104369</v>
      </c>
      <c r="BD30" s="168">
        <f t="shared" si="14"/>
        <v>0</v>
      </c>
      <c r="BE30" s="168">
        <v>0</v>
      </c>
      <c r="BF30" s="168">
        <v>0</v>
      </c>
      <c r="BG30" s="168">
        <f t="shared" si="15"/>
        <v>0</v>
      </c>
      <c r="BH30" s="168">
        <f t="shared" si="16"/>
        <v>0</v>
      </c>
      <c r="BJ30" s="168">
        <f t="shared" si="17"/>
        <v>-61.39319479999817</v>
      </c>
      <c r="BK30" s="169">
        <f t="shared" si="18"/>
        <v>5.3110742244730147E-3</v>
      </c>
      <c r="BL30" s="170">
        <f t="shared" si="19"/>
        <v>0</v>
      </c>
      <c r="BQ30" s="83" t="s">
        <v>86</v>
      </c>
      <c r="BR30" s="83" t="s">
        <v>87</v>
      </c>
      <c r="BS30" s="83" t="s">
        <v>702</v>
      </c>
      <c r="BT30" s="83" t="s">
        <v>703</v>
      </c>
      <c r="BU30" s="4" t="s">
        <v>901</v>
      </c>
      <c r="BV30" s="229">
        <v>-10.05175</v>
      </c>
      <c r="BW30" s="229">
        <v>-5.3108000000000004</v>
      </c>
      <c r="BX30" s="229">
        <v>0</v>
      </c>
      <c r="BY30" s="229">
        <v>-15.362550000000001</v>
      </c>
      <c r="CJ30" s="110" t="s">
        <v>66</v>
      </c>
      <c r="CK30" s="110" t="s">
        <v>969</v>
      </c>
      <c r="CL30" s="110">
        <v>-22.088498000000001</v>
      </c>
      <c r="CM30" s="110">
        <v>-44.971633169999969</v>
      </c>
      <c r="CN30" s="110">
        <v>-22.883135169999967</v>
      </c>
      <c r="CO30" s="110">
        <v>-40.320999999999998</v>
      </c>
      <c r="CP30" s="110">
        <v>-40.320898789999916</v>
      </c>
      <c r="CQ30" s="110">
        <v>1.0121000008211922E-4</v>
      </c>
      <c r="CR30" s="110">
        <v>-3.0202056899998899</v>
      </c>
      <c r="CS30" s="110">
        <v>-3.7969999985489262E-4</v>
      </c>
      <c r="CU30" s="110">
        <v>-60.165999999999997</v>
      </c>
      <c r="CV30" s="110">
        <v>-100.48689878999991</v>
      </c>
    </row>
    <row r="31" spans="2:100" x14ac:dyDescent="0.25">
      <c r="B31" s="185" t="s">
        <v>970</v>
      </c>
      <c r="C31" s="172" t="s">
        <v>82</v>
      </c>
      <c r="D31" s="173" t="s">
        <v>916</v>
      </c>
      <c r="E31" s="152">
        <f t="shared" si="0"/>
        <v>4</v>
      </c>
      <c r="F31" s="152" t="str">
        <f t="shared" si="1"/>
        <v/>
      </c>
      <c r="G31" s="153" t="str">
        <f t="shared" si="2"/>
        <v/>
      </c>
      <c r="H31" s="153" t="str">
        <f t="shared" si="3"/>
        <v/>
      </c>
      <c r="I31" s="153">
        <f t="shared" si="4"/>
        <v>4</v>
      </c>
      <c r="J31" s="153" t="str">
        <f t="shared" si="5"/>
        <v/>
      </c>
      <c r="K31" s="154">
        <v>1617.34428</v>
      </c>
      <c r="L31" s="155">
        <v>3282.03</v>
      </c>
      <c r="N31" s="174">
        <v>-71.498695480000066</v>
      </c>
      <c r="O31" s="175">
        <v>-79.470362648301915</v>
      </c>
      <c r="P31" s="175">
        <v>-7.9716671683018596</v>
      </c>
      <c r="Q31" s="176">
        <v>-4.9288622508386771E-3</v>
      </c>
      <c r="S31" s="177">
        <v>-3.9306124983999995</v>
      </c>
      <c r="T31" s="178">
        <v>0</v>
      </c>
      <c r="U31" s="179">
        <v>-4.7493041700000003</v>
      </c>
      <c r="V31" s="179">
        <v>1.8252334399999999</v>
      </c>
      <c r="W31" s="179">
        <v>15.518323560000001</v>
      </c>
      <c r="X31" s="179">
        <f t="shared" si="6"/>
        <v>-3.9306124983999995</v>
      </c>
      <c r="Y31" s="179">
        <v>-2.985397131</v>
      </c>
      <c r="Z31" s="179">
        <v>-13.649910369600004</v>
      </c>
      <c r="AB31" s="180">
        <v>0</v>
      </c>
      <c r="AC31" s="163">
        <f t="shared" si="20"/>
        <v>-81.578551270000048</v>
      </c>
      <c r="AE31" s="180">
        <v>7.7</v>
      </c>
      <c r="AF31" s="180">
        <v>14.3</v>
      </c>
      <c r="AG31" s="180">
        <f>AF31</f>
        <v>14.3</v>
      </c>
      <c r="AH31" s="180"/>
      <c r="AI31" s="180">
        <f>-139.7-AE31</f>
        <v>-147.39999999999998</v>
      </c>
      <c r="AJ31" s="163"/>
      <c r="AK31" s="110" t="s">
        <v>917</v>
      </c>
      <c r="AM31" s="164">
        <v>0</v>
      </c>
      <c r="AN31" s="165">
        <v>3.1855929100621842E-2</v>
      </c>
      <c r="AO31" s="164">
        <f t="shared" si="7"/>
        <v>25.484743280497472</v>
      </c>
      <c r="AP31" s="166"/>
      <c r="AQ31" s="166">
        <v>1.0487500000000003</v>
      </c>
      <c r="AR31" s="166">
        <v>1.0442161509170942</v>
      </c>
      <c r="AT31" s="167">
        <f t="shared" si="8"/>
        <v>7.7</v>
      </c>
      <c r="AU31" s="168">
        <v>5.0699444830422058</v>
      </c>
      <c r="AV31" s="168">
        <v>1.48077176201257</v>
      </c>
      <c r="AW31" s="168">
        <v>6.384972241521103</v>
      </c>
      <c r="AX31" s="168">
        <f t="shared" si="9"/>
        <v>14.3</v>
      </c>
      <c r="AY31" s="168">
        <f t="shared" si="10"/>
        <v>-126.71502775847888</v>
      </c>
      <c r="AZ31" s="184">
        <f t="shared" si="11"/>
        <v>0</v>
      </c>
      <c r="BA31" s="184">
        <f t="shared" si="12"/>
        <v>25.484743280497472</v>
      </c>
      <c r="BB31" s="184">
        <f t="shared" si="13"/>
        <v>-101.23028447798141</v>
      </c>
      <c r="BC31" s="184">
        <f>BE31-BB31</f>
        <v>20.230284477981414</v>
      </c>
      <c r="BD31" s="184">
        <f t="shared" si="14"/>
        <v>-81</v>
      </c>
      <c r="BE31" s="184">
        <v>-81</v>
      </c>
      <c r="BF31" s="184"/>
      <c r="BG31" s="184">
        <f t="shared" si="15"/>
        <v>-81</v>
      </c>
      <c r="BH31" s="184">
        <f t="shared" si="16"/>
        <v>0</v>
      </c>
      <c r="BJ31" s="168">
        <f t="shared" si="17"/>
        <v>9.5208189524586935</v>
      </c>
      <c r="BK31" s="186">
        <f t="shared" si="18"/>
        <v>6.1639547712791813E-3</v>
      </c>
      <c r="BL31" s="170">
        <f t="shared" si="19"/>
        <v>0</v>
      </c>
      <c r="BQ31" s="83" t="s">
        <v>62</v>
      </c>
      <c r="BR31" s="83" t="s">
        <v>63</v>
      </c>
      <c r="BS31" s="83" t="s">
        <v>718</v>
      </c>
      <c r="BT31" s="83" t="s">
        <v>719</v>
      </c>
      <c r="BU31" s="4" t="s">
        <v>901</v>
      </c>
      <c r="BV31" s="229">
        <v>0</v>
      </c>
      <c r="BW31" s="229">
        <v>0</v>
      </c>
      <c r="BX31" s="229">
        <v>0</v>
      </c>
      <c r="BY31" s="229">
        <v>0</v>
      </c>
      <c r="CJ31" s="110" t="s">
        <v>68</v>
      </c>
      <c r="CK31" s="110" t="s">
        <v>971</v>
      </c>
      <c r="CL31" s="110">
        <v>-13.975640800000015</v>
      </c>
      <c r="CM31" s="110">
        <v>-25.282244719999984</v>
      </c>
      <c r="CN31" s="110">
        <v>-11.306603919999969</v>
      </c>
      <c r="CO31" s="110">
        <v>3.5901999997440723E-4</v>
      </c>
      <c r="CP31" s="110">
        <v>2.957700001509488E-4</v>
      </c>
      <c r="CQ31" s="110">
        <v>-6.3249999823458431E-5</v>
      </c>
      <c r="CR31" s="110">
        <v>-0.55993418000004125</v>
      </c>
      <c r="CS31" s="110">
        <v>-7.9664199998309825E-3</v>
      </c>
      <c r="CU31" s="110">
        <v>-55.506999999999998</v>
      </c>
      <c r="CV31" s="110">
        <v>-55.506704229999848</v>
      </c>
    </row>
    <row r="32" spans="2:100" x14ac:dyDescent="0.25">
      <c r="B32" s="185" t="s">
        <v>972</v>
      </c>
      <c r="C32" s="172" t="s">
        <v>90</v>
      </c>
      <c r="D32" s="173" t="s">
        <v>949</v>
      </c>
      <c r="E32" s="152">
        <f t="shared" si="0"/>
        <v>4</v>
      </c>
      <c r="F32" s="152" t="str">
        <f t="shared" si="1"/>
        <v/>
      </c>
      <c r="G32" s="153" t="str">
        <f t="shared" si="2"/>
        <v/>
      </c>
      <c r="H32" s="153" t="str">
        <f t="shared" si="3"/>
        <v/>
      </c>
      <c r="I32" s="153">
        <f t="shared" si="4"/>
        <v>4</v>
      </c>
      <c r="J32" s="153" t="str">
        <f t="shared" si="5"/>
        <v/>
      </c>
      <c r="K32" s="154">
        <v>1973.68148692</v>
      </c>
      <c r="L32" s="155">
        <v>3925.6509999999998</v>
      </c>
      <c r="N32" s="174">
        <v>-103.14384893999944</v>
      </c>
      <c r="O32" s="175">
        <v>-136.99293949199915</v>
      </c>
      <c r="P32" s="175">
        <v>-33.849090551999709</v>
      </c>
      <c r="Q32" s="176">
        <v>-1.7150229546319763E-2</v>
      </c>
      <c r="S32" s="177">
        <v>9.1671037487999989</v>
      </c>
      <c r="T32" s="178">
        <v>10.972</v>
      </c>
      <c r="U32" s="179">
        <v>-16.791079509999999</v>
      </c>
      <c r="V32" s="179">
        <v>-6.5233877900000001</v>
      </c>
      <c r="W32" s="179">
        <v>7.0505991200000002</v>
      </c>
      <c r="X32" s="179">
        <f t="shared" si="6"/>
        <v>-1.8048962512000006</v>
      </c>
      <c r="Y32" s="179">
        <v>-3.15512718</v>
      </c>
      <c r="Z32" s="179">
        <v>-23.597198940799998</v>
      </c>
      <c r="AB32" s="180">
        <v>-135.52199999999999</v>
      </c>
      <c r="AC32" s="163">
        <f t="shared" si="20"/>
        <v>-240.89624117999995</v>
      </c>
      <c r="AE32" s="180">
        <v>15</v>
      </c>
      <c r="AF32" s="180">
        <v>10</v>
      </c>
      <c r="AG32" s="180">
        <v>10</v>
      </c>
      <c r="AH32" s="180" t="s">
        <v>973</v>
      </c>
      <c r="AI32" s="180">
        <v>-200</v>
      </c>
      <c r="AJ32" s="163"/>
      <c r="AK32" s="110" t="s">
        <v>974</v>
      </c>
      <c r="AM32" s="164">
        <v>12.590025677523196</v>
      </c>
      <c r="AN32" s="165">
        <v>3.2948425565288667E-2</v>
      </c>
      <c r="AO32" s="164">
        <f t="shared" si="7"/>
        <v>26.358740452230933</v>
      </c>
      <c r="AP32" s="166"/>
      <c r="AQ32" s="166">
        <v>1.0487500000000005</v>
      </c>
      <c r="AR32" s="166">
        <v>1.0740118682494648</v>
      </c>
      <c r="AT32" s="167">
        <f t="shared" si="8"/>
        <v>15</v>
      </c>
      <c r="AU32" s="168">
        <v>19.897205476920412</v>
      </c>
      <c r="AV32" s="168">
        <v>17.577490896126438</v>
      </c>
      <c r="AW32" s="168">
        <f>AU32</f>
        <v>19.897205476920412</v>
      </c>
      <c r="AX32" s="168">
        <f t="shared" si="9"/>
        <v>10</v>
      </c>
      <c r="AY32" s="168">
        <f t="shared" si="10"/>
        <v>-170.10279452307958</v>
      </c>
      <c r="AZ32" s="168">
        <f t="shared" si="11"/>
        <v>12.590025677523196</v>
      </c>
      <c r="BA32" s="168">
        <f t="shared" si="12"/>
        <v>26.358740452230933</v>
      </c>
      <c r="BB32" s="168">
        <f t="shared" si="13"/>
        <v>-131.15402839332546</v>
      </c>
      <c r="BC32" s="168">
        <f>BE32-BB32</f>
        <v>26.154028393325461</v>
      </c>
      <c r="BD32" s="168">
        <f t="shared" si="14"/>
        <v>-105</v>
      </c>
      <c r="BE32" s="168">
        <v>-105</v>
      </c>
      <c r="BF32" s="168">
        <v>0</v>
      </c>
      <c r="BG32" s="168">
        <f t="shared" si="15"/>
        <v>-105</v>
      </c>
      <c r="BH32" s="168">
        <f t="shared" si="16"/>
        <v>0</v>
      </c>
      <c r="BJ32" s="168">
        <f t="shared" si="17"/>
        <v>-13.900487813539502</v>
      </c>
      <c r="BK32" s="186">
        <f t="shared" si="18"/>
        <v>6.6623417092669373E-3</v>
      </c>
      <c r="BL32" s="170">
        <f t="shared" si="19"/>
        <v>0</v>
      </c>
      <c r="BQ32" s="83" t="s">
        <v>62</v>
      </c>
      <c r="BR32" s="83" t="s">
        <v>63</v>
      </c>
      <c r="BS32" s="83" t="s">
        <v>720</v>
      </c>
      <c r="BT32" s="83" t="s">
        <v>721</v>
      </c>
      <c r="BU32" s="4" t="s">
        <v>901</v>
      </c>
      <c r="BV32" s="229">
        <v>0</v>
      </c>
      <c r="BW32" s="229">
        <v>0</v>
      </c>
      <c r="BX32" s="229">
        <v>0</v>
      </c>
      <c r="BY32" s="229">
        <v>0</v>
      </c>
      <c r="CJ32" s="110" t="s">
        <v>74</v>
      </c>
      <c r="CK32" s="110" t="s">
        <v>975</v>
      </c>
      <c r="CL32" s="110">
        <v>-56.820883949999995</v>
      </c>
      <c r="CM32" s="110">
        <v>-87.55762057999992</v>
      </c>
      <c r="CN32" s="110">
        <v>-30.736736629999925</v>
      </c>
      <c r="CO32" s="110">
        <v>7.8544000001379288E-4</v>
      </c>
      <c r="CP32" s="110">
        <v>-1.2726999993617483E-4</v>
      </c>
      <c r="CQ32" s="110">
        <v>-9.1270999994996771E-4</v>
      </c>
      <c r="CR32" s="110">
        <v>-1.1215669899999869</v>
      </c>
      <c r="CS32" s="110">
        <v>-3.5670999990179551E-4</v>
      </c>
      <c r="CU32" s="110">
        <v>-72.654648117022916</v>
      </c>
      <c r="CV32" s="110">
        <v>-72.654775387022852</v>
      </c>
    </row>
    <row r="33" spans="2:100" x14ac:dyDescent="0.25">
      <c r="B33" s="185" t="s">
        <v>976</v>
      </c>
      <c r="C33" s="172" t="s">
        <v>48</v>
      </c>
      <c r="D33" s="173" t="s">
        <v>922</v>
      </c>
      <c r="E33" s="152">
        <f t="shared" si="0"/>
        <v>4</v>
      </c>
      <c r="F33" s="152" t="str">
        <f t="shared" si="1"/>
        <v/>
      </c>
      <c r="G33" s="153" t="str">
        <f t="shared" si="2"/>
        <v/>
      </c>
      <c r="H33" s="153" t="str">
        <f t="shared" si="3"/>
        <v/>
      </c>
      <c r="I33" s="153">
        <f t="shared" si="4"/>
        <v>4</v>
      </c>
      <c r="J33" s="153" t="str">
        <f t="shared" si="5"/>
        <v/>
      </c>
      <c r="K33" s="154">
        <v>868.31459701999995</v>
      </c>
      <c r="L33" s="155">
        <v>1733.7724129999999</v>
      </c>
      <c r="N33" s="174">
        <v>-30.489000000000207</v>
      </c>
      <c r="O33" s="175">
        <v>-38.063766880001076</v>
      </c>
      <c r="P33" s="175">
        <v>-7.5747668800008636</v>
      </c>
      <c r="Q33" s="176">
        <v>-8.7235282073996889E-3</v>
      </c>
      <c r="S33" s="177">
        <v>5.8137892410000012</v>
      </c>
      <c r="T33" s="178">
        <v>0.32600000000000001</v>
      </c>
      <c r="U33" s="179">
        <v>-9.0831953099999989</v>
      </c>
      <c r="V33" s="179">
        <v>0.1683231</v>
      </c>
      <c r="W33" s="179">
        <v>0.30050138999999759</v>
      </c>
      <c r="X33" s="179">
        <f t="shared" si="6"/>
        <v>5.4877892410000015</v>
      </c>
      <c r="Y33" s="179">
        <v>3.8262771099999999</v>
      </c>
      <c r="Z33" s="179">
        <v>-8.6004624110000023</v>
      </c>
      <c r="AB33" s="180">
        <v>-39.377000000000002</v>
      </c>
      <c r="AC33" s="163">
        <f t="shared" si="20"/>
        <v>-54.804692010000025</v>
      </c>
      <c r="AE33" s="180">
        <v>10</v>
      </c>
      <c r="AF33" s="180">
        <v>2</v>
      </c>
      <c r="AG33" s="180">
        <v>2</v>
      </c>
      <c r="AH33" s="180"/>
      <c r="AI33" s="180">
        <v>-50</v>
      </c>
      <c r="AJ33" s="163"/>
      <c r="AM33" s="164">
        <v>5.7025665540640951</v>
      </c>
      <c r="AN33" s="165">
        <v>6.7548015686518057E-3</v>
      </c>
      <c r="AO33" s="164">
        <f t="shared" si="7"/>
        <v>5.4038412549214447</v>
      </c>
      <c r="AP33" s="166"/>
      <c r="AQ33" s="166">
        <v>1</v>
      </c>
      <c r="AR33" s="166">
        <v>1.0277269312107111</v>
      </c>
      <c r="AT33" s="167">
        <f t="shared" si="8"/>
        <v>10</v>
      </c>
      <c r="AU33" s="168">
        <v>7.2289679918453631</v>
      </c>
      <c r="AV33" s="168">
        <v>6.7829683712547304</v>
      </c>
      <c r="AW33" s="168">
        <f>AU33</f>
        <v>7.2289679918453631</v>
      </c>
      <c r="AX33" s="168">
        <f t="shared" si="9"/>
        <v>2</v>
      </c>
      <c r="AY33" s="168">
        <f t="shared" si="10"/>
        <v>-40.771032008154634</v>
      </c>
      <c r="AZ33" s="168">
        <f t="shared" si="11"/>
        <v>5.7025665540640951</v>
      </c>
      <c r="BA33" s="168">
        <f t="shared" si="12"/>
        <v>5.4038412549214447</v>
      </c>
      <c r="BB33" s="168">
        <f t="shared" si="13"/>
        <v>-29.664624199169097</v>
      </c>
      <c r="BC33" s="168">
        <f>BE33-BB33</f>
        <v>14.664624199169097</v>
      </c>
      <c r="BD33" s="168">
        <f t="shared" si="14"/>
        <v>-15</v>
      </c>
      <c r="BE33" s="168">
        <v>-15</v>
      </c>
      <c r="BF33" s="168">
        <v>0</v>
      </c>
      <c r="BG33" s="168">
        <f t="shared" si="15"/>
        <v>-15</v>
      </c>
      <c r="BH33" s="168">
        <f t="shared" si="16"/>
        <v>0</v>
      </c>
      <c r="BJ33" s="168">
        <f t="shared" si="17"/>
        <v>-1.9602828840781821</v>
      </c>
      <c r="BK33" s="186">
        <f t="shared" si="18"/>
        <v>8.4582175199076123E-3</v>
      </c>
      <c r="BL33" s="170">
        <f t="shared" si="19"/>
        <v>0</v>
      </c>
      <c r="BQ33" s="83" t="s">
        <v>62</v>
      </c>
      <c r="BR33" s="83" t="s">
        <v>63</v>
      </c>
      <c r="BS33" s="83" t="s">
        <v>722</v>
      </c>
      <c r="BT33" s="83" t="s">
        <v>723</v>
      </c>
      <c r="BU33" s="4" t="s">
        <v>901</v>
      </c>
      <c r="BV33" s="229">
        <v>0</v>
      </c>
      <c r="BW33" s="229">
        <v>0</v>
      </c>
      <c r="BX33" s="229">
        <v>0</v>
      </c>
      <c r="BY33" s="229">
        <v>0</v>
      </c>
      <c r="CJ33" s="110" t="s">
        <v>21</v>
      </c>
      <c r="CK33" s="110" t="s">
        <v>977</v>
      </c>
      <c r="CL33" s="110">
        <v>-44.20118269999999</v>
      </c>
      <c r="CM33" s="110">
        <v>-65.689669510000058</v>
      </c>
      <c r="CN33" s="110">
        <v>-21.488486810000069</v>
      </c>
      <c r="CO33" s="110">
        <v>-49.872999990000075</v>
      </c>
      <c r="CP33" s="110">
        <v>-49.872052110000489</v>
      </c>
      <c r="CQ33" s="110">
        <v>9.478799995861209E-4</v>
      </c>
      <c r="CR33" s="110">
        <v>5.2163008499999339</v>
      </c>
      <c r="CS33" s="110">
        <v>-6.0458800004496421E-3</v>
      </c>
      <c r="CU33" s="110">
        <v>-90.317999999999998</v>
      </c>
      <c r="CV33" s="110">
        <v>-140.19005211000049</v>
      </c>
    </row>
    <row r="34" spans="2:100" x14ac:dyDescent="0.25">
      <c r="B34" s="185" t="s">
        <v>978</v>
      </c>
      <c r="C34" s="172" t="s">
        <v>100</v>
      </c>
      <c r="D34" s="173" t="s">
        <v>925</v>
      </c>
      <c r="E34" s="152">
        <f t="shared" si="0"/>
        <v>4</v>
      </c>
      <c r="F34" s="152" t="str">
        <f t="shared" si="1"/>
        <v/>
      </c>
      <c r="G34" s="153" t="str">
        <f t="shared" si="2"/>
        <v/>
      </c>
      <c r="H34" s="153" t="str">
        <f t="shared" si="3"/>
        <v/>
      </c>
      <c r="I34" s="153">
        <f t="shared" si="4"/>
        <v>4</v>
      </c>
      <c r="J34" s="153" t="str">
        <f t="shared" si="5"/>
        <v/>
      </c>
      <c r="K34" s="154">
        <v>956.64490717000012</v>
      </c>
      <c r="L34" s="155">
        <v>1900.3040000000001</v>
      </c>
      <c r="N34" s="174">
        <v>-11.177709169999961</v>
      </c>
      <c r="O34" s="175">
        <v>-31.661652335300435</v>
      </c>
      <c r="P34" s="175">
        <v>-20.483943165300477</v>
      </c>
      <c r="Q34" s="176">
        <v>-2.1412274305517613E-2</v>
      </c>
      <c r="S34" s="177">
        <v>1.157542015299998</v>
      </c>
      <c r="T34" s="178">
        <v>3.408046E-2</v>
      </c>
      <c r="U34" s="179">
        <v>-6.2491569399999998</v>
      </c>
      <c r="V34" s="179">
        <v>-2.7381660299999999</v>
      </c>
      <c r="W34" s="179">
        <v>2.5022425099999999</v>
      </c>
      <c r="X34" s="179">
        <f t="shared" si="6"/>
        <v>1.123461555299998</v>
      </c>
      <c r="Y34" s="179">
        <v>-1.80893156</v>
      </c>
      <c r="Z34" s="179">
        <v>-13.3474731603</v>
      </c>
      <c r="AB34" s="180">
        <v>-41.99</v>
      </c>
      <c r="AC34" s="163">
        <f t="shared" si="20"/>
        <v>-41.990409050000018</v>
      </c>
      <c r="AE34" s="180">
        <v>6</v>
      </c>
      <c r="AF34" s="180">
        <v>10</v>
      </c>
      <c r="AG34" s="180">
        <v>10</v>
      </c>
      <c r="AH34" s="180"/>
      <c r="AI34" s="180">
        <v>-45</v>
      </c>
      <c r="AJ34" s="163"/>
      <c r="AK34" s="110" t="s">
        <v>979</v>
      </c>
      <c r="AM34" s="164">
        <v>1.2223512501464189</v>
      </c>
      <c r="AN34" s="165">
        <v>1.3504499693836942E-2</v>
      </c>
      <c r="AO34" s="164">
        <f t="shared" si="7"/>
        <v>10.803599755069554</v>
      </c>
      <c r="AP34" s="166"/>
      <c r="AQ34" s="166">
        <v>1.0487500000000001</v>
      </c>
      <c r="AR34" s="166">
        <v>1.0535427923853988</v>
      </c>
      <c r="AT34" s="167">
        <f t="shared" si="8"/>
        <v>6</v>
      </c>
      <c r="AU34" s="168">
        <v>7.5033832222639738</v>
      </c>
      <c r="AV34" s="168">
        <v>7.0055616071758173</v>
      </c>
      <c r="AW34" s="168">
        <v>6</v>
      </c>
      <c r="AX34" s="168">
        <f t="shared" si="9"/>
        <v>10</v>
      </c>
      <c r="AY34" s="168">
        <f t="shared" si="10"/>
        <v>-29</v>
      </c>
      <c r="AZ34" s="168">
        <f t="shared" si="11"/>
        <v>1.2223512501464189</v>
      </c>
      <c r="BA34" s="168">
        <f t="shared" si="12"/>
        <v>10.803599755069554</v>
      </c>
      <c r="BB34" s="168">
        <f t="shared" si="13"/>
        <v>-16.974048994784027</v>
      </c>
      <c r="BC34" s="168">
        <f>-BB34</f>
        <v>16.974048994784027</v>
      </c>
      <c r="BD34" s="168">
        <f t="shared" si="14"/>
        <v>0</v>
      </c>
      <c r="BE34" s="168">
        <v>0</v>
      </c>
      <c r="BF34" s="168">
        <v>0</v>
      </c>
      <c r="BG34" s="168">
        <f t="shared" si="15"/>
        <v>0</v>
      </c>
      <c r="BH34" s="168">
        <f t="shared" si="16"/>
        <v>0</v>
      </c>
      <c r="BJ34" s="168">
        <f t="shared" si="17"/>
        <v>-7.4839431653004773</v>
      </c>
      <c r="BK34" s="186">
        <f t="shared" si="18"/>
        <v>8.9322808323215788E-3</v>
      </c>
      <c r="BL34" s="170">
        <f t="shared" si="19"/>
        <v>0</v>
      </c>
      <c r="BQ34" s="83" t="s">
        <v>62</v>
      </c>
      <c r="BR34" s="83" t="s">
        <v>63</v>
      </c>
      <c r="BS34" s="83" t="s">
        <v>724</v>
      </c>
      <c r="BT34" s="83" t="s">
        <v>725</v>
      </c>
      <c r="BU34" s="4" t="s">
        <v>901</v>
      </c>
      <c r="BV34" s="229">
        <v>0</v>
      </c>
      <c r="BW34" s="229">
        <v>0</v>
      </c>
      <c r="BX34" s="229">
        <v>0</v>
      </c>
      <c r="BY34" s="229">
        <v>0</v>
      </c>
      <c r="CJ34" s="110" t="s">
        <v>76</v>
      </c>
      <c r="CK34" s="110" t="s">
        <v>980</v>
      </c>
      <c r="CL34" s="110">
        <v>-5.3179850000000002</v>
      </c>
      <c r="CM34" s="110">
        <v>-88.411179799999928</v>
      </c>
      <c r="CN34" s="110">
        <v>-83.093194799999935</v>
      </c>
      <c r="CO34" s="110">
        <v>2.1016449999997633E-2</v>
      </c>
      <c r="CP34" s="110">
        <v>2.1054820000015795E-2</v>
      </c>
      <c r="CQ34" s="110">
        <v>3.8370000018161932E-5</v>
      </c>
      <c r="CR34" s="110">
        <v>-9.0928255799998858</v>
      </c>
      <c r="CS34" s="110">
        <v>-1.3693200000207072E-3</v>
      </c>
      <c r="CU34" s="110">
        <v>-54.9</v>
      </c>
      <c r="CV34" s="110">
        <v>-54.878945179999981</v>
      </c>
    </row>
    <row r="35" spans="2:100" x14ac:dyDescent="0.25">
      <c r="B35" s="185" t="s">
        <v>981</v>
      </c>
      <c r="C35" s="172" t="s">
        <v>46</v>
      </c>
      <c r="D35" s="173" t="s">
        <v>922</v>
      </c>
      <c r="E35" s="152">
        <f t="shared" si="0"/>
        <v>4</v>
      </c>
      <c r="F35" s="152" t="str">
        <f t="shared" si="1"/>
        <v/>
      </c>
      <c r="G35" s="153" t="str">
        <f t="shared" si="2"/>
        <v/>
      </c>
      <c r="H35" s="153" t="str">
        <f t="shared" si="3"/>
        <v/>
      </c>
      <c r="I35" s="153">
        <f t="shared" si="4"/>
        <v>4</v>
      </c>
      <c r="J35" s="153" t="str">
        <f t="shared" si="5"/>
        <v/>
      </c>
      <c r="K35" s="154">
        <v>1102.29925495</v>
      </c>
      <c r="L35" s="155">
        <v>2202.4189999999999</v>
      </c>
      <c r="N35" s="174">
        <v>-21.663923540000138</v>
      </c>
      <c r="O35" s="175">
        <v>-62.025233410460004</v>
      </c>
      <c r="P35" s="175">
        <v>-40.36130987045987</v>
      </c>
      <c r="Q35" s="176">
        <v>-3.6615564865178696E-2</v>
      </c>
      <c r="S35" s="177">
        <v>-3.9005574500000009</v>
      </c>
      <c r="T35" s="178">
        <v>-0.98855745063</v>
      </c>
      <c r="U35" s="179">
        <v>-8.1644766900000008</v>
      </c>
      <c r="V35" s="179">
        <v>-1.1665719400000001</v>
      </c>
      <c r="W35" s="179">
        <v>-9.1194737693699963</v>
      </c>
      <c r="X35" s="179">
        <f t="shared" si="6"/>
        <v>-2.9119999993700008</v>
      </c>
      <c r="Y35" s="179">
        <v>-3.6709999999999998</v>
      </c>
      <c r="Z35" s="179">
        <v>-14.339230020630001</v>
      </c>
      <c r="AB35" s="180">
        <v>-68.379000000000005</v>
      </c>
      <c r="AC35" s="163">
        <f t="shared" si="20"/>
        <v>-78.380864879999891</v>
      </c>
      <c r="AE35" s="180">
        <v>4</v>
      </c>
      <c r="AF35" s="180">
        <v>13</v>
      </c>
      <c r="AG35" s="180">
        <v>13</v>
      </c>
      <c r="AH35" s="180"/>
      <c r="AI35" s="180">
        <v>-91</v>
      </c>
      <c r="AM35" s="164">
        <v>20.506984978485317</v>
      </c>
      <c r="AN35" s="165">
        <v>1.7274250887803554E-2</v>
      </c>
      <c r="AO35" s="164">
        <f t="shared" si="7"/>
        <v>13.819400710242844</v>
      </c>
      <c r="AP35" s="166"/>
      <c r="AQ35" s="166">
        <v>1.00017152670969</v>
      </c>
      <c r="AR35" s="166">
        <v>1.0925589024610189</v>
      </c>
      <c r="AT35" s="167">
        <f t="shared" si="8"/>
        <v>4</v>
      </c>
      <c r="AU35" s="168">
        <v>5.953759954573461</v>
      </c>
      <c r="AV35" s="168">
        <v>3.9691435859374837</v>
      </c>
      <c r="AW35" s="168">
        <f>AV35</f>
        <v>3.9691435859374837</v>
      </c>
      <c r="AX35" s="168">
        <f t="shared" si="9"/>
        <v>13</v>
      </c>
      <c r="AY35" s="168">
        <f t="shared" si="10"/>
        <v>-74.030856414062512</v>
      </c>
      <c r="AZ35" s="184">
        <f t="shared" si="11"/>
        <v>20.506984978485317</v>
      </c>
      <c r="BA35" s="184">
        <f t="shared" si="12"/>
        <v>13.819400710242844</v>
      </c>
      <c r="BB35" s="184">
        <f t="shared" si="13"/>
        <v>-39.704470725334346</v>
      </c>
      <c r="BC35" s="184">
        <f>BG35-BB35</f>
        <v>29.704470725334346</v>
      </c>
      <c r="BD35" s="184">
        <f t="shared" si="14"/>
        <v>-10</v>
      </c>
      <c r="BE35" s="184">
        <v>-10</v>
      </c>
      <c r="BF35" s="184">
        <v>0</v>
      </c>
      <c r="BG35" s="184">
        <f t="shared" si="15"/>
        <v>-10</v>
      </c>
      <c r="BH35" s="184">
        <f t="shared" si="16"/>
        <v>0</v>
      </c>
      <c r="BJ35" s="168">
        <f t="shared" si="17"/>
        <v>-25.37673807749113</v>
      </c>
      <c r="BK35" s="186">
        <f t="shared" si="18"/>
        <v>1.3487202355834357E-2</v>
      </c>
      <c r="BL35" s="170">
        <f t="shared" si="19"/>
        <v>0</v>
      </c>
      <c r="BQ35" s="83" t="s">
        <v>62</v>
      </c>
      <c r="BR35" s="83" t="s">
        <v>63</v>
      </c>
      <c r="BS35" s="83" t="s">
        <v>726</v>
      </c>
      <c r="BT35" s="83" t="s">
        <v>727</v>
      </c>
      <c r="BU35" s="4" t="s">
        <v>901</v>
      </c>
      <c r="BV35" s="229">
        <v>0</v>
      </c>
      <c r="BW35" s="229">
        <v>0</v>
      </c>
      <c r="BX35" s="229">
        <v>0</v>
      </c>
      <c r="BY35" s="229">
        <v>0</v>
      </c>
      <c r="CJ35" s="110" t="s">
        <v>78</v>
      </c>
      <c r="CK35" s="110" t="s">
        <v>982</v>
      </c>
      <c r="CL35" s="110">
        <v>-10.867000010000005</v>
      </c>
      <c r="CM35" s="110">
        <v>-60.244852170000037</v>
      </c>
      <c r="CN35" s="110">
        <v>-49.377852160000032</v>
      </c>
      <c r="CO35" s="110">
        <v>-1.0000003385357559E-8</v>
      </c>
      <c r="CP35" s="110">
        <v>-4.0259999837871847E-5</v>
      </c>
      <c r="CQ35" s="110">
        <v>-4.0249999834486492E-5</v>
      </c>
      <c r="CR35" s="110">
        <v>-3.6522375300000709</v>
      </c>
      <c r="CS35" s="110">
        <v>-1.0204199997736192E-3</v>
      </c>
      <c r="CU35" s="110">
        <v>-66.444000000000003</v>
      </c>
      <c r="CV35" s="110">
        <v>-66.444040259999838</v>
      </c>
    </row>
    <row r="36" spans="2:100" x14ac:dyDescent="0.25">
      <c r="B36" s="185" t="s">
        <v>983</v>
      </c>
      <c r="C36" s="172" t="s">
        <v>86</v>
      </c>
      <c r="D36" s="173" t="s">
        <v>949</v>
      </c>
      <c r="E36" s="152">
        <f t="shared" si="0"/>
        <v>4</v>
      </c>
      <c r="F36" s="152" t="str">
        <f t="shared" si="1"/>
        <v/>
      </c>
      <c r="G36" s="153" t="str">
        <f t="shared" si="2"/>
        <v/>
      </c>
      <c r="H36" s="153" t="str">
        <f t="shared" si="3"/>
        <v/>
      </c>
      <c r="I36" s="153">
        <f t="shared" si="4"/>
        <v>4</v>
      </c>
      <c r="J36" s="153" t="str">
        <f t="shared" si="5"/>
        <v/>
      </c>
      <c r="K36" s="154">
        <v>1702.9668354999999</v>
      </c>
      <c r="L36" s="155">
        <v>3415.8500038000002</v>
      </c>
      <c r="N36" s="174">
        <v>-24.212104940000227</v>
      </c>
      <c r="O36" s="175">
        <v>-59.111402680002001</v>
      </c>
      <c r="P36" s="175">
        <v>-34.899297740001778</v>
      </c>
      <c r="Q36" s="176">
        <v>-2.0493233932976248E-2</v>
      </c>
      <c r="S36" s="177">
        <v>2.1526370088999993</v>
      </c>
      <c r="T36" s="178">
        <v>0.874</v>
      </c>
      <c r="U36" s="179">
        <v>-9.9084470500000013</v>
      </c>
      <c r="V36" s="179">
        <v>-6.5846411099999997</v>
      </c>
      <c r="W36" s="179">
        <v>2.1451157900000002</v>
      </c>
      <c r="X36" s="179">
        <f t="shared" si="6"/>
        <v>1.2786370088999992</v>
      </c>
      <c r="Y36" s="179">
        <v>-6.4150128000000004</v>
      </c>
      <c r="Z36" s="179">
        <v>-16.288949578899999</v>
      </c>
      <c r="AB36" s="180">
        <v>-59.793500000000002</v>
      </c>
      <c r="AC36" s="163">
        <f t="shared" si="20"/>
        <v>-80.223978060000036</v>
      </c>
      <c r="AE36" s="180">
        <v>10</v>
      </c>
      <c r="AF36" s="180">
        <v>10</v>
      </c>
      <c r="AG36" s="180">
        <v>10</v>
      </c>
      <c r="AH36" s="180">
        <v>0</v>
      </c>
      <c r="AI36" s="180">
        <v>-95</v>
      </c>
      <c r="AJ36" s="163"/>
      <c r="AK36" s="110" t="s">
        <v>950</v>
      </c>
      <c r="AM36" s="164">
        <v>0</v>
      </c>
      <c r="AN36" s="165">
        <v>2.9851607486835026E-2</v>
      </c>
      <c r="AO36" s="164">
        <f t="shared" si="7"/>
        <v>23.881285989468022</v>
      </c>
      <c r="AP36" s="166"/>
      <c r="AQ36" s="166">
        <v>1.05</v>
      </c>
      <c r="AR36" s="166">
        <v>1.0192222287567489</v>
      </c>
      <c r="AT36" s="167">
        <f t="shared" si="8"/>
        <v>10</v>
      </c>
      <c r="AU36" s="168">
        <v>8.9924530901442914</v>
      </c>
      <c r="AV36" s="168">
        <v>6.2305033307835753</v>
      </c>
      <c r="AW36" s="168">
        <f>AT36</f>
        <v>10</v>
      </c>
      <c r="AX36" s="168">
        <f t="shared" si="9"/>
        <v>10</v>
      </c>
      <c r="AY36" s="168">
        <f t="shared" si="10"/>
        <v>-75</v>
      </c>
      <c r="AZ36" s="168">
        <f t="shared" si="11"/>
        <v>0</v>
      </c>
      <c r="BA36" s="168">
        <f t="shared" si="12"/>
        <v>23.881285989468022</v>
      </c>
      <c r="BB36" s="168">
        <f t="shared" si="13"/>
        <v>-51.118714010531974</v>
      </c>
      <c r="BC36" s="168">
        <f>BE36-BB36</f>
        <v>31.118714010531974</v>
      </c>
      <c r="BD36" s="168">
        <f t="shared" si="14"/>
        <v>-20</v>
      </c>
      <c r="BE36" s="168">
        <v>-20</v>
      </c>
      <c r="BF36" s="168">
        <v>0</v>
      </c>
      <c r="BG36" s="168">
        <f t="shared" si="15"/>
        <v>-20</v>
      </c>
      <c r="BH36" s="168">
        <f t="shared" si="16"/>
        <v>0</v>
      </c>
      <c r="BJ36" s="168">
        <f t="shared" si="17"/>
        <v>-19.899297740001778</v>
      </c>
      <c r="BK36" s="186">
        <f t="shared" si="18"/>
        <v>9.1100938202537049E-3</v>
      </c>
      <c r="BL36" s="170">
        <f t="shared" si="19"/>
        <v>0</v>
      </c>
      <c r="BQ36" s="83" t="s">
        <v>29</v>
      </c>
      <c r="BR36" s="83" t="s">
        <v>30</v>
      </c>
      <c r="BS36" s="83" t="s">
        <v>794</v>
      </c>
      <c r="BT36" s="83" t="s">
        <v>795</v>
      </c>
      <c r="BU36" s="4" t="s">
        <v>901</v>
      </c>
      <c r="BV36" s="229">
        <v>12.307794669999916</v>
      </c>
      <c r="BW36" s="229">
        <v>0</v>
      </c>
      <c r="BX36" s="229">
        <v>0</v>
      </c>
      <c r="BY36" s="229">
        <v>12.307794669999916</v>
      </c>
      <c r="CJ36" s="110" t="s">
        <v>50</v>
      </c>
      <c r="CK36" s="110" t="s">
        <v>984</v>
      </c>
      <c r="CL36" s="110">
        <v>-8.3090000000000011</v>
      </c>
      <c r="CM36" s="110">
        <v>-36.51758083999998</v>
      </c>
      <c r="CN36" s="110">
        <v>-28.208580839999978</v>
      </c>
      <c r="CO36" s="110">
        <v>0</v>
      </c>
      <c r="CP36" s="110">
        <v>1.3E-7</v>
      </c>
      <c r="CQ36" s="110">
        <v>1.3E-7</v>
      </c>
      <c r="CR36" s="110">
        <v>-4.3360662199999842</v>
      </c>
      <c r="CS36" s="110">
        <v>3.2899999999999998E-6</v>
      </c>
      <c r="CU36" s="110">
        <v>-69.774000000000001</v>
      </c>
      <c r="CV36" s="110">
        <v>-69.773999869999997</v>
      </c>
    </row>
    <row r="37" spans="2:100" x14ac:dyDescent="0.25">
      <c r="B37" s="185" t="s">
        <v>985</v>
      </c>
      <c r="C37" s="172" t="s">
        <v>94</v>
      </c>
      <c r="D37" s="173" t="s">
        <v>949</v>
      </c>
      <c r="E37" s="152">
        <f t="shared" si="0"/>
        <v>4</v>
      </c>
      <c r="F37" s="152" t="str">
        <f t="shared" si="1"/>
        <v/>
      </c>
      <c r="G37" s="153" t="str">
        <f t="shared" si="2"/>
        <v/>
      </c>
      <c r="H37" s="153" t="str">
        <f t="shared" si="3"/>
        <v/>
      </c>
      <c r="I37" s="153">
        <f t="shared" si="4"/>
        <v>4</v>
      </c>
      <c r="J37" s="153" t="str">
        <f t="shared" si="5"/>
        <v/>
      </c>
      <c r="K37" s="154">
        <v>1107.222861</v>
      </c>
      <c r="L37" s="155">
        <v>2240.096</v>
      </c>
      <c r="N37" s="174">
        <v>-3.0315000000000367</v>
      </c>
      <c r="O37" s="175">
        <v>-34.380439720001249</v>
      </c>
      <c r="P37" s="175">
        <v>-31.348939720001209</v>
      </c>
      <c r="Q37" s="176">
        <v>-2.8313125409719309E-2</v>
      </c>
      <c r="S37" s="177">
        <v>-16.417015725199999</v>
      </c>
      <c r="T37" s="178">
        <v>-2.7440000000000002</v>
      </c>
      <c r="U37" s="179">
        <v>-8.9184181799999998</v>
      </c>
      <c r="V37" s="179">
        <v>-3.49693707</v>
      </c>
      <c r="W37" s="179">
        <v>-1.0732866299999997</v>
      </c>
      <c r="X37" s="179">
        <f t="shared" si="6"/>
        <v>-13.673015725199999</v>
      </c>
      <c r="Y37" s="179">
        <v>-19.434999999999999</v>
      </c>
      <c r="Z37" s="179">
        <v>17.991717885199996</v>
      </c>
      <c r="AB37" s="180">
        <v>-71</v>
      </c>
      <c r="AC37" s="163">
        <f t="shared" si="20"/>
        <v>-70.999806329999998</v>
      </c>
      <c r="AE37" s="180">
        <v>8</v>
      </c>
      <c r="AF37" s="180">
        <v>4</v>
      </c>
      <c r="AG37" s="182">
        <v>10</v>
      </c>
      <c r="AH37" s="180"/>
      <c r="AI37" s="180">
        <v>-60</v>
      </c>
      <c r="AJ37" s="163"/>
      <c r="AK37" s="110" t="s">
        <v>950</v>
      </c>
      <c r="AM37" s="164">
        <v>0.21864760424065591</v>
      </c>
      <c r="AN37" s="165">
        <v>1.47383442412393E-2</v>
      </c>
      <c r="AO37" s="164">
        <f t="shared" si="7"/>
        <v>11.790675392991441</v>
      </c>
      <c r="AP37" s="166"/>
      <c r="AQ37" s="166">
        <v>1.03</v>
      </c>
      <c r="AR37" s="166">
        <v>1.0306998778349721</v>
      </c>
      <c r="AT37" s="167">
        <f t="shared" si="8"/>
        <v>8</v>
      </c>
      <c r="AU37" s="168">
        <v>3.6066275455984549</v>
      </c>
      <c r="AV37" s="168">
        <v>1.962045206986305</v>
      </c>
      <c r="AW37" s="168">
        <v>8</v>
      </c>
      <c r="AX37" s="168">
        <f t="shared" si="9"/>
        <v>10</v>
      </c>
      <c r="AY37" s="168">
        <f t="shared" si="10"/>
        <v>-42</v>
      </c>
      <c r="AZ37" s="168">
        <f t="shared" si="11"/>
        <v>0.21864760424065591</v>
      </c>
      <c r="BA37" s="168">
        <f t="shared" si="12"/>
        <v>11.790675392991441</v>
      </c>
      <c r="BB37" s="168">
        <f t="shared" si="13"/>
        <v>-29.990677002767903</v>
      </c>
      <c r="BC37" s="168">
        <f>-BB37</f>
        <v>29.990677002767903</v>
      </c>
      <c r="BD37" s="168">
        <f t="shared" si="14"/>
        <v>0</v>
      </c>
      <c r="BE37" s="168">
        <v>0</v>
      </c>
      <c r="BF37" s="168">
        <v>0</v>
      </c>
      <c r="BG37" s="168">
        <f t="shared" si="15"/>
        <v>0</v>
      </c>
      <c r="BH37" s="168">
        <f t="shared" si="16"/>
        <v>0</v>
      </c>
      <c r="BJ37" s="168">
        <f t="shared" si="17"/>
        <v>-23.348939720001209</v>
      </c>
      <c r="BK37" s="186">
        <f t="shared" si="18"/>
        <v>1.3388121313893647E-2</v>
      </c>
      <c r="BL37" s="170">
        <f t="shared" si="19"/>
        <v>0</v>
      </c>
      <c r="BQ37" s="83" t="s">
        <v>29</v>
      </c>
      <c r="BR37" s="83" t="s">
        <v>30</v>
      </c>
      <c r="BS37" s="83" t="s">
        <v>796</v>
      </c>
      <c r="BT37" s="83" t="s">
        <v>797</v>
      </c>
      <c r="BU37" s="4" t="s">
        <v>901</v>
      </c>
      <c r="BV37" s="229">
        <v>3.8599999999132704E-4</v>
      </c>
      <c r="BW37" s="229">
        <v>0</v>
      </c>
      <c r="BX37" s="229">
        <v>0</v>
      </c>
      <c r="BY37" s="229">
        <v>3.8599999999132704E-4</v>
      </c>
      <c r="CJ37" s="110" t="s">
        <v>52</v>
      </c>
      <c r="CK37" s="110" t="s">
        <v>986</v>
      </c>
      <c r="CL37" s="110">
        <v>-17.451999940000007</v>
      </c>
      <c r="CM37" s="110">
        <v>-79.267537690000125</v>
      </c>
      <c r="CN37" s="110">
        <v>-61.815537750000118</v>
      </c>
      <c r="CO37" s="110">
        <v>1.1999999696854501E-7</v>
      </c>
      <c r="CP37" s="110">
        <v>1.4141000000321867E-3</v>
      </c>
      <c r="CQ37" s="110">
        <v>1.4139800000352182E-3</v>
      </c>
      <c r="CR37" s="110">
        <v>-20.952580290000164</v>
      </c>
      <c r="CS37" s="110">
        <v>1.5143000000660881E-3</v>
      </c>
      <c r="CU37" s="110">
        <v>-124.7</v>
      </c>
      <c r="CV37" s="110">
        <v>-124.69858589999997</v>
      </c>
    </row>
    <row r="38" spans="2:100" x14ac:dyDescent="0.25">
      <c r="B38" s="185" t="s">
        <v>987</v>
      </c>
      <c r="C38" s="172" t="s">
        <v>96</v>
      </c>
      <c r="D38" s="173" t="s">
        <v>949</v>
      </c>
      <c r="E38" s="152">
        <f t="shared" si="0"/>
        <v>4</v>
      </c>
      <c r="F38" s="152" t="str">
        <f t="shared" si="1"/>
        <v/>
      </c>
      <c r="G38" s="153" t="str">
        <f t="shared" si="2"/>
        <v/>
      </c>
      <c r="H38" s="153" t="str">
        <f t="shared" si="3"/>
        <v/>
      </c>
      <c r="I38" s="153">
        <f t="shared" si="4"/>
        <v>4</v>
      </c>
      <c r="J38" s="153" t="str">
        <f t="shared" si="5"/>
        <v/>
      </c>
      <c r="K38" s="154">
        <v>1975.8913104800001</v>
      </c>
      <c r="L38" s="155">
        <v>3904.4540000000002</v>
      </c>
      <c r="N38" s="174">
        <v>-10.692999999999774</v>
      </c>
      <c r="O38" s="175">
        <v>-36.32532584999889</v>
      </c>
      <c r="P38" s="175">
        <v>-25.632325849999116</v>
      </c>
      <c r="Q38" s="176">
        <v>-1.2972538374983944E-2</v>
      </c>
      <c r="S38" s="177">
        <v>-3.2650000000000006</v>
      </c>
      <c r="T38" s="178">
        <v>-3.3220000000000001</v>
      </c>
      <c r="U38" s="179">
        <v>-5.3250000000000002</v>
      </c>
      <c r="V38" s="179">
        <v>-8.8807093800000008</v>
      </c>
      <c r="W38" s="179">
        <v>17.605428349999002</v>
      </c>
      <c r="X38" s="179">
        <f t="shared" si="6"/>
        <v>5.6999999999999496E-2</v>
      </c>
      <c r="Y38" s="179">
        <v>-12.38882008</v>
      </c>
      <c r="Z38" s="179">
        <v>-13.378224739999999</v>
      </c>
      <c r="AB38" s="180">
        <v>-133.39850000000001</v>
      </c>
      <c r="AC38" s="163">
        <f t="shared" si="20"/>
        <v>-133.39856528000001</v>
      </c>
      <c r="AE38" s="180">
        <v>8</v>
      </c>
      <c r="AF38" s="180">
        <v>9</v>
      </c>
      <c r="AG38" s="180">
        <v>9</v>
      </c>
      <c r="AH38" s="180"/>
      <c r="AI38" s="182">
        <v>-80</v>
      </c>
      <c r="AJ38" s="163"/>
      <c r="AK38" s="110" t="s">
        <v>988</v>
      </c>
      <c r="AM38" s="164">
        <v>0</v>
      </c>
      <c r="AN38" s="165">
        <v>2.4925195412421101E-2</v>
      </c>
      <c r="AO38" s="164">
        <f t="shared" si="7"/>
        <v>19.94015632993688</v>
      </c>
      <c r="AP38" s="166"/>
      <c r="AQ38" s="166">
        <v>1.0487500000000003</v>
      </c>
      <c r="AR38" s="166">
        <v>1.0448146566464516</v>
      </c>
      <c r="AT38" s="167">
        <f t="shared" si="8"/>
        <v>8</v>
      </c>
      <c r="AU38" s="168">
        <v>14.533116738142398</v>
      </c>
      <c r="AV38" s="168">
        <v>11.849337913211738</v>
      </c>
      <c r="AW38" s="168">
        <v>8</v>
      </c>
      <c r="AX38" s="168">
        <f t="shared" si="9"/>
        <v>9</v>
      </c>
      <c r="AY38" s="168">
        <f t="shared" si="10"/>
        <v>-63</v>
      </c>
      <c r="AZ38" s="168">
        <f t="shared" si="11"/>
        <v>0</v>
      </c>
      <c r="BA38" s="168">
        <f t="shared" si="12"/>
        <v>19.94015632993688</v>
      </c>
      <c r="BB38" s="168">
        <f t="shared" si="13"/>
        <v>-43.059843670063117</v>
      </c>
      <c r="BC38" s="168">
        <f>-BB38</f>
        <v>43.059843670063117</v>
      </c>
      <c r="BD38" s="168">
        <f t="shared" si="14"/>
        <v>0</v>
      </c>
      <c r="BE38" s="168">
        <v>0</v>
      </c>
      <c r="BF38" s="168">
        <v>0</v>
      </c>
      <c r="BG38" s="168">
        <f t="shared" si="15"/>
        <v>0</v>
      </c>
      <c r="BH38" s="168">
        <f t="shared" si="16"/>
        <v>0</v>
      </c>
      <c r="BJ38" s="168">
        <f t="shared" si="17"/>
        <v>-12.632325849999116</v>
      </c>
      <c r="BK38" s="186">
        <f t="shared" si="18"/>
        <v>1.1028390568838335E-2</v>
      </c>
      <c r="BL38" s="170">
        <f t="shared" si="19"/>
        <v>0</v>
      </c>
      <c r="BQ38" s="83" t="s">
        <v>29</v>
      </c>
      <c r="BR38" s="83" t="s">
        <v>30</v>
      </c>
      <c r="BS38" s="83" t="s">
        <v>798</v>
      </c>
      <c r="BT38" s="83" t="s">
        <v>799</v>
      </c>
      <c r="BU38" s="4" t="s">
        <v>901</v>
      </c>
      <c r="BV38" s="229">
        <v>0</v>
      </c>
      <c r="BW38" s="229">
        <v>0</v>
      </c>
      <c r="BX38" s="229">
        <v>0</v>
      </c>
      <c r="BY38" s="229">
        <v>0</v>
      </c>
      <c r="CJ38" s="110" t="s">
        <v>54</v>
      </c>
      <c r="CK38" s="110" t="s">
        <v>989</v>
      </c>
      <c r="CL38" s="110">
        <v>-40.523115330000024</v>
      </c>
      <c r="CM38" s="110">
        <v>-74.474781730000004</v>
      </c>
      <c r="CN38" s="110">
        <v>-33.951666399999979</v>
      </c>
      <c r="CO38" s="110">
        <v>-57.098809210000034</v>
      </c>
      <c r="CP38" s="110">
        <v>-57.098710140000001</v>
      </c>
      <c r="CQ38" s="110">
        <v>9.9070000032952521E-5</v>
      </c>
      <c r="CR38" s="110">
        <v>-10.826762319999988</v>
      </c>
      <c r="CS38" s="110">
        <v>1.0956000003625374E-4</v>
      </c>
      <c r="CU38" s="110">
        <v>-101.482</v>
      </c>
      <c r="CV38" s="110">
        <v>-158.58071014000001</v>
      </c>
    </row>
    <row r="39" spans="2:100" x14ac:dyDescent="0.25">
      <c r="B39" s="171" t="s">
        <v>990</v>
      </c>
      <c r="C39" s="172" t="s">
        <v>88</v>
      </c>
      <c r="D39" s="173" t="s">
        <v>949</v>
      </c>
      <c r="E39" s="152">
        <f t="shared" si="0"/>
        <v>4</v>
      </c>
      <c r="F39" s="152" t="str">
        <f t="shared" si="1"/>
        <v/>
      </c>
      <c r="G39" s="153" t="str">
        <f t="shared" si="2"/>
        <v/>
      </c>
      <c r="H39" s="153" t="str">
        <f t="shared" si="3"/>
        <v/>
      </c>
      <c r="I39" s="153">
        <f t="shared" si="4"/>
        <v>4</v>
      </c>
      <c r="J39" s="153" t="str">
        <f t="shared" si="5"/>
        <v/>
      </c>
      <c r="K39" s="154">
        <v>760.75582491</v>
      </c>
      <c r="L39" s="155">
        <v>1494.3443000299999</v>
      </c>
      <c r="N39" s="174">
        <v>0.16216100000004827</v>
      </c>
      <c r="O39" s="175">
        <v>-16.079450430000243</v>
      </c>
      <c r="P39" s="175">
        <v>-16.24161143000029</v>
      </c>
      <c r="Q39" s="176">
        <v>-2.1349309329207866E-2</v>
      </c>
      <c r="S39" s="177">
        <v>-13.378408427000004</v>
      </c>
      <c r="T39" s="178">
        <v>-14.285509244</v>
      </c>
      <c r="U39" s="179">
        <v>-1.7267359799999999</v>
      </c>
      <c r="V39" s="179">
        <v>-2.03123326</v>
      </c>
      <c r="W39" s="179">
        <v>13.509867054000001</v>
      </c>
      <c r="X39" s="179">
        <f t="shared" si="6"/>
        <v>0.90710081699999634</v>
      </c>
      <c r="Y39" s="179">
        <v>3.28</v>
      </c>
      <c r="Z39" s="179">
        <v>-15.895100816999996</v>
      </c>
      <c r="AB39" s="180">
        <v>-60.9</v>
      </c>
      <c r="AC39" s="163">
        <f t="shared" si="20"/>
        <v>-60.900038850000001</v>
      </c>
      <c r="AE39" s="180">
        <v>5</v>
      </c>
      <c r="AF39" s="180">
        <v>4</v>
      </c>
      <c r="AG39" s="180">
        <v>4</v>
      </c>
      <c r="AH39" s="180">
        <v>10</v>
      </c>
      <c r="AI39" s="180">
        <v>-40</v>
      </c>
      <c r="AJ39" s="163"/>
      <c r="AK39" s="110" t="s">
        <v>950</v>
      </c>
      <c r="AM39" s="164">
        <v>14.66211891029784</v>
      </c>
      <c r="AN39" s="165">
        <v>9.2325431070355655E-3</v>
      </c>
      <c r="AO39" s="164">
        <f t="shared" si="7"/>
        <v>7.3860344856284526</v>
      </c>
      <c r="AP39" s="166"/>
      <c r="AQ39" s="166">
        <v>1.03</v>
      </c>
      <c r="AR39" s="166">
        <v>1.1016252394115895</v>
      </c>
      <c r="AT39" s="167">
        <f t="shared" si="8"/>
        <v>5</v>
      </c>
      <c r="AU39" s="168">
        <v>2.4852271850285805</v>
      </c>
      <c r="AV39" s="168">
        <v>1.3607383573781204</v>
      </c>
      <c r="AW39" s="168">
        <f>AU39</f>
        <v>2.4852271850285805</v>
      </c>
      <c r="AX39" s="168">
        <f t="shared" si="9"/>
        <v>4</v>
      </c>
      <c r="AY39" s="168">
        <f t="shared" si="10"/>
        <v>-33.514772814971423</v>
      </c>
      <c r="AZ39" s="168">
        <f t="shared" si="11"/>
        <v>14.66211891029784</v>
      </c>
      <c r="BA39" s="168">
        <f t="shared" si="12"/>
        <v>7.3860344856284526</v>
      </c>
      <c r="BB39" s="168">
        <f t="shared" si="13"/>
        <v>-11.466619419045127</v>
      </c>
      <c r="BC39" s="168">
        <f>-BB39</f>
        <v>11.466619419045127</v>
      </c>
      <c r="BD39" s="168">
        <f t="shared" si="14"/>
        <v>0</v>
      </c>
      <c r="BE39" s="168">
        <v>0</v>
      </c>
      <c r="BF39" s="168">
        <v>0</v>
      </c>
      <c r="BG39" s="168">
        <f t="shared" si="15"/>
        <v>0</v>
      </c>
      <c r="BH39" s="168">
        <f t="shared" si="16"/>
        <v>0</v>
      </c>
      <c r="BJ39" s="168">
        <f t="shared" si="17"/>
        <v>-10.998997837486</v>
      </c>
      <c r="BK39" s="169">
        <f t="shared" si="18"/>
        <v>7.6733450375625805E-3</v>
      </c>
      <c r="BL39" s="170">
        <f t="shared" si="19"/>
        <v>0</v>
      </c>
      <c r="BQ39" s="83" t="s">
        <v>29</v>
      </c>
      <c r="BR39" s="83" t="s">
        <v>30</v>
      </c>
      <c r="BS39" s="83" t="s">
        <v>800</v>
      </c>
      <c r="BT39" s="83" t="s">
        <v>801</v>
      </c>
      <c r="BU39" s="4" t="s">
        <v>901</v>
      </c>
      <c r="BV39" s="229">
        <v>-25.193843999999984</v>
      </c>
      <c r="BW39" s="229">
        <v>0</v>
      </c>
      <c r="BX39" s="229">
        <v>0</v>
      </c>
      <c r="BY39" s="229">
        <v>-25.193843999999984</v>
      </c>
      <c r="CJ39" s="110" t="s">
        <v>112</v>
      </c>
      <c r="CK39" s="110" t="s">
        <v>991</v>
      </c>
      <c r="CL39" s="110">
        <v>-6.1659990000000002</v>
      </c>
      <c r="CM39" s="110">
        <v>-11.696998999999998</v>
      </c>
      <c r="CN39" s="110">
        <v>-5.5309999999999979</v>
      </c>
      <c r="CO39" s="110">
        <v>0</v>
      </c>
      <c r="CP39" s="110">
        <v>0</v>
      </c>
      <c r="CQ39" s="110">
        <v>0</v>
      </c>
      <c r="CR39" s="110">
        <v>-1.5149999999999999</v>
      </c>
      <c r="CS39" s="110">
        <v>-4.0000000002328304E-4</v>
      </c>
      <c r="CU39" s="110">
        <v>0</v>
      </c>
      <c r="CV39" s="110">
        <v>0</v>
      </c>
    </row>
    <row r="40" spans="2:100" x14ac:dyDescent="0.25">
      <c r="B40" s="171" t="s">
        <v>992</v>
      </c>
      <c r="C40" s="172" t="s">
        <v>80</v>
      </c>
      <c r="D40" s="173" t="s">
        <v>916</v>
      </c>
      <c r="E40" s="152">
        <f t="shared" si="0"/>
        <v>4</v>
      </c>
      <c r="F40" s="152" t="str">
        <f t="shared" si="1"/>
        <v/>
      </c>
      <c r="G40" s="153" t="str">
        <f t="shared" si="2"/>
        <v/>
      </c>
      <c r="H40" s="153" t="str">
        <f t="shared" si="3"/>
        <v/>
      </c>
      <c r="I40" s="153">
        <f t="shared" si="4"/>
        <v>4</v>
      </c>
      <c r="J40" s="153" t="str">
        <f t="shared" si="5"/>
        <v/>
      </c>
      <c r="K40" s="154">
        <v>2160.6058331199997</v>
      </c>
      <c r="L40" s="155">
        <v>4321.0489979400008</v>
      </c>
      <c r="N40" s="174">
        <v>1.2834929899993521</v>
      </c>
      <c r="O40" s="175">
        <v>-81.768930230001146</v>
      </c>
      <c r="P40" s="175">
        <v>-83.052423220000492</v>
      </c>
      <c r="Q40" s="176">
        <v>-3.843941451369199E-2</v>
      </c>
      <c r="S40" s="177">
        <v>-28.939920582500001</v>
      </c>
      <c r="T40" s="178">
        <v>-0.20502713704</v>
      </c>
      <c r="U40" s="179">
        <v>-7.1362267700000004</v>
      </c>
      <c r="V40" s="179">
        <v>-3.4094500400000003</v>
      </c>
      <c r="W40" s="179">
        <v>8.53202713704</v>
      </c>
      <c r="X40" s="179">
        <f t="shared" si="6"/>
        <v>-28.734893445460003</v>
      </c>
      <c r="Y40" s="179">
        <v>6.5335326551000001</v>
      </c>
      <c r="Z40" s="179">
        <v>-58.632385619640004</v>
      </c>
      <c r="AB40" s="180">
        <v>-141.673</v>
      </c>
      <c r="AC40" s="163">
        <f t="shared" si="20"/>
        <v>-141.66055789000001</v>
      </c>
      <c r="AE40" s="180">
        <v>12.5</v>
      </c>
      <c r="AF40" s="180">
        <v>20.9</v>
      </c>
      <c r="AG40" s="180">
        <f>AF40</f>
        <v>20.9</v>
      </c>
      <c r="AH40" s="180"/>
      <c r="AI40" s="180">
        <f>-173.9-AE40</f>
        <v>-186.4</v>
      </c>
      <c r="AK40" s="110" t="s">
        <v>917</v>
      </c>
      <c r="AM40" s="164">
        <v>21.74347288323176</v>
      </c>
      <c r="AN40" s="165">
        <v>5.623036626031154E-2</v>
      </c>
      <c r="AO40" s="164">
        <f t="shared" si="7"/>
        <v>44.984293008249232</v>
      </c>
      <c r="AP40" s="166"/>
      <c r="AQ40" s="166">
        <v>1.0487500000000001</v>
      </c>
      <c r="AR40" s="166">
        <v>1.0929006804919712</v>
      </c>
      <c r="AT40" s="167">
        <f t="shared" si="8"/>
        <v>12.5</v>
      </c>
      <c r="AU40" s="168">
        <v>6.801444365553083</v>
      </c>
      <c r="AV40" s="168">
        <v>2.3934141205403985</v>
      </c>
      <c r="AW40" s="168">
        <v>9.6507221827765406</v>
      </c>
      <c r="AX40" s="168">
        <f t="shared" si="9"/>
        <v>20.9</v>
      </c>
      <c r="AY40" s="168">
        <f t="shared" si="10"/>
        <v>-155.84927781722345</v>
      </c>
      <c r="AZ40" s="168">
        <f t="shared" si="11"/>
        <v>21.74347288323176</v>
      </c>
      <c r="BA40" s="168">
        <f t="shared" si="12"/>
        <v>44.984293008249232</v>
      </c>
      <c r="BB40" s="168">
        <f t="shared" si="13"/>
        <v>-89.121511925742453</v>
      </c>
      <c r="BC40" s="168">
        <f>-BB40</f>
        <v>89.121511925742453</v>
      </c>
      <c r="BD40" s="168">
        <f t="shared" si="14"/>
        <v>0</v>
      </c>
      <c r="BE40" s="168">
        <v>0</v>
      </c>
      <c r="BF40" s="168">
        <v>0</v>
      </c>
      <c r="BG40" s="168">
        <f t="shared" si="15"/>
        <v>0</v>
      </c>
      <c r="BH40" s="168">
        <f t="shared" si="16"/>
        <v>0</v>
      </c>
      <c r="BJ40" s="168">
        <f t="shared" si="17"/>
        <v>-57.327062128612226</v>
      </c>
      <c r="BK40" s="186">
        <f t="shared" si="18"/>
        <v>2.0624971382696627E-2</v>
      </c>
      <c r="BL40" s="186">
        <f t="shared" si="19"/>
        <v>0</v>
      </c>
      <c r="BQ40" s="83" t="s">
        <v>29</v>
      </c>
      <c r="BR40" s="83" t="s">
        <v>30</v>
      </c>
      <c r="BS40" s="83" t="s">
        <v>802</v>
      </c>
      <c r="BT40" s="83" t="s">
        <v>803</v>
      </c>
      <c r="BU40" s="4" t="s">
        <v>901</v>
      </c>
      <c r="BV40" s="229">
        <v>-4.3579999999999997</v>
      </c>
      <c r="BW40" s="229">
        <v>0</v>
      </c>
      <c r="BX40" s="229">
        <v>0</v>
      </c>
      <c r="BY40" s="229">
        <v>-4.3579999999999997</v>
      </c>
      <c r="CJ40" s="110" t="s">
        <v>80</v>
      </c>
      <c r="CK40" s="110" t="s">
        <v>993</v>
      </c>
      <c r="CL40" s="110">
        <v>1.2834929800000427</v>
      </c>
      <c r="CM40" s="110">
        <v>-81.768930230000308</v>
      </c>
      <c r="CN40" s="110">
        <v>-83.052423210000356</v>
      </c>
      <c r="CO40" s="110">
        <v>7.0000000000014495E-3</v>
      </c>
      <c r="CP40" s="110">
        <v>1.2442109999998507E-2</v>
      </c>
      <c r="CQ40" s="110">
        <v>5.4421099999970579E-3</v>
      </c>
      <c r="CR40" s="110">
        <v>-29.480371090000492</v>
      </c>
      <c r="CS40" s="110">
        <v>5.0175630000103409E-2</v>
      </c>
      <c r="CU40" s="110">
        <v>-141.673</v>
      </c>
      <c r="CV40" s="110">
        <v>-141.66055789000001</v>
      </c>
    </row>
    <row r="41" spans="2:100" x14ac:dyDescent="0.25">
      <c r="B41" s="185" t="s">
        <v>994</v>
      </c>
      <c r="C41" s="172" t="s">
        <v>23</v>
      </c>
      <c r="D41" s="173" t="s">
        <v>943</v>
      </c>
      <c r="E41" s="152">
        <f t="shared" si="0"/>
        <v>5</v>
      </c>
      <c r="F41" s="152" t="str">
        <f t="shared" si="1"/>
        <v/>
      </c>
      <c r="G41" s="153" t="str">
        <f t="shared" si="2"/>
        <v/>
      </c>
      <c r="H41" s="153" t="str">
        <f t="shared" si="3"/>
        <v/>
      </c>
      <c r="I41" s="153" t="str">
        <f t="shared" si="4"/>
        <v/>
      </c>
      <c r="J41" s="153">
        <f t="shared" si="5"/>
        <v>5</v>
      </c>
      <c r="K41" s="154">
        <v>1621.0834931999998</v>
      </c>
      <c r="L41" s="155">
        <v>3234.2731210799998</v>
      </c>
      <c r="N41" s="174">
        <v>-27.430130300000428</v>
      </c>
      <c r="O41" s="175">
        <v>-69.557557315001205</v>
      </c>
      <c r="P41" s="175">
        <v>-42.127427015000762</v>
      </c>
      <c r="Q41" s="176">
        <v>-2.5987203738557424E-2</v>
      </c>
      <c r="S41" s="177">
        <v>-35.781977578999999</v>
      </c>
      <c r="T41" s="178">
        <v>-29.257000000000001</v>
      </c>
      <c r="U41" s="179">
        <v>-6.2603759300000004</v>
      </c>
      <c r="V41" s="179">
        <v>-10.26251677</v>
      </c>
      <c r="W41" s="179">
        <v>8.3203186000000038</v>
      </c>
      <c r="X41" s="179">
        <f t="shared" si="6"/>
        <v>-6.524977578999998</v>
      </c>
      <c r="Y41" s="179">
        <v>-6.6843033500000004</v>
      </c>
      <c r="Z41" s="179">
        <v>8.5391445139999984</v>
      </c>
      <c r="AB41" s="180">
        <v>-100.871</v>
      </c>
      <c r="AC41" s="163">
        <f t="shared" si="20"/>
        <v>-100.87002291000007</v>
      </c>
      <c r="AE41" s="181" t="s">
        <v>352</v>
      </c>
      <c r="AF41" s="180">
        <v>8</v>
      </c>
      <c r="AG41" s="180">
        <v>9</v>
      </c>
      <c r="AH41" s="180">
        <v>-17</v>
      </c>
      <c r="AI41" s="180">
        <v>-91</v>
      </c>
      <c r="AJ41" s="163"/>
      <c r="AM41" s="164">
        <v>2.7144676205881835</v>
      </c>
      <c r="AN41" s="165">
        <v>2.8551694338914375E-2</v>
      </c>
      <c r="AO41" s="164">
        <f t="shared" si="7"/>
        <v>22.8413554711315</v>
      </c>
      <c r="AP41" s="166"/>
      <c r="AQ41" s="166">
        <v>1</v>
      </c>
      <c r="AR41" s="166">
        <v>1.0067138822107282</v>
      </c>
      <c r="AT41" s="167" t="str">
        <f t="shared" si="8"/>
        <v>?</v>
      </c>
      <c r="AU41" s="168">
        <v>10.902067405293835</v>
      </c>
      <c r="AV41" s="168">
        <v>9.9264060856241922</v>
      </c>
      <c r="AW41" s="168">
        <f>AV41</f>
        <v>9.9264060856241922</v>
      </c>
      <c r="AX41" s="168">
        <f t="shared" si="9"/>
        <v>9</v>
      </c>
      <c r="AY41" s="168">
        <f t="shared" si="10"/>
        <v>-72.073593914375806</v>
      </c>
      <c r="AZ41" s="168">
        <f t="shared" si="11"/>
        <v>2.7144676205881835</v>
      </c>
      <c r="BA41" s="168">
        <f t="shared" si="12"/>
        <v>22.8413554711315</v>
      </c>
      <c r="BB41" s="168">
        <f t="shared" si="13"/>
        <v>-46.517770822656125</v>
      </c>
      <c r="BC41" s="168">
        <v>11.5</v>
      </c>
      <c r="BD41" s="168">
        <f t="shared" si="14"/>
        <v>-35.017770822656125</v>
      </c>
      <c r="BE41" s="168">
        <v>0</v>
      </c>
      <c r="BF41" s="168">
        <v>0</v>
      </c>
      <c r="BG41" s="168">
        <f t="shared" si="15"/>
        <v>0</v>
      </c>
      <c r="BH41" s="168">
        <f t="shared" si="16"/>
        <v>-35.017770822656125</v>
      </c>
      <c r="BJ41" s="168">
        <f t="shared" si="17"/>
        <v>-29.164223972188665</v>
      </c>
      <c r="BK41" s="169">
        <f t="shared" si="18"/>
        <v>3.5556675548043637E-3</v>
      </c>
      <c r="BL41" s="186">
        <f t="shared" si="19"/>
        <v>-1.0827091439625503E-2</v>
      </c>
      <c r="BQ41" s="83" t="s">
        <v>29</v>
      </c>
      <c r="BR41" s="83" t="s">
        <v>30</v>
      </c>
      <c r="BS41" s="83" t="s">
        <v>804</v>
      </c>
      <c r="BT41" s="83" t="s">
        <v>805</v>
      </c>
      <c r="BU41" s="4" t="s">
        <v>901</v>
      </c>
      <c r="BV41" s="229">
        <v>9.8239999999999998</v>
      </c>
      <c r="BW41" s="229">
        <v>0</v>
      </c>
      <c r="BX41" s="229">
        <v>0</v>
      </c>
      <c r="BY41" s="229">
        <v>9.8239999999999998</v>
      </c>
      <c r="CJ41" s="110" t="s">
        <v>82</v>
      </c>
      <c r="CK41" s="110" t="s">
        <v>995</v>
      </c>
      <c r="CL41" s="110">
        <v>-71.459626720000017</v>
      </c>
      <c r="CM41" s="110">
        <v>-79.425179899999961</v>
      </c>
      <c r="CN41" s="110">
        <v>-7.9655531799999437</v>
      </c>
      <c r="CO41" s="110">
        <v>-81.579525599999982</v>
      </c>
      <c r="CP41" s="110">
        <v>-81.578551270000048</v>
      </c>
      <c r="CQ41" s="110">
        <v>9.7432999993429803E-4</v>
      </c>
      <c r="CR41" s="110">
        <v>-1.8035281699999293</v>
      </c>
      <c r="CS41" s="110">
        <v>3.0394999974441825E-4</v>
      </c>
      <c r="CU41" s="110">
        <v>0</v>
      </c>
      <c r="CV41" s="110">
        <v>-81.578551270000048</v>
      </c>
    </row>
    <row r="42" spans="2:100" x14ac:dyDescent="0.25">
      <c r="B42" s="185" t="s">
        <v>996</v>
      </c>
      <c r="C42" s="172" t="s">
        <v>42</v>
      </c>
      <c r="D42" s="173" t="s">
        <v>922</v>
      </c>
      <c r="E42" s="152">
        <f t="shared" si="0"/>
        <v>5</v>
      </c>
      <c r="F42" s="152" t="str">
        <f t="shared" si="1"/>
        <v/>
      </c>
      <c r="G42" s="153" t="str">
        <f t="shared" si="2"/>
        <v/>
      </c>
      <c r="H42" s="153" t="str">
        <f t="shared" si="3"/>
        <v/>
      </c>
      <c r="I42" s="153" t="str">
        <f t="shared" si="4"/>
        <v/>
      </c>
      <c r="J42" s="153">
        <f t="shared" si="5"/>
        <v>5</v>
      </c>
      <c r="K42" s="154">
        <v>1205.34256013</v>
      </c>
      <c r="L42" s="155">
        <v>2409.8009999999999</v>
      </c>
      <c r="N42" s="174">
        <v>-15.622221270000001</v>
      </c>
      <c r="O42" s="175">
        <v>-36.179833910000113</v>
      </c>
      <c r="P42" s="175">
        <v>-20.557612640000116</v>
      </c>
      <c r="Q42" s="176">
        <v>-1.7055410901431135E-2</v>
      </c>
      <c r="S42" s="177">
        <v>3.8512880909999971</v>
      </c>
      <c r="T42" s="178">
        <v>5.8049770000000001</v>
      </c>
      <c r="U42" s="179">
        <v>-4.0133093100000004</v>
      </c>
      <c r="V42" s="179">
        <v>0.11544599999999999</v>
      </c>
      <c r="W42" s="179">
        <v>-6.0981914699999997</v>
      </c>
      <c r="X42" s="179">
        <f t="shared" si="6"/>
        <v>-1.9536889090000029</v>
      </c>
      <c r="Y42" s="179">
        <v>-9.0037025900000014</v>
      </c>
      <c r="Z42" s="179">
        <v>-5.4091433609999928</v>
      </c>
      <c r="AB42" s="180">
        <v>-73.584000000000003</v>
      </c>
      <c r="AC42" s="163">
        <f t="shared" si="20"/>
        <v>-73.583308409999987</v>
      </c>
      <c r="AE42" s="180">
        <v>6</v>
      </c>
      <c r="AF42" s="180">
        <v>10</v>
      </c>
      <c r="AG42" s="180">
        <v>10</v>
      </c>
      <c r="AH42" s="180"/>
      <c r="AI42" s="180">
        <v>-67</v>
      </c>
      <c r="AJ42" s="163"/>
      <c r="AM42" s="164">
        <v>0</v>
      </c>
      <c r="AN42" s="165">
        <v>1.5310046557862561E-2</v>
      </c>
      <c r="AO42" s="164">
        <f t="shared" si="7"/>
        <v>12.248037246290048</v>
      </c>
      <c r="AP42" s="166"/>
      <c r="AQ42" s="166">
        <v>1</v>
      </c>
      <c r="AR42" s="166">
        <v>0.94100280545096004</v>
      </c>
      <c r="AT42" s="167">
        <f t="shared" si="8"/>
        <v>6</v>
      </c>
      <c r="AU42" s="168">
        <v>7.9026351996693371</v>
      </c>
      <c r="AV42" s="168">
        <v>6.86026417911952</v>
      </c>
      <c r="AW42" s="168">
        <f>AV42</f>
        <v>6.86026417911952</v>
      </c>
      <c r="AX42" s="168">
        <f t="shared" si="9"/>
        <v>10</v>
      </c>
      <c r="AY42" s="168">
        <f t="shared" si="10"/>
        <v>-50.139735820880482</v>
      </c>
      <c r="AZ42" s="168">
        <f t="shared" si="11"/>
        <v>0</v>
      </c>
      <c r="BA42" s="168">
        <f t="shared" si="12"/>
        <v>12.248037246290048</v>
      </c>
      <c r="BB42" s="168">
        <f t="shared" si="13"/>
        <v>-37.891698574590436</v>
      </c>
      <c r="BC42" s="168">
        <v>10</v>
      </c>
      <c r="BD42" s="168">
        <f t="shared" si="14"/>
        <v>-27.891698574590436</v>
      </c>
      <c r="BE42" s="168">
        <v>0</v>
      </c>
      <c r="BF42" s="168">
        <v>0</v>
      </c>
      <c r="BG42" s="168">
        <f t="shared" si="15"/>
        <v>0</v>
      </c>
      <c r="BH42" s="168">
        <f t="shared" si="16"/>
        <v>-27.891698574590436</v>
      </c>
      <c r="BJ42" s="168">
        <f t="shared" si="17"/>
        <v>-7.1274805504403558</v>
      </c>
      <c r="BK42" s="169">
        <f t="shared" si="18"/>
        <v>4.1497202466095747E-3</v>
      </c>
      <c r="BL42" s="186">
        <f t="shared" si="19"/>
        <v>-1.1574274628730934E-2</v>
      </c>
      <c r="BQ42" s="83" t="s">
        <v>29</v>
      </c>
      <c r="BR42" s="83" t="s">
        <v>30</v>
      </c>
      <c r="BS42" s="83" t="s">
        <v>806</v>
      </c>
      <c r="BT42" s="83" t="s">
        <v>807</v>
      </c>
      <c r="BU42" s="4" t="s">
        <v>901</v>
      </c>
      <c r="BV42" s="229">
        <v>-60.663186900000028</v>
      </c>
      <c r="BW42" s="229">
        <v>-12</v>
      </c>
      <c r="BX42" s="229">
        <v>0</v>
      </c>
      <c r="BY42" s="229">
        <v>-72.663186900000028</v>
      </c>
      <c r="CJ42" s="110" t="s">
        <v>23</v>
      </c>
      <c r="CK42" s="110" t="s">
        <v>997</v>
      </c>
      <c r="CL42" s="110">
        <v>-27.430330300000051</v>
      </c>
      <c r="CM42" s="110">
        <v>-69.559605849999841</v>
      </c>
      <c r="CN42" s="110">
        <v>-42.12927554999979</v>
      </c>
      <c r="CO42" s="110">
        <v>3.4239999992990988E-4</v>
      </c>
      <c r="CP42" s="110">
        <v>9.7708999992818235E-4</v>
      </c>
      <c r="CQ42" s="110">
        <v>6.3468999999827247E-4</v>
      </c>
      <c r="CR42" s="110">
        <v>-16.365381969999945</v>
      </c>
      <c r="CS42" s="110">
        <v>3.7082099999634008E-3</v>
      </c>
      <c r="CU42" s="110">
        <v>-100.871</v>
      </c>
      <c r="CV42" s="110">
        <v>-100.87002291000007</v>
      </c>
    </row>
    <row r="43" spans="2:100" x14ac:dyDescent="0.25">
      <c r="B43" s="185" t="s">
        <v>998</v>
      </c>
      <c r="C43" s="172" t="s">
        <v>32</v>
      </c>
      <c r="D43" s="173" t="s">
        <v>965</v>
      </c>
      <c r="E43" s="152">
        <f t="shared" si="0"/>
        <v>5</v>
      </c>
      <c r="F43" s="152" t="str">
        <f t="shared" si="1"/>
        <v/>
      </c>
      <c r="G43" s="153" t="str">
        <f t="shared" si="2"/>
        <v/>
      </c>
      <c r="H43" s="153" t="str">
        <f t="shared" si="3"/>
        <v/>
      </c>
      <c r="I43" s="153" t="str">
        <f t="shared" si="4"/>
        <v/>
      </c>
      <c r="J43" s="153">
        <f t="shared" si="5"/>
        <v>5</v>
      </c>
      <c r="K43" s="154">
        <v>2202.6952673199999</v>
      </c>
      <c r="L43" s="155">
        <v>4306.4059999999999</v>
      </c>
      <c r="N43" s="174">
        <v>-87.590000140000043</v>
      </c>
      <c r="O43" s="175">
        <v>-159.46879674000033</v>
      </c>
      <c r="P43" s="175">
        <v>-71.878796600000271</v>
      </c>
      <c r="Q43" s="176">
        <v>-3.2632201860339299E-2</v>
      </c>
      <c r="S43" s="177">
        <v>-24.338748062899999</v>
      </c>
      <c r="T43" s="178">
        <v>-17.803999999999998</v>
      </c>
      <c r="U43" s="179">
        <v>-22.56499049</v>
      </c>
      <c r="V43" s="179">
        <v>-37.39621683</v>
      </c>
      <c r="W43" s="179">
        <v>27.395816199999999</v>
      </c>
      <c r="X43" s="179">
        <f t="shared" si="6"/>
        <v>-6.5347480629000003</v>
      </c>
      <c r="Y43" s="179">
        <v>-15.480155640000001</v>
      </c>
      <c r="Z43" s="179">
        <v>0.50549822290000002</v>
      </c>
      <c r="AB43" s="180">
        <v>-101.5</v>
      </c>
      <c r="AC43" s="163">
        <f t="shared" si="20"/>
        <v>-181.50146009999997</v>
      </c>
      <c r="AE43" s="180">
        <v>9</v>
      </c>
      <c r="AF43" s="180">
        <v>8</v>
      </c>
      <c r="AG43" s="180">
        <v>8</v>
      </c>
      <c r="AH43" s="180"/>
      <c r="AI43" s="180">
        <v>-250</v>
      </c>
      <c r="AJ43" s="163"/>
      <c r="AK43" s="110" t="s">
        <v>966</v>
      </c>
      <c r="AM43" s="164">
        <v>0</v>
      </c>
      <c r="AN43" s="165">
        <v>2.4013345890056461E-2</v>
      </c>
      <c r="AO43" s="164">
        <f t="shared" si="7"/>
        <v>19.210676712045167</v>
      </c>
      <c r="AP43" s="166"/>
      <c r="AQ43" s="166">
        <v>1.0487500000000003</v>
      </c>
      <c r="AR43" s="166">
        <v>0.92333102975960524</v>
      </c>
      <c r="AT43" s="167">
        <f t="shared" si="8"/>
        <v>9</v>
      </c>
      <c r="AU43" s="168">
        <v>13.180853770398166</v>
      </c>
      <c r="AV43" s="168">
        <v>7.4923095517203473</v>
      </c>
      <c r="AW43" s="168">
        <f t="shared" ref="AW43:AW48" si="21">AU43</f>
        <v>13.180853770398166</v>
      </c>
      <c r="AX43" s="168">
        <f t="shared" si="9"/>
        <v>8</v>
      </c>
      <c r="AY43" s="168">
        <f t="shared" si="10"/>
        <v>-228.81914622960184</v>
      </c>
      <c r="AZ43" s="168">
        <f t="shared" si="11"/>
        <v>0</v>
      </c>
      <c r="BA43" s="168">
        <f t="shared" si="12"/>
        <v>19.210676712045167</v>
      </c>
      <c r="BB43" s="168">
        <f t="shared" si="13"/>
        <v>-209.60846951755667</v>
      </c>
      <c r="BC43" s="168">
        <f>-150-BB43</f>
        <v>59.608469517556671</v>
      </c>
      <c r="BD43" s="168">
        <f t="shared" si="14"/>
        <v>-150</v>
      </c>
      <c r="BE43" s="168">
        <v>-80</v>
      </c>
      <c r="BF43" s="168">
        <v>0</v>
      </c>
      <c r="BG43" s="168">
        <f t="shared" si="15"/>
        <v>-80</v>
      </c>
      <c r="BH43" s="168">
        <f t="shared" si="16"/>
        <v>-70</v>
      </c>
      <c r="BJ43" s="168">
        <f t="shared" si="17"/>
        <v>-57.288369714801192</v>
      </c>
      <c r="BK43" s="186">
        <f t="shared" si="18"/>
        <v>1.3841813688155895E-2</v>
      </c>
      <c r="BL43" s="186">
        <f t="shared" si="19"/>
        <v>-1.6254853815455394E-2</v>
      </c>
      <c r="BQ43" s="83" t="s">
        <v>29</v>
      </c>
      <c r="BR43" s="83" t="s">
        <v>30</v>
      </c>
      <c r="BS43" s="83" t="s">
        <v>808</v>
      </c>
      <c r="BT43" s="83" t="s">
        <v>809</v>
      </c>
      <c r="BU43" s="4" t="s">
        <v>901</v>
      </c>
      <c r="BV43" s="229">
        <v>-15.424116070000032</v>
      </c>
      <c r="BW43" s="229">
        <v>0</v>
      </c>
      <c r="BX43" s="229">
        <v>0</v>
      </c>
      <c r="BY43" s="229">
        <v>-15.424116070000032</v>
      </c>
      <c r="CJ43" s="110" t="s">
        <v>56</v>
      </c>
      <c r="CK43" s="110" t="s">
        <v>999</v>
      </c>
      <c r="CL43" s="110">
        <v>-13.706999790000001</v>
      </c>
      <c r="CM43" s="110">
        <v>-66.428859479999986</v>
      </c>
      <c r="CN43" s="110">
        <v>-52.721859689999988</v>
      </c>
      <c r="CO43" s="110">
        <v>0</v>
      </c>
      <c r="CP43" s="110">
        <v>-1.8999991369899362E-7</v>
      </c>
      <c r="CQ43" s="110">
        <v>-1.8999991369899362E-7</v>
      </c>
      <c r="CR43" s="110">
        <v>-7.7542726499999812</v>
      </c>
      <c r="CS43" s="110">
        <v>7.0870000074676651E-5</v>
      </c>
      <c r="CU43" s="110">
        <v>-141.1</v>
      </c>
      <c r="CV43" s="110">
        <v>-141.10000018999992</v>
      </c>
    </row>
    <row r="44" spans="2:100" x14ac:dyDescent="0.25">
      <c r="B44" s="185" t="s">
        <v>1000</v>
      </c>
      <c r="C44" s="172" t="s">
        <v>50</v>
      </c>
      <c r="D44" s="173" t="s">
        <v>922</v>
      </c>
      <c r="E44" s="152">
        <f t="shared" si="0"/>
        <v>5</v>
      </c>
      <c r="F44" s="152" t="str">
        <f t="shared" si="1"/>
        <v/>
      </c>
      <c r="G44" s="153" t="str">
        <f t="shared" si="2"/>
        <v/>
      </c>
      <c r="H44" s="153" t="str">
        <f t="shared" si="3"/>
        <v/>
      </c>
      <c r="I44" s="153" t="str">
        <f t="shared" si="4"/>
        <v/>
      </c>
      <c r="J44" s="153">
        <f t="shared" si="5"/>
        <v>5</v>
      </c>
      <c r="K44" s="154">
        <v>819.91244726000002</v>
      </c>
      <c r="L44" s="155">
        <v>1616.3309999999999</v>
      </c>
      <c r="N44" s="174">
        <v>-8.3090000000000011</v>
      </c>
      <c r="O44" s="175">
        <v>-36.517580839999155</v>
      </c>
      <c r="P44" s="175">
        <v>-28.208580839999151</v>
      </c>
      <c r="Q44" s="176">
        <v>-3.4404381753523998E-2</v>
      </c>
      <c r="S44" s="177">
        <v>-3.8302153140000028</v>
      </c>
      <c r="T44" s="178">
        <v>-2.6402343735999998</v>
      </c>
      <c r="U44" s="179">
        <v>-5.6578090199999993</v>
      </c>
      <c r="V44" s="179">
        <v>-2.6819902200000003</v>
      </c>
      <c r="W44" s="179">
        <v>1.2280377736000005</v>
      </c>
      <c r="X44" s="179">
        <f t="shared" si="6"/>
        <v>-1.189980940400003</v>
      </c>
      <c r="Y44" s="179">
        <v>-6.9779999999999998</v>
      </c>
      <c r="Z44" s="179">
        <v>-10.288604059599999</v>
      </c>
      <c r="AB44" s="180">
        <v>-69.774000000000001</v>
      </c>
      <c r="AC44" s="163">
        <f t="shared" si="20"/>
        <v>-69.773999869999997</v>
      </c>
      <c r="AE44" s="180">
        <v>7</v>
      </c>
      <c r="AF44" s="180">
        <v>10</v>
      </c>
      <c r="AG44" s="180">
        <v>10</v>
      </c>
      <c r="AH44" s="180"/>
      <c r="AI44" s="180">
        <v>-70</v>
      </c>
      <c r="AM44" s="164">
        <v>0</v>
      </c>
      <c r="AN44" s="165">
        <v>1.0503239647333087E-2</v>
      </c>
      <c r="AO44" s="164">
        <f t="shared" si="7"/>
        <v>8.4025917178664695</v>
      </c>
      <c r="AP44" s="166"/>
      <c r="AQ44" s="166">
        <v>1.0487500000000005</v>
      </c>
      <c r="AR44" s="166">
        <v>1.042217655700693</v>
      </c>
      <c r="AT44" s="167">
        <f t="shared" si="8"/>
        <v>7</v>
      </c>
      <c r="AU44" s="168">
        <v>6.2350992558788878</v>
      </c>
      <c r="AV44" s="168">
        <v>4.8689203628411013</v>
      </c>
      <c r="AW44" s="168">
        <f t="shared" si="21"/>
        <v>6.2350992558788878</v>
      </c>
      <c r="AX44" s="168">
        <f t="shared" si="9"/>
        <v>10</v>
      </c>
      <c r="AY44" s="168">
        <f t="shared" si="10"/>
        <v>-53.764900744121114</v>
      </c>
      <c r="AZ44" s="168">
        <f t="shared" si="11"/>
        <v>0</v>
      </c>
      <c r="BA44" s="168">
        <f t="shared" si="12"/>
        <v>8.4025917178664695</v>
      </c>
      <c r="BB44" s="168">
        <f t="shared" si="13"/>
        <v>-45.362309026254643</v>
      </c>
      <c r="BC44" s="168">
        <v>10</v>
      </c>
      <c r="BD44" s="168">
        <f t="shared" si="14"/>
        <v>-35.362309026254643</v>
      </c>
      <c r="BE44" s="168">
        <v>0</v>
      </c>
      <c r="BF44" s="168">
        <v>0</v>
      </c>
      <c r="BG44" s="168">
        <f t="shared" si="15"/>
        <v>0</v>
      </c>
      <c r="BH44" s="168">
        <f t="shared" si="16"/>
        <v>-35.362309026254643</v>
      </c>
      <c r="BJ44" s="168">
        <f t="shared" si="17"/>
        <v>-15.091031212059708</v>
      </c>
      <c r="BK44" s="186">
        <f t="shared" si="18"/>
        <v>6.1868515792866691E-3</v>
      </c>
      <c r="BL44" s="186">
        <f t="shared" si="19"/>
        <v>-2.1878135744630677E-2</v>
      </c>
      <c r="BQ44" s="83" t="s">
        <v>29</v>
      </c>
      <c r="BR44" s="83" t="s">
        <v>30</v>
      </c>
      <c r="BS44" s="83" t="s">
        <v>824</v>
      </c>
      <c r="BT44" s="83" t="s">
        <v>825</v>
      </c>
      <c r="BU44" s="4" t="s">
        <v>901</v>
      </c>
      <c r="BV44" s="229">
        <v>5.5880920599999371</v>
      </c>
      <c r="BW44" s="229">
        <v>0</v>
      </c>
      <c r="BX44" s="229">
        <v>0</v>
      </c>
      <c r="BY44" s="229">
        <v>5.5880920599999371</v>
      </c>
      <c r="CJ44" s="110" t="s">
        <v>70</v>
      </c>
      <c r="CK44" s="110" t="s">
        <v>1001</v>
      </c>
      <c r="CL44" s="110">
        <v>-3.5644999999999993</v>
      </c>
      <c r="CM44" s="110">
        <v>-6.0384996200000005</v>
      </c>
      <c r="CN44" s="110">
        <v>-2.4739996200000012</v>
      </c>
      <c r="CO44" s="110">
        <v>0</v>
      </c>
      <c r="CP44" s="110">
        <v>7.9998999999997267E-3</v>
      </c>
      <c r="CQ44" s="110">
        <v>7.9998999999997267E-3</v>
      </c>
      <c r="CR44" s="110">
        <v>0.1760000199999999</v>
      </c>
      <c r="CS44" s="110">
        <v>8.0002799999997487E-3</v>
      </c>
      <c r="CU44" s="110">
        <v>-4</v>
      </c>
      <c r="CV44" s="110">
        <v>-3.9920001000000003</v>
      </c>
    </row>
    <row r="45" spans="2:100" x14ac:dyDescent="0.25">
      <c r="B45" s="185" t="s">
        <v>1002</v>
      </c>
      <c r="C45" s="172" t="s">
        <v>31</v>
      </c>
      <c r="D45" s="173" t="s">
        <v>965</v>
      </c>
      <c r="E45" s="152">
        <f t="shared" si="0"/>
        <v>5</v>
      </c>
      <c r="F45" s="152" t="str">
        <f t="shared" si="1"/>
        <v/>
      </c>
      <c r="G45" s="153" t="str">
        <f t="shared" si="2"/>
        <v/>
      </c>
      <c r="H45" s="153" t="str">
        <f t="shared" si="3"/>
        <v/>
      </c>
      <c r="I45" s="153" t="str">
        <f t="shared" si="4"/>
        <v/>
      </c>
      <c r="J45" s="153">
        <f t="shared" si="5"/>
        <v>5</v>
      </c>
      <c r="K45" s="154">
        <v>3474.3772374099999</v>
      </c>
      <c r="L45" s="155">
        <v>6958.9</v>
      </c>
      <c r="N45" s="174">
        <v>-20.399910080004389</v>
      </c>
      <c r="O45" s="175">
        <v>-186.5163094500046</v>
      </c>
      <c r="P45" s="175">
        <v>-166.11639937000018</v>
      </c>
      <c r="Q45" s="187">
        <v>-4.7811848863548528E-2</v>
      </c>
      <c r="S45" s="177">
        <v>-55.291376569800008</v>
      </c>
      <c r="T45" s="178">
        <v>-45.119</v>
      </c>
      <c r="U45" s="179">
        <v>-20.422112739999999</v>
      </c>
      <c r="V45" s="179">
        <v>-2.5280467</v>
      </c>
      <c r="W45" s="179">
        <v>-14.240511539999993</v>
      </c>
      <c r="X45" s="179">
        <f t="shared" si="6"/>
        <v>-10.172376569800008</v>
      </c>
      <c r="Y45" s="179">
        <v>-16.054390659999999</v>
      </c>
      <c r="Z45" s="179">
        <v>-57.5799611602</v>
      </c>
      <c r="AB45" s="180">
        <v>-226.88499999999999</v>
      </c>
      <c r="AC45" s="163">
        <f t="shared" si="20"/>
        <v>-226.88459964000003</v>
      </c>
      <c r="AE45" s="180">
        <v>3</v>
      </c>
      <c r="AF45" s="180">
        <v>32</v>
      </c>
      <c r="AG45" s="180">
        <v>32</v>
      </c>
      <c r="AH45" s="180"/>
      <c r="AI45" s="180">
        <v>-322</v>
      </c>
      <c r="AK45" s="110" t="s">
        <v>966</v>
      </c>
      <c r="AM45" s="164">
        <v>0.63968897705972194</v>
      </c>
      <c r="AN45" s="165">
        <v>5.792452434969985E-2</v>
      </c>
      <c r="AO45" s="164">
        <f t="shared" si="7"/>
        <v>46.339619479759882</v>
      </c>
      <c r="AQ45" s="166">
        <v>1</v>
      </c>
      <c r="AR45" s="166">
        <v>1.0008352551816233</v>
      </c>
      <c r="AT45" s="167">
        <f t="shared" si="8"/>
        <v>3</v>
      </c>
      <c r="AU45" s="168">
        <v>10.064100505032259</v>
      </c>
      <c r="AV45" s="168">
        <v>2.881685408012804</v>
      </c>
      <c r="AW45" s="168">
        <f t="shared" si="21"/>
        <v>10.064100505032259</v>
      </c>
      <c r="AX45" s="168">
        <f t="shared" si="9"/>
        <v>32</v>
      </c>
      <c r="AY45" s="168">
        <f t="shared" si="10"/>
        <v>-279.93589949496771</v>
      </c>
      <c r="AZ45" s="168">
        <f t="shared" si="11"/>
        <v>0.63968897705972194</v>
      </c>
      <c r="BA45" s="168">
        <f t="shared" si="12"/>
        <v>46.339619479759882</v>
      </c>
      <c r="BB45" s="168">
        <f t="shared" si="13"/>
        <v>-232.9565910381481</v>
      </c>
      <c r="BC45" s="168">
        <f>-150-BB45</f>
        <v>82.956591038148105</v>
      </c>
      <c r="BD45" s="168">
        <f t="shared" si="14"/>
        <v>-150</v>
      </c>
      <c r="BE45" s="168">
        <v>0</v>
      </c>
      <c r="BF45" s="168">
        <v>0</v>
      </c>
      <c r="BG45" s="168">
        <f t="shared" si="15"/>
        <v>0</v>
      </c>
      <c r="BH45" s="168">
        <f t="shared" si="16"/>
        <v>-150</v>
      </c>
      <c r="BJ45" s="168">
        <f t="shared" si="17"/>
        <v>-129.08434911748404</v>
      </c>
      <c r="BK45" s="186">
        <f t="shared" si="18"/>
        <v>1.1920934492254251E-2</v>
      </c>
      <c r="BL45" s="186">
        <f t="shared" si="19"/>
        <v>-2.1555130839644197E-2</v>
      </c>
      <c r="BQ45" s="83" t="s">
        <v>29</v>
      </c>
      <c r="BR45" s="83" t="s">
        <v>30</v>
      </c>
      <c r="BS45" s="83" t="s">
        <v>810</v>
      </c>
      <c r="BT45" s="83" t="s">
        <v>811</v>
      </c>
      <c r="BU45" s="4" t="s">
        <v>901</v>
      </c>
      <c r="BV45" s="229">
        <v>6.4</v>
      </c>
      <c r="BW45" s="229">
        <v>0</v>
      </c>
      <c r="BX45" s="229">
        <v>0</v>
      </c>
      <c r="BY45" s="229">
        <v>6.4</v>
      </c>
      <c r="CJ45" s="110" t="s">
        <v>94</v>
      </c>
      <c r="CK45" s="110" t="s">
        <v>1003</v>
      </c>
      <c r="CL45" s="110">
        <v>-3.0314999999999976</v>
      </c>
      <c r="CM45" s="110">
        <v>-34.380417060000006</v>
      </c>
      <c r="CN45" s="110">
        <v>-31.348917060000009</v>
      </c>
      <c r="CO45" s="110">
        <v>1.4210854715202004E-14</v>
      </c>
      <c r="CP45" s="110">
        <v>1.9367000000158896E-4</v>
      </c>
      <c r="CQ45" s="110">
        <v>1.9366999998737811E-4</v>
      </c>
      <c r="CR45" s="110">
        <v>-5.174156010000015</v>
      </c>
      <c r="CS45" s="110">
        <v>-6.3300000088020161E-6</v>
      </c>
      <c r="CU45" s="110">
        <v>-71</v>
      </c>
      <c r="CV45" s="110">
        <v>-70.999806329999998</v>
      </c>
    </row>
    <row r="46" spans="2:100" x14ac:dyDescent="0.25">
      <c r="B46" s="185" t="s">
        <v>1004</v>
      </c>
      <c r="C46" s="172" t="s">
        <v>52</v>
      </c>
      <c r="D46" s="173" t="s">
        <v>922</v>
      </c>
      <c r="E46" s="152">
        <f t="shared" si="0"/>
        <v>5</v>
      </c>
      <c r="F46" s="152" t="str">
        <f t="shared" si="1"/>
        <v/>
      </c>
      <c r="G46" s="153" t="str">
        <f t="shared" si="2"/>
        <v/>
      </c>
      <c r="H46" s="153" t="str">
        <f t="shared" si="3"/>
        <v/>
      </c>
      <c r="I46" s="153" t="str">
        <f t="shared" si="4"/>
        <v/>
      </c>
      <c r="J46" s="153">
        <f t="shared" si="5"/>
        <v>5</v>
      </c>
      <c r="K46" s="154">
        <v>1277.0085069100001</v>
      </c>
      <c r="L46" s="155">
        <v>2560.8200000000002</v>
      </c>
      <c r="N46" s="174">
        <v>-17.451999940000455</v>
      </c>
      <c r="O46" s="175">
        <v>-79.2675376899995</v>
      </c>
      <c r="P46" s="175">
        <v>-61.815537749999052</v>
      </c>
      <c r="Q46" s="176">
        <v>-4.8406519937424064E-2</v>
      </c>
      <c r="S46" s="177">
        <v>6.0028231672000008</v>
      </c>
      <c r="T46" s="178">
        <v>15.35343666</v>
      </c>
      <c r="U46" s="179">
        <v>-11.101394050000001</v>
      </c>
      <c r="V46" s="179">
        <v>-5.9967195200000001</v>
      </c>
      <c r="W46" s="179">
        <v>-7.9568548399999992</v>
      </c>
      <c r="X46" s="179">
        <f t="shared" si="6"/>
        <v>-9.3506134927999991</v>
      </c>
      <c r="Y46" s="179">
        <v>-10.84642863</v>
      </c>
      <c r="Z46" s="179">
        <v>-31.916963877200004</v>
      </c>
      <c r="AB46" s="180">
        <v>-124.7</v>
      </c>
      <c r="AC46" s="163">
        <f t="shared" si="20"/>
        <v>-124.69858589999997</v>
      </c>
      <c r="AE46" s="180">
        <v>16</v>
      </c>
      <c r="AF46" s="180">
        <v>6</v>
      </c>
      <c r="AG46" s="180">
        <v>6</v>
      </c>
      <c r="AH46" s="180"/>
      <c r="AI46" s="180">
        <v>-142</v>
      </c>
      <c r="AM46" s="164">
        <v>10.939833231259525</v>
      </c>
      <c r="AN46" s="165">
        <v>2.4801689985048964E-2</v>
      </c>
      <c r="AO46" s="164">
        <f t="shared" si="7"/>
        <v>19.841351988039172</v>
      </c>
      <c r="AQ46" s="166">
        <v>1.0151163102293612</v>
      </c>
      <c r="AR46" s="166">
        <v>1.0546990850821865</v>
      </c>
      <c r="AT46" s="167">
        <f t="shared" si="8"/>
        <v>16</v>
      </c>
      <c r="AU46" s="168">
        <v>11.972789998248999</v>
      </c>
      <c r="AV46" s="168">
        <v>11.503685081416814</v>
      </c>
      <c r="AW46" s="168">
        <f t="shared" si="21"/>
        <v>11.972789998248999</v>
      </c>
      <c r="AX46" s="168">
        <f t="shared" si="9"/>
        <v>6</v>
      </c>
      <c r="AY46" s="168">
        <f t="shared" si="10"/>
        <v>-124.027210001751</v>
      </c>
      <c r="AZ46" s="184">
        <f t="shared" si="11"/>
        <v>10.939833231259525</v>
      </c>
      <c r="BA46" s="184">
        <f t="shared" si="12"/>
        <v>19.841351988039172</v>
      </c>
      <c r="BB46" s="184">
        <f t="shared" si="13"/>
        <v>-93.246024782452309</v>
      </c>
      <c r="BC46" s="184">
        <v>25.8</v>
      </c>
      <c r="BD46" s="184">
        <f t="shared" si="14"/>
        <v>-67.446024782452312</v>
      </c>
      <c r="BE46" s="184">
        <v>0</v>
      </c>
      <c r="BF46" s="184">
        <v>0</v>
      </c>
      <c r="BG46" s="184">
        <f t="shared" si="15"/>
        <v>0</v>
      </c>
      <c r="BH46" s="184">
        <f t="shared" si="16"/>
        <v>-67.446024782452312</v>
      </c>
      <c r="BJ46" s="168">
        <f t="shared" si="17"/>
        <v>-49.829142750874553</v>
      </c>
      <c r="BK46" s="186">
        <f t="shared" si="18"/>
        <v>1.0074897884271444E-2</v>
      </c>
      <c r="BL46" s="186">
        <f t="shared" si="19"/>
        <v>-2.6337667146637527E-2</v>
      </c>
      <c r="BQ46" s="83" t="s">
        <v>29</v>
      </c>
      <c r="BR46" s="83" t="s">
        <v>30</v>
      </c>
      <c r="BS46" s="83" t="s">
        <v>812</v>
      </c>
      <c r="BT46" s="83" t="s">
        <v>813</v>
      </c>
      <c r="BU46" s="4" t="s">
        <v>901</v>
      </c>
      <c r="BV46" s="229">
        <v>-18.908999999999999</v>
      </c>
      <c r="BW46" s="229">
        <v>0</v>
      </c>
      <c r="BX46" s="229">
        <v>0</v>
      </c>
      <c r="BY46" s="229">
        <v>-18.908999999999999</v>
      </c>
      <c r="CJ46" s="110" t="s">
        <v>96</v>
      </c>
      <c r="CK46" s="110" t="s">
        <v>1005</v>
      </c>
      <c r="CL46" s="110">
        <v>-10.693000000000001</v>
      </c>
      <c r="CM46" s="110">
        <v>-36.32532585999995</v>
      </c>
      <c r="CN46" s="110">
        <v>-25.632325859999948</v>
      </c>
      <c r="CO46" s="110">
        <v>1.4990000001853331E-4</v>
      </c>
      <c r="CP46" s="110">
        <v>-6.5279999991618086E-5</v>
      </c>
      <c r="CQ46" s="110">
        <v>-2.1518000001015139E-4</v>
      </c>
      <c r="CR46" s="110">
        <v>-9.9371501699999119</v>
      </c>
      <c r="CS46" s="110">
        <v>2.1158000000544606E-4</v>
      </c>
      <c r="CU46" s="110">
        <v>-133.39850000000001</v>
      </c>
      <c r="CV46" s="110">
        <v>-133.39856528000001</v>
      </c>
    </row>
    <row r="47" spans="2:100" x14ac:dyDescent="0.25">
      <c r="B47" s="185" t="s">
        <v>1006</v>
      </c>
      <c r="C47" s="172" t="s">
        <v>56</v>
      </c>
      <c r="D47" s="173" t="s">
        <v>922</v>
      </c>
      <c r="E47" s="152">
        <f t="shared" si="0"/>
        <v>5</v>
      </c>
      <c r="F47" s="152" t="str">
        <f t="shared" si="1"/>
        <v/>
      </c>
      <c r="G47" s="153" t="str">
        <f t="shared" si="2"/>
        <v/>
      </c>
      <c r="H47" s="153" t="str">
        <f t="shared" si="3"/>
        <v/>
      </c>
      <c r="I47" s="153" t="str">
        <f t="shared" si="4"/>
        <v/>
      </c>
      <c r="J47" s="153">
        <f t="shared" si="5"/>
        <v>5</v>
      </c>
      <c r="K47" s="154">
        <v>1276.84258204</v>
      </c>
      <c r="L47" s="155">
        <v>2522.4809997800003</v>
      </c>
      <c r="N47" s="174">
        <v>-13.706999789999983</v>
      </c>
      <c r="O47" s="175">
        <v>-66.42885948000017</v>
      </c>
      <c r="P47" s="175">
        <v>-52.721859690000194</v>
      </c>
      <c r="Q47" s="176">
        <v>-4.1290806268198657E-2</v>
      </c>
      <c r="S47" s="177">
        <v>-14.1680444059</v>
      </c>
      <c r="T47" s="178">
        <v>-9.4329999999999998</v>
      </c>
      <c r="U47" s="179">
        <v>-15.080725640000001</v>
      </c>
      <c r="V47" s="179">
        <v>-17.292988789999999</v>
      </c>
      <c r="W47" s="179">
        <v>-0.86363526000000235</v>
      </c>
      <c r="X47" s="179">
        <f t="shared" si="6"/>
        <v>-4.7350444059000001</v>
      </c>
      <c r="Y47" s="179">
        <v>-6.5200029199999996</v>
      </c>
      <c r="Z47" s="179">
        <v>1.2035373258999993</v>
      </c>
      <c r="AB47" s="180">
        <v>-141.1</v>
      </c>
      <c r="AC47" s="163">
        <f t="shared" si="20"/>
        <v>-141.10000018999992</v>
      </c>
      <c r="AE47" s="180">
        <v>10</v>
      </c>
      <c r="AF47" s="180">
        <v>3</v>
      </c>
      <c r="AG47" s="180">
        <v>3</v>
      </c>
      <c r="AH47" s="180"/>
      <c r="AI47" s="180">
        <v>-144</v>
      </c>
      <c r="AM47" s="164">
        <v>7.5875821174734233</v>
      </c>
      <c r="AN47" s="165">
        <v>1.1212715062222397E-2</v>
      </c>
      <c r="AO47" s="164">
        <f t="shared" si="7"/>
        <v>8.9701720497779185</v>
      </c>
      <c r="AQ47" s="166">
        <v>1</v>
      </c>
      <c r="AR47" s="166">
        <v>1.0228343128362418</v>
      </c>
      <c r="AT47" s="167">
        <f t="shared" si="8"/>
        <v>10</v>
      </c>
      <c r="AU47" s="168">
        <v>8.0323532884723505</v>
      </c>
      <c r="AV47" s="168">
        <v>6.6809488237589134</v>
      </c>
      <c r="AW47" s="168">
        <f t="shared" si="21"/>
        <v>8.0323532884723505</v>
      </c>
      <c r="AX47" s="168">
        <f t="shared" si="9"/>
        <v>3</v>
      </c>
      <c r="AY47" s="168">
        <f t="shared" si="10"/>
        <v>-132.96764671152766</v>
      </c>
      <c r="AZ47" s="168">
        <f t="shared" si="11"/>
        <v>7.5875821174734233</v>
      </c>
      <c r="BA47" s="168">
        <f t="shared" si="12"/>
        <v>8.9701720497779185</v>
      </c>
      <c r="BB47" s="168">
        <f t="shared" si="13"/>
        <v>-116.40989254427633</v>
      </c>
      <c r="BC47" s="168">
        <v>35.299999999999997</v>
      </c>
      <c r="BD47" s="168">
        <f t="shared" si="14"/>
        <v>-81.109892544276335</v>
      </c>
      <c r="BE47" s="168">
        <v>0</v>
      </c>
      <c r="BF47" s="168">
        <v>0</v>
      </c>
      <c r="BG47" s="168">
        <f t="shared" si="15"/>
        <v>0</v>
      </c>
      <c r="BH47" s="168">
        <f t="shared" si="16"/>
        <v>-81.109892544276335</v>
      </c>
      <c r="BJ47" s="168">
        <f t="shared" si="17"/>
        <v>-45.705683045764019</v>
      </c>
      <c r="BK47" s="186">
        <f t="shared" si="18"/>
        <v>1.3994158926500817E-2</v>
      </c>
      <c r="BL47" s="186">
        <f t="shared" si="19"/>
        <v>-3.2154808123966198E-2</v>
      </c>
      <c r="BQ47" s="83" t="s">
        <v>29</v>
      </c>
      <c r="BR47" s="83" t="s">
        <v>30</v>
      </c>
      <c r="BS47" s="83" t="s">
        <v>814</v>
      </c>
      <c r="BT47" s="83" t="s">
        <v>815</v>
      </c>
      <c r="BU47" s="4" t="s">
        <v>901</v>
      </c>
      <c r="BV47" s="229">
        <v>0.36260800000001836</v>
      </c>
      <c r="BW47" s="229">
        <v>0</v>
      </c>
      <c r="BX47" s="229">
        <v>0</v>
      </c>
      <c r="BY47" s="229">
        <v>0.36260800000001836</v>
      </c>
      <c r="CJ47" s="110" t="s">
        <v>25</v>
      </c>
      <c r="CK47" s="110" t="s">
        <v>1007</v>
      </c>
      <c r="CL47" s="110">
        <v>-9.6363648600000058</v>
      </c>
      <c r="CM47" s="110">
        <v>-50.409899270000011</v>
      </c>
      <c r="CN47" s="110">
        <v>-40.773534410000003</v>
      </c>
      <c r="CO47" s="110">
        <v>1.0393000002650865E-4</v>
      </c>
      <c r="CP47" s="110">
        <v>-25.025970700000123</v>
      </c>
      <c r="CQ47" s="110">
        <v>-25.026074630000149</v>
      </c>
      <c r="CR47" s="110">
        <v>-10.673743370000034</v>
      </c>
      <c r="CS47" s="110">
        <v>-4.8275600000122716E-2</v>
      </c>
      <c r="CU47" s="110">
        <v>-102.86086619999999</v>
      </c>
      <c r="CV47" s="110">
        <v>-127.88683690000011</v>
      </c>
    </row>
    <row r="48" spans="2:100" x14ac:dyDescent="0.25">
      <c r="B48" s="188" t="s">
        <v>1008</v>
      </c>
      <c r="C48" s="189" t="s">
        <v>54</v>
      </c>
      <c r="D48" s="190" t="s">
        <v>922</v>
      </c>
      <c r="E48" s="152">
        <f t="shared" si="0"/>
        <v>5</v>
      </c>
      <c r="F48" s="152" t="str">
        <f t="shared" si="1"/>
        <v/>
      </c>
      <c r="G48" s="153" t="str">
        <f t="shared" si="2"/>
        <v/>
      </c>
      <c r="H48" s="153" t="str">
        <f t="shared" si="3"/>
        <v/>
      </c>
      <c r="I48" s="153" t="str">
        <f t="shared" si="4"/>
        <v/>
      </c>
      <c r="J48" s="153">
        <f t="shared" si="5"/>
        <v>5</v>
      </c>
      <c r="K48" s="191">
        <v>555.82370127000002</v>
      </c>
      <c r="L48" s="192">
        <v>1120.2190000000001</v>
      </c>
      <c r="N48" s="193">
        <v>-40.52311533000001</v>
      </c>
      <c r="O48" s="194">
        <v>-74.474681729999816</v>
      </c>
      <c r="P48" s="194">
        <v>-33.951566399999805</v>
      </c>
      <c r="Q48" s="195">
        <v>-6.1083336896976446E-2</v>
      </c>
      <c r="S48" s="196">
        <v>-5.5398780000000007</v>
      </c>
      <c r="T48" s="197">
        <v>-0.39200000000000002</v>
      </c>
      <c r="U48" s="198">
        <v>-1.2247786200000002</v>
      </c>
      <c r="V48" s="198">
        <v>-4.3591142200000004</v>
      </c>
      <c r="W48" s="198">
        <v>-0.48915688999999851</v>
      </c>
      <c r="X48" s="198">
        <f t="shared" si="6"/>
        <v>-5.1478780000000004</v>
      </c>
      <c r="Y48" s="198">
        <v>-6.9479166699999997</v>
      </c>
      <c r="Z48" s="198">
        <v>-15.390722000000002</v>
      </c>
      <c r="AB48" s="199">
        <v>-101.482</v>
      </c>
      <c r="AC48" s="163">
        <f t="shared" si="20"/>
        <v>-158.58071014000001</v>
      </c>
      <c r="AE48" s="199">
        <v>6</v>
      </c>
      <c r="AF48" s="199">
        <v>2</v>
      </c>
      <c r="AG48" s="199">
        <v>2</v>
      </c>
      <c r="AH48" s="199"/>
      <c r="AI48" s="199">
        <v>-156</v>
      </c>
      <c r="AM48" s="164">
        <v>1.8711561400346457</v>
      </c>
      <c r="AN48" s="165">
        <v>5.8796410233107636E-3</v>
      </c>
      <c r="AO48" s="164">
        <f t="shared" si="7"/>
        <v>4.7037128186486106</v>
      </c>
      <c r="AQ48" s="166">
        <v>1</v>
      </c>
      <c r="AR48" s="166">
        <v>1.0136308297596635</v>
      </c>
      <c r="AT48" s="167">
        <f t="shared" si="8"/>
        <v>6</v>
      </c>
      <c r="AU48" s="168">
        <v>3.9930164438325702</v>
      </c>
      <c r="AV48" s="168">
        <v>4.0739649024271083</v>
      </c>
      <c r="AW48" s="168">
        <f t="shared" si="21"/>
        <v>3.9930164438325702</v>
      </c>
      <c r="AX48" s="168">
        <f t="shared" si="9"/>
        <v>2</v>
      </c>
      <c r="AY48" s="168">
        <f t="shared" si="10"/>
        <v>-150.00698355616743</v>
      </c>
      <c r="AZ48" s="168">
        <f t="shared" si="11"/>
        <v>1.8711561400346457</v>
      </c>
      <c r="BA48" s="168">
        <f t="shared" si="12"/>
        <v>4.7037128186486106</v>
      </c>
      <c r="BB48" s="168">
        <f t="shared" si="13"/>
        <v>-143.43211459748417</v>
      </c>
      <c r="BC48" s="184">
        <v>30</v>
      </c>
      <c r="BD48" s="168">
        <f t="shared" si="14"/>
        <v>-113.43211459748417</v>
      </c>
      <c r="BE48" s="168">
        <v>-57</v>
      </c>
      <c r="BF48" s="168">
        <v>0</v>
      </c>
      <c r="BG48" s="168">
        <f t="shared" si="15"/>
        <v>-57</v>
      </c>
      <c r="BH48" s="168">
        <f t="shared" si="16"/>
        <v>-56.432114597484173</v>
      </c>
      <c r="BJ48" s="168">
        <f t="shared" si="17"/>
        <v>-29.955058178083519</v>
      </c>
      <c r="BK48" s="186">
        <f t="shared" si="18"/>
        <v>2.6780477745869332E-2</v>
      </c>
      <c r="BL48" s="186">
        <f t="shared" si="19"/>
        <v>-5.0375966304342427E-2</v>
      </c>
      <c r="BQ48" s="83" t="s">
        <v>29</v>
      </c>
      <c r="BR48" s="83" t="s">
        <v>30</v>
      </c>
      <c r="BS48" s="83" t="s">
        <v>816</v>
      </c>
      <c r="BT48" s="83" t="s">
        <v>817</v>
      </c>
      <c r="BU48" s="4" t="s">
        <v>901</v>
      </c>
      <c r="BV48" s="229">
        <v>4.0789999999999997</v>
      </c>
      <c r="BW48" s="229">
        <v>0</v>
      </c>
      <c r="BX48" s="229">
        <v>0</v>
      </c>
      <c r="BY48" s="229">
        <v>4.0789999999999997</v>
      </c>
    </row>
    <row r="49" spans="11:77" x14ac:dyDescent="0.25">
      <c r="AM49" s="168"/>
      <c r="AN49" s="168"/>
      <c r="AO49" s="168"/>
      <c r="AR49" s="168"/>
      <c r="AT49" s="167"/>
      <c r="AU49" s="168"/>
      <c r="AV49" s="168"/>
      <c r="AW49" s="200"/>
      <c r="BQ49" s="83" t="s">
        <v>29</v>
      </c>
      <c r="BR49" s="83" t="s">
        <v>30</v>
      </c>
      <c r="BS49" s="83" t="s">
        <v>818</v>
      </c>
      <c r="BT49" s="83" t="s">
        <v>819</v>
      </c>
      <c r="BU49" s="4" t="s">
        <v>901</v>
      </c>
      <c r="BV49" s="229">
        <v>-15.747999999999999</v>
      </c>
      <c r="BW49" s="229">
        <v>-1.3</v>
      </c>
      <c r="BX49" s="229">
        <v>0</v>
      </c>
      <c r="BY49" s="229">
        <v>-17.047999999999998</v>
      </c>
    </row>
    <row r="50" spans="11:77" ht="15.75" thickBot="1" x14ac:dyDescent="0.3">
      <c r="K50" s="201">
        <f>SUM(K7:K48)</f>
        <v>64161.279397949991</v>
      </c>
      <c r="L50" s="201">
        <f>SUM(L7:L48)</f>
        <v>127973.15081906003</v>
      </c>
      <c r="N50" s="202">
        <f>SUM(N7:N48)</f>
        <v>-972.72499944300341</v>
      </c>
      <c r="O50" s="202">
        <f>SUM(O7:O48)</f>
        <v>-2387.8347656219439</v>
      </c>
      <c r="P50" s="202">
        <f>SUM(P7:P48)</f>
        <v>-1415.1097661789404</v>
      </c>
      <c r="Q50" s="203">
        <f>P50/K50</f>
        <v>-2.2055510417770041E-2</v>
      </c>
      <c r="S50" s="204">
        <f>SUM(S7:S48)</f>
        <v>-337.46788891054007</v>
      </c>
      <c r="T50" s="204">
        <f>SUM(T7:T49)</f>
        <v>-103.45339940868999</v>
      </c>
      <c r="U50" s="204">
        <f>SUM(U7:U49)</f>
        <v>-303.92305074000012</v>
      </c>
      <c r="V50" s="204">
        <f>SUM(V7:V49)</f>
        <v>-205.68564587000003</v>
      </c>
      <c r="W50" s="204">
        <f>SUM(W7:W49)</f>
        <v>172.53625725868949</v>
      </c>
      <c r="X50" s="204">
        <f t="shared" ref="X50:Z50" si="22">SUM(X7:X49)</f>
        <v>-234.01448950185005</v>
      </c>
      <c r="Y50" s="204">
        <f t="shared" si="22"/>
        <v>-255.51102794389996</v>
      </c>
      <c r="Z50" s="204">
        <f t="shared" si="22"/>
        <v>-485.05852162325004</v>
      </c>
      <c r="AB50" s="204">
        <f t="shared" ref="AB50:AI50" si="23">SUM(AB7:AB48)</f>
        <v>-2924.388168306999</v>
      </c>
      <c r="AC50" s="204">
        <f t="shared" si="23"/>
        <v>-3669.0372110270214</v>
      </c>
      <c r="AE50" s="204">
        <f t="shared" si="23"/>
        <v>248.2</v>
      </c>
      <c r="AF50" s="204">
        <f t="shared" si="23"/>
        <v>412.4</v>
      </c>
      <c r="AG50" s="204">
        <f t="shared" si="23"/>
        <v>431.29999999999995</v>
      </c>
      <c r="AH50" s="204">
        <f t="shared" si="23"/>
        <v>-43</v>
      </c>
      <c r="AI50" s="204">
        <f t="shared" si="23"/>
        <v>-3753</v>
      </c>
      <c r="AJ50" s="163"/>
      <c r="AM50" s="205">
        <f>SUM(AM7:AM49)</f>
        <v>610.76047739691887</v>
      </c>
      <c r="AN50" s="205">
        <f t="shared" ref="AN50:AO50" si="24">SUM(AN7:AN49)</f>
        <v>1</v>
      </c>
      <c r="AO50" s="205">
        <f t="shared" si="24"/>
        <v>799.99999999999966</v>
      </c>
      <c r="AP50" s="204"/>
      <c r="AQ50" s="204"/>
      <c r="AR50" s="205"/>
      <c r="AT50" s="205">
        <f t="shared" ref="AT50:BH50" si="25">SUM(AT7:AT49)</f>
        <v>248.2</v>
      </c>
      <c r="AU50" s="205">
        <f t="shared" si="25"/>
        <v>385.93926545153073</v>
      </c>
      <c r="AV50" s="205">
        <f t="shared" si="25"/>
        <v>299.54503421869401</v>
      </c>
      <c r="AW50" s="205">
        <f t="shared" si="25"/>
        <v>343.71608560741191</v>
      </c>
      <c r="AX50" s="205">
        <f t="shared" si="25"/>
        <v>431.29999999999995</v>
      </c>
      <c r="AY50" s="205">
        <f t="shared" si="25"/>
        <v>-2977.9839143925883</v>
      </c>
      <c r="AZ50" s="205">
        <f t="shared" si="25"/>
        <v>610.76047739691887</v>
      </c>
      <c r="BA50" s="205">
        <f t="shared" si="25"/>
        <v>799.99999999999966</v>
      </c>
      <c r="BB50" s="205">
        <f t="shared" si="25"/>
        <v>-1567.2234369956691</v>
      </c>
      <c r="BC50" s="205">
        <f t="shared" si="25"/>
        <v>678.74656667032855</v>
      </c>
      <c r="BD50" s="205">
        <f t="shared" si="25"/>
        <v>-888.47687032534077</v>
      </c>
      <c r="BE50" s="205">
        <f t="shared" si="25"/>
        <v>-714</v>
      </c>
      <c r="BF50" s="205">
        <f t="shared" si="25"/>
        <v>128.00781255755183</v>
      </c>
      <c r="BG50" s="205">
        <f t="shared" si="25"/>
        <v>-585.9921874424482</v>
      </c>
      <c r="BH50" s="205">
        <f t="shared" si="25"/>
        <v>-302.48468288289251</v>
      </c>
      <c r="BJ50" s="205">
        <f t="shared" ref="BJ50" si="26">SUM(BJ7:BJ49)</f>
        <v>-830.85172337523454</v>
      </c>
      <c r="BQ50" s="83" t="s">
        <v>29</v>
      </c>
      <c r="BR50" s="83" t="s">
        <v>30</v>
      </c>
      <c r="BS50" s="83" t="s">
        <v>820</v>
      </c>
      <c r="BT50" s="83" t="s">
        <v>821</v>
      </c>
      <c r="BU50" s="4" t="s">
        <v>901</v>
      </c>
      <c r="BV50" s="229">
        <v>0.20399999999999999</v>
      </c>
      <c r="BW50" s="229">
        <v>0</v>
      </c>
      <c r="BX50" s="229">
        <v>0</v>
      </c>
      <c r="BY50" s="229">
        <v>0.20399999999999999</v>
      </c>
    </row>
    <row r="51" spans="11:77" ht="15.75" thickTop="1" x14ac:dyDescent="0.25">
      <c r="K51" s="206">
        <v>0</v>
      </c>
      <c r="L51" s="206">
        <v>0</v>
      </c>
      <c r="N51" s="206">
        <v>0</v>
      </c>
      <c r="O51" s="206">
        <v>0</v>
      </c>
      <c r="P51" s="206">
        <v>0</v>
      </c>
      <c r="S51" s="206">
        <v>4.5474735088646412E-13</v>
      </c>
      <c r="T51" s="206"/>
      <c r="U51" s="206"/>
      <c r="V51" s="206"/>
      <c r="W51" s="206"/>
      <c r="X51" s="206"/>
      <c r="Y51" s="206"/>
      <c r="Z51" s="206"/>
      <c r="AB51" s="206">
        <v>0</v>
      </c>
      <c r="AC51" s="206"/>
      <c r="AE51" s="206"/>
      <c r="AF51" s="206"/>
      <c r="AG51" s="206"/>
      <c r="AH51" s="206"/>
      <c r="AI51" s="206">
        <v>0</v>
      </c>
      <c r="AJ51" s="206"/>
      <c r="BQ51" s="83" t="s">
        <v>29</v>
      </c>
      <c r="BR51" s="83" t="s">
        <v>30</v>
      </c>
      <c r="BS51" s="83" t="s">
        <v>822</v>
      </c>
      <c r="BT51" s="83" t="s">
        <v>823</v>
      </c>
      <c r="BU51" s="4" t="s">
        <v>901</v>
      </c>
      <c r="BV51" s="229">
        <v>-18.600000100000006</v>
      </c>
      <c r="BW51" s="229">
        <v>-0.85</v>
      </c>
      <c r="BX51" s="229">
        <v>0</v>
      </c>
      <c r="BY51" s="229">
        <v>-19.450000100000008</v>
      </c>
    </row>
    <row r="52" spans="11:77" ht="15.75" thickBot="1" x14ac:dyDescent="0.3">
      <c r="O52" s="110">
        <v>-2055</v>
      </c>
      <c r="P52" s="110">
        <f>O52/5</f>
        <v>-411</v>
      </c>
      <c r="AY52" s="205">
        <f>AY50+720-AW50</f>
        <v>-2601.7000000000003</v>
      </c>
      <c r="BC52" s="115" t="s">
        <v>1009</v>
      </c>
      <c r="BD52" s="168">
        <f>SUMIF(BD7:BD48,"&gt;0")</f>
        <v>210.49828792398881</v>
      </c>
      <c r="BE52" s="168"/>
      <c r="BF52" s="168"/>
      <c r="BG52" s="115" t="s">
        <v>1010</v>
      </c>
      <c r="BH52" s="168">
        <f>SUMIF(BH7:BH48,"&lt;0")</f>
        <v>-523.25981034771405</v>
      </c>
      <c r="BQ52" s="83" t="s">
        <v>104</v>
      </c>
      <c r="BR52" s="83" t="s">
        <v>105</v>
      </c>
      <c r="BS52" s="83" t="s">
        <v>690</v>
      </c>
      <c r="BT52" s="83" t="s">
        <v>691</v>
      </c>
      <c r="BU52" s="4" t="s">
        <v>901</v>
      </c>
      <c r="BV52" s="229">
        <v>0</v>
      </c>
      <c r="BW52" s="229">
        <v>0</v>
      </c>
      <c r="BX52" s="229">
        <v>0</v>
      </c>
      <c r="BY52" s="229">
        <v>0</v>
      </c>
    </row>
    <row r="53" spans="11:77" ht="7.5" customHeight="1" thickTop="1" x14ac:dyDescent="0.25">
      <c r="O53" s="207">
        <f>O50-O52</f>
        <v>-332.83476562194392</v>
      </c>
      <c r="BC53" s="115"/>
      <c r="BQ53" s="83" t="s">
        <v>104</v>
      </c>
      <c r="BR53" s="83" t="s">
        <v>105</v>
      </c>
      <c r="BS53" s="83" t="s">
        <v>692</v>
      </c>
      <c r="BT53" s="83" t="s">
        <v>693</v>
      </c>
      <c r="BU53" s="4" t="s">
        <v>901</v>
      </c>
      <c r="BV53" s="229">
        <v>0</v>
      </c>
      <c r="BW53" s="229">
        <v>0</v>
      </c>
      <c r="BX53" s="229">
        <v>0</v>
      </c>
      <c r="BY53" s="229">
        <v>0</v>
      </c>
    </row>
    <row r="54" spans="11:77" ht="15.75" thickBot="1" x14ac:dyDescent="0.3">
      <c r="AE54" s="110" t="s">
        <v>1011</v>
      </c>
      <c r="BC54" s="115" t="s">
        <v>1012</v>
      </c>
      <c r="BD54" s="205">
        <f>BD50-BD52</f>
        <v>-1098.9751582493295</v>
      </c>
      <c r="BE54" s="168"/>
      <c r="BF54" s="168"/>
      <c r="BQ54" s="83" t="s">
        <v>40</v>
      </c>
      <c r="BR54" s="83" t="s">
        <v>41</v>
      </c>
      <c r="BS54" s="83" t="s">
        <v>776</v>
      </c>
      <c r="BT54" s="83" t="s">
        <v>777</v>
      </c>
      <c r="BU54" s="4" t="s">
        <v>901</v>
      </c>
      <c r="BV54" s="229">
        <v>0</v>
      </c>
      <c r="BW54" s="229">
        <v>-5</v>
      </c>
      <c r="BX54" s="229">
        <v>0</v>
      </c>
      <c r="BY54" s="229">
        <v>-5</v>
      </c>
    </row>
    <row r="55" spans="11:77" ht="15.75" thickTop="1" x14ac:dyDescent="0.25">
      <c r="BQ55" s="83" t="s">
        <v>40</v>
      </c>
      <c r="BR55" s="83" t="s">
        <v>41</v>
      </c>
      <c r="BS55" s="83" t="s">
        <v>778</v>
      </c>
      <c r="BT55" s="83" t="s">
        <v>779</v>
      </c>
      <c r="BU55" s="4" t="s">
        <v>901</v>
      </c>
      <c r="BV55" s="229">
        <v>0</v>
      </c>
      <c r="BW55" s="229">
        <v>-2</v>
      </c>
      <c r="BX55" s="229">
        <v>0</v>
      </c>
      <c r="BY55" s="229">
        <v>-2</v>
      </c>
    </row>
    <row r="56" spans="11:77" x14ac:dyDescent="0.25">
      <c r="BQ56" s="83" t="s">
        <v>40</v>
      </c>
      <c r="BR56" s="83" t="s">
        <v>41</v>
      </c>
      <c r="BS56" s="83" t="s">
        <v>780</v>
      </c>
      <c r="BT56" s="83" t="s">
        <v>781</v>
      </c>
      <c r="BU56" s="4" t="s">
        <v>901</v>
      </c>
      <c r="BV56" s="229">
        <v>0</v>
      </c>
      <c r="BW56" s="229">
        <v>-8.9979999999999993</v>
      </c>
      <c r="BX56" s="229">
        <v>0</v>
      </c>
      <c r="BY56" s="229">
        <v>-8.9979999999999993</v>
      </c>
    </row>
    <row r="57" spans="11:77" x14ac:dyDescent="0.25">
      <c r="BQ57" s="83" t="s">
        <v>40</v>
      </c>
      <c r="BR57" s="83" t="s">
        <v>41</v>
      </c>
      <c r="BS57" s="83" t="s">
        <v>782</v>
      </c>
      <c r="BT57" s="83" t="s">
        <v>783</v>
      </c>
      <c r="BU57" s="4" t="s">
        <v>901</v>
      </c>
      <c r="BV57" s="229">
        <v>-9.793999991961755E-5</v>
      </c>
      <c r="BW57" s="229">
        <v>-19.100000000000001</v>
      </c>
      <c r="BX57" s="229">
        <v>0</v>
      </c>
      <c r="BY57" s="229">
        <v>-19.10009793999992</v>
      </c>
    </row>
    <row r="58" spans="11:77" x14ac:dyDescent="0.25">
      <c r="BQ58" s="83" t="s">
        <v>42</v>
      </c>
      <c r="BR58" s="83" t="s">
        <v>43</v>
      </c>
      <c r="BS58" s="83" t="s">
        <v>478</v>
      </c>
      <c r="BT58" s="83" t="s">
        <v>479</v>
      </c>
      <c r="BU58" s="4" t="s">
        <v>901</v>
      </c>
      <c r="BV58" s="229">
        <v>0</v>
      </c>
      <c r="BW58" s="229">
        <v>-14.9</v>
      </c>
      <c r="BX58" s="229">
        <v>0</v>
      </c>
      <c r="BY58" s="229">
        <v>-14.9</v>
      </c>
    </row>
    <row r="59" spans="11:77" x14ac:dyDescent="0.25">
      <c r="BQ59" s="83" t="s">
        <v>42</v>
      </c>
      <c r="BR59" s="83" t="s">
        <v>43</v>
      </c>
      <c r="BS59" s="83" t="s">
        <v>480</v>
      </c>
      <c r="BT59" s="83" t="s">
        <v>481</v>
      </c>
      <c r="BU59" s="4" t="s">
        <v>901</v>
      </c>
      <c r="BV59" s="229">
        <v>4.3512000000191621E-4</v>
      </c>
      <c r="BW59" s="229">
        <v>-2.8140000000000001</v>
      </c>
      <c r="BX59" s="229">
        <v>0</v>
      </c>
      <c r="BY59" s="229">
        <v>-2.8135648799999982</v>
      </c>
    </row>
    <row r="60" spans="11:77" x14ac:dyDescent="0.25">
      <c r="BQ60" s="83" t="s">
        <v>42</v>
      </c>
      <c r="BR60" s="83" t="s">
        <v>43</v>
      </c>
      <c r="BS60" s="83" t="s">
        <v>482</v>
      </c>
      <c r="BT60" s="83" t="s">
        <v>483</v>
      </c>
      <c r="BU60" s="4" t="s">
        <v>901</v>
      </c>
      <c r="BV60" s="229">
        <v>2.5554000007832657E-4</v>
      </c>
      <c r="BW60" s="229">
        <v>-4.13</v>
      </c>
      <c r="BX60" s="229">
        <v>0</v>
      </c>
      <c r="BY60" s="229">
        <v>-4.1297444599999213</v>
      </c>
    </row>
    <row r="61" spans="11:77" x14ac:dyDescent="0.25">
      <c r="BQ61" s="83" t="s">
        <v>42</v>
      </c>
      <c r="BR61" s="83" t="s">
        <v>43</v>
      </c>
      <c r="BS61" s="83" t="s">
        <v>484</v>
      </c>
      <c r="BT61" s="83" t="s">
        <v>485</v>
      </c>
      <c r="BU61" s="4" t="s">
        <v>901</v>
      </c>
      <c r="BV61" s="229">
        <v>0</v>
      </c>
      <c r="BW61" s="229">
        <v>0</v>
      </c>
      <c r="BX61" s="229">
        <v>0</v>
      </c>
      <c r="BY61" s="229">
        <v>0</v>
      </c>
    </row>
    <row r="62" spans="11:77" x14ac:dyDescent="0.25">
      <c r="BQ62" s="83" t="s">
        <v>42</v>
      </c>
      <c r="BR62" s="83" t="s">
        <v>43</v>
      </c>
      <c r="BS62" s="83" t="s">
        <v>486</v>
      </c>
      <c r="BT62" s="83" t="s">
        <v>487</v>
      </c>
      <c r="BU62" s="4" t="s">
        <v>901</v>
      </c>
      <c r="BV62" s="229">
        <v>0</v>
      </c>
      <c r="BW62" s="229">
        <v>-27.4</v>
      </c>
      <c r="BX62" s="229">
        <v>0</v>
      </c>
      <c r="BY62" s="229">
        <v>-27.4</v>
      </c>
    </row>
    <row r="63" spans="11:77" x14ac:dyDescent="0.25">
      <c r="BQ63" s="83" t="s">
        <v>106</v>
      </c>
      <c r="BR63" s="83" t="s">
        <v>107</v>
      </c>
      <c r="BS63" s="83" t="s">
        <v>494</v>
      </c>
      <c r="BT63" s="83" t="s">
        <v>495</v>
      </c>
      <c r="BU63" s="4" t="s">
        <v>901</v>
      </c>
      <c r="BV63" s="229">
        <v>3.3</v>
      </c>
      <c r="BW63" s="229">
        <v>-2.3119999999999998</v>
      </c>
      <c r="BX63" s="229">
        <v>0</v>
      </c>
      <c r="BY63" s="229">
        <v>0.98799999999999999</v>
      </c>
    </row>
    <row r="64" spans="11:77" x14ac:dyDescent="0.25">
      <c r="BQ64" s="83" t="s">
        <v>106</v>
      </c>
      <c r="BR64" s="83" t="s">
        <v>107</v>
      </c>
      <c r="BS64" s="83" t="s">
        <v>496</v>
      </c>
      <c r="BT64" s="83" t="s">
        <v>497</v>
      </c>
      <c r="BU64" s="4" t="s">
        <v>901</v>
      </c>
      <c r="BV64" s="229">
        <v>-28.035</v>
      </c>
      <c r="BW64" s="229">
        <v>-22.533999999999999</v>
      </c>
      <c r="BX64" s="229">
        <v>0</v>
      </c>
      <c r="BY64" s="229">
        <v>-50.569000000000003</v>
      </c>
    </row>
    <row r="65" spans="69:77" x14ac:dyDescent="0.25">
      <c r="BQ65" s="83" t="s">
        <v>106</v>
      </c>
      <c r="BR65" s="83" t="s">
        <v>107</v>
      </c>
      <c r="BS65" s="83" t="s">
        <v>498</v>
      </c>
      <c r="BT65" s="83" t="s">
        <v>499</v>
      </c>
      <c r="BU65" s="4" t="s">
        <v>901</v>
      </c>
      <c r="BV65" s="229">
        <v>-32.570999999999998</v>
      </c>
      <c r="BW65" s="229">
        <v>-26.504000000000001</v>
      </c>
      <c r="BX65" s="229">
        <v>0</v>
      </c>
      <c r="BY65" s="229">
        <v>-59.075000000000003</v>
      </c>
    </row>
    <row r="66" spans="69:77" x14ac:dyDescent="0.25">
      <c r="BQ66" s="83" t="s">
        <v>106</v>
      </c>
      <c r="BR66" s="83" t="s">
        <v>107</v>
      </c>
      <c r="BS66" s="83" t="s">
        <v>500</v>
      </c>
      <c r="BT66" s="83" t="s">
        <v>501</v>
      </c>
      <c r="BU66" s="4" t="s">
        <v>901</v>
      </c>
      <c r="BV66" s="229">
        <v>-33.6</v>
      </c>
      <c r="BW66" s="229">
        <v>-22.067</v>
      </c>
      <c r="BX66" s="229">
        <v>0</v>
      </c>
      <c r="BY66" s="229">
        <v>-55.667000000000002</v>
      </c>
    </row>
    <row r="67" spans="69:77" x14ac:dyDescent="0.25">
      <c r="BQ67" s="83" t="s">
        <v>108</v>
      </c>
      <c r="BR67" s="83" t="s">
        <v>109</v>
      </c>
      <c r="BS67" s="83" t="s">
        <v>734</v>
      </c>
      <c r="BT67" s="83" t="s">
        <v>735</v>
      </c>
      <c r="BU67" s="4" t="s">
        <v>901</v>
      </c>
      <c r="BV67" s="229">
        <v>0</v>
      </c>
      <c r="BW67" s="229">
        <v>0</v>
      </c>
      <c r="BX67" s="229">
        <v>0</v>
      </c>
      <c r="BY67" s="229">
        <v>0</v>
      </c>
    </row>
    <row r="68" spans="69:77" x14ac:dyDescent="0.25">
      <c r="BQ68" s="83" t="s">
        <v>108</v>
      </c>
      <c r="BR68" s="83" t="s">
        <v>109</v>
      </c>
      <c r="BS68" s="83" t="s">
        <v>736</v>
      </c>
      <c r="BT68" s="83" t="s">
        <v>737</v>
      </c>
      <c r="BU68" s="4" t="s">
        <v>901</v>
      </c>
      <c r="BV68" s="229">
        <v>0</v>
      </c>
      <c r="BW68" s="229">
        <v>0</v>
      </c>
      <c r="BX68" s="229">
        <v>0</v>
      </c>
      <c r="BY68" s="229">
        <v>0</v>
      </c>
    </row>
    <row r="69" spans="69:77" x14ac:dyDescent="0.25">
      <c r="BQ69" s="83" t="s">
        <v>108</v>
      </c>
      <c r="BR69" s="83" t="s">
        <v>109</v>
      </c>
      <c r="BS69" s="83" t="s">
        <v>738</v>
      </c>
      <c r="BT69" s="83" t="s">
        <v>739</v>
      </c>
      <c r="BU69" s="4" t="s">
        <v>901</v>
      </c>
      <c r="BV69" s="229">
        <v>0</v>
      </c>
      <c r="BW69" s="229">
        <v>0</v>
      </c>
      <c r="BX69" s="229">
        <v>0</v>
      </c>
      <c r="BY69" s="229">
        <v>0</v>
      </c>
    </row>
    <row r="70" spans="69:77" x14ac:dyDescent="0.25">
      <c r="BQ70" s="83" t="s">
        <v>108</v>
      </c>
      <c r="BR70" s="83" t="s">
        <v>109</v>
      </c>
      <c r="BS70" s="83" t="s">
        <v>740</v>
      </c>
      <c r="BT70" s="83" t="s">
        <v>741</v>
      </c>
      <c r="BU70" s="4" t="s">
        <v>901</v>
      </c>
      <c r="BV70" s="229">
        <v>0</v>
      </c>
      <c r="BW70" s="229">
        <v>0</v>
      </c>
      <c r="BX70" s="229">
        <v>0</v>
      </c>
      <c r="BY70" s="229">
        <v>0</v>
      </c>
    </row>
    <row r="71" spans="69:77" x14ac:dyDescent="0.25">
      <c r="BQ71" s="83" t="s">
        <v>88</v>
      </c>
      <c r="BR71" s="83" t="s">
        <v>89</v>
      </c>
      <c r="BS71" s="83" t="s">
        <v>590</v>
      </c>
      <c r="BT71" s="83" t="s">
        <v>591</v>
      </c>
      <c r="BU71" s="4" t="s">
        <v>901</v>
      </c>
      <c r="BV71" s="229">
        <v>0</v>
      </c>
      <c r="BW71" s="229">
        <v>-8</v>
      </c>
      <c r="BX71" s="229">
        <v>0</v>
      </c>
      <c r="BY71" s="229">
        <v>-8</v>
      </c>
    </row>
    <row r="72" spans="69:77" x14ac:dyDescent="0.25">
      <c r="BQ72" s="83" t="s">
        <v>110</v>
      </c>
      <c r="BR72" s="83" t="s">
        <v>111</v>
      </c>
      <c r="BS72" s="83" t="s">
        <v>648</v>
      </c>
      <c r="BT72" s="83" t="s">
        <v>649</v>
      </c>
      <c r="BU72" s="4" t="s">
        <v>901</v>
      </c>
      <c r="BV72" s="229">
        <v>-1.9000000036612617E-5</v>
      </c>
      <c r="BW72" s="229">
        <v>0</v>
      </c>
      <c r="BX72" s="229">
        <v>0</v>
      </c>
      <c r="BY72" s="229">
        <v>-1.9000000036612617E-5</v>
      </c>
    </row>
    <row r="73" spans="69:77" x14ac:dyDescent="0.25">
      <c r="BQ73" s="83" t="s">
        <v>110</v>
      </c>
      <c r="BR73" s="83" t="s">
        <v>111</v>
      </c>
      <c r="BS73" s="83" t="s">
        <v>650</v>
      </c>
      <c r="BT73" s="83" t="s">
        <v>651</v>
      </c>
      <c r="BU73" s="4" t="s">
        <v>901</v>
      </c>
      <c r="BV73" s="229">
        <v>0</v>
      </c>
      <c r="BW73" s="229">
        <v>-20.65</v>
      </c>
      <c r="BX73" s="229">
        <v>0</v>
      </c>
      <c r="BY73" s="229">
        <v>-20.65</v>
      </c>
    </row>
    <row r="74" spans="69:77" x14ac:dyDescent="0.25">
      <c r="BQ74" s="83" t="s">
        <v>31</v>
      </c>
      <c r="BR74" s="83" t="s">
        <v>8</v>
      </c>
      <c r="BS74" s="83" t="s">
        <v>608</v>
      </c>
      <c r="BT74" s="83" t="s">
        <v>609</v>
      </c>
      <c r="BU74" s="4" t="s">
        <v>901</v>
      </c>
      <c r="BV74" s="229">
        <v>-12.399968810000239</v>
      </c>
      <c r="BW74" s="229">
        <v>0</v>
      </c>
      <c r="BX74" s="229">
        <v>0</v>
      </c>
      <c r="BY74" s="229">
        <v>-12.399968810000239</v>
      </c>
    </row>
    <row r="75" spans="69:77" x14ac:dyDescent="0.25">
      <c r="BQ75" s="83" t="s">
        <v>31</v>
      </c>
      <c r="BR75" s="83" t="s">
        <v>8</v>
      </c>
      <c r="BS75" s="83" t="s">
        <v>610</v>
      </c>
      <c r="BT75" s="83" t="s">
        <v>611</v>
      </c>
      <c r="BU75" s="4" t="s">
        <v>901</v>
      </c>
      <c r="BV75" s="229">
        <v>0</v>
      </c>
      <c r="BW75" s="229">
        <v>0</v>
      </c>
      <c r="BX75" s="229">
        <v>0</v>
      </c>
      <c r="BY75" s="229">
        <v>0</v>
      </c>
    </row>
    <row r="76" spans="69:77" x14ac:dyDescent="0.25">
      <c r="BQ76" s="83" t="s">
        <v>31</v>
      </c>
      <c r="BR76" s="83" t="s">
        <v>8</v>
      </c>
      <c r="BS76" s="83" t="s">
        <v>612</v>
      </c>
      <c r="BT76" s="83" t="s">
        <v>613</v>
      </c>
      <c r="BU76" s="4" t="s">
        <v>901</v>
      </c>
      <c r="BV76" s="229">
        <v>0</v>
      </c>
      <c r="BW76" s="229">
        <v>0</v>
      </c>
      <c r="BX76" s="229">
        <v>0</v>
      </c>
      <c r="BY76" s="229">
        <v>0</v>
      </c>
    </row>
    <row r="77" spans="69:77" x14ac:dyDescent="0.25">
      <c r="BQ77" s="83" t="s">
        <v>31</v>
      </c>
      <c r="BR77" s="83" t="s">
        <v>8</v>
      </c>
      <c r="BS77" s="83" t="s">
        <v>616</v>
      </c>
      <c r="BT77" s="83" t="s">
        <v>617</v>
      </c>
      <c r="BU77" s="4" t="s">
        <v>901</v>
      </c>
      <c r="BV77" s="229">
        <v>-32.176867159999851</v>
      </c>
      <c r="BW77" s="229">
        <v>0</v>
      </c>
      <c r="BX77" s="229">
        <v>0</v>
      </c>
      <c r="BY77" s="229">
        <v>-32.176867159999851</v>
      </c>
    </row>
    <row r="78" spans="69:77" x14ac:dyDescent="0.25">
      <c r="BQ78" s="83" t="s">
        <v>31</v>
      </c>
      <c r="BR78" s="83" t="s">
        <v>8</v>
      </c>
      <c r="BS78" s="83" t="s">
        <v>614</v>
      </c>
      <c r="BT78" s="83" t="s">
        <v>615</v>
      </c>
      <c r="BU78" s="4" t="s">
        <v>901</v>
      </c>
      <c r="BV78" s="229">
        <v>0</v>
      </c>
      <c r="BW78" s="229">
        <v>0</v>
      </c>
      <c r="BX78" s="229">
        <v>0</v>
      </c>
      <c r="BY78" s="229">
        <v>0</v>
      </c>
    </row>
    <row r="79" spans="69:77" x14ac:dyDescent="0.25">
      <c r="BQ79" s="83" t="s">
        <v>31</v>
      </c>
      <c r="BR79" s="83" t="s">
        <v>8</v>
      </c>
      <c r="BS79" s="83" t="s">
        <v>618</v>
      </c>
      <c r="BT79" s="83" t="s">
        <v>619</v>
      </c>
      <c r="BU79" s="4" t="s">
        <v>901</v>
      </c>
      <c r="BV79" s="229">
        <v>-31.460999999999999</v>
      </c>
      <c r="BW79" s="229">
        <v>0</v>
      </c>
      <c r="BX79" s="229">
        <v>0</v>
      </c>
      <c r="BY79" s="229">
        <v>-31.460999999999999</v>
      </c>
    </row>
    <row r="80" spans="69:77" x14ac:dyDescent="0.25">
      <c r="BQ80" s="83" t="s">
        <v>31</v>
      </c>
      <c r="BR80" s="83" t="s">
        <v>8</v>
      </c>
      <c r="BS80" s="83" t="s">
        <v>620</v>
      </c>
      <c r="BT80" s="83" t="s">
        <v>621</v>
      </c>
      <c r="BU80" s="4" t="s">
        <v>901</v>
      </c>
      <c r="BV80" s="229">
        <v>-31.458847689999953</v>
      </c>
      <c r="BW80" s="229">
        <v>0</v>
      </c>
      <c r="BX80" s="229">
        <v>0</v>
      </c>
      <c r="BY80" s="229">
        <v>-31.458847689999953</v>
      </c>
    </row>
    <row r="81" spans="69:77" x14ac:dyDescent="0.25">
      <c r="BQ81" s="83" t="s">
        <v>31</v>
      </c>
      <c r="BR81" s="83" t="s">
        <v>8</v>
      </c>
      <c r="BS81" s="83" t="s">
        <v>622</v>
      </c>
      <c r="BT81" s="83" t="s">
        <v>623</v>
      </c>
      <c r="BU81" s="4" t="s">
        <v>901</v>
      </c>
      <c r="BV81" s="229">
        <v>-8.037878059999974</v>
      </c>
      <c r="BW81" s="229">
        <v>0</v>
      </c>
      <c r="BX81" s="229">
        <v>0</v>
      </c>
      <c r="BY81" s="229">
        <v>-8.037878059999974</v>
      </c>
    </row>
    <row r="82" spans="69:77" x14ac:dyDescent="0.25">
      <c r="BQ82" s="83" t="s">
        <v>31</v>
      </c>
      <c r="BR82" s="83" t="s">
        <v>8</v>
      </c>
      <c r="BS82" s="83" t="s">
        <v>624</v>
      </c>
      <c r="BT82" s="83" t="s">
        <v>625</v>
      </c>
      <c r="BU82" s="4" t="s">
        <v>901</v>
      </c>
      <c r="BV82" s="229">
        <v>-6.5000379999999858</v>
      </c>
      <c r="BW82" s="229">
        <v>0</v>
      </c>
      <c r="BX82" s="229">
        <v>0</v>
      </c>
      <c r="BY82" s="229">
        <v>-6.5000379999999858</v>
      </c>
    </row>
    <row r="83" spans="69:77" x14ac:dyDescent="0.25">
      <c r="BQ83" s="83" t="s">
        <v>90</v>
      </c>
      <c r="BR83" s="83" t="s">
        <v>91</v>
      </c>
      <c r="BS83" s="83" t="s">
        <v>652</v>
      </c>
      <c r="BT83" s="83" t="s">
        <v>653</v>
      </c>
      <c r="BU83" s="4" t="s">
        <v>901</v>
      </c>
      <c r="BV83" s="229">
        <v>-27.000083260000057</v>
      </c>
      <c r="BW83" s="229">
        <v>-24.468</v>
      </c>
      <c r="BX83" s="229">
        <v>0</v>
      </c>
      <c r="BY83" s="229">
        <v>-51.468083260000057</v>
      </c>
    </row>
    <row r="84" spans="69:77" x14ac:dyDescent="0.25">
      <c r="BQ84" s="83" t="s">
        <v>90</v>
      </c>
      <c r="BR84" s="83" t="s">
        <v>91</v>
      </c>
      <c r="BS84" s="83" t="s">
        <v>654</v>
      </c>
      <c r="BT84" s="83" t="s">
        <v>655</v>
      </c>
      <c r="BU84" s="4" t="s">
        <v>901</v>
      </c>
      <c r="BV84" s="229">
        <v>-24.806999999999999</v>
      </c>
      <c r="BW84" s="229">
        <v>-9.1</v>
      </c>
      <c r="BX84" s="229">
        <v>0</v>
      </c>
      <c r="BY84" s="229">
        <v>-33.906999999999996</v>
      </c>
    </row>
    <row r="85" spans="69:77" x14ac:dyDescent="0.25">
      <c r="BQ85" s="83" t="s">
        <v>90</v>
      </c>
      <c r="BR85" s="83" t="s">
        <v>91</v>
      </c>
      <c r="BS85" s="83" t="s">
        <v>656</v>
      </c>
      <c r="BT85" s="83" t="s">
        <v>657</v>
      </c>
      <c r="BU85" s="4" t="s">
        <v>901</v>
      </c>
      <c r="BV85" s="229">
        <v>-31.225000000000001</v>
      </c>
      <c r="BW85" s="229">
        <v>-23.36</v>
      </c>
      <c r="BX85" s="229">
        <v>0</v>
      </c>
      <c r="BY85" s="229">
        <v>-54.585000000000001</v>
      </c>
    </row>
    <row r="86" spans="69:77" x14ac:dyDescent="0.25">
      <c r="BQ86" s="83" t="s">
        <v>90</v>
      </c>
      <c r="BR86" s="83" t="s">
        <v>91</v>
      </c>
      <c r="BS86" s="83" t="s">
        <v>658</v>
      </c>
      <c r="BT86" s="83" t="s">
        <v>659</v>
      </c>
      <c r="BU86" s="4" t="s">
        <v>901</v>
      </c>
      <c r="BV86" s="229">
        <v>-2.2307020000000048</v>
      </c>
      <c r="BW86" s="229">
        <v>0</v>
      </c>
      <c r="BX86" s="229">
        <v>0</v>
      </c>
      <c r="BY86" s="229">
        <v>-2.2307020000000048</v>
      </c>
    </row>
    <row r="87" spans="69:77" x14ac:dyDescent="0.25">
      <c r="BQ87" s="83" t="s">
        <v>90</v>
      </c>
      <c r="BR87" s="83" t="s">
        <v>91</v>
      </c>
      <c r="BS87" s="83" t="s">
        <v>660</v>
      </c>
      <c r="BT87" s="83" t="s">
        <v>661</v>
      </c>
      <c r="BU87" s="4" t="s">
        <v>901</v>
      </c>
      <c r="BV87" s="229">
        <v>0</v>
      </c>
      <c r="BW87" s="229">
        <v>-35.4</v>
      </c>
      <c r="BX87" s="229">
        <v>0</v>
      </c>
      <c r="BY87" s="229">
        <v>-35.4</v>
      </c>
    </row>
    <row r="88" spans="69:77" x14ac:dyDescent="0.25">
      <c r="BQ88" s="83" t="s">
        <v>90</v>
      </c>
      <c r="BR88" s="83" t="s">
        <v>91</v>
      </c>
      <c r="BS88" s="83" t="s">
        <v>662</v>
      </c>
      <c r="BT88" s="83" t="s">
        <v>663</v>
      </c>
      <c r="BU88" s="4" t="s">
        <v>901</v>
      </c>
      <c r="BV88" s="229">
        <v>3.680800000729505E-4</v>
      </c>
      <c r="BW88" s="229">
        <v>0</v>
      </c>
      <c r="BX88" s="229">
        <v>0</v>
      </c>
      <c r="BY88" s="229">
        <v>3.680800000729505E-4</v>
      </c>
    </row>
    <row r="89" spans="69:77" x14ac:dyDescent="0.25">
      <c r="BQ89" s="83" t="s">
        <v>90</v>
      </c>
      <c r="BR89" s="83" t="s">
        <v>91</v>
      </c>
      <c r="BS89" s="83" t="s">
        <v>664</v>
      </c>
      <c r="BT89" s="83" t="s">
        <v>665</v>
      </c>
      <c r="BU89" s="4" t="s">
        <v>901</v>
      </c>
      <c r="BV89" s="229">
        <v>-25.999824000000022</v>
      </c>
      <c r="BW89" s="229">
        <v>-43.194000000000003</v>
      </c>
      <c r="BX89" s="229">
        <v>0</v>
      </c>
      <c r="BY89" s="229">
        <v>-69.193824000000021</v>
      </c>
    </row>
    <row r="90" spans="69:77" x14ac:dyDescent="0.25">
      <c r="BQ90" s="83" t="s">
        <v>44</v>
      </c>
      <c r="BR90" s="83" t="s">
        <v>45</v>
      </c>
      <c r="BS90" s="83" t="s">
        <v>434</v>
      </c>
      <c r="BT90" s="83" t="s">
        <v>435</v>
      </c>
      <c r="BU90" s="4" t="s">
        <v>901</v>
      </c>
      <c r="BV90" s="229">
        <v>2.9</v>
      </c>
      <c r="BW90" s="229">
        <v>0</v>
      </c>
      <c r="BX90" s="229">
        <v>0</v>
      </c>
      <c r="BY90" s="229">
        <v>2.9</v>
      </c>
    </row>
    <row r="91" spans="69:77" x14ac:dyDescent="0.25">
      <c r="BQ91" s="83" t="s">
        <v>44</v>
      </c>
      <c r="BR91" s="83" t="s">
        <v>45</v>
      </c>
      <c r="BS91" s="83" t="s">
        <v>431</v>
      </c>
      <c r="BT91" s="83" t="s">
        <v>432</v>
      </c>
      <c r="BU91" s="4" t="s">
        <v>901</v>
      </c>
      <c r="BV91" s="229">
        <v>-2.9999999997380657E-4</v>
      </c>
      <c r="BW91" s="229">
        <v>0</v>
      </c>
      <c r="BX91" s="229">
        <v>0</v>
      </c>
      <c r="BY91" s="229">
        <v>-2.9999999997380657E-4</v>
      </c>
    </row>
    <row r="92" spans="69:77" x14ac:dyDescent="0.25">
      <c r="BQ92" s="83" t="s">
        <v>44</v>
      </c>
      <c r="BR92" s="83" t="s">
        <v>45</v>
      </c>
      <c r="BS92" s="83" t="s">
        <v>436</v>
      </c>
      <c r="BT92" s="83" t="s">
        <v>437</v>
      </c>
      <c r="BU92" s="4" t="s">
        <v>901</v>
      </c>
      <c r="BV92" s="229">
        <v>-22.315999999999999</v>
      </c>
      <c r="BW92" s="229">
        <v>0</v>
      </c>
      <c r="BX92" s="229">
        <v>0</v>
      </c>
      <c r="BY92" s="229">
        <v>-22.315999999999999</v>
      </c>
    </row>
    <row r="93" spans="69:77" x14ac:dyDescent="0.25">
      <c r="BQ93" s="83" t="s">
        <v>64</v>
      </c>
      <c r="BR93" s="83" t="s">
        <v>65</v>
      </c>
      <c r="BS93" s="83" t="s">
        <v>534</v>
      </c>
      <c r="BT93" s="83" t="s">
        <v>535</v>
      </c>
      <c r="BU93" s="4" t="s">
        <v>901</v>
      </c>
      <c r="BV93" s="229">
        <v>-2.4999040300000197</v>
      </c>
      <c r="BW93" s="229">
        <v>-9.2439999999999998</v>
      </c>
      <c r="BX93" s="229">
        <v>0</v>
      </c>
      <c r="BY93" s="229">
        <v>-11.743904030000019</v>
      </c>
    </row>
    <row r="94" spans="69:77" x14ac:dyDescent="0.25">
      <c r="BQ94" s="83" t="s">
        <v>64</v>
      </c>
      <c r="BR94" s="83" t="s">
        <v>65</v>
      </c>
      <c r="BS94" s="83" t="s">
        <v>536</v>
      </c>
      <c r="BT94" s="83" t="s">
        <v>537</v>
      </c>
      <c r="BU94" s="4" t="s">
        <v>901</v>
      </c>
      <c r="BV94" s="229">
        <v>0</v>
      </c>
      <c r="BW94" s="229">
        <v>-4.774</v>
      </c>
      <c r="BX94" s="229">
        <v>0</v>
      </c>
      <c r="BY94" s="229">
        <v>-4.774</v>
      </c>
    </row>
    <row r="95" spans="69:77" x14ac:dyDescent="0.25">
      <c r="BQ95" s="83" t="s">
        <v>64</v>
      </c>
      <c r="BR95" s="83" t="s">
        <v>65</v>
      </c>
      <c r="BS95" s="83" t="s">
        <v>538</v>
      </c>
      <c r="BT95" s="83" t="s">
        <v>539</v>
      </c>
      <c r="BU95" s="4" t="s">
        <v>901</v>
      </c>
      <c r="BV95" s="229">
        <v>-1.8001031500000391</v>
      </c>
      <c r="BW95" s="229">
        <v>-7.2</v>
      </c>
      <c r="BX95" s="229">
        <v>0</v>
      </c>
      <c r="BY95" s="229">
        <v>-9.0001031500000401</v>
      </c>
    </row>
    <row r="96" spans="69:77" x14ac:dyDescent="0.25">
      <c r="BQ96" s="83" t="s">
        <v>64</v>
      </c>
      <c r="BR96" s="83" t="s">
        <v>65</v>
      </c>
      <c r="BS96" s="83" t="s">
        <v>540</v>
      </c>
      <c r="BT96" s="83" t="s">
        <v>541</v>
      </c>
      <c r="BU96" s="4" t="s">
        <v>901</v>
      </c>
      <c r="BV96" s="229">
        <v>-5.0999999999999996</v>
      </c>
      <c r="BW96" s="229">
        <v>-16.521999999999998</v>
      </c>
      <c r="BX96" s="229">
        <v>0</v>
      </c>
      <c r="BY96" s="229">
        <v>-21.622</v>
      </c>
    </row>
    <row r="97" spans="69:77" x14ac:dyDescent="0.25">
      <c r="BQ97" s="83" t="s">
        <v>64</v>
      </c>
      <c r="BR97" s="83" t="s">
        <v>65</v>
      </c>
      <c r="BS97" s="83" t="s">
        <v>542</v>
      </c>
      <c r="BT97" s="83" t="s">
        <v>543</v>
      </c>
      <c r="BU97" s="4" t="s">
        <v>901</v>
      </c>
      <c r="BV97" s="229">
        <v>0</v>
      </c>
      <c r="BW97" s="229">
        <v>-16.542999999999999</v>
      </c>
      <c r="BX97" s="229">
        <v>0</v>
      </c>
      <c r="BY97" s="229">
        <v>-16.542999999999999</v>
      </c>
    </row>
    <row r="98" spans="69:77" x14ac:dyDescent="0.25">
      <c r="BQ98" s="83" t="s">
        <v>19</v>
      </c>
      <c r="BR98" s="83" t="s">
        <v>20</v>
      </c>
      <c r="BS98" s="83" t="s">
        <v>626</v>
      </c>
      <c r="BT98" s="83" t="s">
        <v>627</v>
      </c>
      <c r="BU98" s="4" t="s">
        <v>901</v>
      </c>
      <c r="BV98" s="229">
        <v>6.0000780000000375</v>
      </c>
      <c r="BW98" s="229">
        <v>-9.0820000000000007</v>
      </c>
      <c r="BX98" s="229">
        <v>0</v>
      </c>
      <c r="BY98" s="229">
        <v>-3.0819219999999632</v>
      </c>
    </row>
    <row r="99" spans="69:77" x14ac:dyDescent="0.25">
      <c r="BQ99" s="83" t="s">
        <v>19</v>
      </c>
      <c r="BR99" s="83" t="s">
        <v>20</v>
      </c>
      <c r="BS99" s="83" t="s">
        <v>628</v>
      </c>
      <c r="BT99" s="83" t="s">
        <v>629</v>
      </c>
      <c r="BU99" s="4" t="s">
        <v>901</v>
      </c>
      <c r="BV99" s="229">
        <v>-7.2309999999999999</v>
      </c>
      <c r="BW99" s="229">
        <v>-5.0019999999999998</v>
      </c>
      <c r="BX99" s="229">
        <v>0</v>
      </c>
      <c r="BY99" s="229">
        <v>-12.233000000000001</v>
      </c>
    </row>
    <row r="100" spans="69:77" x14ac:dyDescent="0.25">
      <c r="BQ100" s="83" t="s">
        <v>19</v>
      </c>
      <c r="BR100" s="83" t="s">
        <v>20</v>
      </c>
      <c r="BS100" s="83" t="s">
        <v>630</v>
      </c>
      <c r="BT100" s="83" t="s">
        <v>631</v>
      </c>
      <c r="BU100" s="4" t="s">
        <v>901</v>
      </c>
      <c r="BV100" s="229">
        <v>0</v>
      </c>
      <c r="BW100" s="229">
        <v>0</v>
      </c>
      <c r="BX100" s="229">
        <v>0</v>
      </c>
      <c r="BY100" s="229">
        <v>0</v>
      </c>
    </row>
    <row r="101" spans="69:77" x14ac:dyDescent="0.25">
      <c r="BQ101" s="83" t="s">
        <v>19</v>
      </c>
      <c r="BR101" s="83" t="s">
        <v>20</v>
      </c>
      <c r="BS101" s="83" t="s">
        <v>632</v>
      </c>
      <c r="BT101" s="83" t="s">
        <v>633</v>
      </c>
      <c r="BU101" s="4" t="s">
        <v>901</v>
      </c>
      <c r="BV101" s="229">
        <v>-13.355</v>
      </c>
      <c r="BW101" s="229">
        <v>-4.8</v>
      </c>
      <c r="BX101" s="229">
        <v>0</v>
      </c>
      <c r="BY101" s="229">
        <v>-18.155000000000001</v>
      </c>
    </row>
    <row r="102" spans="69:77" x14ac:dyDescent="0.25">
      <c r="BQ102" s="83" t="s">
        <v>19</v>
      </c>
      <c r="BR102" s="83" t="s">
        <v>20</v>
      </c>
      <c r="BS102" s="83" t="s">
        <v>634</v>
      </c>
      <c r="BT102" s="83" t="s">
        <v>635</v>
      </c>
      <c r="BU102" s="4" t="s">
        <v>901</v>
      </c>
      <c r="BV102" s="229">
        <v>-15.414</v>
      </c>
      <c r="BW102" s="229">
        <v>-2.9980000000000002</v>
      </c>
      <c r="BX102" s="229">
        <v>0</v>
      </c>
      <c r="BY102" s="229">
        <v>-18.411999999999999</v>
      </c>
    </row>
    <row r="103" spans="69:77" x14ac:dyDescent="0.25">
      <c r="BQ103" s="83" t="s">
        <v>92</v>
      </c>
      <c r="BR103" s="83" t="s">
        <v>93</v>
      </c>
      <c r="BS103" s="83" t="s">
        <v>522</v>
      </c>
      <c r="BT103" s="83" t="s">
        <v>523</v>
      </c>
      <c r="BU103" s="4" t="s">
        <v>901</v>
      </c>
      <c r="BV103" s="229">
        <v>0</v>
      </c>
      <c r="BW103" s="229">
        <v>-12.97</v>
      </c>
      <c r="BX103" s="229">
        <v>0</v>
      </c>
      <c r="BY103" s="229">
        <v>-12.97</v>
      </c>
    </row>
    <row r="104" spans="69:77" x14ac:dyDescent="0.25">
      <c r="BQ104" s="83" t="s">
        <v>92</v>
      </c>
      <c r="BR104" s="83" t="s">
        <v>93</v>
      </c>
      <c r="BS104" s="83" t="s">
        <v>524</v>
      </c>
      <c r="BT104" s="83" t="s">
        <v>525</v>
      </c>
      <c r="BU104" s="4" t="s">
        <v>901</v>
      </c>
      <c r="BV104" s="229">
        <v>-71.929000000000002</v>
      </c>
      <c r="BW104" s="229">
        <v>-50</v>
      </c>
      <c r="BX104" s="229">
        <v>0</v>
      </c>
      <c r="BY104" s="229">
        <v>-121.929</v>
      </c>
    </row>
    <row r="105" spans="69:77" x14ac:dyDescent="0.25">
      <c r="BQ105" s="83" t="s">
        <v>92</v>
      </c>
      <c r="BR105" s="83" t="s">
        <v>93</v>
      </c>
      <c r="BS105" s="83" t="s">
        <v>526</v>
      </c>
      <c r="BT105" s="83" t="s">
        <v>527</v>
      </c>
      <c r="BU105" s="4" t="s">
        <v>901</v>
      </c>
      <c r="BV105" s="229">
        <v>0</v>
      </c>
      <c r="BW105" s="229">
        <v>-1.397</v>
      </c>
      <c r="BX105" s="229">
        <v>0</v>
      </c>
      <c r="BY105" s="229">
        <v>-1.397</v>
      </c>
    </row>
    <row r="106" spans="69:77" x14ac:dyDescent="0.25">
      <c r="BQ106" s="83" t="s">
        <v>92</v>
      </c>
      <c r="BR106" s="83" t="s">
        <v>93</v>
      </c>
      <c r="BS106" s="83" t="s">
        <v>528</v>
      </c>
      <c r="BT106" s="83" t="s">
        <v>529</v>
      </c>
      <c r="BU106" s="4" t="s">
        <v>901</v>
      </c>
      <c r="BV106" s="229">
        <v>0</v>
      </c>
      <c r="BW106" s="229">
        <v>0</v>
      </c>
      <c r="BX106" s="229">
        <v>0</v>
      </c>
      <c r="BY106" s="229">
        <v>0</v>
      </c>
    </row>
    <row r="107" spans="69:77" x14ac:dyDescent="0.25">
      <c r="BQ107" s="83" t="s">
        <v>92</v>
      </c>
      <c r="BR107" s="83" t="s">
        <v>93</v>
      </c>
      <c r="BS107" s="83" t="s">
        <v>530</v>
      </c>
      <c r="BT107" s="83" t="s">
        <v>531</v>
      </c>
      <c r="BU107" s="4" t="s">
        <v>901</v>
      </c>
      <c r="BV107" s="229">
        <v>0</v>
      </c>
      <c r="BW107" s="229">
        <v>0</v>
      </c>
      <c r="BX107" s="229">
        <v>0</v>
      </c>
      <c r="BY107" s="229">
        <v>0</v>
      </c>
    </row>
    <row r="108" spans="69:77" x14ac:dyDescent="0.25">
      <c r="BQ108" s="83" t="s">
        <v>92</v>
      </c>
      <c r="BR108" s="83" t="s">
        <v>93</v>
      </c>
      <c r="BS108" s="83" t="s">
        <v>532</v>
      </c>
      <c r="BT108" s="83" t="s">
        <v>533</v>
      </c>
      <c r="BU108" s="4" t="s">
        <v>901</v>
      </c>
      <c r="BV108" s="229">
        <v>-15.09</v>
      </c>
      <c r="BW108" s="229">
        <v>-29.173999999999999</v>
      </c>
      <c r="BX108" s="229">
        <v>0</v>
      </c>
      <c r="BY108" s="229">
        <v>-44.263999999999996</v>
      </c>
    </row>
    <row r="109" spans="69:77" x14ac:dyDescent="0.25">
      <c r="BQ109" s="83" t="s">
        <v>32</v>
      </c>
      <c r="BR109" s="83" t="s">
        <v>33</v>
      </c>
      <c r="BS109" s="83" t="s">
        <v>404</v>
      </c>
      <c r="BT109" s="83" t="s">
        <v>405</v>
      </c>
      <c r="BU109" s="4" t="s">
        <v>901</v>
      </c>
      <c r="BV109" s="229">
        <v>-24.277999999999999</v>
      </c>
      <c r="BW109" s="229">
        <v>0</v>
      </c>
      <c r="BX109" s="229">
        <v>0</v>
      </c>
      <c r="BY109" s="229">
        <v>-24.277999999999999</v>
      </c>
    </row>
    <row r="110" spans="69:77" x14ac:dyDescent="0.25">
      <c r="BQ110" s="83" t="s">
        <v>32</v>
      </c>
      <c r="BR110" s="83" t="s">
        <v>33</v>
      </c>
      <c r="BS110" s="83" t="s">
        <v>406</v>
      </c>
      <c r="BT110" s="83" t="s">
        <v>407</v>
      </c>
      <c r="BU110" s="4" t="s">
        <v>901</v>
      </c>
      <c r="BV110" s="229">
        <v>-24.277999999999999</v>
      </c>
      <c r="BW110" s="229">
        <v>0</v>
      </c>
      <c r="BX110" s="229">
        <v>0</v>
      </c>
      <c r="BY110" s="229">
        <v>-24.277999999999999</v>
      </c>
    </row>
    <row r="111" spans="69:77" x14ac:dyDescent="0.25">
      <c r="BQ111" s="83" t="s">
        <v>32</v>
      </c>
      <c r="BR111" s="83" t="s">
        <v>33</v>
      </c>
      <c r="BS111" s="83" t="s">
        <v>409</v>
      </c>
      <c r="BT111" s="83" t="s">
        <v>410</v>
      </c>
      <c r="BU111" s="4" t="s">
        <v>901</v>
      </c>
      <c r="BV111" s="229">
        <v>1.6125400899998348</v>
      </c>
      <c r="BW111" s="229">
        <v>0</v>
      </c>
      <c r="BX111" s="229">
        <v>0</v>
      </c>
      <c r="BY111" s="229">
        <v>1.6125400899998348</v>
      </c>
    </row>
    <row r="112" spans="69:77" x14ac:dyDescent="0.25">
      <c r="BQ112" s="83" t="s">
        <v>32</v>
      </c>
      <c r="BR112" s="83" t="s">
        <v>33</v>
      </c>
      <c r="BS112" s="83" t="s">
        <v>411</v>
      </c>
      <c r="BT112" s="83" t="s">
        <v>412</v>
      </c>
      <c r="BU112" s="4" t="s">
        <v>901</v>
      </c>
      <c r="BV112" s="229">
        <v>-15.28</v>
      </c>
      <c r="BW112" s="229">
        <v>0</v>
      </c>
      <c r="BX112" s="229">
        <v>0</v>
      </c>
      <c r="BY112" s="229">
        <v>-15.28</v>
      </c>
    </row>
    <row r="113" spans="69:77" x14ac:dyDescent="0.25">
      <c r="BQ113" s="83" t="s">
        <v>32</v>
      </c>
      <c r="BR113" s="83" t="s">
        <v>33</v>
      </c>
      <c r="BS113" s="83" t="s">
        <v>413</v>
      </c>
      <c r="BT113" s="83" t="s">
        <v>414</v>
      </c>
      <c r="BU113" s="4" t="s">
        <v>901</v>
      </c>
      <c r="BV113" s="229">
        <v>0</v>
      </c>
      <c r="BW113" s="229">
        <v>0</v>
      </c>
      <c r="BX113" s="229">
        <v>0</v>
      </c>
      <c r="BY113" s="229">
        <v>0</v>
      </c>
    </row>
    <row r="114" spans="69:77" x14ac:dyDescent="0.25">
      <c r="BQ114" s="83" t="s">
        <v>32</v>
      </c>
      <c r="BR114" s="83" t="s">
        <v>33</v>
      </c>
      <c r="BS114" s="83" t="s">
        <v>415</v>
      </c>
      <c r="BT114" s="83" t="s">
        <v>416</v>
      </c>
      <c r="BU114" s="4" t="s">
        <v>901</v>
      </c>
      <c r="BV114" s="229">
        <v>-18.277999999999999</v>
      </c>
      <c r="BW114" s="229">
        <v>0</v>
      </c>
      <c r="BX114" s="229">
        <v>0</v>
      </c>
      <c r="BY114" s="229">
        <v>-18.277999999999999</v>
      </c>
    </row>
    <row r="115" spans="69:77" x14ac:dyDescent="0.25">
      <c r="BQ115" s="83" t="s">
        <v>46</v>
      </c>
      <c r="BR115" s="83" t="s">
        <v>47</v>
      </c>
      <c r="BS115" s="83" t="s">
        <v>508</v>
      </c>
      <c r="BT115" s="83" t="s">
        <v>509</v>
      </c>
      <c r="BU115" s="4" t="s">
        <v>901</v>
      </c>
      <c r="BV115" s="229">
        <v>-5.3109999978914854E-5</v>
      </c>
      <c r="BW115" s="229">
        <v>0</v>
      </c>
      <c r="BX115" s="229">
        <v>0</v>
      </c>
      <c r="BY115" s="229">
        <v>-5.3109999978914854E-5</v>
      </c>
    </row>
    <row r="116" spans="69:77" x14ac:dyDescent="0.25">
      <c r="BQ116" s="83" t="s">
        <v>46</v>
      </c>
      <c r="BR116" s="83" t="s">
        <v>47</v>
      </c>
      <c r="BS116" s="83" t="s">
        <v>510</v>
      </c>
      <c r="BT116" s="83" t="s">
        <v>511</v>
      </c>
      <c r="BU116" s="4" t="s">
        <v>901</v>
      </c>
      <c r="BV116" s="229">
        <v>-10.001811769999913</v>
      </c>
      <c r="BW116" s="229">
        <v>-33.283999999999999</v>
      </c>
      <c r="BX116" s="229">
        <v>0</v>
      </c>
      <c r="BY116" s="229">
        <v>-43.28581176999991</v>
      </c>
    </row>
    <row r="117" spans="69:77" x14ac:dyDescent="0.25">
      <c r="BQ117" s="83" t="s">
        <v>48</v>
      </c>
      <c r="BR117" s="83" t="s">
        <v>49</v>
      </c>
      <c r="BS117" s="83" t="s">
        <v>502</v>
      </c>
      <c r="BT117" s="83" t="s">
        <v>503</v>
      </c>
      <c r="BU117" s="4" t="s">
        <v>901</v>
      </c>
      <c r="BV117" s="229">
        <v>0.20799999999999999</v>
      </c>
      <c r="BW117" s="229">
        <v>0</v>
      </c>
      <c r="BX117" s="229">
        <v>0</v>
      </c>
      <c r="BY117" s="229">
        <v>0.20799999999999999</v>
      </c>
    </row>
    <row r="118" spans="69:77" x14ac:dyDescent="0.25">
      <c r="BQ118" s="83" t="s">
        <v>48</v>
      </c>
      <c r="BR118" s="83" t="s">
        <v>49</v>
      </c>
      <c r="BS118" s="83" t="s">
        <v>504</v>
      </c>
      <c r="BT118" s="83" t="s">
        <v>505</v>
      </c>
      <c r="BU118" s="4" t="s">
        <v>901</v>
      </c>
      <c r="BV118" s="229">
        <v>3.0453074800000066</v>
      </c>
      <c r="BW118" s="229">
        <v>0</v>
      </c>
      <c r="BX118" s="229">
        <v>0</v>
      </c>
      <c r="BY118" s="229">
        <v>3.0453074800000066</v>
      </c>
    </row>
    <row r="119" spans="69:77" x14ac:dyDescent="0.25">
      <c r="BQ119" s="83" t="s">
        <v>48</v>
      </c>
      <c r="BR119" s="83" t="s">
        <v>49</v>
      </c>
      <c r="BS119" s="83" t="s">
        <v>506</v>
      </c>
      <c r="BT119" s="83" t="s">
        <v>507</v>
      </c>
      <c r="BU119" s="4" t="s">
        <v>901</v>
      </c>
      <c r="BV119" s="229">
        <v>-20.777999999999999</v>
      </c>
      <c r="BW119" s="229">
        <v>0</v>
      </c>
      <c r="BX119" s="229">
        <v>0</v>
      </c>
      <c r="BY119" s="229">
        <v>-20.777999999999999</v>
      </c>
    </row>
    <row r="120" spans="69:77" x14ac:dyDescent="0.25">
      <c r="BQ120" s="83" t="s">
        <v>66</v>
      </c>
      <c r="BR120" s="83" t="s">
        <v>67</v>
      </c>
      <c r="BS120" s="83" t="s">
        <v>438</v>
      </c>
      <c r="BT120" s="83" t="s">
        <v>439</v>
      </c>
      <c r="BU120" s="4" t="s">
        <v>901</v>
      </c>
      <c r="BV120" s="229">
        <v>-3.4400000008463392E-4</v>
      </c>
      <c r="BW120" s="229">
        <v>-8.9339999999999993</v>
      </c>
      <c r="BX120" s="229">
        <v>0</v>
      </c>
      <c r="BY120" s="229">
        <v>-8.9343440000000847</v>
      </c>
    </row>
    <row r="121" spans="69:77" x14ac:dyDescent="0.25">
      <c r="BQ121" s="83" t="s">
        <v>66</v>
      </c>
      <c r="BR121" s="83" t="s">
        <v>67</v>
      </c>
      <c r="BS121" s="83" t="s">
        <v>440</v>
      </c>
      <c r="BT121" s="83" t="s">
        <v>441</v>
      </c>
      <c r="BU121" s="4" t="s">
        <v>901</v>
      </c>
      <c r="BV121" s="229">
        <v>-49.999554789999962</v>
      </c>
      <c r="BW121" s="229">
        <v>37.161000000000001</v>
      </c>
      <c r="BX121" s="229">
        <v>0</v>
      </c>
      <c r="BY121" s="229">
        <v>-12.838554789999961</v>
      </c>
    </row>
    <row r="122" spans="69:77" x14ac:dyDescent="0.25">
      <c r="BQ122" s="83" t="s">
        <v>68</v>
      </c>
      <c r="BR122" s="83" t="s">
        <v>69</v>
      </c>
      <c r="BS122" s="83" t="s">
        <v>574</v>
      </c>
      <c r="BT122" s="83" t="s">
        <v>575</v>
      </c>
      <c r="BU122" s="4" t="s">
        <v>901</v>
      </c>
      <c r="BV122" s="229">
        <v>1.7209000002185349E-4</v>
      </c>
      <c r="BW122" s="229">
        <v>-3.5</v>
      </c>
      <c r="BX122" s="229">
        <v>0</v>
      </c>
      <c r="BY122" s="229">
        <v>-3.4998279099999783</v>
      </c>
    </row>
    <row r="123" spans="69:77" x14ac:dyDescent="0.25">
      <c r="BQ123" s="83" t="s">
        <v>68</v>
      </c>
      <c r="BR123" s="83" t="s">
        <v>69</v>
      </c>
      <c r="BS123" s="83" t="s">
        <v>576</v>
      </c>
      <c r="BT123" s="83" t="s">
        <v>577</v>
      </c>
      <c r="BU123" s="4" t="s">
        <v>901</v>
      </c>
      <c r="BV123" s="229">
        <v>9.4630000065080828E-5</v>
      </c>
      <c r="BW123" s="229">
        <v>0</v>
      </c>
      <c r="BX123" s="229">
        <v>0</v>
      </c>
      <c r="BY123" s="229">
        <v>9.4630000065080828E-5</v>
      </c>
    </row>
    <row r="124" spans="69:77" x14ac:dyDescent="0.25">
      <c r="BQ124" s="83" t="s">
        <v>68</v>
      </c>
      <c r="BR124" s="83" t="s">
        <v>69</v>
      </c>
      <c r="BS124" s="83" t="s">
        <v>578</v>
      </c>
      <c r="BT124" s="83" t="s">
        <v>579</v>
      </c>
      <c r="BU124" s="4" t="s">
        <v>901</v>
      </c>
      <c r="BV124" s="229">
        <v>3.5901999993075151E-4</v>
      </c>
      <c r="BW124" s="229">
        <v>0</v>
      </c>
      <c r="BX124" s="229">
        <v>0</v>
      </c>
      <c r="BY124" s="229">
        <v>3.5901999993075151E-4</v>
      </c>
    </row>
    <row r="125" spans="69:77" x14ac:dyDescent="0.25">
      <c r="BQ125" s="83" t="s">
        <v>68</v>
      </c>
      <c r="BR125" s="83" t="s">
        <v>69</v>
      </c>
      <c r="BS125" s="83" t="s">
        <v>580</v>
      </c>
      <c r="BT125" s="83" t="s">
        <v>581</v>
      </c>
      <c r="BU125" s="4" t="s">
        <v>901</v>
      </c>
      <c r="BV125" s="229">
        <v>-3.3015999998315239E-4</v>
      </c>
      <c r="BW125" s="229">
        <v>-2.75</v>
      </c>
      <c r="BX125" s="229">
        <v>0</v>
      </c>
      <c r="BY125" s="229">
        <v>-2.750330159999983</v>
      </c>
    </row>
    <row r="126" spans="69:77" x14ac:dyDescent="0.25">
      <c r="BQ126" s="83" t="s">
        <v>68</v>
      </c>
      <c r="BR126" s="83" t="s">
        <v>69</v>
      </c>
      <c r="BS126" s="83" t="s">
        <v>582</v>
      </c>
      <c r="BT126" s="83" t="s">
        <v>583</v>
      </c>
      <c r="BU126" s="4" t="s">
        <v>901</v>
      </c>
      <c r="BV126" s="229">
        <v>0</v>
      </c>
      <c r="BW126" s="229">
        <v>-18.7</v>
      </c>
      <c r="BX126" s="229">
        <v>0</v>
      </c>
      <c r="BY126" s="229">
        <v>-18.7</v>
      </c>
    </row>
    <row r="127" spans="69:77" x14ac:dyDescent="0.25">
      <c r="BQ127" s="83" t="s">
        <v>74</v>
      </c>
      <c r="BR127" s="83" t="s">
        <v>75</v>
      </c>
      <c r="BS127" s="83" t="s">
        <v>554</v>
      </c>
      <c r="BT127" s="83" t="s">
        <v>555</v>
      </c>
      <c r="BU127" s="4" t="s">
        <v>901</v>
      </c>
      <c r="BV127" s="229">
        <v>1.0025999999999766</v>
      </c>
      <c r="BW127" s="229">
        <v>0</v>
      </c>
      <c r="BX127" s="229">
        <v>0</v>
      </c>
      <c r="BY127" s="229">
        <v>1.0025999999999766</v>
      </c>
    </row>
    <row r="128" spans="69:77" x14ac:dyDescent="0.25">
      <c r="BQ128" s="83" t="s">
        <v>74</v>
      </c>
      <c r="BR128" s="83" t="s">
        <v>75</v>
      </c>
      <c r="BS128" s="83" t="s">
        <v>556</v>
      </c>
      <c r="BT128" s="83" t="s">
        <v>557</v>
      </c>
      <c r="BU128" s="4" t="s">
        <v>901</v>
      </c>
      <c r="BV128" s="229">
        <v>0.6730666400000046</v>
      </c>
      <c r="BW128" s="229">
        <v>0</v>
      </c>
      <c r="BX128" s="229">
        <v>0</v>
      </c>
      <c r="BY128" s="229">
        <v>0.6730666400000046</v>
      </c>
    </row>
    <row r="129" spans="69:77" x14ac:dyDescent="0.25">
      <c r="BQ129" s="83" t="s">
        <v>74</v>
      </c>
      <c r="BR129" s="83" t="s">
        <v>75</v>
      </c>
      <c r="BS129" s="83" t="s">
        <v>558</v>
      </c>
      <c r="BT129" s="83" t="s">
        <v>559</v>
      </c>
      <c r="BU129" s="4" t="s">
        <v>901</v>
      </c>
      <c r="BV129" s="229">
        <v>0.62</v>
      </c>
      <c r="BW129" s="229">
        <v>0</v>
      </c>
      <c r="BX129" s="229">
        <v>0</v>
      </c>
      <c r="BY129" s="229">
        <v>0.62</v>
      </c>
    </row>
    <row r="130" spans="69:77" x14ac:dyDescent="0.25">
      <c r="BQ130" s="83" t="s">
        <v>74</v>
      </c>
      <c r="BR130" s="83" t="s">
        <v>75</v>
      </c>
      <c r="BS130" s="83" t="s">
        <v>560</v>
      </c>
      <c r="BT130" s="83" t="s">
        <v>561</v>
      </c>
      <c r="BU130" s="4" t="s">
        <v>901</v>
      </c>
      <c r="BV130" s="229">
        <v>3.4</v>
      </c>
      <c r="BW130" s="229">
        <v>0</v>
      </c>
      <c r="BX130" s="229">
        <v>0</v>
      </c>
      <c r="BY130" s="229">
        <v>3.4</v>
      </c>
    </row>
    <row r="131" spans="69:77" x14ac:dyDescent="0.25">
      <c r="BQ131" s="83" t="s">
        <v>74</v>
      </c>
      <c r="BR131" s="83" t="s">
        <v>75</v>
      </c>
      <c r="BS131" s="83" t="s">
        <v>562</v>
      </c>
      <c r="BT131" s="83" t="s">
        <v>563</v>
      </c>
      <c r="BU131" s="4" t="s">
        <v>901</v>
      </c>
      <c r="BV131" s="229">
        <v>1.1426543700000038</v>
      </c>
      <c r="BW131" s="229">
        <v>0</v>
      </c>
      <c r="BX131" s="229">
        <v>0</v>
      </c>
      <c r="BY131" s="229">
        <v>1.1426543700000038</v>
      </c>
    </row>
    <row r="132" spans="69:77" x14ac:dyDescent="0.25">
      <c r="BQ132" s="83" t="s">
        <v>74</v>
      </c>
      <c r="BR132" s="83" t="s">
        <v>75</v>
      </c>
      <c r="BS132" s="83" t="s">
        <v>564</v>
      </c>
      <c r="BT132" s="83" t="s">
        <v>565</v>
      </c>
      <c r="BU132" s="4" t="s">
        <v>901</v>
      </c>
      <c r="BV132" s="229">
        <v>-36.993999969999919</v>
      </c>
      <c r="BW132" s="229">
        <v>0</v>
      </c>
      <c r="BX132" s="229">
        <v>0</v>
      </c>
      <c r="BY132" s="229">
        <v>-36.993999969999919</v>
      </c>
    </row>
    <row r="133" spans="69:77" x14ac:dyDescent="0.25">
      <c r="BQ133" s="83" t="s">
        <v>74</v>
      </c>
      <c r="BR133" s="83" t="s">
        <v>75</v>
      </c>
      <c r="BS133" s="83" t="s">
        <v>566</v>
      </c>
      <c r="BT133" s="83" t="s">
        <v>567</v>
      </c>
      <c r="BU133" s="4" t="s">
        <v>901</v>
      </c>
      <c r="BV133" s="229">
        <v>4.1000000000000002E-2</v>
      </c>
      <c r="BW133" s="229">
        <v>0</v>
      </c>
      <c r="BX133" s="229">
        <v>0</v>
      </c>
      <c r="BY133" s="229">
        <v>4.1000000000000002E-2</v>
      </c>
    </row>
    <row r="134" spans="69:77" x14ac:dyDescent="0.25">
      <c r="BQ134" s="83" t="s">
        <v>74</v>
      </c>
      <c r="BR134" s="83" t="s">
        <v>75</v>
      </c>
      <c r="BS134" s="83" t="s">
        <v>568</v>
      </c>
      <c r="BT134" s="83" t="s">
        <v>569</v>
      </c>
      <c r="BU134" s="4" t="s">
        <v>901</v>
      </c>
      <c r="BV134" s="229">
        <v>-2.5169999999999999</v>
      </c>
      <c r="BW134" s="229">
        <v>0</v>
      </c>
      <c r="BX134" s="229">
        <v>0</v>
      </c>
      <c r="BY134" s="229">
        <v>-2.5169999999999999</v>
      </c>
    </row>
    <row r="135" spans="69:77" x14ac:dyDescent="0.25">
      <c r="BQ135" s="83" t="s">
        <v>74</v>
      </c>
      <c r="BR135" s="83" t="s">
        <v>75</v>
      </c>
      <c r="BS135" s="83" t="s">
        <v>570</v>
      </c>
      <c r="BT135" s="83" t="s">
        <v>571</v>
      </c>
      <c r="BU135" s="4" t="s">
        <v>901</v>
      </c>
      <c r="BV135" s="229">
        <v>20.010000000000002</v>
      </c>
      <c r="BW135" s="229">
        <v>0</v>
      </c>
      <c r="BX135" s="229">
        <v>0</v>
      </c>
      <c r="BY135" s="229">
        <v>20.010000000000002</v>
      </c>
    </row>
    <row r="136" spans="69:77" x14ac:dyDescent="0.25">
      <c r="BQ136" s="83" t="s">
        <v>74</v>
      </c>
      <c r="BR136" s="83" t="s">
        <v>75</v>
      </c>
      <c r="BS136" s="83" t="s">
        <v>572</v>
      </c>
      <c r="BT136" s="83" t="s">
        <v>573</v>
      </c>
      <c r="BU136" s="4" t="s">
        <v>901</v>
      </c>
      <c r="BV136" s="229">
        <v>2</v>
      </c>
      <c r="BW136" s="229">
        <v>0</v>
      </c>
      <c r="BX136" s="229">
        <v>0</v>
      </c>
      <c r="BY136" s="229">
        <v>2</v>
      </c>
    </row>
    <row r="137" spans="69:77" x14ac:dyDescent="0.25">
      <c r="BQ137" s="83" t="s">
        <v>21</v>
      </c>
      <c r="BR137" s="83" t="s">
        <v>22</v>
      </c>
      <c r="BS137" s="83" t="s">
        <v>456</v>
      </c>
      <c r="BT137" s="83" t="s">
        <v>457</v>
      </c>
      <c r="BU137" s="4" t="s">
        <v>901</v>
      </c>
      <c r="BV137" s="229">
        <v>1.7000002844724804E-7</v>
      </c>
      <c r="BW137" s="229">
        <v>0</v>
      </c>
      <c r="BX137" s="229">
        <v>0</v>
      </c>
      <c r="BY137" s="229">
        <v>1.7000002844724804E-7</v>
      </c>
    </row>
    <row r="138" spans="69:77" x14ac:dyDescent="0.25">
      <c r="BQ138" s="83" t="s">
        <v>21</v>
      </c>
      <c r="BR138" s="83" t="s">
        <v>22</v>
      </c>
      <c r="BS138" s="83" t="s">
        <v>458</v>
      </c>
      <c r="BT138" s="83" t="s">
        <v>459</v>
      </c>
      <c r="BU138" s="4" t="s">
        <v>901</v>
      </c>
      <c r="BV138" s="229">
        <v>0</v>
      </c>
      <c r="BW138" s="229">
        <v>0</v>
      </c>
      <c r="BX138" s="229">
        <v>0</v>
      </c>
      <c r="BY138" s="229">
        <v>0</v>
      </c>
    </row>
    <row r="139" spans="69:77" x14ac:dyDescent="0.25">
      <c r="BQ139" s="83" t="s">
        <v>21</v>
      </c>
      <c r="BR139" s="83" t="s">
        <v>22</v>
      </c>
      <c r="BS139" s="83" t="s">
        <v>460</v>
      </c>
      <c r="BT139" s="83" t="s">
        <v>461</v>
      </c>
      <c r="BU139" s="4" t="s">
        <v>901</v>
      </c>
      <c r="BV139" s="229">
        <v>-12.587586420000006</v>
      </c>
      <c r="BW139" s="229">
        <v>0</v>
      </c>
      <c r="BX139" s="229">
        <v>0</v>
      </c>
      <c r="BY139" s="229">
        <v>-12.587586420000006</v>
      </c>
    </row>
    <row r="140" spans="69:77" x14ac:dyDescent="0.25">
      <c r="BQ140" s="83" t="s">
        <v>21</v>
      </c>
      <c r="BR140" s="83" t="s">
        <v>22</v>
      </c>
      <c r="BS140" s="83" t="s">
        <v>462</v>
      </c>
      <c r="BT140" s="83" t="s">
        <v>463</v>
      </c>
      <c r="BU140" s="4" t="s">
        <v>901</v>
      </c>
      <c r="BV140" s="229">
        <v>-50.643000000000001</v>
      </c>
      <c r="BW140" s="229">
        <v>0</v>
      </c>
      <c r="BX140" s="229">
        <v>0</v>
      </c>
      <c r="BY140" s="229">
        <v>-50.643000000000001</v>
      </c>
    </row>
    <row r="141" spans="69:77" x14ac:dyDescent="0.25">
      <c r="BQ141" s="83" t="s">
        <v>21</v>
      </c>
      <c r="BR141" s="83" t="s">
        <v>22</v>
      </c>
      <c r="BS141" s="83" t="s">
        <v>464</v>
      </c>
      <c r="BT141" s="83" t="s">
        <v>465</v>
      </c>
      <c r="BU141" s="4" t="s">
        <v>901</v>
      </c>
      <c r="BV141" s="229">
        <v>0</v>
      </c>
      <c r="BW141" s="229">
        <v>0</v>
      </c>
      <c r="BX141" s="229">
        <v>0</v>
      </c>
      <c r="BY141" s="229">
        <v>0</v>
      </c>
    </row>
    <row r="142" spans="69:77" x14ac:dyDescent="0.25">
      <c r="BQ142" s="83" t="s">
        <v>21</v>
      </c>
      <c r="BR142" s="83" t="s">
        <v>22</v>
      </c>
      <c r="BS142" s="83" t="s">
        <v>466</v>
      </c>
      <c r="BT142" s="83" t="s">
        <v>467</v>
      </c>
      <c r="BU142" s="4" t="s">
        <v>901</v>
      </c>
      <c r="BV142" s="229">
        <v>4.4088000003830529E-4</v>
      </c>
      <c r="BW142" s="229">
        <v>0</v>
      </c>
      <c r="BX142" s="229">
        <v>0</v>
      </c>
      <c r="BY142" s="229">
        <v>4.4088000003830529E-4</v>
      </c>
    </row>
    <row r="143" spans="69:77" x14ac:dyDescent="0.25">
      <c r="BQ143" s="83" t="s">
        <v>21</v>
      </c>
      <c r="BR143" s="83" t="s">
        <v>22</v>
      </c>
      <c r="BS143" s="83" t="s">
        <v>468</v>
      </c>
      <c r="BT143" s="83" t="s">
        <v>469</v>
      </c>
      <c r="BU143" s="4" t="s">
        <v>901</v>
      </c>
      <c r="BV143" s="229">
        <v>12.765000000000001</v>
      </c>
      <c r="BW143" s="229">
        <v>0</v>
      </c>
      <c r="BX143" s="229">
        <v>0</v>
      </c>
      <c r="BY143" s="229">
        <v>12.765000000000001</v>
      </c>
    </row>
    <row r="144" spans="69:77" x14ac:dyDescent="0.25">
      <c r="BQ144" s="83" t="s">
        <v>21</v>
      </c>
      <c r="BR144" s="83" t="s">
        <v>22</v>
      </c>
      <c r="BS144" s="83" t="s">
        <v>470</v>
      </c>
      <c r="BT144" s="83" t="s">
        <v>471</v>
      </c>
      <c r="BU144" s="4" t="s">
        <v>901</v>
      </c>
      <c r="BV144" s="229">
        <v>-31.810515360000078</v>
      </c>
      <c r="BW144" s="229">
        <v>0</v>
      </c>
      <c r="BX144" s="229">
        <v>0</v>
      </c>
      <c r="BY144" s="229">
        <v>-31.810515360000078</v>
      </c>
    </row>
    <row r="145" spans="69:77" x14ac:dyDescent="0.25">
      <c r="BQ145" s="83" t="s">
        <v>21</v>
      </c>
      <c r="BR145" s="83" t="s">
        <v>22</v>
      </c>
      <c r="BS145" s="83" t="s">
        <v>472</v>
      </c>
      <c r="BT145" s="83" t="s">
        <v>473</v>
      </c>
      <c r="BU145" s="4" t="s">
        <v>901</v>
      </c>
      <c r="BV145" s="229">
        <v>0</v>
      </c>
      <c r="BW145" s="229">
        <v>0</v>
      </c>
      <c r="BX145" s="229">
        <v>0</v>
      </c>
      <c r="BY145" s="229">
        <v>0</v>
      </c>
    </row>
    <row r="146" spans="69:77" x14ac:dyDescent="0.25">
      <c r="BQ146" s="83" t="s">
        <v>21</v>
      </c>
      <c r="BR146" s="83" t="s">
        <v>22</v>
      </c>
      <c r="BS146" s="83" t="s">
        <v>474</v>
      </c>
      <c r="BT146" s="83" t="s">
        <v>475</v>
      </c>
      <c r="BU146" s="4" t="s">
        <v>901</v>
      </c>
      <c r="BV146" s="229">
        <v>0</v>
      </c>
      <c r="BW146" s="229">
        <v>0</v>
      </c>
      <c r="BX146" s="229">
        <v>0</v>
      </c>
      <c r="BY146" s="229">
        <v>0</v>
      </c>
    </row>
    <row r="147" spans="69:77" x14ac:dyDescent="0.25">
      <c r="BQ147" s="83" t="s">
        <v>21</v>
      </c>
      <c r="BR147" s="83" t="s">
        <v>22</v>
      </c>
      <c r="BS147" s="83" t="s">
        <v>476</v>
      </c>
      <c r="BT147" s="83" t="s">
        <v>477</v>
      </c>
      <c r="BU147" s="4" t="s">
        <v>901</v>
      </c>
      <c r="BV147" s="229">
        <v>-3.909800004621502E-4</v>
      </c>
      <c r="BW147" s="229">
        <v>0</v>
      </c>
      <c r="BX147" s="229">
        <v>0</v>
      </c>
      <c r="BY147" s="229">
        <v>-3.909800004621502E-4</v>
      </c>
    </row>
    <row r="148" spans="69:77" x14ac:dyDescent="0.25">
      <c r="BQ148" s="83" t="s">
        <v>76</v>
      </c>
      <c r="BR148" s="83" t="s">
        <v>77</v>
      </c>
      <c r="BS148" s="83" t="s">
        <v>544</v>
      </c>
      <c r="BT148" s="83" t="s">
        <v>545</v>
      </c>
      <c r="BU148" s="4" t="s">
        <v>901</v>
      </c>
      <c r="BV148" s="229">
        <v>-0.15462500000000001</v>
      </c>
      <c r="BW148" s="229">
        <v>0</v>
      </c>
      <c r="BX148" s="229">
        <v>0</v>
      </c>
      <c r="BY148" s="229">
        <v>-0.15462500000000001</v>
      </c>
    </row>
    <row r="149" spans="69:77" x14ac:dyDescent="0.25">
      <c r="BQ149" s="83" t="s">
        <v>76</v>
      </c>
      <c r="BR149" s="83" t="s">
        <v>77</v>
      </c>
      <c r="BS149" s="83" t="s">
        <v>546</v>
      </c>
      <c r="BT149" s="83" t="s">
        <v>547</v>
      </c>
      <c r="BU149" s="4" t="s">
        <v>901</v>
      </c>
      <c r="BV149" s="229">
        <v>-27.8</v>
      </c>
      <c r="BW149" s="229">
        <v>0</v>
      </c>
      <c r="BX149" s="229">
        <v>0</v>
      </c>
      <c r="BY149" s="229">
        <v>-27.8</v>
      </c>
    </row>
    <row r="150" spans="69:77" x14ac:dyDescent="0.25">
      <c r="BQ150" s="83" t="s">
        <v>76</v>
      </c>
      <c r="BR150" s="83" t="s">
        <v>77</v>
      </c>
      <c r="BS150" s="83" t="s">
        <v>548</v>
      </c>
      <c r="BT150" s="83" t="s">
        <v>549</v>
      </c>
      <c r="BU150" s="4" t="s">
        <v>901</v>
      </c>
      <c r="BV150" s="229">
        <v>5.4001692199999525</v>
      </c>
      <c r="BW150" s="229">
        <v>0</v>
      </c>
      <c r="BX150" s="229">
        <v>0</v>
      </c>
      <c r="BY150" s="229">
        <v>5.4001692199999525</v>
      </c>
    </row>
    <row r="151" spans="69:77" x14ac:dyDescent="0.25">
      <c r="BQ151" s="83" t="s">
        <v>76</v>
      </c>
      <c r="BR151" s="83" t="s">
        <v>77</v>
      </c>
      <c r="BS151" s="83" t="s">
        <v>550</v>
      </c>
      <c r="BT151" s="83" t="s">
        <v>551</v>
      </c>
      <c r="BU151" s="4" t="s">
        <v>901</v>
      </c>
      <c r="BV151" s="229">
        <v>0.17000000000001456</v>
      </c>
      <c r="BW151" s="229">
        <v>0</v>
      </c>
      <c r="BX151" s="229">
        <v>0</v>
      </c>
      <c r="BY151" s="229">
        <v>0.17000000000001456</v>
      </c>
    </row>
    <row r="152" spans="69:77" x14ac:dyDescent="0.25">
      <c r="BQ152" s="83" t="s">
        <v>76</v>
      </c>
      <c r="BR152" s="83" t="s">
        <v>77</v>
      </c>
      <c r="BS152" s="83" t="s">
        <v>552</v>
      </c>
      <c r="BT152" s="83" t="s">
        <v>553</v>
      </c>
      <c r="BU152" s="4" t="s">
        <v>901</v>
      </c>
      <c r="BV152" s="229">
        <v>7.0380000000000003</v>
      </c>
      <c r="BW152" s="229">
        <v>0</v>
      </c>
      <c r="BX152" s="229">
        <v>0</v>
      </c>
      <c r="BY152" s="229">
        <v>7.0380000000000003</v>
      </c>
    </row>
    <row r="153" spans="69:77" x14ac:dyDescent="0.25">
      <c r="BQ153" s="83" t="s">
        <v>78</v>
      </c>
      <c r="BR153" s="83" t="s">
        <v>79</v>
      </c>
      <c r="BS153" s="83" t="s">
        <v>666</v>
      </c>
      <c r="BT153" s="83" t="s">
        <v>667</v>
      </c>
      <c r="BU153" s="4" t="s">
        <v>901</v>
      </c>
      <c r="BV153" s="229">
        <v>-3.3539999986533078E-4</v>
      </c>
      <c r="BW153" s="229">
        <v>0</v>
      </c>
      <c r="BX153" s="229">
        <v>0</v>
      </c>
      <c r="BY153" s="229">
        <v>-3.3539999986533078E-4</v>
      </c>
    </row>
    <row r="154" spans="69:77" x14ac:dyDescent="0.25">
      <c r="BQ154" s="83" t="s">
        <v>78</v>
      </c>
      <c r="BR154" s="83" t="s">
        <v>79</v>
      </c>
      <c r="BS154" s="83" t="s">
        <v>668</v>
      </c>
      <c r="BT154" s="83" t="s">
        <v>669</v>
      </c>
      <c r="BU154" s="4" t="s">
        <v>901</v>
      </c>
      <c r="BV154" s="229">
        <v>0</v>
      </c>
      <c r="BW154" s="229">
        <v>0</v>
      </c>
      <c r="BX154" s="229">
        <v>0</v>
      </c>
      <c r="BY154" s="229">
        <v>0</v>
      </c>
    </row>
    <row r="155" spans="69:77" x14ac:dyDescent="0.25">
      <c r="BQ155" s="83" t="s">
        <v>78</v>
      </c>
      <c r="BR155" s="83" t="s">
        <v>79</v>
      </c>
      <c r="BS155" s="83" t="s">
        <v>670</v>
      </c>
      <c r="BT155" s="83" t="s">
        <v>671</v>
      </c>
      <c r="BU155" s="4" t="s">
        <v>901</v>
      </c>
      <c r="BV155" s="229">
        <v>0</v>
      </c>
      <c r="BW155" s="229">
        <v>-0.83499999999999996</v>
      </c>
      <c r="BX155" s="229">
        <v>0</v>
      </c>
      <c r="BY155" s="229">
        <v>-0.83499999999999996</v>
      </c>
    </row>
    <row r="156" spans="69:77" x14ac:dyDescent="0.25">
      <c r="BQ156" s="83" t="s">
        <v>78</v>
      </c>
      <c r="BR156" s="83" t="s">
        <v>79</v>
      </c>
      <c r="BS156" s="83" t="s">
        <v>672</v>
      </c>
      <c r="BT156" s="83" t="s">
        <v>673</v>
      </c>
      <c r="BU156" s="4" t="s">
        <v>901</v>
      </c>
      <c r="BV156" s="229">
        <v>0</v>
      </c>
      <c r="BW156" s="229">
        <v>-32.143000000000001</v>
      </c>
      <c r="BX156" s="229">
        <v>0</v>
      </c>
      <c r="BY156" s="229">
        <v>-32.143000000000001</v>
      </c>
    </row>
    <row r="157" spans="69:77" x14ac:dyDescent="0.25">
      <c r="BQ157" s="83" t="s">
        <v>78</v>
      </c>
      <c r="BR157" s="83" t="s">
        <v>79</v>
      </c>
      <c r="BS157" s="83" t="s">
        <v>674</v>
      </c>
      <c r="BT157" s="83" t="s">
        <v>675</v>
      </c>
      <c r="BU157" s="4" t="s">
        <v>901</v>
      </c>
      <c r="BV157" s="229">
        <v>0</v>
      </c>
      <c r="BW157" s="229">
        <v>0</v>
      </c>
      <c r="BX157" s="229">
        <v>0</v>
      </c>
      <c r="BY157" s="229">
        <v>0</v>
      </c>
    </row>
    <row r="158" spans="69:77" x14ac:dyDescent="0.25">
      <c r="BQ158" s="83" t="s">
        <v>78</v>
      </c>
      <c r="BR158" s="83" t="s">
        <v>79</v>
      </c>
      <c r="BS158" s="83" t="s">
        <v>676</v>
      </c>
      <c r="BT158" s="83" t="s">
        <v>677</v>
      </c>
      <c r="BU158" s="4" t="s">
        <v>901</v>
      </c>
      <c r="BV158" s="229">
        <v>0</v>
      </c>
      <c r="BW158" s="229">
        <v>-26.922000000000001</v>
      </c>
      <c r="BX158" s="229">
        <v>0</v>
      </c>
      <c r="BY158" s="229">
        <v>-26.922000000000001</v>
      </c>
    </row>
    <row r="159" spans="69:77" x14ac:dyDescent="0.25">
      <c r="BQ159" s="83" t="s">
        <v>78</v>
      </c>
      <c r="BR159" s="83" t="s">
        <v>79</v>
      </c>
      <c r="BS159" s="83" t="s">
        <v>678</v>
      </c>
      <c r="BT159" s="83" t="s">
        <v>679</v>
      </c>
      <c r="BU159" s="4" t="s">
        <v>901</v>
      </c>
      <c r="BV159" s="229">
        <v>-1.8786000000545756E-4</v>
      </c>
      <c r="BW159" s="229">
        <v>-6.5439999999999996</v>
      </c>
      <c r="BX159" s="229">
        <v>0</v>
      </c>
      <c r="BY159" s="229">
        <v>-6.5441878600000054</v>
      </c>
    </row>
    <row r="160" spans="69:77" x14ac:dyDescent="0.25">
      <c r="BQ160" s="83" t="s">
        <v>78</v>
      </c>
      <c r="BR160" s="83" t="s">
        <v>79</v>
      </c>
      <c r="BS160" s="83" t="s">
        <v>680</v>
      </c>
      <c r="BT160" s="83" t="s">
        <v>681</v>
      </c>
      <c r="BU160" s="4" t="s">
        <v>901</v>
      </c>
      <c r="BV160" s="229">
        <v>4.8299999997834672E-4</v>
      </c>
      <c r="BW160" s="229">
        <v>0</v>
      </c>
      <c r="BX160" s="229">
        <v>0</v>
      </c>
      <c r="BY160" s="229">
        <v>4.8299999997834672E-4</v>
      </c>
    </row>
    <row r="161" spans="69:77" x14ac:dyDescent="0.25">
      <c r="BQ161" s="83" t="s">
        <v>50</v>
      </c>
      <c r="BR161" s="83" t="s">
        <v>51</v>
      </c>
      <c r="BS161" s="83" t="s">
        <v>642</v>
      </c>
      <c r="BT161" s="83" t="s">
        <v>643</v>
      </c>
      <c r="BU161" s="4" t="s">
        <v>901</v>
      </c>
      <c r="BV161" s="229">
        <v>0</v>
      </c>
      <c r="BW161" s="229">
        <v>-16.579999999999998</v>
      </c>
      <c r="BX161" s="229">
        <v>0</v>
      </c>
      <c r="BY161" s="229">
        <v>-16.579999999999998</v>
      </c>
    </row>
    <row r="162" spans="69:77" x14ac:dyDescent="0.25">
      <c r="BQ162" s="83" t="s">
        <v>50</v>
      </c>
      <c r="BR162" s="83" t="s">
        <v>51</v>
      </c>
      <c r="BS162" s="83" t="s">
        <v>644</v>
      </c>
      <c r="BT162" s="83" t="s">
        <v>645</v>
      </c>
      <c r="BU162" s="4" t="s">
        <v>901</v>
      </c>
      <c r="BV162" s="229">
        <v>0</v>
      </c>
      <c r="BW162" s="229">
        <v>-18.103000000000002</v>
      </c>
      <c r="BX162" s="229">
        <v>0</v>
      </c>
      <c r="BY162" s="229">
        <v>-18.103000000000002</v>
      </c>
    </row>
    <row r="163" spans="69:77" x14ac:dyDescent="0.25">
      <c r="BQ163" s="83" t="s">
        <v>50</v>
      </c>
      <c r="BR163" s="83" t="s">
        <v>51</v>
      </c>
      <c r="BS163" s="83" t="s">
        <v>646</v>
      </c>
      <c r="BT163" s="83" t="s">
        <v>647</v>
      </c>
      <c r="BU163" s="4" t="s">
        <v>901</v>
      </c>
      <c r="BV163" s="229">
        <v>0</v>
      </c>
      <c r="BW163" s="229">
        <v>-10</v>
      </c>
      <c r="BX163" s="229">
        <v>0</v>
      </c>
      <c r="BY163" s="229">
        <v>-10</v>
      </c>
    </row>
    <row r="164" spans="69:77" x14ac:dyDescent="0.25">
      <c r="BQ164" s="83" t="s">
        <v>52</v>
      </c>
      <c r="BR164" s="83" t="s">
        <v>53</v>
      </c>
      <c r="BS164" s="83" t="s">
        <v>684</v>
      </c>
      <c r="BT164" s="83" t="s">
        <v>685</v>
      </c>
      <c r="BU164" s="4" t="s">
        <v>901</v>
      </c>
      <c r="BV164" s="229">
        <v>0</v>
      </c>
      <c r="BW164" s="229">
        <v>-69</v>
      </c>
      <c r="BX164" s="229">
        <v>0</v>
      </c>
      <c r="BY164" s="229">
        <v>-69</v>
      </c>
    </row>
    <row r="165" spans="69:77" x14ac:dyDescent="0.25">
      <c r="BQ165" s="83" t="s">
        <v>52</v>
      </c>
      <c r="BR165" s="83" t="s">
        <v>53</v>
      </c>
      <c r="BS165" s="83" t="s">
        <v>686</v>
      </c>
      <c r="BT165" s="83" t="s">
        <v>687</v>
      </c>
      <c r="BU165" s="4" t="s">
        <v>901</v>
      </c>
      <c r="BV165" s="229">
        <v>5.8207660913467408E-14</v>
      </c>
      <c r="BW165" s="229">
        <v>-15.2</v>
      </c>
      <c r="BX165" s="229">
        <v>0</v>
      </c>
      <c r="BY165" s="229">
        <v>-15.199999999999941</v>
      </c>
    </row>
    <row r="166" spans="69:77" x14ac:dyDescent="0.25">
      <c r="BQ166" s="83" t="s">
        <v>52</v>
      </c>
      <c r="BR166" s="83" t="s">
        <v>53</v>
      </c>
      <c r="BS166" s="83" t="s">
        <v>688</v>
      </c>
      <c r="BT166" s="83" t="s">
        <v>689</v>
      </c>
      <c r="BU166" s="4" t="s">
        <v>901</v>
      </c>
      <c r="BV166" s="229">
        <v>3.1280999995942694E-4</v>
      </c>
      <c r="BW166" s="229">
        <v>-16.100000000000001</v>
      </c>
      <c r="BX166" s="229">
        <v>0</v>
      </c>
      <c r="BY166" s="229">
        <v>-16.099687190000044</v>
      </c>
    </row>
    <row r="167" spans="69:77" x14ac:dyDescent="0.25">
      <c r="BQ167" s="83" t="s">
        <v>54</v>
      </c>
      <c r="BR167" s="83" t="s">
        <v>55</v>
      </c>
      <c r="BS167" s="83" t="s">
        <v>604</v>
      </c>
      <c r="BT167" s="83" t="s">
        <v>605</v>
      </c>
      <c r="BU167" s="4" t="s">
        <v>901</v>
      </c>
      <c r="BV167" s="229">
        <v>0</v>
      </c>
      <c r="BW167" s="229">
        <v>-3.4590000000000001</v>
      </c>
      <c r="BX167" s="229">
        <v>0</v>
      </c>
      <c r="BY167" s="229">
        <v>-3.4590000000000001</v>
      </c>
    </row>
    <row r="168" spans="69:77" x14ac:dyDescent="0.25">
      <c r="BQ168" s="83" t="s">
        <v>54</v>
      </c>
      <c r="BR168" s="83" t="s">
        <v>55</v>
      </c>
      <c r="BS168" s="83" t="s">
        <v>606</v>
      </c>
      <c r="BT168" s="83" t="s">
        <v>607</v>
      </c>
      <c r="BU168" s="4" t="s">
        <v>901</v>
      </c>
      <c r="BV168" s="229">
        <v>0.191</v>
      </c>
      <c r="BW168" s="229">
        <v>-4.4210000000000003</v>
      </c>
      <c r="BX168" s="229">
        <v>0</v>
      </c>
      <c r="BY168" s="229">
        <v>-4.2300000000000004</v>
      </c>
    </row>
    <row r="169" spans="69:77" x14ac:dyDescent="0.25">
      <c r="BQ169" s="83" t="s">
        <v>54</v>
      </c>
      <c r="BR169" s="83" t="s">
        <v>55</v>
      </c>
      <c r="BS169" s="83" t="s">
        <v>602</v>
      </c>
      <c r="BT169" s="83" t="s">
        <v>603</v>
      </c>
      <c r="BU169" s="4" t="s">
        <v>901</v>
      </c>
      <c r="BV169" s="229">
        <v>-45.462000000000003</v>
      </c>
      <c r="BW169" s="229">
        <v>-66.460999999999999</v>
      </c>
      <c r="BX169" s="229">
        <v>0</v>
      </c>
      <c r="BY169" s="229">
        <v>-111.923</v>
      </c>
    </row>
    <row r="170" spans="69:77" x14ac:dyDescent="0.25">
      <c r="BQ170" s="83" t="s">
        <v>112</v>
      </c>
      <c r="BR170" s="83" t="s">
        <v>113</v>
      </c>
      <c r="BS170" s="83" t="s">
        <v>682</v>
      </c>
      <c r="BT170" s="83" t="s">
        <v>683</v>
      </c>
      <c r="BU170" s="4" t="s">
        <v>901</v>
      </c>
      <c r="BV170" s="229">
        <v>0</v>
      </c>
      <c r="BW170" s="229">
        <v>0</v>
      </c>
      <c r="BX170" s="229">
        <v>0</v>
      </c>
      <c r="BY170" s="229">
        <v>0</v>
      </c>
    </row>
    <row r="171" spans="69:77" x14ac:dyDescent="0.25">
      <c r="BQ171" s="83" t="s">
        <v>80</v>
      </c>
      <c r="BR171" s="83" t="s">
        <v>81</v>
      </c>
      <c r="BS171" s="83" t="s">
        <v>512</v>
      </c>
      <c r="BT171" s="83" t="s">
        <v>513</v>
      </c>
      <c r="BU171" s="4" t="s">
        <v>901</v>
      </c>
      <c r="BV171" s="229">
        <v>2.8641999902902172E-4</v>
      </c>
      <c r="BW171" s="229">
        <v>-32.31</v>
      </c>
      <c r="BX171" s="229">
        <v>0</v>
      </c>
      <c r="BY171" s="229">
        <v>-32.309713580000974</v>
      </c>
    </row>
    <row r="172" spans="69:77" x14ac:dyDescent="0.25">
      <c r="BQ172" s="83" t="s">
        <v>80</v>
      </c>
      <c r="BR172" s="83" t="s">
        <v>81</v>
      </c>
      <c r="BS172" s="83" t="s">
        <v>514</v>
      </c>
      <c r="BT172" s="83" t="s">
        <v>515</v>
      </c>
      <c r="BU172" s="4" t="s">
        <v>901</v>
      </c>
      <c r="BV172" s="229">
        <v>-17.475999999999999</v>
      </c>
      <c r="BW172" s="229">
        <v>-75.5</v>
      </c>
      <c r="BX172" s="229">
        <v>0</v>
      </c>
      <c r="BY172" s="229">
        <v>-92.975999999999999</v>
      </c>
    </row>
    <row r="173" spans="69:77" x14ac:dyDescent="0.25">
      <c r="BQ173" s="83" t="s">
        <v>80</v>
      </c>
      <c r="BR173" s="83" t="s">
        <v>81</v>
      </c>
      <c r="BS173" s="83" t="s">
        <v>516</v>
      </c>
      <c r="BT173" s="83" t="s">
        <v>517</v>
      </c>
      <c r="BU173" s="4" t="s">
        <v>901</v>
      </c>
      <c r="BV173" s="229">
        <v>0.40300000000000002</v>
      </c>
      <c r="BW173" s="229">
        <v>-11.462999999999999</v>
      </c>
      <c r="BX173" s="229">
        <v>0</v>
      </c>
      <c r="BY173" s="229">
        <v>-11.059999999999999</v>
      </c>
    </row>
    <row r="174" spans="69:77" x14ac:dyDescent="0.25">
      <c r="BQ174" s="83" t="s">
        <v>80</v>
      </c>
      <c r="BR174" s="83" t="s">
        <v>81</v>
      </c>
      <c r="BS174" s="83" t="s">
        <v>518</v>
      </c>
      <c r="BT174" s="83" t="s">
        <v>519</v>
      </c>
      <c r="BU174" s="4" t="s">
        <v>901</v>
      </c>
      <c r="BV174" s="229">
        <v>0.1678118299999187</v>
      </c>
      <c r="BW174" s="229">
        <v>0</v>
      </c>
      <c r="BX174" s="229">
        <v>0</v>
      </c>
      <c r="BY174" s="229">
        <v>0.1678118299999187</v>
      </c>
    </row>
    <row r="175" spans="69:77" x14ac:dyDescent="0.25">
      <c r="BQ175" s="83" t="s">
        <v>80</v>
      </c>
      <c r="BR175" s="83" t="s">
        <v>81</v>
      </c>
      <c r="BS175" s="83" t="s">
        <v>520</v>
      </c>
      <c r="BT175" s="83" t="s">
        <v>521</v>
      </c>
      <c r="BU175" s="4" t="s">
        <v>901</v>
      </c>
      <c r="BV175" s="229">
        <v>4.4999999999999998E-2</v>
      </c>
      <c r="BW175" s="229">
        <v>-10</v>
      </c>
      <c r="BX175" s="229">
        <v>0</v>
      </c>
      <c r="BY175" s="229">
        <v>-9.9550000000000001</v>
      </c>
    </row>
    <row r="176" spans="69:77" x14ac:dyDescent="0.25">
      <c r="BQ176" s="83" t="s">
        <v>82</v>
      </c>
      <c r="BR176" s="83" t="s">
        <v>83</v>
      </c>
      <c r="BS176" s="83" t="s">
        <v>742</v>
      </c>
      <c r="BT176" s="83" t="s">
        <v>743</v>
      </c>
      <c r="BU176" s="4" t="s">
        <v>901</v>
      </c>
      <c r="BV176" s="229">
        <v>-16.443898290000011</v>
      </c>
      <c r="BW176" s="229">
        <v>0</v>
      </c>
      <c r="BX176" s="229">
        <v>0</v>
      </c>
      <c r="BY176" s="229">
        <v>-16.443898290000011</v>
      </c>
    </row>
    <row r="177" spans="69:77" x14ac:dyDescent="0.25">
      <c r="BQ177" s="83" t="s">
        <v>82</v>
      </c>
      <c r="BR177" s="83" t="s">
        <v>83</v>
      </c>
      <c r="BS177" s="83" t="s">
        <v>744</v>
      </c>
      <c r="BT177" s="83" t="s">
        <v>745</v>
      </c>
      <c r="BU177" s="4" t="s">
        <v>901</v>
      </c>
      <c r="BV177" s="229">
        <v>-37.880000000000003</v>
      </c>
      <c r="BW177" s="229">
        <v>0</v>
      </c>
      <c r="BX177" s="229">
        <v>0</v>
      </c>
      <c r="BY177" s="229">
        <v>-37.880000000000003</v>
      </c>
    </row>
    <row r="178" spans="69:77" x14ac:dyDescent="0.25">
      <c r="BQ178" s="83" t="s">
        <v>82</v>
      </c>
      <c r="BR178" s="83" t="s">
        <v>83</v>
      </c>
      <c r="BS178" s="83" t="s">
        <v>746</v>
      </c>
      <c r="BT178" s="83" t="s">
        <v>747</v>
      </c>
      <c r="BU178" s="4" t="s">
        <v>901</v>
      </c>
      <c r="BV178" s="229">
        <v>0.5</v>
      </c>
      <c r="BW178" s="229">
        <v>0</v>
      </c>
      <c r="BX178" s="229">
        <v>0</v>
      </c>
      <c r="BY178" s="229">
        <v>0.5</v>
      </c>
    </row>
    <row r="179" spans="69:77" x14ac:dyDescent="0.25">
      <c r="BQ179" s="83" t="s">
        <v>82</v>
      </c>
      <c r="BR179" s="83" t="s">
        <v>83</v>
      </c>
      <c r="BS179" s="83" t="s">
        <v>748</v>
      </c>
      <c r="BT179" s="83" t="s">
        <v>749</v>
      </c>
      <c r="BU179" s="4" t="s">
        <v>901</v>
      </c>
      <c r="BV179" s="229">
        <v>-16.799506809999993</v>
      </c>
      <c r="BW179" s="229">
        <v>0</v>
      </c>
      <c r="BX179" s="229">
        <v>0</v>
      </c>
      <c r="BY179" s="229">
        <v>-16.799506809999993</v>
      </c>
    </row>
    <row r="180" spans="69:77" x14ac:dyDescent="0.25">
      <c r="BQ180" s="83" t="s">
        <v>82</v>
      </c>
      <c r="BR180" s="83" t="s">
        <v>83</v>
      </c>
      <c r="BS180" s="83" t="s">
        <v>750</v>
      </c>
      <c r="BT180" s="83" t="s">
        <v>751</v>
      </c>
      <c r="BU180" s="4" t="s">
        <v>901</v>
      </c>
      <c r="BV180" s="229">
        <v>0.25</v>
      </c>
      <c r="BW180" s="229">
        <v>0</v>
      </c>
      <c r="BX180" s="229">
        <v>0</v>
      </c>
      <c r="BY180" s="229">
        <v>0.25</v>
      </c>
    </row>
    <row r="181" spans="69:77" x14ac:dyDescent="0.25">
      <c r="BQ181" s="83" t="s">
        <v>82</v>
      </c>
      <c r="BR181" s="83" t="s">
        <v>83</v>
      </c>
      <c r="BS181" s="83" t="s">
        <v>752</v>
      </c>
      <c r="BT181" s="83" t="s">
        <v>753</v>
      </c>
      <c r="BU181" s="4" t="s">
        <v>901</v>
      </c>
      <c r="BV181" s="229">
        <v>-15.707000019999949</v>
      </c>
      <c r="BW181" s="229">
        <v>0</v>
      </c>
      <c r="BX181" s="229">
        <v>0</v>
      </c>
      <c r="BY181" s="229">
        <v>-15.707000019999949</v>
      </c>
    </row>
    <row r="182" spans="69:77" x14ac:dyDescent="0.25">
      <c r="BQ182" s="83" t="s">
        <v>82</v>
      </c>
      <c r="BR182" s="83" t="s">
        <v>83</v>
      </c>
      <c r="BS182" s="83" t="s">
        <v>754</v>
      </c>
      <c r="BT182" s="83" t="s">
        <v>755</v>
      </c>
      <c r="BU182" s="4" t="s">
        <v>901</v>
      </c>
      <c r="BV182" s="229">
        <v>2.0018531600000933</v>
      </c>
      <c r="BW182" s="229">
        <v>0</v>
      </c>
      <c r="BX182" s="229">
        <v>0</v>
      </c>
      <c r="BY182" s="229">
        <v>2.0018531600000933</v>
      </c>
    </row>
    <row r="183" spans="69:77" x14ac:dyDescent="0.25">
      <c r="BQ183" s="83" t="s">
        <v>23</v>
      </c>
      <c r="BR183" s="83" t="s">
        <v>24</v>
      </c>
      <c r="BS183" s="83" t="s">
        <v>417</v>
      </c>
      <c r="BT183" s="83" t="s">
        <v>418</v>
      </c>
      <c r="BU183" s="4" t="s">
        <v>901</v>
      </c>
      <c r="BV183" s="229">
        <v>-11.225</v>
      </c>
      <c r="BW183" s="229">
        <v>0</v>
      </c>
      <c r="BX183" s="229">
        <v>0</v>
      </c>
      <c r="BY183" s="229">
        <v>-11.225</v>
      </c>
    </row>
    <row r="184" spans="69:77" x14ac:dyDescent="0.25">
      <c r="BQ184" s="83" t="s">
        <v>23</v>
      </c>
      <c r="BR184" s="83" t="s">
        <v>24</v>
      </c>
      <c r="BS184" s="83" t="s">
        <v>419</v>
      </c>
      <c r="BT184" s="83" t="s">
        <v>420</v>
      </c>
      <c r="BU184" s="4" t="s">
        <v>901</v>
      </c>
      <c r="BV184" s="229">
        <v>-26.795999999999999</v>
      </c>
      <c r="BW184" s="229">
        <v>-1.482</v>
      </c>
      <c r="BX184" s="229">
        <v>0</v>
      </c>
      <c r="BY184" s="229">
        <v>-28.277999999999999</v>
      </c>
    </row>
    <row r="185" spans="69:77" x14ac:dyDescent="0.25">
      <c r="BQ185" s="83" t="s">
        <v>23</v>
      </c>
      <c r="BR185" s="83" t="s">
        <v>24</v>
      </c>
      <c r="BS185" s="83" t="s">
        <v>421</v>
      </c>
      <c r="BT185" s="83" t="s">
        <v>422</v>
      </c>
      <c r="BU185" s="4" t="s">
        <v>901</v>
      </c>
      <c r="BV185" s="229">
        <v>-6.1497999999999884</v>
      </c>
      <c r="BW185" s="229">
        <v>0</v>
      </c>
      <c r="BX185" s="229">
        <v>0</v>
      </c>
      <c r="BY185" s="229">
        <v>-6.1497999999999884</v>
      </c>
    </row>
    <row r="186" spans="69:77" x14ac:dyDescent="0.25">
      <c r="BQ186" s="83" t="s">
        <v>23</v>
      </c>
      <c r="BR186" s="83" t="s">
        <v>24</v>
      </c>
      <c r="BS186" s="83" t="s">
        <v>423</v>
      </c>
      <c r="BT186" s="83" t="s">
        <v>424</v>
      </c>
      <c r="BU186" s="4" t="s">
        <v>901</v>
      </c>
      <c r="BV186" s="229">
        <v>-8.625</v>
      </c>
      <c r="BW186" s="229">
        <v>0</v>
      </c>
      <c r="BX186" s="229">
        <v>0</v>
      </c>
      <c r="BY186" s="229">
        <v>-8.625</v>
      </c>
    </row>
    <row r="187" spans="69:77" x14ac:dyDescent="0.25">
      <c r="BQ187" s="83" t="s">
        <v>23</v>
      </c>
      <c r="BR187" s="83" t="s">
        <v>24</v>
      </c>
      <c r="BS187" s="83" t="s">
        <v>425</v>
      </c>
      <c r="BT187" s="83" t="s">
        <v>426</v>
      </c>
      <c r="BU187" s="4" t="s">
        <v>901</v>
      </c>
      <c r="BV187" s="229">
        <v>-3.2615899999999383</v>
      </c>
      <c r="BW187" s="229">
        <v>0</v>
      </c>
      <c r="BX187" s="229">
        <v>0</v>
      </c>
      <c r="BY187" s="229">
        <v>-3.2615899999999383</v>
      </c>
    </row>
    <row r="188" spans="69:77" x14ac:dyDescent="0.25">
      <c r="BQ188" s="83" t="s">
        <v>23</v>
      </c>
      <c r="BR188" s="83" t="s">
        <v>24</v>
      </c>
      <c r="BS188" s="83" t="s">
        <v>427</v>
      </c>
      <c r="BT188" s="83" t="s">
        <v>428</v>
      </c>
      <c r="BU188" s="4" t="s">
        <v>901</v>
      </c>
      <c r="BV188" s="229">
        <v>9.6730000106617803E-5</v>
      </c>
      <c r="BW188" s="229">
        <v>-2</v>
      </c>
      <c r="BX188" s="229">
        <v>0</v>
      </c>
      <c r="BY188" s="229">
        <v>-1.9999032699998933</v>
      </c>
    </row>
    <row r="189" spans="69:77" x14ac:dyDescent="0.25">
      <c r="BQ189" s="83" t="s">
        <v>23</v>
      </c>
      <c r="BR189" s="83" t="s">
        <v>24</v>
      </c>
      <c r="BS189" s="83" t="s">
        <v>429</v>
      </c>
      <c r="BT189" s="83" t="s">
        <v>430</v>
      </c>
      <c r="BU189" s="4" t="s">
        <v>901</v>
      </c>
      <c r="BV189" s="229">
        <v>-5.9770000000000003</v>
      </c>
      <c r="BW189" s="229">
        <v>0</v>
      </c>
      <c r="BX189" s="229">
        <v>0</v>
      </c>
      <c r="BY189" s="229">
        <v>-5.9770000000000003</v>
      </c>
    </row>
    <row r="190" spans="69:77" x14ac:dyDescent="0.25">
      <c r="BQ190" s="83" t="s">
        <v>56</v>
      </c>
      <c r="BR190" s="83" t="s">
        <v>57</v>
      </c>
      <c r="BS190" s="83" t="s">
        <v>584</v>
      </c>
      <c r="BT190" s="83" t="s">
        <v>585</v>
      </c>
      <c r="BU190" s="4" t="s">
        <v>901</v>
      </c>
      <c r="BV190" s="229">
        <v>3.9999926229938863E-8</v>
      </c>
      <c r="BW190" s="229">
        <v>0</v>
      </c>
      <c r="BX190" s="229">
        <v>0</v>
      </c>
      <c r="BY190" s="229">
        <v>3.9999926229938863E-8</v>
      </c>
    </row>
    <row r="191" spans="69:77" x14ac:dyDescent="0.25">
      <c r="BQ191" s="83" t="s">
        <v>56</v>
      </c>
      <c r="BR191" s="83" t="s">
        <v>57</v>
      </c>
      <c r="BS191" s="83" t="s">
        <v>586</v>
      </c>
      <c r="BT191" s="83" t="s">
        <v>587</v>
      </c>
      <c r="BU191" s="4" t="s">
        <v>901</v>
      </c>
      <c r="BV191" s="229">
        <v>0</v>
      </c>
      <c r="BW191" s="229">
        <v>0</v>
      </c>
      <c r="BX191" s="229">
        <v>0</v>
      </c>
      <c r="BY191" s="229">
        <v>0</v>
      </c>
    </row>
    <row r="192" spans="69:77" x14ac:dyDescent="0.25">
      <c r="BQ192" s="83" t="s">
        <v>56</v>
      </c>
      <c r="BR192" s="83" t="s">
        <v>57</v>
      </c>
      <c r="BS192" s="83" t="s">
        <v>588</v>
      </c>
      <c r="BT192" s="83" t="s">
        <v>589</v>
      </c>
      <c r="BU192" s="4" t="s">
        <v>901</v>
      </c>
      <c r="BV192" s="229">
        <v>0</v>
      </c>
      <c r="BW192" s="229">
        <v>0</v>
      </c>
      <c r="BX192" s="229">
        <v>0</v>
      </c>
      <c r="BY192" s="229">
        <v>0</v>
      </c>
    </row>
    <row r="193" spans="69:77" x14ac:dyDescent="0.25">
      <c r="BQ193" s="83" t="s">
        <v>70</v>
      </c>
      <c r="BR193" s="83" t="s">
        <v>71</v>
      </c>
      <c r="BS193" s="83" t="s">
        <v>488</v>
      </c>
      <c r="BT193" s="83" t="s">
        <v>489</v>
      </c>
      <c r="BU193" s="4" t="s">
        <v>901</v>
      </c>
      <c r="BV193" s="229">
        <v>5.0999999999999997E-2</v>
      </c>
      <c r="BW193" s="229">
        <v>0</v>
      </c>
      <c r="BX193" s="229">
        <v>0</v>
      </c>
      <c r="BY193" s="229">
        <v>5.0999999999999997E-2</v>
      </c>
    </row>
    <row r="194" spans="69:77" x14ac:dyDescent="0.25">
      <c r="BQ194" s="83" t="s">
        <v>70</v>
      </c>
      <c r="BR194" s="83" t="s">
        <v>71</v>
      </c>
      <c r="BS194" s="83" t="s">
        <v>490</v>
      </c>
      <c r="BT194" s="83" t="s">
        <v>491</v>
      </c>
      <c r="BU194" s="4" t="s">
        <v>901</v>
      </c>
      <c r="BV194" s="229">
        <v>0</v>
      </c>
      <c r="BW194" s="229">
        <v>0</v>
      </c>
      <c r="BX194" s="229">
        <v>0</v>
      </c>
      <c r="BY194" s="229">
        <v>0</v>
      </c>
    </row>
    <row r="195" spans="69:77" x14ac:dyDescent="0.25">
      <c r="BQ195" s="83" t="s">
        <v>70</v>
      </c>
      <c r="BR195" s="83" t="s">
        <v>71</v>
      </c>
      <c r="BS195" s="83" t="s">
        <v>492</v>
      </c>
      <c r="BT195" s="83" t="s">
        <v>493</v>
      </c>
      <c r="BU195" s="4" t="s">
        <v>901</v>
      </c>
      <c r="BV195" s="229">
        <v>-2.6920000000000002</v>
      </c>
      <c r="BW195" s="229">
        <v>0</v>
      </c>
      <c r="BX195" s="229">
        <v>0</v>
      </c>
      <c r="BY195" s="229">
        <v>-2.6920000000000002</v>
      </c>
    </row>
    <row r="196" spans="69:77" x14ac:dyDescent="0.25">
      <c r="BQ196" s="83" t="s">
        <v>94</v>
      </c>
      <c r="BR196" s="83" t="s">
        <v>95</v>
      </c>
      <c r="BS196" s="83" t="s">
        <v>784</v>
      </c>
      <c r="BT196" s="83" t="s">
        <v>785</v>
      </c>
      <c r="BU196" s="4" t="s">
        <v>901</v>
      </c>
      <c r="BV196" s="229">
        <v>-17.514806329999971</v>
      </c>
      <c r="BW196" s="229">
        <v>0</v>
      </c>
      <c r="BX196" s="229">
        <v>0</v>
      </c>
      <c r="BY196" s="229">
        <v>-17.514806329999971</v>
      </c>
    </row>
    <row r="197" spans="69:77" x14ac:dyDescent="0.25">
      <c r="BQ197" s="83" t="s">
        <v>94</v>
      </c>
      <c r="BR197" s="83" t="s">
        <v>95</v>
      </c>
      <c r="BS197" s="83" t="s">
        <v>786</v>
      </c>
      <c r="BT197" s="83" t="s">
        <v>787</v>
      </c>
      <c r="BU197" s="4" t="s">
        <v>901</v>
      </c>
      <c r="BV197" s="229">
        <v>-2.8</v>
      </c>
      <c r="BW197" s="229">
        <v>0</v>
      </c>
      <c r="BX197" s="229">
        <v>0</v>
      </c>
      <c r="BY197" s="229">
        <v>-2.8</v>
      </c>
    </row>
    <row r="198" spans="69:77" x14ac:dyDescent="0.25">
      <c r="BQ198" s="83" t="s">
        <v>94</v>
      </c>
      <c r="BR198" s="83" t="s">
        <v>95</v>
      </c>
      <c r="BS198" s="83" t="s">
        <v>788</v>
      </c>
      <c r="BT198" s="83" t="s">
        <v>789</v>
      </c>
      <c r="BU198" s="4" t="s">
        <v>901</v>
      </c>
      <c r="BV198" s="229">
        <v>0</v>
      </c>
      <c r="BW198" s="229">
        <v>0</v>
      </c>
      <c r="BX198" s="229">
        <v>0</v>
      </c>
      <c r="BY198" s="229">
        <v>0</v>
      </c>
    </row>
    <row r="199" spans="69:77" x14ac:dyDescent="0.25">
      <c r="BQ199" s="83" t="s">
        <v>94</v>
      </c>
      <c r="BR199" s="83" t="s">
        <v>95</v>
      </c>
      <c r="BS199" s="83" t="s">
        <v>790</v>
      </c>
      <c r="BT199" s="83" t="s">
        <v>791</v>
      </c>
      <c r="BU199" s="4" t="s">
        <v>901</v>
      </c>
      <c r="BV199" s="229">
        <v>-7</v>
      </c>
      <c r="BW199" s="229">
        <v>0</v>
      </c>
      <c r="BX199" s="229">
        <v>0</v>
      </c>
      <c r="BY199" s="229">
        <v>-7</v>
      </c>
    </row>
    <row r="200" spans="69:77" x14ac:dyDescent="0.25">
      <c r="BQ200" s="83" t="s">
        <v>94</v>
      </c>
      <c r="BR200" s="83" t="s">
        <v>95</v>
      </c>
      <c r="BS200" s="83" t="s">
        <v>792</v>
      </c>
      <c r="BT200" s="83" t="s">
        <v>793</v>
      </c>
      <c r="BU200" s="4" t="s">
        <v>901</v>
      </c>
      <c r="BV200" s="229">
        <v>-31.698</v>
      </c>
      <c r="BW200" s="229">
        <v>0</v>
      </c>
      <c r="BX200" s="229">
        <v>0</v>
      </c>
      <c r="BY200" s="229">
        <v>-31.698</v>
      </c>
    </row>
    <row r="201" spans="69:77" x14ac:dyDescent="0.25">
      <c r="BQ201" s="83" t="s">
        <v>96</v>
      </c>
      <c r="BR201" s="83" t="s">
        <v>97</v>
      </c>
      <c r="BS201" s="83" t="s">
        <v>592</v>
      </c>
      <c r="BT201" s="83" t="s">
        <v>593</v>
      </c>
      <c r="BU201" s="4" t="s">
        <v>901</v>
      </c>
      <c r="BV201" s="229">
        <v>0</v>
      </c>
      <c r="BW201" s="229">
        <v>-5.101</v>
      </c>
      <c r="BX201" s="229">
        <v>0</v>
      </c>
      <c r="BY201" s="229">
        <v>-5.101</v>
      </c>
    </row>
    <row r="202" spans="69:77" x14ac:dyDescent="0.25">
      <c r="BQ202" s="83" t="s">
        <v>96</v>
      </c>
      <c r="BR202" s="83" t="s">
        <v>97</v>
      </c>
      <c r="BS202" s="83" t="s">
        <v>594</v>
      </c>
      <c r="BT202" s="83" t="s">
        <v>595</v>
      </c>
      <c r="BU202" s="4" t="s">
        <v>901</v>
      </c>
      <c r="BV202" s="229">
        <v>-6.5999999993437085E-5</v>
      </c>
      <c r="BW202" s="229">
        <v>-1.4275</v>
      </c>
      <c r="BX202" s="229">
        <v>0</v>
      </c>
      <c r="BY202" s="229">
        <v>-1.4275659999999935</v>
      </c>
    </row>
    <row r="203" spans="69:77" x14ac:dyDescent="0.25">
      <c r="BQ203" s="83" t="s">
        <v>96</v>
      </c>
      <c r="BR203" s="83" t="s">
        <v>97</v>
      </c>
      <c r="BS203" s="83" t="s">
        <v>596</v>
      </c>
      <c r="BT203" s="83" t="s">
        <v>597</v>
      </c>
      <c r="BU203" s="4" t="s">
        <v>901</v>
      </c>
      <c r="BV203" s="229">
        <v>0</v>
      </c>
      <c r="BW203" s="229">
        <v>-7.8520000000000003</v>
      </c>
      <c r="BX203" s="229">
        <v>0</v>
      </c>
      <c r="BY203" s="229">
        <v>-7.8520000000000003</v>
      </c>
    </row>
    <row r="204" spans="69:77" x14ac:dyDescent="0.25">
      <c r="BQ204" s="83" t="s">
        <v>96</v>
      </c>
      <c r="BR204" s="83" t="s">
        <v>97</v>
      </c>
      <c r="BS204" s="83" t="s">
        <v>598</v>
      </c>
      <c r="BT204" s="83" t="s">
        <v>599</v>
      </c>
      <c r="BU204" s="4" t="s">
        <v>901</v>
      </c>
      <c r="BV204" s="229">
        <v>0</v>
      </c>
      <c r="BW204" s="229">
        <v>-16.36</v>
      </c>
      <c r="BX204" s="229">
        <v>0</v>
      </c>
      <c r="BY204" s="229">
        <v>-16.36</v>
      </c>
    </row>
    <row r="205" spans="69:77" x14ac:dyDescent="0.25">
      <c r="BQ205" s="83" t="s">
        <v>96</v>
      </c>
      <c r="BR205" s="83" t="s">
        <v>97</v>
      </c>
      <c r="BS205" s="83" t="s">
        <v>600</v>
      </c>
      <c r="BT205" s="83" t="s">
        <v>601</v>
      </c>
      <c r="BU205" s="4" t="s">
        <v>901</v>
      </c>
      <c r="BV205" s="229">
        <v>0</v>
      </c>
      <c r="BW205" s="229">
        <v>-67.158000000000001</v>
      </c>
      <c r="BX205" s="229">
        <v>0</v>
      </c>
      <c r="BY205" s="229">
        <v>-67.158000000000001</v>
      </c>
    </row>
    <row r="206" spans="69:77" x14ac:dyDescent="0.25">
      <c r="BQ206" s="83" t="s">
        <v>25</v>
      </c>
      <c r="BR206" s="83" t="s">
        <v>26</v>
      </c>
      <c r="BS206" s="83" t="s">
        <v>756</v>
      </c>
      <c r="BT206" s="83" t="s">
        <v>757</v>
      </c>
      <c r="BU206" s="4" t="s">
        <v>901</v>
      </c>
      <c r="BV206" s="229">
        <v>-4.3413599899999973</v>
      </c>
      <c r="BW206" s="229">
        <v>-4.3810000000000002</v>
      </c>
      <c r="BX206" s="229">
        <v>0</v>
      </c>
      <c r="BY206" s="229">
        <v>-8.7223599899999975</v>
      </c>
    </row>
    <row r="207" spans="69:77" x14ac:dyDescent="0.25">
      <c r="BQ207" s="83" t="s">
        <v>25</v>
      </c>
      <c r="BR207" s="83" t="s">
        <v>26</v>
      </c>
      <c r="BS207" s="83" t="s">
        <v>758</v>
      </c>
      <c r="BT207" s="83" t="s">
        <v>759</v>
      </c>
      <c r="BU207" s="4" t="s">
        <v>901</v>
      </c>
      <c r="BV207" s="229">
        <v>0</v>
      </c>
      <c r="BW207" s="229">
        <v>-0.29086619999999802</v>
      </c>
      <c r="BX207" s="229">
        <v>0</v>
      </c>
      <c r="BY207" s="229">
        <v>-0.29086619999999802</v>
      </c>
    </row>
    <row r="208" spans="69:77" x14ac:dyDescent="0.25">
      <c r="BQ208" s="83" t="s">
        <v>25</v>
      </c>
      <c r="BR208" s="83" t="s">
        <v>26</v>
      </c>
      <c r="BS208" s="83" t="s">
        <v>760</v>
      </c>
      <c r="BT208" s="83" t="s">
        <v>761</v>
      </c>
      <c r="BU208" s="4" t="s">
        <v>901</v>
      </c>
      <c r="BV208" s="229">
        <v>3.3025999994424639E-4</v>
      </c>
      <c r="BW208" s="229">
        <v>-3.7989999999999999</v>
      </c>
      <c r="BX208" s="229">
        <v>0</v>
      </c>
      <c r="BY208" s="229">
        <v>-3.7986697400000558</v>
      </c>
    </row>
    <row r="209" spans="69:77" x14ac:dyDescent="0.25">
      <c r="BQ209" s="83" t="s">
        <v>25</v>
      </c>
      <c r="BR209" s="83" t="s">
        <v>26</v>
      </c>
      <c r="BS209" s="83" t="s">
        <v>762</v>
      </c>
      <c r="BT209" s="83" t="s">
        <v>763</v>
      </c>
      <c r="BU209" s="4" t="s">
        <v>901</v>
      </c>
      <c r="BV209" s="229">
        <v>-20.797505629999957</v>
      </c>
      <c r="BW209" s="229">
        <v>-6.6879999999999997</v>
      </c>
      <c r="BX209" s="229">
        <v>0</v>
      </c>
      <c r="BY209" s="229">
        <v>-27.485505629999956</v>
      </c>
    </row>
    <row r="210" spans="69:77" x14ac:dyDescent="0.25">
      <c r="BQ210" s="83" t="s">
        <v>25</v>
      </c>
      <c r="BR210" s="83" t="s">
        <v>26</v>
      </c>
      <c r="BS210" s="83" t="s">
        <v>764</v>
      </c>
      <c r="BT210" s="83" t="s">
        <v>765</v>
      </c>
      <c r="BU210" s="4" t="s">
        <v>901</v>
      </c>
      <c r="BV210" s="229">
        <v>0.113</v>
      </c>
      <c r="BW210" s="229">
        <v>0</v>
      </c>
      <c r="BX210" s="229">
        <v>0</v>
      </c>
      <c r="BY210" s="229">
        <v>0.113</v>
      </c>
    </row>
    <row r="211" spans="69:77" x14ac:dyDescent="0.25">
      <c r="BQ211" s="83" t="s">
        <v>25</v>
      </c>
      <c r="BR211" s="83" t="s">
        <v>26</v>
      </c>
      <c r="BS211" s="83" t="s">
        <v>766</v>
      </c>
      <c r="BT211" s="83" t="s">
        <v>767</v>
      </c>
      <c r="BU211" s="4" t="s">
        <v>901</v>
      </c>
      <c r="BV211" s="229">
        <v>0</v>
      </c>
      <c r="BW211" s="229">
        <v>0</v>
      </c>
      <c r="BX211" s="229">
        <v>0</v>
      </c>
      <c r="BY211" s="229">
        <v>0</v>
      </c>
    </row>
    <row r="212" spans="69:77" x14ac:dyDescent="0.25">
      <c r="BQ212" s="83" t="s">
        <v>25</v>
      </c>
      <c r="BR212" s="83" t="s">
        <v>26</v>
      </c>
      <c r="BS212" s="83" t="s">
        <v>772</v>
      </c>
      <c r="BT212" s="83" t="s">
        <v>773</v>
      </c>
      <c r="BU212" s="4" t="s">
        <v>901</v>
      </c>
      <c r="BV212" s="229">
        <v>-4.3543000001227485E-4</v>
      </c>
      <c r="BW212" s="229">
        <v>0</v>
      </c>
      <c r="BX212" s="229">
        <v>0</v>
      </c>
      <c r="BY212" s="229">
        <v>-4.3543000001227485E-4</v>
      </c>
    </row>
    <row r="213" spans="69:77" x14ac:dyDescent="0.25">
      <c r="BQ213" s="83" t="s">
        <v>25</v>
      </c>
      <c r="BR213" s="83" t="s">
        <v>26</v>
      </c>
      <c r="BS213" s="83" t="s">
        <v>768</v>
      </c>
      <c r="BT213" s="83" t="s">
        <v>769</v>
      </c>
      <c r="BU213" s="4" t="s">
        <v>901</v>
      </c>
      <c r="BV213" s="229">
        <v>0</v>
      </c>
      <c r="BW213" s="229">
        <v>-15.4</v>
      </c>
      <c r="BX213" s="229">
        <v>0</v>
      </c>
      <c r="BY213" s="229">
        <v>-15.4</v>
      </c>
    </row>
    <row r="214" spans="69:77" x14ac:dyDescent="0.25">
      <c r="BQ214" s="83" t="s">
        <v>25</v>
      </c>
      <c r="BR214" s="83" t="s">
        <v>26</v>
      </c>
      <c r="BS214" s="83" t="s">
        <v>770</v>
      </c>
      <c r="BT214" s="83" t="s">
        <v>771</v>
      </c>
      <c r="BU214" s="4" t="s">
        <v>901</v>
      </c>
      <c r="BV214" s="229">
        <v>0</v>
      </c>
      <c r="BW214" s="229">
        <v>-18.600000000000001</v>
      </c>
      <c r="BX214" s="229">
        <v>0</v>
      </c>
      <c r="BY214" s="229">
        <v>-18.600000000000001</v>
      </c>
    </row>
    <row r="215" spans="69:77" x14ac:dyDescent="0.25">
      <c r="BQ215" s="83" t="s">
        <v>25</v>
      </c>
      <c r="BR215" s="83" t="s">
        <v>26</v>
      </c>
      <c r="BS215" s="83" t="s">
        <v>774</v>
      </c>
      <c r="BT215" s="83" t="s">
        <v>775</v>
      </c>
      <c r="BU215" s="4" t="s">
        <v>901</v>
      </c>
      <c r="BV215" s="229">
        <v>0</v>
      </c>
      <c r="BW215" s="229">
        <v>2.0000000000006701E-3</v>
      </c>
      <c r="BX215" s="229">
        <v>0</v>
      </c>
      <c r="BY215" s="229">
        <v>2.0000000000006701E-3</v>
      </c>
    </row>
    <row r="216" spans="69:77" x14ac:dyDescent="0.25">
      <c r="BQ216" s="83" t="s">
        <v>100</v>
      </c>
      <c r="BR216" s="83" t="s">
        <v>101</v>
      </c>
      <c r="BS216" s="83" t="s">
        <v>100</v>
      </c>
      <c r="BT216" s="83" t="s">
        <v>101</v>
      </c>
      <c r="BU216" s="4" t="s">
        <v>7</v>
      </c>
      <c r="BV216" s="229">
        <v>0</v>
      </c>
      <c r="BW216" s="229">
        <v>-16</v>
      </c>
      <c r="BX216" s="229">
        <v>0</v>
      </c>
      <c r="BY216" s="229">
        <v>-16</v>
      </c>
    </row>
    <row r="217" spans="69:77" x14ac:dyDescent="0.25">
      <c r="BQ217" s="83" t="s">
        <v>60</v>
      </c>
      <c r="BR217" s="83" t="s">
        <v>61</v>
      </c>
      <c r="BS217" s="83" t="s">
        <v>60</v>
      </c>
      <c r="BT217" s="83" t="s">
        <v>61</v>
      </c>
      <c r="BU217" s="4" t="s">
        <v>7</v>
      </c>
      <c r="BV217" s="229">
        <v>2.9999999999999997E-4</v>
      </c>
      <c r="BW217" s="229">
        <v>-13.166</v>
      </c>
      <c r="BX217" s="229">
        <v>0</v>
      </c>
      <c r="BY217" s="229">
        <v>-13.165700000000001</v>
      </c>
    </row>
    <row r="218" spans="69:77" x14ac:dyDescent="0.25">
      <c r="BQ218" s="83" t="s">
        <v>36</v>
      </c>
      <c r="BR218" s="83" t="s">
        <v>37</v>
      </c>
      <c r="BS218" s="83" t="s">
        <v>36</v>
      </c>
      <c r="BT218" s="83" t="s">
        <v>37</v>
      </c>
      <c r="BU218" s="4" t="s">
        <v>7</v>
      </c>
      <c r="BV218" s="229">
        <v>3.5348000000000004E-4</v>
      </c>
      <c r="BW218" s="229">
        <v>0</v>
      </c>
      <c r="BX218" s="229">
        <v>0</v>
      </c>
      <c r="BY218" s="229">
        <v>3.5348000000000004E-4</v>
      </c>
    </row>
    <row r="219" spans="69:77" x14ac:dyDescent="0.25">
      <c r="BQ219" s="83" t="s">
        <v>38</v>
      </c>
      <c r="BR219" s="83" t="s">
        <v>39</v>
      </c>
      <c r="BS219" s="83" t="s">
        <v>38</v>
      </c>
      <c r="BT219" s="83" t="s">
        <v>39</v>
      </c>
      <c r="BU219" s="4" t="s">
        <v>7</v>
      </c>
      <c r="BV219" s="229">
        <v>5</v>
      </c>
      <c r="BW219" s="229">
        <v>-8.5</v>
      </c>
      <c r="BX219" s="229">
        <v>-38</v>
      </c>
      <c r="BY219" s="229">
        <v>-41.5</v>
      </c>
    </row>
    <row r="220" spans="69:77" x14ac:dyDescent="0.25">
      <c r="BQ220" s="83" t="s">
        <v>102</v>
      </c>
      <c r="BR220" s="83" t="s">
        <v>103</v>
      </c>
      <c r="BS220" s="83" t="s">
        <v>102</v>
      </c>
      <c r="BT220" s="83" t="s">
        <v>103</v>
      </c>
      <c r="BU220" s="4" t="s">
        <v>7</v>
      </c>
      <c r="BV220" s="229">
        <v>-3.1602999999999997E-4</v>
      </c>
      <c r="BW220" s="229">
        <v>0</v>
      </c>
      <c r="BX220" s="229">
        <v>-13.6</v>
      </c>
      <c r="BY220" s="229">
        <v>-13.60031603</v>
      </c>
    </row>
    <row r="221" spans="69:77" x14ac:dyDescent="0.25">
      <c r="BQ221" s="83" t="s">
        <v>86</v>
      </c>
      <c r="BR221" s="83" t="s">
        <v>87</v>
      </c>
      <c r="BS221" s="83" t="s">
        <v>86</v>
      </c>
      <c r="BT221" s="83" t="s">
        <v>87</v>
      </c>
      <c r="BU221" s="4" t="s">
        <v>7</v>
      </c>
      <c r="BV221" s="229">
        <v>0</v>
      </c>
      <c r="BW221" s="229">
        <v>-22.982700000000001</v>
      </c>
      <c r="BX221" s="229">
        <v>0</v>
      </c>
      <c r="BY221" s="229">
        <v>-22.982700000000001</v>
      </c>
    </row>
    <row r="222" spans="69:77" x14ac:dyDescent="0.25">
      <c r="BQ222" s="83" t="s">
        <v>62</v>
      </c>
      <c r="BR222" s="83" t="s">
        <v>63</v>
      </c>
      <c r="BS222" s="83" t="s">
        <v>62</v>
      </c>
      <c r="BT222" s="83" t="s">
        <v>63</v>
      </c>
      <c r="BU222" s="4" t="s">
        <v>7</v>
      </c>
      <c r="BV222" s="229">
        <v>1.9999999999999999E-6</v>
      </c>
      <c r="BW222" s="229">
        <v>-6</v>
      </c>
      <c r="BX222" s="229">
        <v>-11.1</v>
      </c>
      <c r="BY222" s="229">
        <v>-17.099997999999999</v>
      </c>
    </row>
    <row r="223" spans="69:77" x14ac:dyDescent="0.25">
      <c r="BQ223" s="83" t="s">
        <v>29</v>
      </c>
      <c r="BR223" s="83" t="s">
        <v>30</v>
      </c>
      <c r="BS223" s="83" t="s">
        <v>29</v>
      </c>
      <c r="BT223" s="83" t="s">
        <v>30</v>
      </c>
      <c r="BU223" s="4" t="s">
        <v>7</v>
      </c>
      <c r="BV223" s="229">
        <v>68.959999999999994</v>
      </c>
      <c r="BW223" s="229">
        <v>-69.94</v>
      </c>
      <c r="BX223" s="229">
        <v>-55.201999999999998</v>
      </c>
      <c r="BY223" s="229">
        <v>-56.182000000000002</v>
      </c>
    </row>
    <row r="224" spans="69:77" x14ac:dyDescent="0.25">
      <c r="BQ224" s="83" t="s">
        <v>104</v>
      </c>
      <c r="BR224" s="83" t="s">
        <v>105</v>
      </c>
      <c r="BS224" s="83" t="s">
        <v>104</v>
      </c>
      <c r="BT224" s="83" t="s">
        <v>105</v>
      </c>
      <c r="BU224" s="4" t="s">
        <v>7</v>
      </c>
      <c r="BV224" s="229">
        <v>0</v>
      </c>
      <c r="BW224" s="229">
        <v>0</v>
      </c>
      <c r="BX224" s="229">
        <v>0</v>
      </c>
      <c r="BY224" s="229">
        <v>0</v>
      </c>
    </row>
    <row r="225" spans="69:77" x14ac:dyDescent="0.25">
      <c r="BQ225" s="83" t="s">
        <v>40</v>
      </c>
      <c r="BR225" s="83" t="s">
        <v>41</v>
      </c>
      <c r="BS225" s="83" t="s">
        <v>40</v>
      </c>
      <c r="BT225" s="83" t="s">
        <v>41</v>
      </c>
      <c r="BU225" s="4" t="s">
        <v>7</v>
      </c>
      <c r="BV225" s="229">
        <v>-2.8900000000000003E-6</v>
      </c>
      <c r="BW225" s="229">
        <v>0</v>
      </c>
      <c r="BX225" s="229">
        <v>0</v>
      </c>
      <c r="BY225" s="229">
        <v>-2.8900000000000003E-6</v>
      </c>
    </row>
    <row r="226" spans="69:77" x14ac:dyDescent="0.25">
      <c r="BQ226" s="83" t="s">
        <v>42</v>
      </c>
      <c r="BR226" s="83" t="s">
        <v>43</v>
      </c>
      <c r="BS226" s="83" t="s">
        <v>42</v>
      </c>
      <c r="BT226" s="83" t="s">
        <v>43</v>
      </c>
      <c r="BU226" s="4" t="s">
        <v>7</v>
      </c>
      <c r="BV226" s="229">
        <v>9.300000000000001E-7</v>
      </c>
      <c r="BW226" s="229">
        <v>-18.812000000000001</v>
      </c>
      <c r="BX226" s="229">
        <v>-5.5279999999999996</v>
      </c>
      <c r="BY226" s="229">
        <v>-24.339999070000001</v>
      </c>
    </row>
    <row r="227" spans="69:77" x14ac:dyDescent="0.25">
      <c r="BQ227" s="83" t="s">
        <v>106</v>
      </c>
      <c r="BR227" s="83" t="s">
        <v>107</v>
      </c>
      <c r="BS227" s="83" t="s">
        <v>106</v>
      </c>
      <c r="BT227" s="83" t="s">
        <v>107</v>
      </c>
      <c r="BU227" s="4" t="s">
        <v>7</v>
      </c>
      <c r="BV227" s="229">
        <v>48.566761800000002</v>
      </c>
      <c r="BW227" s="229">
        <v>-12.23374398999956</v>
      </c>
      <c r="BX227" s="229">
        <v>-43.383600000000001</v>
      </c>
      <c r="BY227" s="229">
        <v>-7.0505821899995595</v>
      </c>
    </row>
    <row r="228" spans="69:77" x14ac:dyDescent="0.25">
      <c r="BQ228" s="83" t="s">
        <v>108</v>
      </c>
      <c r="BR228" s="83" t="s">
        <v>109</v>
      </c>
      <c r="BS228" s="83" t="s">
        <v>108</v>
      </c>
      <c r="BT228" s="83" t="s">
        <v>109</v>
      </c>
      <c r="BU228" s="4" t="s">
        <v>7</v>
      </c>
      <c r="BV228" s="229">
        <v>1.0000000000000001E-7</v>
      </c>
      <c r="BW228" s="229">
        <v>-3.2949999999999999</v>
      </c>
      <c r="BX228" s="229">
        <v>0</v>
      </c>
      <c r="BY228" s="229">
        <v>-3.2949999000000001</v>
      </c>
    </row>
    <row r="229" spans="69:77" x14ac:dyDescent="0.25">
      <c r="BQ229" s="83" t="s">
        <v>88</v>
      </c>
      <c r="BR229" s="83" t="s">
        <v>89</v>
      </c>
      <c r="BS229" s="83" t="s">
        <v>88</v>
      </c>
      <c r="BT229" s="83" t="s">
        <v>89</v>
      </c>
      <c r="BU229" s="4" t="s">
        <v>7</v>
      </c>
      <c r="BV229" s="229">
        <v>-3.8850000000000002E-5</v>
      </c>
      <c r="BW229" s="229">
        <v>-22.9</v>
      </c>
      <c r="BX229" s="229">
        <v>-30</v>
      </c>
      <c r="BY229" s="229">
        <v>-52.900038850000001</v>
      </c>
    </row>
    <row r="230" spans="69:77" x14ac:dyDescent="0.25">
      <c r="BQ230" s="83" t="s">
        <v>110</v>
      </c>
      <c r="BR230" s="83" t="s">
        <v>111</v>
      </c>
      <c r="BS230" s="83" t="s">
        <v>110</v>
      </c>
      <c r="BT230" s="83" t="s">
        <v>111</v>
      </c>
      <c r="BU230" s="4" t="s">
        <v>7</v>
      </c>
      <c r="BV230" s="229">
        <v>0</v>
      </c>
      <c r="BW230" s="229">
        <v>-4</v>
      </c>
      <c r="BX230" s="229">
        <v>-6.1639999999999997</v>
      </c>
      <c r="BY230" s="229">
        <v>-10.164</v>
      </c>
    </row>
    <row r="231" spans="69:77" x14ac:dyDescent="0.25">
      <c r="BQ231" s="83" t="s">
        <v>31</v>
      </c>
      <c r="BR231" s="83" t="s">
        <v>8</v>
      </c>
      <c r="BS231" s="83" t="s">
        <v>31</v>
      </c>
      <c r="BT231" s="83" t="s">
        <v>8</v>
      </c>
      <c r="BU231" s="4" t="s">
        <v>7</v>
      </c>
      <c r="BV231" s="229">
        <v>122.03500008</v>
      </c>
      <c r="BW231" s="229">
        <v>-75.873999999999995</v>
      </c>
      <c r="BX231" s="229">
        <v>-151.011</v>
      </c>
      <c r="BY231" s="229">
        <v>-104.84999991999999</v>
      </c>
    </row>
    <row r="232" spans="69:77" x14ac:dyDescent="0.25">
      <c r="BQ232" s="83" t="s">
        <v>90</v>
      </c>
      <c r="BR232" s="83" t="s">
        <v>91</v>
      </c>
      <c r="BS232" s="83" t="s">
        <v>90</v>
      </c>
      <c r="BT232" s="83" t="s">
        <v>91</v>
      </c>
      <c r="BU232" s="4" t="s">
        <v>7</v>
      </c>
      <c r="BV232" s="229">
        <v>5.8879999999999999</v>
      </c>
      <c r="BW232" s="229">
        <v>0</v>
      </c>
      <c r="BX232" s="229">
        <v>0</v>
      </c>
      <c r="BY232" s="229">
        <v>5.8879999999999999</v>
      </c>
    </row>
    <row r="233" spans="69:77" x14ac:dyDescent="0.25">
      <c r="BQ233" s="83" t="s">
        <v>44</v>
      </c>
      <c r="BR233" s="83" t="s">
        <v>45</v>
      </c>
      <c r="BS233" s="83" t="s">
        <v>44</v>
      </c>
      <c r="BT233" s="83" t="s">
        <v>45</v>
      </c>
      <c r="BU233" s="4" t="s">
        <v>7</v>
      </c>
      <c r="BV233" s="229">
        <v>0.218002</v>
      </c>
      <c r="BW233" s="229">
        <v>-17.175000000000001</v>
      </c>
      <c r="BX233" s="229">
        <v>0</v>
      </c>
      <c r="BY233" s="229">
        <v>-16.956998000000002</v>
      </c>
    </row>
    <row r="234" spans="69:77" x14ac:dyDescent="0.25">
      <c r="BQ234" s="83" t="s">
        <v>64</v>
      </c>
      <c r="BR234" s="83" t="s">
        <v>65</v>
      </c>
      <c r="BS234" s="83" t="s">
        <v>64</v>
      </c>
      <c r="BT234" s="83" t="s">
        <v>65</v>
      </c>
      <c r="BU234" s="4" t="s">
        <v>7</v>
      </c>
      <c r="BV234" s="229">
        <v>9.4</v>
      </c>
      <c r="BW234" s="229">
        <v>0</v>
      </c>
      <c r="BX234" s="229">
        <v>0</v>
      </c>
      <c r="BY234" s="229">
        <v>9.4</v>
      </c>
    </row>
    <row r="235" spans="69:77" x14ac:dyDescent="0.25">
      <c r="BQ235" s="83" t="s">
        <v>19</v>
      </c>
      <c r="BR235" s="83" t="s">
        <v>20</v>
      </c>
      <c r="BS235" s="83" t="s">
        <v>19</v>
      </c>
      <c r="BT235" s="83" t="s">
        <v>20</v>
      </c>
      <c r="BU235" s="4" t="s">
        <v>7</v>
      </c>
      <c r="BV235" s="229">
        <v>-1.5800000000000001E-6</v>
      </c>
      <c r="BW235" s="229">
        <v>-21.29</v>
      </c>
      <c r="BX235" s="229">
        <v>-20.141999999999999</v>
      </c>
      <c r="BY235" s="229">
        <v>-41.432001579999998</v>
      </c>
    </row>
    <row r="236" spans="69:77" x14ac:dyDescent="0.25">
      <c r="BQ236" s="83" t="s">
        <v>92</v>
      </c>
      <c r="BR236" s="83" t="s">
        <v>93</v>
      </c>
      <c r="BS236" s="83" t="s">
        <v>92</v>
      </c>
      <c r="BT236" s="83" t="s">
        <v>93</v>
      </c>
      <c r="BU236" s="4" t="s">
        <v>7</v>
      </c>
      <c r="BV236" s="229">
        <v>38.950999889999999</v>
      </c>
      <c r="BW236" s="229">
        <v>-18.633309999999998</v>
      </c>
      <c r="BX236" s="229">
        <v>0</v>
      </c>
      <c r="BY236" s="229">
        <v>20.31768989</v>
      </c>
    </row>
    <row r="237" spans="69:77" x14ac:dyDescent="0.25">
      <c r="BQ237" s="83" t="s">
        <v>32</v>
      </c>
      <c r="BR237" s="83" t="s">
        <v>33</v>
      </c>
      <c r="BS237" s="83" t="s">
        <v>32</v>
      </c>
      <c r="BT237" s="83" t="s">
        <v>33</v>
      </c>
      <c r="BU237" s="4" t="s">
        <v>7</v>
      </c>
      <c r="BV237" s="229">
        <v>0.49999981000000004</v>
      </c>
      <c r="BW237" s="229">
        <v>-50</v>
      </c>
      <c r="BX237" s="229">
        <v>-51.5</v>
      </c>
      <c r="BY237" s="229">
        <v>-101.00000019000001</v>
      </c>
    </row>
    <row r="238" spans="69:77" x14ac:dyDescent="0.25">
      <c r="BQ238" s="83" t="s">
        <v>46</v>
      </c>
      <c r="BR238" s="83" t="s">
        <v>47</v>
      </c>
      <c r="BS238" s="83" t="s">
        <v>46</v>
      </c>
      <c r="BT238" s="83" t="s">
        <v>47</v>
      </c>
      <c r="BU238" s="4" t="s">
        <v>7</v>
      </c>
      <c r="BV238" s="229">
        <v>0</v>
      </c>
      <c r="BW238" s="229">
        <v>-35.094999999999999</v>
      </c>
      <c r="BX238" s="229">
        <v>0</v>
      </c>
      <c r="BY238" s="229">
        <v>-35.094999999999999</v>
      </c>
    </row>
    <row r="239" spans="69:77" x14ac:dyDescent="0.25">
      <c r="BQ239" s="83" t="s">
        <v>48</v>
      </c>
      <c r="BR239" s="83" t="s">
        <v>49</v>
      </c>
      <c r="BS239" s="83" t="s">
        <v>48</v>
      </c>
      <c r="BT239" s="83" t="s">
        <v>49</v>
      </c>
      <c r="BU239" s="4" t="s">
        <v>7</v>
      </c>
      <c r="BV239" s="229">
        <v>2.09700051</v>
      </c>
      <c r="BW239" s="229">
        <v>-7.8272399999999998</v>
      </c>
      <c r="BX239" s="229">
        <v>-31.549760000000003</v>
      </c>
      <c r="BY239" s="229">
        <v>-37.279999490000002</v>
      </c>
    </row>
    <row r="240" spans="69:77" x14ac:dyDescent="0.25">
      <c r="BQ240" s="83" t="s">
        <v>66</v>
      </c>
      <c r="BR240" s="83" t="s">
        <v>67</v>
      </c>
      <c r="BS240" s="83" t="s">
        <v>66</v>
      </c>
      <c r="BT240" s="83" t="s">
        <v>67</v>
      </c>
      <c r="BU240" s="4" t="s">
        <v>7</v>
      </c>
      <c r="BV240" s="229">
        <v>9.6790000000000003</v>
      </c>
      <c r="BW240" s="229">
        <v>-3.4740000000000002</v>
      </c>
      <c r="BX240" s="229">
        <v>-84.918999999999997</v>
      </c>
      <c r="BY240" s="229">
        <v>-78.713999999999999</v>
      </c>
    </row>
    <row r="241" spans="69:77" x14ac:dyDescent="0.25">
      <c r="BQ241" s="83" t="s">
        <v>68</v>
      </c>
      <c r="BR241" s="83" t="s">
        <v>69</v>
      </c>
      <c r="BS241" s="83" t="s">
        <v>68</v>
      </c>
      <c r="BT241" s="83" t="s">
        <v>69</v>
      </c>
      <c r="BU241" s="4" t="s">
        <v>7</v>
      </c>
      <c r="BV241" s="229">
        <v>1.9000000000000001E-7</v>
      </c>
      <c r="BW241" s="229">
        <v>-27.556999999999999</v>
      </c>
      <c r="BX241" s="229">
        <v>-3</v>
      </c>
      <c r="BY241" s="229">
        <v>-30.556999809999997</v>
      </c>
    </row>
    <row r="242" spans="69:77" x14ac:dyDescent="0.25">
      <c r="BQ242" s="83" t="s">
        <v>74</v>
      </c>
      <c r="BR242" s="83" t="s">
        <v>75</v>
      </c>
      <c r="BS242" s="83" t="s">
        <v>74</v>
      </c>
      <c r="BT242" s="83" t="s">
        <v>75</v>
      </c>
      <c r="BU242" s="4" t="s">
        <v>7</v>
      </c>
      <c r="BV242" s="229">
        <v>10.62155169</v>
      </c>
      <c r="BW242" s="229">
        <v>0</v>
      </c>
      <c r="BX242" s="229">
        <v>-72.65464811702293</v>
      </c>
      <c r="BY242" s="229">
        <v>-62.033096427022926</v>
      </c>
    </row>
    <row r="243" spans="69:77" x14ac:dyDescent="0.25">
      <c r="BQ243" s="83" t="s">
        <v>21</v>
      </c>
      <c r="BR243" s="83" t="s">
        <v>22</v>
      </c>
      <c r="BS243" s="83" t="s">
        <v>21</v>
      </c>
      <c r="BT243" s="83" t="s">
        <v>22</v>
      </c>
      <c r="BU243" s="4" t="s">
        <v>7</v>
      </c>
      <c r="BV243" s="229">
        <v>32.403999599999999</v>
      </c>
      <c r="BW243" s="229">
        <v>-22.318000000000001</v>
      </c>
      <c r="BX243" s="229">
        <v>-68</v>
      </c>
      <c r="BY243" s="229">
        <v>-57.914000400000006</v>
      </c>
    </row>
    <row r="244" spans="69:77" x14ac:dyDescent="0.25">
      <c r="BQ244" s="83" t="s">
        <v>76</v>
      </c>
      <c r="BR244" s="83" t="s">
        <v>77</v>
      </c>
      <c r="BS244" s="83" t="s">
        <v>76</v>
      </c>
      <c r="BT244" s="83" t="s">
        <v>77</v>
      </c>
      <c r="BU244" s="4" t="s">
        <v>7</v>
      </c>
      <c r="BV244" s="229">
        <v>15.367510599999999</v>
      </c>
      <c r="BW244" s="229">
        <v>0</v>
      </c>
      <c r="BX244" s="229">
        <v>-54.9</v>
      </c>
      <c r="BY244" s="229">
        <v>-39.532489400000003</v>
      </c>
    </row>
    <row r="245" spans="69:77" x14ac:dyDescent="0.25">
      <c r="BQ245" s="83" t="s">
        <v>78</v>
      </c>
      <c r="BR245" s="83" t="s">
        <v>79</v>
      </c>
      <c r="BS245" s="83" t="s">
        <v>78</v>
      </c>
      <c r="BT245" s="83" t="s">
        <v>79</v>
      </c>
      <c r="BU245" s="4" t="s">
        <v>7</v>
      </c>
      <c r="BV245" s="229">
        <v>0</v>
      </c>
      <c r="BW245" s="229">
        <v>0</v>
      </c>
      <c r="BX245" s="229">
        <v>0</v>
      </c>
      <c r="BY245" s="229">
        <v>0</v>
      </c>
    </row>
    <row r="246" spans="69:77" x14ac:dyDescent="0.25">
      <c r="BQ246" s="83" t="s">
        <v>50</v>
      </c>
      <c r="BR246" s="83" t="s">
        <v>51</v>
      </c>
      <c r="BS246" s="83" t="s">
        <v>50</v>
      </c>
      <c r="BT246" s="83" t="s">
        <v>51</v>
      </c>
      <c r="BU246" s="4" t="s">
        <v>7</v>
      </c>
      <c r="BV246" s="229">
        <v>1.3E-7</v>
      </c>
      <c r="BW246" s="229">
        <v>-25.091000000000001</v>
      </c>
      <c r="BX246" s="229">
        <v>0</v>
      </c>
      <c r="BY246" s="229">
        <v>-25.090999870000001</v>
      </c>
    </row>
    <row r="247" spans="69:77" x14ac:dyDescent="0.25">
      <c r="BQ247" s="83" t="s">
        <v>52</v>
      </c>
      <c r="BR247" s="83" t="s">
        <v>53</v>
      </c>
      <c r="BS247" s="83" t="s">
        <v>52</v>
      </c>
      <c r="BT247" s="83" t="s">
        <v>53</v>
      </c>
      <c r="BU247" s="4" t="s">
        <v>7</v>
      </c>
      <c r="BV247" s="229">
        <v>1.10129E-3</v>
      </c>
      <c r="BW247" s="229">
        <v>-24.4</v>
      </c>
      <c r="BX247" s="229">
        <v>0</v>
      </c>
      <c r="BY247" s="229">
        <v>-24.398898709999997</v>
      </c>
    </row>
    <row r="248" spans="69:77" x14ac:dyDescent="0.25">
      <c r="BQ248" s="83" t="s">
        <v>54</v>
      </c>
      <c r="BR248" s="83" t="s">
        <v>55</v>
      </c>
      <c r="BS248" s="83" t="s">
        <v>54</v>
      </c>
      <c r="BT248" s="83" t="s">
        <v>55</v>
      </c>
      <c r="BU248" s="4" t="s">
        <v>7</v>
      </c>
      <c r="BV248" s="229">
        <v>-11.827710139999999</v>
      </c>
      <c r="BW248" s="229">
        <v>-27.140999999999998</v>
      </c>
      <c r="BX248" s="229">
        <v>0</v>
      </c>
      <c r="BY248" s="229">
        <v>-38.968710139999999</v>
      </c>
    </row>
    <row r="249" spans="69:77" x14ac:dyDescent="0.25">
      <c r="BQ249" s="83" t="s">
        <v>112</v>
      </c>
      <c r="BR249" s="83" t="s">
        <v>113</v>
      </c>
      <c r="BS249" s="83" t="s">
        <v>112</v>
      </c>
      <c r="BT249" s="83" t="s">
        <v>113</v>
      </c>
      <c r="BU249" s="4" t="s">
        <v>7</v>
      </c>
      <c r="BV249" s="229">
        <v>0</v>
      </c>
      <c r="BW249" s="229">
        <v>0</v>
      </c>
      <c r="BX249" s="229">
        <v>0</v>
      </c>
      <c r="BY249" s="229">
        <v>0</v>
      </c>
    </row>
    <row r="250" spans="69:77" x14ac:dyDescent="0.25">
      <c r="BQ250" s="83" t="s">
        <v>80</v>
      </c>
      <c r="BR250" s="83" t="s">
        <v>81</v>
      </c>
      <c r="BS250" s="83" t="s">
        <v>80</v>
      </c>
      <c r="BT250" s="83" t="s">
        <v>81</v>
      </c>
      <c r="BU250" s="4" t="s">
        <v>7</v>
      </c>
      <c r="BV250" s="229">
        <v>16.872343860000001</v>
      </c>
      <c r="BW250" s="229">
        <v>-12.4</v>
      </c>
      <c r="BX250" s="229">
        <v>0</v>
      </c>
      <c r="BY250" s="229">
        <v>4.4723438600000005</v>
      </c>
    </row>
    <row r="251" spans="69:77" x14ac:dyDescent="0.25">
      <c r="BQ251" s="83" t="s">
        <v>82</v>
      </c>
      <c r="BR251" s="83" t="s">
        <v>83</v>
      </c>
      <c r="BS251" s="83" t="s">
        <v>82</v>
      </c>
      <c r="BT251" s="83" t="s">
        <v>83</v>
      </c>
      <c r="BU251" s="4" t="s">
        <v>7</v>
      </c>
      <c r="BV251" s="229">
        <v>2.5000006899999998</v>
      </c>
      <c r="BW251" s="229">
        <v>0</v>
      </c>
      <c r="BX251" s="229">
        <v>0</v>
      </c>
      <c r="BY251" s="229">
        <v>2.5000006899999998</v>
      </c>
    </row>
    <row r="252" spans="69:77" x14ac:dyDescent="0.25">
      <c r="BQ252" s="83" t="s">
        <v>23</v>
      </c>
      <c r="BR252" s="83" t="s">
        <v>24</v>
      </c>
      <c r="BS252" s="83" t="s">
        <v>23</v>
      </c>
      <c r="BT252" s="83" t="s">
        <v>24</v>
      </c>
      <c r="BU252" s="4" t="s">
        <v>7</v>
      </c>
      <c r="BV252" s="229">
        <v>62.035270360000005</v>
      </c>
      <c r="BW252" s="229">
        <v>-61.5</v>
      </c>
      <c r="BX252" s="229">
        <v>-35.889000000000003</v>
      </c>
      <c r="BY252" s="229">
        <v>-35.353729639999997</v>
      </c>
    </row>
    <row r="253" spans="69:77" x14ac:dyDescent="0.25">
      <c r="BQ253" s="83" t="s">
        <v>56</v>
      </c>
      <c r="BR253" s="83" t="s">
        <v>57</v>
      </c>
      <c r="BS253" s="83" t="s">
        <v>56</v>
      </c>
      <c r="BT253" s="83" t="s">
        <v>57</v>
      </c>
      <c r="BU253" s="4" t="s">
        <v>7</v>
      </c>
      <c r="BV253" s="229">
        <v>-2.2999999999999999E-7</v>
      </c>
      <c r="BW253" s="229">
        <v>0</v>
      </c>
      <c r="BX253" s="229">
        <v>-141.1</v>
      </c>
      <c r="BY253" s="229">
        <v>-141.10000023000001</v>
      </c>
    </row>
    <row r="254" spans="69:77" x14ac:dyDescent="0.25">
      <c r="BQ254" s="83" t="s">
        <v>70</v>
      </c>
      <c r="BR254" s="83" t="s">
        <v>71</v>
      </c>
      <c r="BS254" s="83" t="s">
        <v>70</v>
      </c>
      <c r="BT254" s="83" t="s">
        <v>71</v>
      </c>
      <c r="BU254" s="4" t="s">
        <v>7</v>
      </c>
      <c r="BV254" s="229">
        <v>2.6489998999999997</v>
      </c>
      <c r="BW254" s="229">
        <v>0</v>
      </c>
      <c r="BX254" s="229">
        <v>-4</v>
      </c>
      <c r="BY254" s="229">
        <v>-1.3510001000000003</v>
      </c>
    </row>
    <row r="255" spans="69:77" x14ac:dyDescent="0.25">
      <c r="BQ255" s="83" t="s">
        <v>94</v>
      </c>
      <c r="BR255" s="83" t="s">
        <v>95</v>
      </c>
      <c r="BS255" s="83" t="s">
        <v>94</v>
      </c>
      <c r="BT255" s="83" t="s">
        <v>95</v>
      </c>
      <c r="BU255" s="4" t="s">
        <v>7</v>
      </c>
      <c r="BV255" s="229">
        <v>59.012999999999998</v>
      </c>
      <c r="BW255" s="229">
        <v>0</v>
      </c>
      <c r="BX255" s="229">
        <v>-71</v>
      </c>
      <c r="BY255" s="229">
        <v>-11.987000000000002</v>
      </c>
    </row>
    <row r="256" spans="69:77" x14ac:dyDescent="0.25">
      <c r="BQ256" s="83" t="s">
        <v>96</v>
      </c>
      <c r="BR256" s="83" t="s">
        <v>97</v>
      </c>
      <c r="BS256" s="83" t="s">
        <v>96</v>
      </c>
      <c r="BT256" s="83" t="s">
        <v>97</v>
      </c>
      <c r="BU256" s="4" t="s">
        <v>7</v>
      </c>
      <c r="BV256" s="229">
        <v>7.2000000000000009E-7</v>
      </c>
      <c r="BW256" s="229">
        <v>-35.5</v>
      </c>
      <c r="BX256" s="229">
        <v>0</v>
      </c>
      <c r="BY256" s="229">
        <v>-35.499999279999997</v>
      </c>
    </row>
    <row r="257" spans="69:77" x14ac:dyDescent="0.25">
      <c r="BQ257" s="83" t="s">
        <v>25</v>
      </c>
      <c r="BR257" s="83" t="s">
        <v>26</v>
      </c>
      <c r="BS257" s="83" t="s">
        <v>25</v>
      </c>
      <c r="BT257" s="83" t="s">
        <v>26</v>
      </c>
      <c r="BU257" s="4" t="s">
        <v>7</v>
      </c>
      <c r="BV257" s="229">
        <v>9.0000000000000012E-8</v>
      </c>
      <c r="BW257" s="229">
        <v>-53.704000000000001</v>
      </c>
      <c r="BX257" s="229">
        <v>0</v>
      </c>
      <c r="BY257" s="229">
        <v>-53.70399991</v>
      </c>
    </row>
    <row r="258" spans="69:77" x14ac:dyDescent="0.25">
      <c r="BQ258" s="110" t="s">
        <v>502</v>
      </c>
      <c r="BR258" s="110" t="s">
        <v>48</v>
      </c>
      <c r="BS258" s="110" t="s">
        <v>901</v>
      </c>
      <c r="BT258" s="110" t="s">
        <v>1013</v>
      </c>
      <c r="BU258" s="110">
        <v>0.20799999999999999</v>
      </c>
    </row>
  </sheetData>
  <autoFilter ref="B5:L48" xr:uid="{97697D05-4BE6-43CA-89AB-4F3B432F7F7B}"/>
  <mergeCells count="11">
    <mergeCell ref="V4:V5"/>
    <mergeCell ref="K4:L4"/>
    <mergeCell ref="N4:Q4"/>
    <mergeCell ref="S4:S5"/>
    <mergeCell ref="T4:T5"/>
    <mergeCell ref="U4:U5"/>
    <mergeCell ref="X4:X5"/>
    <mergeCell ref="AB4:AB5"/>
    <mergeCell ref="AI4:AI5"/>
    <mergeCell ref="AR4:AR5"/>
    <mergeCell ref="AT4:AV4"/>
  </mergeCells>
  <dataValidations disablePrompts="1" count="2">
    <dataValidation type="list" allowBlank="1" showInputMessage="1" showErrorMessage="1" sqref="AO4" xr:uid="{A737192F-2C5F-47B1-B834-8270604FC798}">
      <formula1>$AO$1:$AO$3</formula1>
    </dataValidation>
    <dataValidation type="list" allowBlank="1" showInputMessage="1" showErrorMessage="1" sqref="AM4" xr:uid="{79CDA7E8-C11E-46A5-88CB-D80D6A8242E1}">
      <formula1>$AM$1:$AM$3</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23EB7-DCE7-4EC1-82EA-16EFF5328A8C}">
  <sheetPr codeName="Sheet41"/>
  <dimension ref="A1:BO54"/>
  <sheetViews>
    <sheetView topLeftCell="A5" workbookViewId="0">
      <selection activeCell="J5" sqref="J4:BB61"/>
    </sheetView>
  </sheetViews>
  <sheetFormatPr defaultRowHeight="15" outlineLevelCol="1" x14ac:dyDescent="0.25"/>
  <cols>
    <col min="1" max="1" width="1.7109375" customWidth="1"/>
    <col min="2" max="2" width="31.5703125" customWidth="1"/>
    <col min="4" max="4" width="9.42578125" customWidth="1"/>
    <col min="5" max="5" width="9.7109375" style="49" hidden="1" customWidth="1"/>
    <col min="6" max="10" width="5.7109375" style="49" hidden="1" customWidth="1"/>
    <col min="11" max="11" width="8.42578125" customWidth="1"/>
    <col min="12" max="12" width="9.5703125" customWidth="1"/>
    <col min="13" max="13" width="1.42578125" customWidth="1"/>
    <col min="14" max="14" width="9.42578125" customWidth="1"/>
    <col min="15" max="15" width="10.7109375" customWidth="1"/>
    <col min="16" max="17" width="9.42578125" customWidth="1"/>
    <col min="18" max="18" width="1.7109375" customWidth="1"/>
    <col min="19" max="20" width="9.7109375" customWidth="1"/>
    <col min="21" max="21" width="10.7109375" customWidth="1"/>
    <col min="22" max="26" width="9.7109375" customWidth="1"/>
    <col min="27" max="27" width="2.28515625" customWidth="1"/>
    <col min="28" max="28" width="9.7109375" customWidth="1"/>
    <col min="29" max="29" width="2.28515625" customWidth="1"/>
    <col min="30" max="30" width="11.28515625" customWidth="1"/>
    <col min="31" max="34" width="9.7109375" customWidth="1"/>
    <col min="35" max="35" width="1.7109375" customWidth="1"/>
    <col min="36" max="36" width="69.7109375" customWidth="1"/>
    <col min="37" max="37" width="1.7109375" customWidth="1"/>
    <col min="38" max="40" width="9.7109375" customWidth="1"/>
    <col min="41" max="41" width="1.7109375" customWidth="1"/>
    <col min="42" max="42" width="10.28515625" customWidth="1"/>
    <col min="43" max="43" width="11.28515625" customWidth="1"/>
    <col min="44" max="44" width="3.28515625" customWidth="1"/>
    <col min="45" max="45" width="8.7109375" style="323" customWidth="1" outlineLevel="1"/>
    <col min="46" max="47" width="10.28515625" customWidth="1" outlineLevel="1"/>
    <col min="48" max="48" width="10.28515625" style="82" customWidth="1"/>
    <col min="49" max="52" width="9.7109375" customWidth="1"/>
    <col min="53" max="53" width="8.7109375" style="82"/>
    <col min="56" max="56" width="10.7109375" customWidth="1"/>
    <col min="57" max="58" width="10.7109375" hidden="1" customWidth="1" outlineLevel="1"/>
    <col min="59" max="59" width="8.7109375" collapsed="1"/>
    <col min="60" max="60" width="10.42578125" customWidth="1"/>
    <col min="61" max="61" width="2.28515625" customWidth="1"/>
    <col min="62" max="65" width="0" hidden="1" customWidth="1"/>
    <col min="66" max="66" width="2.42578125" hidden="1" customWidth="1"/>
  </cols>
  <sheetData>
    <row r="1" spans="1:67" x14ac:dyDescent="0.25">
      <c r="A1" s="320" t="s">
        <v>830</v>
      </c>
      <c r="Q1" s="223"/>
      <c r="AL1" s="321">
        <v>1.02</v>
      </c>
      <c r="AN1" s="322">
        <v>600</v>
      </c>
    </row>
    <row r="2" spans="1:67" x14ac:dyDescent="0.25">
      <c r="A2" s="320"/>
      <c r="Q2" s="223"/>
      <c r="AL2" s="321">
        <v>1.03</v>
      </c>
      <c r="AN2" s="322">
        <v>800</v>
      </c>
    </row>
    <row r="3" spans="1:67" x14ac:dyDescent="0.25">
      <c r="T3" s="82" t="s">
        <v>831</v>
      </c>
      <c r="AL3" s="321">
        <v>1.05</v>
      </c>
      <c r="AN3" s="322">
        <v>900</v>
      </c>
    </row>
    <row r="4" spans="1:67" x14ac:dyDescent="0.25">
      <c r="B4" s="324" t="s">
        <v>832</v>
      </c>
      <c r="C4" s="325" t="s">
        <v>833</v>
      </c>
      <c r="D4" s="326"/>
      <c r="E4" s="327"/>
      <c r="F4" s="327"/>
      <c r="G4" s="327"/>
      <c r="H4" s="327"/>
      <c r="I4" s="327"/>
      <c r="J4" s="327"/>
      <c r="K4" s="569" t="s">
        <v>834</v>
      </c>
      <c r="L4" s="570"/>
      <c r="M4" s="330"/>
      <c r="N4" s="571" t="s">
        <v>835</v>
      </c>
      <c r="O4" s="572"/>
      <c r="P4" s="572"/>
      <c r="Q4" s="573"/>
      <c r="S4" s="574" t="s">
        <v>836</v>
      </c>
      <c r="T4" s="561" t="s">
        <v>837</v>
      </c>
      <c r="U4" s="561" t="s">
        <v>838</v>
      </c>
      <c r="V4" s="561" t="s">
        <v>839</v>
      </c>
      <c r="W4" s="331"/>
      <c r="X4" s="559" t="s">
        <v>840</v>
      </c>
      <c r="Y4" s="331"/>
      <c r="Z4" s="331"/>
      <c r="AB4" s="561" t="s">
        <v>841</v>
      </c>
      <c r="AD4" s="332"/>
      <c r="AE4" s="332"/>
      <c r="AF4" s="332"/>
      <c r="AG4" s="332"/>
      <c r="AH4" s="563" t="s">
        <v>842</v>
      </c>
      <c r="AL4" s="126">
        <v>1.03</v>
      </c>
      <c r="AM4" s="333"/>
      <c r="AN4" s="128">
        <v>800</v>
      </c>
      <c r="AO4" s="49"/>
      <c r="AP4" s="334"/>
      <c r="AQ4" s="565" t="s">
        <v>843</v>
      </c>
      <c r="AS4" s="567" t="s">
        <v>844</v>
      </c>
      <c r="AT4" s="568"/>
      <c r="AU4" s="568"/>
      <c r="AV4"/>
      <c r="BD4" s="335">
        <v>23</v>
      </c>
      <c r="BE4" s="335"/>
      <c r="BF4" s="335"/>
      <c r="BG4" s="335"/>
      <c r="BH4" s="335">
        <v>31</v>
      </c>
    </row>
    <row r="5" spans="1:67" ht="150" x14ac:dyDescent="0.25">
      <c r="B5" s="336" t="s">
        <v>845</v>
      </c>
      <c r="C5" s="337"/>
      <c r="D5" s="338" t="s">
        <v>14</v>
      </c>
      <c r="E5" s="339" t="s">
        <v>846</v>
      </c>
      <c r="F5" s="339"/>
      <c r="G5" s="339"/>
      <c r="H5" s="339"/>
      <c r="I5" s="339"/>
      <c r="J5" s="339"/>
      <c r="K5" s="328" t="s">
        <v>847</v>
      </c>
      <c r="L5" s="329" t="s">
        <v>848</v>
      </c>
      <c r="M5" s="330"/>
      <c r="N5" s="340" t="s">
        <v>849</v>
      </c>
      <c r="O5" s="340" t="s">
        <v>850</v>
      </c>
      <c r="P5" s="340" t="s">
        <v>851</v>
      </c>
      <c r="Q5" s="341" t="s">
        <v>852</v>
      </c>
      <c r="S5" s="575"/>
      <c r="T5" s="562"/>
      <c r="U5" s="562"/>
      <c r="V5" s="562"/>
      <c r="W5" s="343" t="s">
        <v>853</v>
      </c>
      <c r="X5" s="560"/>
      <c r="Y5" s="343" t="s">
        <v>854</v>
      </c>
      <c r="Z5" s="343" t="s">
        <v>855</v>
      </c>
      <c r="AB5" s="562"/>
      <c r="AD5" s="345" t="s">
        <v>857</v>
      </c>
      <c r="AE5" s="345" t="s">
        <v>858</v>
      </c>
      <c r="AF5" s="345" t="s">
        <v>859</v>
      </c>
      <c r="AG5" s="345" t="s">
        <v>860</v>
      </c>
      <c r="AH5" s="564"/>
      <c r="AJ5" s="346" t="s">
        <v>861</v>
      </c>
      <c r="AL5" s="333" t="s">
        <v>862</v>
      </c>
      <c r="AM5" s="347" t="s">
        <v>863</v>
      </c>
      <c r="AN5" s="333" t="s">
        <v>864</v>
      </c>
      <c r="AO5" s="49"/>
      <c r="AP5" s="347" t="s">
        <v>865</v>
      </c>
      <c r="AQ5" s="566"/>
      <c r="AS5" s="348" t="s">
        <v>866</v>
      </c>
      <c r="AT5" s="348" t="s">
        <v>867</v>
      </c>
      <c r="AU5" s="348" t="s">
        <v>868</v>
      </c>
      <c r="AV5" s="348" t="s">
        <v>869</v>
      </c>
      <c r="AW5" s="348" t="s">
        <v>870</v>
      </c>
      <c r="AX5" s="348" t="s">
        <v>871</v>
      </c>
      <c r="AY5" s="348" t="s">
        <v>862</v>
      </c>
      <c r="AZ5" s="348" t="s">
        <v>864</v>
      </c>
      <c r="BA5" s="348" t="s">
        <v>872</v>
      </c>
      <c r="BB5" s="348" t="s">
        <v>873</v>
      </c>
      <c r="BC5" s="348" t="s">
        <v>1069</v>
      </c>
      <c r="BD5" s="348" t="s">
        <v>874</v>
      </c>
      <c r="BE5" s="348" t="s">
        <v>875</v>
      </c>
      <c r="BF5" s="348" t="s">
        <v>876</v>
      </c>
      <c r="BG5" s="348" t="s">
        <v>877</v>
      </c>
      <c r="BH5" s="348" t="s">
        <v>1074</v>
      </c>
      <c r="BJ5" s="348" t="s">
        <v>879</v>
      </c>
      <c r="BK5" s="348" t="s">
        <v>1075</v>
      </c>
      <c r="BL5" s="348" t="s">
        <v>880</v>
      </c>
      <c r="BM5" s="348" t="s">
        <v>881</v>
      </c>
      <c r="BO5" s="349" t="s">
        <v>1076</v>
      </c>
    </row>
    <row r="6" spans="1:67" x14ac:dyDescent="0.25">
      <c r="B6" s="350"/>
      <c r="C6" s="350"/>
      <c r="D6" s="350"/>
      <c r="E6" s="351"/>
      <c r="F6" s="351"/>
      <c r="G6" s="351"/>
      <c r="H6" s="351"/>
      <c r="I6" s="351"/>
      <c r="J6" s="351"/>
      <c r="K6" s="352"/>
      <c r="L6" s="353"/>
      <c r="M6" s="330"/>
      <c r="N6" s="330"/>
      <c r="O6" s="330"/>
      <c r="P6" s="330"/>
      <c r="Q6" s="330"/>
      <c r="S6" s="342"/>
      <c r="T6" s="343"/>
      <c r="U6" s="354"/>
      <c r="V6" s="354"/>
      <c r="W6" s="354"/>
      <c r="X6" s="354"/>
      <c r="Y6" s="354"/>
      <c r="Z6" s="354"/>
      <c r="AB6" s="344"/>
      <c r="AD6" s="344"/>
      <c r="AE6" s="344"/>
      <c r="AF6" s="344"/>
      <c r="AG6" s="344"/>
      <c r="AH6" s="344"/>
    </row>
    <row r="7" spans="1:67" x14ac:dyDescent="0.25">
      <c r="A7" s="355"/>
      <c r="B7" s="355" t="s">
        <v>1002</v>
      </c>
      <c r="C7" s="356" t="s">
        <v>31</v>
      </c>
      <c r="D7" s="357" t="s">
        <v>965</v>
      </c>
      <c r="E7" s="358">
        <v>5</v>
      </c>
      <c r="F7" s="358" t="s">
        <v>1077</v>
      </c>
      <c r="G7" s="359" t="s">
        <v>1077</v>
      </c>
      <c r="H7" s="359" t="s">
        <v>1077</v>
      </c>
      <c r="I7" s="359" t="s">
        <v>1077</v>
      </c>
      <c r="J7" s="359">
        <v>5</v>
      </c>
      <c r="K7" s="154">
        <v>3474.3772374099999</v>
      </c>
      <c r="L7" s="155">
        <v>6958.9</v>
      </c>
      <c r="N7" s="360">
        <v>-20.399910080004389</v>
      </c>
      <c r="O7" s="361">
        <v>-186.5163094500046</v>
      </c>
      <c r="P7" s="361">
        <v>-166.11639937000018</v>
      </c>
      <c r="Q7" s="362">
        <v>-4.7811848863548528E-2</v>
      </c>
      <c r="S7" s="363">
        <v>-55.291376569800008</v>
      </c>
      <c r="T7" s="364">
        <v>-45.119</v>
      </c>
      <c r="U7" s="365">
        <v>-20.422112739999999</v>
      </c>
      <c r="V7" s="365">
        <v>-2.5280467</v>
      </c>
      <c r="W7" s="365">
        <v>-14.240511539999993</v>
      </c>
      <c r="X7" s="365">
        <v>-10.172376569800008</v>
      </c>
      <c r="Y7" s="365">
        <v>-16.054390659999999</v>
      </c>
      <c r="Z7" s="365">
        <v>-57.5799611602</v>
      </c>
      <c r="AB7" s="366">
        <v>-226.88499999999999</v>
      </c>
      <c r="AD7" s="366">
        <v>3</v>
      </c>
      <c r="AE7" s="366">
        <v>32</v>
      </c>
      <c r="AF7" s="366">
        <v>32</v>
      </c>
      <c r="AG7" s="366"/>
      <c r="AH7" s="366">
        <v>-322</v>
      </c>
      <c r="AJ7" t="s">
        <v>966</v>
      </c>
      <c r="AL7" s="367">
        <v>0.63968897705972194</v>
      </c>
      <c r="AM7" s="165">
        <v>5.792452434969985E-2</v>
      </c>
      <c r="AN7" s="367">
        <v>46.339619479759882</v>
      </c>
      <c r="AP7" s="166">
        <v>1</v>
      </c>
      <c r="AQ7" s="166">
        <v>1.0008352551816233</v>
      </c>
      <c r="AS7" s="368">
        <v>3</v>
      </c>
      <c r="AT7" s="369">
        <v>10.064100505032259</v>
      </c>
      <c r="AU7" s="369">
        <v>2.881685408012804</v>
      </c>
      <c r="AV7" s="369">
        <v>10.064100505032259</v>
      </c>
      <c r="AW7" s="369">
        <v>32</v>
      </c>
      <c r="AX7" s="369">
        <v>-279.93589949496771</v>
      </c>
      <c r="AY7" s="361">
        <v>0.63968897705972194</v>
      </c>
      <c r="AZ7" s="361">
        <v>46.339619479759882</v>
      </c>
      <c r="BA7" s="361">
        <v>-232.9565910381481</v>
      </c>
      <c r="BB7" s="361">
        <v>63</v>
      </c>
      <c r="BC7" s="361"/>
      <c r="BD7" s="370">
        <v>-169.9565910381481</v>
      </c>
      <c r="BE7" s="371">
        <v>0</v>
      </c>
      <c r="BF7" s="371">
        <v>0</v>
      </c>
      <c r="BG7" s="372">
        <v>0</v>
      </c>
      <c r="BH7" s="361">
        <v>-169.9565910381481</v>
      </c>
      <c r="BJ7" s="373">
        <v>-129.08434911748404</v>
      </c>
      <c r="BK7" s="371">
        <v>0</v>
      </c>
      <c r="BL7" s="374">
        <v>9.0531549526505634E-3</v>
      </c>
      <c r="BM7" s="374">
        <v>-2.4422910379247886E-2</v>
      </c>
      <c r="BO7" s="371">
        <v>-169.9565910381481</v>
      </c>
    </row>
    <row r="8" spans="1:67" x14ac:dyDescent="0.25">
      <c r="A8" s="375"/>
      <c r="B8" s="375" t="s">
        <v>968</v>
      </c>
      <c r="C8" s="376" t="s">
        <v>76</v>
      </c>
      <c r="D8" s="377" t="s">
        <v>916</v>
      </c>
      <c r="E8" s="358">
        <v>4</v>
      </c>
      <c r="F8" s="358" t="s">
        <v>1077</v>
      </c>
      <c r="G8" s="359" t="s">
        <v>1077</v>
      </c>
      <c r="H8" s="359" t="s">
        <v>1077</v>
      </c>
      <c r="I8" s="359">
        <v>4</v>
      </c>
      <c r="J8" s="359" t="s">
        <v>1077</v>
      </c>
      <c r="K8" s="154">
        <v>2293.99767479</v>
      </c>
      <c r="L8" s="155">
        <v>4546.5300010000001</v>
      </c>
      <c r="N8" s="378">
        <v>-5.3179850000015474</v>
      </c>
      <c r="O8" s="379">
        <v>-88.411179799999701</v>
      </c>
      <c r="P8" s="379">
        <v>-83.093194799998173</v>
      </c>
      <c r="Q8" s="380">
        <v>-3.6222004805477756E-2</v>
      </c>
      <c r="S8" s="381">
        <v>-27.446799403299998</v>
      </c>
      <c r="T8" s="382">
        <v>-9.7072594293000005</v>
      </c>
      <c r="U8" s="383">
        <v>-11.479990820000001</v>
      </c>
      <c r="V8" s="383">
        <v>-8.3784942999999998</v>
      </c>
      <c r="W8" s="383">
        <v>12.533189999300001</v>
      </c>
      <c r="X8" s="383">
        <v>-17.739539973999996</v>
      </c>
      <c r="Y8" s="383">
        <v>-14.67657166</v>
      </c>
      <c r="Z8" s="383">
        <v>-33.644528615999995</v>
      </c>
      <c r="AB8" s="384">
        <v>-54.9</v>
      </c>
      <c r="AD8" s="384">
        <v>12.5</v>
      </c>
      <c r="AE8" s="384">
        <v>17.7</v>
      </c>
      <c r="AF8" s="384">
        <v>17.7</v>
      </c>
      <c r="AG8" s="384"/>
      <c r="AH8" s="384">
        <v>-129.80000000000001</v>
      </c>
      <c r="AJ8" t="s">
        <v>917</v>
      </c>
      <c r="AL8" s="367">
        <v>48.925245550231573</v>
      </c>
      <c r="AM8" s="165">
        <v>3.8784745188330083E-2</v>
      </c>
      <c r="AN8" s="367">
        <v>31.027796150664066</v>
      </c>
      <c r="AO8" s="166"/>
      <c r="AP8" s="166">
        <v>1.039613768233943</v>
      </c>
      <c r="AQ8" s="166">
        <v>1.1479585548998847</v>
      </c>
      <c r="AS8" s="368">
        <v>12.5</v>
      </c>
      <c r="AT8" s="369">
        <v>3.5294020458916169</v>
      </c>
      <c r="AU8" s="369">
        <v>-3.5749288449637011</v>
      </c>
      <c r="AV8" s="369">
        <v>8</v>
      </c>
      <c r="AW8" s="369">
        <v>17.7</v>
      </c>
      <c r="AX8" s="369">
        <v>-104.10000000000001</v>
      </c>
      <c r="AY8" s="379">
        <v>48.925245550231573</v>
      </c>
      <c r="AZ8" s="379">
        <v>31.027796150664066</v>
      </c>
      <c r="BA8" s="379">
        <v>-24.146958299104369</v>
      </c>
      <c r="BB8" s="379">
        <v>24.146958299104369</v>
      </c>
      <c r="BC8" s="361"/>
      <c r="BD8" s="370">
        <v>0</v>
      </c>
      <c r="BE8" s="371">
        <v>0</v>
      </c>
      <c r="BF8" s="371">
        <v>0</v>
      </c>
      <c r="BG8" s="385">
        <v>0</v>
      </c>
      <c r="BH8" s="379">
        <v>0</v>
      </c>
      <c r="BJ8" s="373">
        <v>-61.39319479999817</v>
      </c>
      <c r="BK8" s="371">
        <v>0</v>
      </c>
      <c r="BL8" s="386">
        <v>5.3110742244730147E-3</v>
      </c>
      <c r="BM8" s="387">
        <v>0</v>
      </c>
      <c r="BO8" s="371">
        <v>-25</v>
      </c>
    </row>
    <row r="9" spans="1:67" x14ac:dyDescent="0.25">
      <c r="A9" s="375"/>
      <c r="B9" s="375" t="s">
        <v>992</v>
      </c>
      <c r="C9" s="376" t="s">
        <v>80</v>
      </c>
      <c r="D9" s="377" t="s">
        <v>916</v>
      </c>
      <c r="E9" s="358">
        <v>4</v>
      </c>
      <c r="F9" s="358" t="s">
        <v>1077</v>
      </c>
      <c r="G9" s="359" t="s">
        <v>1077</v>
      </c>
      <c r="H9" s="359" t="s">
        <v>1077</v>
      </c>
      <c r="I9" s="359">
        <v>4</v>
      </c>
      <c r="J9" s="359" t="s">
        <v>1077</v>
      </c>
      <c r="K9" s="154">
        <v>2160.6058331199997</v>
      </c>
      <c r="L9" s="155">
        <v>4321.0489979400008</v>
      </c>
      <c r="N9" s="378">
        <v>1.2834929899993521</v>
      </c>
      <c r="O9" s="379">
        <v>-81.768930230001146</v>
      </c>
      <c r="P9" s="379">
        <v>-83.052423220000492</v>
      </c>
      <c r="Q9" s="380">
        <v>-3.843941451369199E-2</v>
      </c>
      <c r="S9" s="381">
        <v>-28.939920582500001</v>
      </c>
      <c r="T9" s="382">
        <v>-0.20502713704</v>
      </c>
      <c r="U9" s="383">
        <v>-7.1362267700000004</v>
      </c>
      <c r="V9" s="383">
        <v>-3.4094500400000003</v>
      </c>
      <c r="W9" s="383">
        <v>8.53202713704</v>
      </c>
      <c r="X9" s="383">
        <v>-28.734893445460003</v>
      </c>
      <c r="Y9" s="383">
        <v>6.5335326551000001</v>
      </c>
      <c r="Z9" s="383">
        <v>-58.632385619640004</v>
      </c>
      <c r="AB9" s="384">
        <v>-141.673</v>
      </c>
      <c r="AD9" s="384">
        <v>12.5</v>
      </c>
      <c r="AE9" s="384">
        <v>20.9</v>
      </c>
      <c r="AF9" s="384">
        <v>20.9</v>
      </c>
      <c r="AG9" s="384"/>
      <c r="AH9" s="384">
        <v>-186.4</v>
      </c>
      <c r="AJ9" t="s">
        <v>917</v>
      </c>
      <c r="AL9" s="367">
        <v>21.74347288323176</v>
      </c>
      <c r="AM9" s="165">
        <v>5.623036626031154E-2</v>
      </c>
      <c r="AN9" s="367">
        <v>44.984293008249232</v>
      </c>
      <c r="AO9" s="166"/>
      <c r="AP9" s="166">
        <v>1.0487500000000001</v>
      </c>
      <c r="AQ9" s="166">
        <v>1.0929006804919712</v>
      </c>
      <c r="AS9" s="368">
        <v>12.5</v>
      </c>
      <c r="AT9" s="369">
        <v>6.801444365553083</v>
      </c>
      <c r="AU9" s="369">
        <v>2.3934141205403985</v>
      </c>
      <c r="AV9" s="369">
        <v>9.6507221827765406</v>
      </c>
      <c r="AW9" s="369">
        <v>20.9</v>
      </c>
      <c r="AX9" s="369">
        <v>-155.84927781722345</v>
      </c>
      <c r="AY9" s="379">
        <v>21.74347288323176</v>
      </c>
      <c r="AZ9" s="379">
        <v>44.984293008249232</v>
      </c>
      <c r="BA9" s="379">
        <v>-89.121511925742453</v>
      </c>
      <c r="BB9" s="379">
        <v>89.121511925742453</v>
      </c>
      <c r="BC9" s="361"/>
      <c r="BD9" s="370">
        <v>0</v>
      </c>
      <c r="BE9" s="371">
        <v>0</v>
      </c>
      <c r="BF9" s="371">
        <v>0</v>
      </c>
      <c r="BG9" s="385">
        <v>0</v>
      </c>
      <c r="BH9" s="379">
        <v>0</v>
      </c>
      <c r="BJ9" s="373">
        <v>-57.327062128612226</v>
      </c>
      <c r="BK9" s="371">
        <v>0</v>
      </c>
      <c r="BL9" s="374">
        <v>2.0624971382696627E-2</v>
      </c>
      <c r="BM9" s="374">
        <v>0</v>
      </c>
      <c r="BO9" s="371">
        <v>0</v>
      </c>
    </row>
    <row r="10" spans="1:67" x14ac:dyDescent="0.25">
      <c r="A10" s="388"/>
      <c r="B10" s="388" t="s">
        <v>998</v>
      </c>
      <c r="C10" s="376" t="s">
        <v>32</v>
      </c>
      <c r="D10" s="377" t="s">
        <v>965</v>
      </c>
      <c r="E10" s="358">
        <v>5</v>
      </c>
      <c r="F10" s="358" t="s">
        <v>1077</v>
      </c>
      <c r="G10" s="359" t="s">
        <v>1077</v>
      </c>
      <c r="H10" s="359" t="s">
        <v>1077</v>
      </c>
      <c r="I10" s="359" t="s">
        <v>1077</v>
      </c>
      <c r="J10" s="359">
        <v>5</v>
      </c>
      <c r="K10" s="154">
        <v>2202.6952673199999</v>
      </c>
      <c r="L10" s="155">
        <v>4306.4059999999999</v>
      </c>
      <c r="N10" s="378">
        <v>-87.590000140000043</v>
      </c>
      <c r="O10" s="379">
        <v>-159.46879674000033</v>
      </c>
      <c r="P10" s="379">
        <v>-71.878796600000271</v>
      </c>
      <c r="Q10" s="380">
        <v>-3.2632201860339299E-2</v>
      </c>
      <c r="S10" s="381">
        <v>-24.338748062899999</v>
      </c>
      <c r="T10" s="382">
        <v>-17.803999999999998</v>
      </c>
      <c r="U10" s="383">
        <v>-22.56499049</v>
      </c>
      <c r="V10" s="383">
        <v>-37.39621683</v>
      </c>
      <c r="W10" s="383">
        <v>27.395816199999999</v>
      </c>
      <c r="X10" s="383">
        <v>-6.5347480629000003</v>
      </c>
      <c r="Y10" s="383">
        <v>-15.480155640000001</v>
      </c>
      <c r="Z10" s="383">
        <v>0.50549822290000002</v>
      </c>
      <c r="AB10" s="384">
        <v>-101.5</v>
      </c>
      <c r="AD10" s="384">
        <v>9</v>
      </c>
      <c r="AE10" s="384">
        <v>8</v>
      </c>
      <c r="AF10" s="384">
        <v>8</v>
      </c>
      <c r="AG10" s="384"/>
      <c r="AH10" s="384">
        <v>-250</v>
      </c>
      <c r="AI10" s="389"/>
      <c r="AJ10" t="s">
        <v>966</v>
      </c>
      <c r="AL10" s="367">
        <v>0</v>
      </c>
      <c r="AM10" s="165">
        <v>2.4013345890056461E-2</v>
      </c>
      <c r="AN10" s="367">
        <v>19.210676712045167</v>
      </c>
      <c r="AO10" s="166"/>
      <c r="AP10" s="166">
        <v>1.0487500000000003</v>
      </c>
      <c r="AQ10" s="166">
        <v>0.92333102975960524</v>
      </c>
      <c r="AS10" s="368">
        <v>9</v>
      </c>
      <c r="AT10" s="369">
        <v>13.180853770398166</v>
      </c>
      <c r="AU10" s="369">
        <v>7.4923095517203473</v>
      </c>
      <c r="AV10" s="369">
        <v>13.180853770398166</v>
      </c>
      <c r="AW10" s="369">
        <v>8</v>
      </c>
      <c r="AX10" s="369">
        <v>-228.81914622960184</v>
      </c>
      <c r="AY10" s="379">
        <v>0</v>
      </c>
      <c r="AZ10" s="379">
        <v>19.210676712045167</v>
      </c>
      <c r="BA10" s="379">
        <v>-209.60846951755667</v>
      </c>
      <c r="BB10" s="379">
        <v>9.6</v>
      </c>
      <c r="BC10" s="361"/>
      <c r="BD10" s="370">
        <v>-200.00846951755668</v>
      </c>
      <c r="BE10" s="371">
        <v>-80</v>
      </c>
      <c r="BF10" s="371">
        <v>0</v>
      </c>
      <c r="BG10" s="385">
        <v>-80</v>
      </c>
      <c r="BH10" s="379">
        <v>-120.00846951755668</v>
      </c>
      <c r="BJ10" s="373">
        <v>-57.288369714801192</v>
      </c>
      <c r="BK10" s="371">
        <v>0</v>
      </c>
      <c r="BL10" s="374">
        <v>2.2292370946910252E-3</v>
      </c>
      <c r="BM10" s="374">
        <v>-2.7867430408920264E-2</v>
      </c>
      <c r="BO10" s="371">
        <v>-200.00846951755668</v>
      </c>
    </row>
    <row r="11" spans="1:67" x14ac:dyDescent="0.25">
      <c r="A11" s="388"/>
      <c r="B11" s="388" t="s">
        <v>1004</v>
      </c>
      <c r="C11" s="376" t="s">
        <v>52</v>
      </c>
      <c r="D11" s="377" t="s">
        <v>922</v>
      </c>
      <c r="E11" s="358">
        <v>5</v>
      </c>
      <c r="F11" s="358" t="s">
        <v>1077</v>
      </c>
      <c r="G11" s="359" t="s">
        <v>1077</v>
      </c>
      <c r="H11" s="359" t="s">
        <v>1077</v>
      </c>
      <c r="I11" s="359" t="s">
        <v>1077</v>
      </c>
      <c r="J11" s="359">
        <v>5</v>
      </c>
      <c r="K11" s="154">
        <v>1277.0085069100001</v>
      </c>
      <c r="L11" s="155">
        <v>2560.8200000000002</v>
      </c>
      <c r="N11" s="378">
        <v>-17.451999940000455</v>
      </c>
      <c r="O11" s="379">
        <v>-79.2675376899995</v>
      </c>
      <c r="P11" s="379">
        <v>-61.815537749999052</v>
      </c>
      <c r="Q11" s="380">
        <v>-4.8406519937424064E-2</v>
      </c>
      <c r="S11" s="381">
        <v>6.0028231672000008</v>
      </c>
      <c r="T11" s="382">
        <v>15.35343666</v>
      </c>
      <c r="U11" s="383">
        <v>-11.101394050000001</v>
      </c>
      <c r="V11" s="383">
        <v>-5.9967195200000001</v>
      </c>
      <c r="W11" s="383">
        <v>-7.9568548399999992</v>
      </c>
      <c r="X11" s="383">
        <v>-9.3506134927999991</v>
      </c>
      <c r="Y11" s="383">
        <v>-10.84642863</v>
      </c>
      <c r="Z11" s="383">
        <v>-31.916963877200004</v>
      </c>
      <c r="AB11" s="384">
        <v>-124.7</v>
      </c>
      <c r="AD11" s="384">
        <v>16</v>
      </c>
      <c r="AE11" s="384">
        <v>6</v>
      </c>
      <c r="AF11" s="384">
        <v>6</v>
      </c>
      <c r="AG11" s="384"/>
      <c r="AH11" s="384">
        <v>-142</v>
      </c>
      <c r="AL11" s="367">
        <v>10.939833231259525</v>
      </c>
      <c r="AM11" s="165">
        <v>2.4801689985048964E-2</v>
      </c>
      <c r="AN11" s="367">
        <v>19.841351988039172</v>
      </c>
      <c r="AP11" s="166">
        <v>1.0151163102293612</v>
      </c>
      <c r="AQ11" s="166">
        <v>1.0546990850821865</v>
      </c>
      <c r="AS11" s="368">
        <v>16</v>
      </c>
      <c r="AT11" s="369">
        <v>11.972789998248999</v>
      </c>
      <c r="AU11" s="369">
        <v>11.503685081416814</v>
      </c>
      <c r="AV11" s="369">
        <v>11.972789998248999</v>
      </c>
      <c r="AW11" s="369">
        <v>6</v>
      </c>
      <c r="AX11" s="369">
        <v>-124.027210001751</v>
      </c>
      <c r="AY11" s="379">
        <v>10.939833231259525</v>
      </c>
      <c r="AZ11" s="379">
        <v>19.841351988039172</v>
      </c>
      <c r="BA11" s="379">
        <v>-93.246024782452309</v>
      </c>
      <c r="BB11" s="379">
        <v>33.246024782452309</v>
      </c>
      <c r="BC11" s="361"/>
      <c r="BD11" s="370">
        <v>-60</v>
      </c>
      <c r="BE11" s="390">
        <v>0</v>
      </c>
      <c r="BF11" s="390">
        <v>0</v>
      </c>
      <c r="BG11" s="385">
        <v>0</v>
      </c>
      <c r="BH11" s="379">
        <v>-60</v>
      </c>
      <c r="BJ11" s="373">
        <v>-49.829142750874553</v>
      </c>
      <c r="BK11" s="371">
        <v>0</v>
      </c>
      <c r="BL11" s="374">
        <v>1.2982569951207936E-2</v>
      </c>
      <c r="BM11" s="374">
        <v>-2.3429995079701033E-2</v>
      </c>
      <c r="BO11" s="371">
        <v>-85</v>
      </c>
    </row>
    <row r="12" spans="1:67" x14ac:dyDescent="0.25">
      <c r="A12" s="375"/>
      <c r="B12" s="375" t="s">
        <v>964</v>
      </c>
      <c r="C12" s="376" t="s">
        <v>29</v>
      </c>
      <c r="D12" s="377" t="s">
        <v>965</v>
      </c>
      <c r="E12" s="358">
        <v>3</v>
      </c>
      <c r="F12" s="358" t="s">
        <v>1077</v>
      </c>
      <c r="G12" s="359" t="s">
        <v>1077</v>
      </c>
      <c r="H12" s="359">
        <v>3</v>
      </c>
      <c r="I12" s="359" t="s">
        <v>1077</v>
      </c>
      <c r="J12" s="359" t="s">
        <v>1077</v>
      </c>
      <c r="K12" s="154">
        <v>3283.8780479099996</v>
      </c>
      <c r="L12" s="155">
        <v>6433.0110000000004</v>
      </c>
      <c r="N12" s="378">
        <v>-71.477467609998854</v>
      </c>
      <c r="O12" s="379">
        <v>-128.20302300999953</v>
      </c>
      <c r="P12" s="379">
        <v>-56.725555400000687</v>
      </c>
      <c r="Q12" s="380">
        <v>-1.7273953104349673E-2</v>
      </c>
      <c r="S12" s="381">
        <v>-11.034396444730001</v>
      </c>
      <c r="T12" s="382">
        <v>-3.6749999999999998</v>
      </c>
      <c r="U12" s="383">
        <v>-21.945118950000001</v>
      </c>
      <c r="V12" s="383">
        <v>-15.147325839999999</v>
      </c>
      <c r="W12" s="383">
        <v>1.5794270000000008</v>
      </c>
      <c r="X12" s="383">
        <v>-7.3593964447300015</v>
      </c>
      <c r="Y12" s="383">
        <v>-2.7928054200000001</v>
      </c>
      <c r="Z12" s="383">
        <v>-7.3853357452699981</v>
      </c>
      <c r="AB12" s="384">
        <v>-139.292</v>
      </c>
      <c r="AD12" s="384">
        <v>13</v>
      </c>
      <c r="AE12" s="384">
        <v>20</v>
      </c>
      <c r="AF12" s="384">
        <v>20</v>
      </c>
      <c r="AG12" s="384"/>
      <c r="AH12" s="384">
        <v>-178</v>
      </c>
      <c r="AI12" s="389"/>
      <c r="AJ12" t="s">
        <v>966</v>
      </c>
      <c r="AL12" s="367">
        <v>16.618156445509197</v>
      </c>
      <c r="AM12" s="165">
        <v>5.1555662358923789E-2</v>
      </c>
      <c r="AN12" s="367">
        <v>41.244529887139031</v>
      </c>
      <c r="AO12" s="166"/>
      <c r="AP12" s="166">
        <v>1.006785094070229</v>
      </c>
      <c r="AQ12" s="166">
        <v>1.0293154123358572</v>
      </c>
      <c r="AS12" s="368">
        <v>13</v>
      </c>
      <c r="AT12" s="369">
        <v>23.048136239061765</v>
      </c>
      <c r="AU12" s="369">
        <v>20.172647146728487</v>
      </c>
      <c r="AV12" s="369">
        <v>23.048136239061765</v>
      </c>
      <c r="AW12" s="369">
        <v>20</v>
      </c>
      <c r="AX12" s="369">
        <v>-134.95186376093824</v>
      </c>
      <c r="AY12" s="379">
        <v>16.618156445509197</v>
      </c>
      <c r="AZ12" s="379">
        <v>41.244529887139031</v>
      </c>
      <c r="BA12" s="379">
        <v>-77.089177428290014</v>
      </c>
      <c r="BB12" s="379">
        <v>25.889177428290012</v>
      </c>
      <c r="BC12" s="361">
        <v>51.2</v>
      </c>
      <c r="BD12" s="370">
        <v>0</v>
      </c>
      <c r="BE12" s="371">
        <v>-51.2</v>
      </c>
      <c r="BF12" s="371">
        <v>51.2</v>
      </c>
      <c r="BG12" s="385">
        <v>0</v>
      </c>
      <c r="BH12" s="379">
        <v>0</v>
      </c>
      <c r="BJ12" s="373">
        <v>-25.201487280469806</v>
      </c>
      <c r="BK12" s="371">
        <v>0</v>
      </c>
      <c r="BL12" s="386">
        <v>4.0244261090630826E-3</v>
      </c>
      <c r="BM12" s="387">
        <v>0</v>
      </c>
      <c r="BO12" s="371">
        <v>-51.2</v>
      </c>
    </row>
    <row r="13" spans="1:67" x14ac:dyDescent="0.25">
      <c r="A13" s="388"/>
      <c r="B13" s="388" t="s">
        <v>1006</v>
      </c>
      <c r="C13" s="376" t="s">
        <v>56</v>
      </c>
      <c r="D13" s="377" t="s">
        <v>922</v>
      </c>
      <c r="E13" s="358">
        <v>5</v>
      </c>
      <c r="F13" s="358" t="s">
        <v>1077</v>
      </c>
      <c r="G13" s="359" t="s">
        <v>1077</v>
      </c>
      <c r="H13" s="359" t="s">
        <v>1077</v>
      </c>
      <c r="I13" s="359" t="s">
        <v>1077</v>
      </c>
      <c r="J13" s="359">
        <v>5</v>
      </c>
      <c r="K13" s="154">
        <v>1276.84258204</v>
      </c>
      <c r="L13" s="155">
        <v>2522.4809997800003</v>
      </c>
      <c r="N13" s="378">
        <v>-13.706999789999983</v>
      </c>
      <c r="O13" s="379">
        <v>-66.42885948000017</v>
      </c>
      <c r="P13" s="379">
        <v>-52.721859690000194</v>
      </c>
      <c r="Q13" s="380">
        <v>-4.1290806268198657E-2</v>
      </c>
      <c r="S13" s="381">
        <v>-14.1680444059</v>
      </c>
      <c r="T13" s="382">
        <v>-9.4329999999999998</v>
      </c>
      <c r="U13" s="383">
        <v>-15.080725640000001</v>
      </c>
      <c r="V13" s="383">
        <v>-17.292988789999999</v>
      </c>
      <c r="W13" s="383">
        <v>-0.86363526000000235</v>
      </c>
      <c r="X13" s="383">
        <v>-4.7350444059000001</v>
      </c>
      <c r="Y13" s="383">
        <v>-6.5200029199999996</v>
      </c>
      <c r="Z13" s="383">
        <v>1.2035373258999993</v>
      </c>
      <c r="AB13" s="384">
        <v>-141.1</v>
      </c>
      <c r="AD13" s="384">
        <v>10</v>
      </c>
      <c r="AE13" s="384">
        <v>3</v>
      </c>
      <c r="AF13" s="384">
        <v>3</v>
      </c>
      <c r="AG13" s="384"/>
      <c r="AH13" s="384">
        <v>-144</v>
      </c>
      <c r="AL13" s="367">
        <v>7.5875821174734233</v>
      </c>
      <c r="AM13" s="165">
        <v>1.1212715062222397E-2</v>
      </c>
      <c r="AN13" s="367">
        <v>8.9701720497779185</v>
      </c>
      <c r="AP13" s="166">
        <v>1</v>
      </c>
      <c r="AQ13" s="166">
        <v>1.0228343128362418</v>
      </c>
      <c r="AS13" s="368">
        <v>10</v>
      </c>
      <c r="AT13" s="369">
        <v>8.0323532884723505</v>
      </c>
      <c r="AU13" s="369">
        <v>6.6809488237589134</v>
      </c>
      <c r="AV13" s="369">
        <v>8.0323532884723505</v>
      </c>
      <c r="AW13" s="369">
        <v>3</v>
      </c>
      <c r="AX13" s="369">
        <v>-132.96764671152766</v>
      </c>
      <c r="AY13" s="379">
        <v>7.5875821174734233</v>
      </c>
      <c r="AZ13" s="379">
        <v>8.9701720497779185</v>
      </c>
      <c r="BA13" s="379">
        <v>-116.40989254427633</v>
      </c>
      <c r="BB13" s="379">
        <v>36.4</v>
      </c>
      <c r="BC13" s="361"/>
      <c r="BD13" s="370">
        <v>-80.00989254427634</v>
      </c>
      <c r="BE13" s="371">
        <v>0</v>
      </c>
      <c r="BF13" s="371">
        <v>0</v>
      </c>
      <c r="BG13" s="385">
        <v>0</v>
      </c>
      <c r="BH13" s="379">
        <v>-80.00989254427634</v>
      </c>
      <c r="BJ13" s="373">
        <v>-45.705683045764019</v>
      </c>
      <c r="BK13" s="371">
        <v>0</v>
      </c>
      <c r="BL13" s="374">
        <v>1.4430237533275631E-2</v>
      </c>
      <c r="BM13" s="374">
        <v>-3.1718729517191388E-2</v>
      </c>
      <c r="BO13" s="371">
        <v>-90</v>
      </c>
    </row>
    <row r="14" spans="1:67" x14ac:dyDescent="0.25">
      <c r="A14" s="375"/>
      <c r="B14" s="375" t="s">
        <v>919</v>
      </c>
      <c r="C14" s="376" t="s">
        <v>78</v>
      </c>
      <c r="D14" s="377" t="s">
        <v>916</v>
      </c>
      <c r="E14" s="358">
        <v>1</v>
      </c>
      <c r="F14" s="358">
        <v>1</v>
      </c>
      <c r="G14" s="359" t="s">
        <v>1077</v>
      </c>
      <c r="H14" s="359" t="s">
        <v>1077</v>
      </c>
      <c r="I14" s="359" t="s">
        <v>1077</v>
      </c>
      <c r="J14" s="359" t="s">
        <v>1077</v>
      </c>
      <c r="K14" s="154">
        <v>2496.5983386099997</v>
      </c>
      <c r="L14" s="155">
        <v>5071.6842804999997</v>
      </c>
      <c r="N14" s="378">
        <v>-10.867000010000002</v>
      </c>
      <c r="O14" s="379">
        <v>-60.243909280002384</v>
      </c>
      <c r="P14" s="379">
        <v>-49.376909270002386</v>
      </c>
      <c r="Q14" s="380">
        <v>-1.9777674488677805E-2</v>
      </c>
      <c r="S14" s="381">
        <v>-19.225540379009999</v>
      </c>
      <c r="T14" s="382">
        <v>1.7961792104999998</v>
      </c>
      <c r="U14" s="383">
        <v>-2.1373060399999999</v>
      </c>
      <c r="V14" s="383">
        <v>-14.579935859999999</v>
      </c>
      <c r="W14" s="383">
        <v>12.7535215895</v>
      </c>
      <c r="X14" s="383">
        <v>-21.021719589509999</v>
      </c>
      <c r="Y14" s="383">
        <v>-8.62006111</v>
      </c>
      <c r="Z14" s="383">
        <v>-17.567587470490004</v>
      </c>
      <c r="AB14" s="384">
        <v>-66.444000000000003</v>
      </c>
      <c r="AD14" s="384">
        <v>13.6</v>
      </c>
      <c r="AE14" s="384">
        <v>14.6</v>
      </c>
      <c r="AF14" s="384">
        <v>14.6</v>
      </c>
      <c r="AG14" s="384"/>
      <c r="AH14" s="384">
        <v>-67</v>
      </c>
      <c r="AI14" s="389"/>
      <c r="AJ14" t="s">
        <v>917</v>
      </c>
      <c r="AL14" s="367">
        <v>42.058601568974851</v>
      </c>
      <c r="AM14" s="165">
        <v>4.6402243179158219E-2</v>
      </c>
      <c r="AN14" s="367">
        <v>37.121794543326573</v>
      </c>
      <c r="AO14" s="166"/>
      <c r="AP14" s="166">
        <v>1.0487500000000003</v>
      </c>
      <c r="AQ14" s="166">
        <v>1.1272959772327906</v>
      </c>
      <c r="AS14" s="368">
        <v>13.6</v>
      </c>
      <c r="AT14" s="369">
        <v>4.1999598554253312</v>
      </c>
      <c r="AU14" s="369">
        <v>-2.8796510236330835</v>
      </c>
      <c r="AV14" s="369">
        <v>8.8999799277126659</v>
      </c>
      <c r="AW14" s="369">
        <v>14.6</v>
      </c>
      <c r="AX14" s="369">
        <v>-43.500020072287334</v>
      </c>
      <c r="AY14" s="379">
        <v>42.058601568974851</v>
      </c>
      <c r="AZ14" s="379">
        <v>37.121794543326573</v>
      </c>
      <c r="BA14" s="379">
        <v>0</v>
      </c>
      <c r="BB14" s="379">
        <v>0</v>
      </c>
      <c r="BC14" s="361"/>
      <c r="BD14" s="370">
        <v>0</v>
      </c>
      <c r="BE14" s="371">
        <v>0</v>
      </c>
      <c r="BF14" s="371">
        <v>0</v>
      </c>
      <c r="BG14" s="385">
        <v>0</v>
      </c>
      <c r="BH14" s="379">
        <v>0</v>
      </c>
      <c r="BJ14" s="373">
        <v>-30.326919306146053</v>
      </c>
      <c r="BK14" s="371">
        <v>35.680376040014089</v>
      </c>
      <c r="BL14" s="386">
        <v>0</v>
      </c>
      <c r="BM14" s="387">
        <v>0</v>
      </c>
      <c r="BO14" s="371">
        <v>0</v>
      </c>
    </row>
    <row r="15" spans="1:67" x14ac:dyDescent="0.25">
      <c r="A15" s="375"/>
      <c r="B15" s="375" t="s">
        <v>960</v>
      </c>
      <c r="C15" s="376" t="s">
        <v>36</v>
      </c>
      <c r="D15" s="377" t="s">
        <v>922</v>
      </c>
      <c r="E15" s="358">
        <v>4</v>
      </c>
      <c r="F15" s="358" t="s">
        <v>1077</v>
      </c>
      <c r="G15" s="359" t="s">
        <v>1077</v>
      </c>
      <c r="H15" s="359" t="s">
        <v>1077</v>
      </c>
      <c r="I15" s="359">
        <v>4</v>
      </c>
      <c r="J15" s="359" t="s">
        <v>1077</v>
      </c>
      <c r="K15" s="154">
        <v>1590.7524413900001</v>
      </c>
      <c r="L15" s="155">
        <v>3185.8969999999999</v>
      </c>
      <c r="N15" s="378">
        <v>-2.9846191599999461</v>
      </c>
      <c r="O15" s="379">
        <v>-51.566380741569951</v>
      </c>
      <c r="P15" s="379">
        <v>-48.581761581569999</v>
      </c>
      <c r="Q15" s="380">
        <v>-3.0540114424793364E-2</v>
      </c>
      <c r="S15" s="381">
        <v>0.1510448800000006</v>
      </c>
      <c r="T15" s="382">
        <v>2.6989999999999998</v>
      </c>
      <c r="U15" s="383">
        <v>-4.91065825</v>
      </c>
      <c r="V15" s="383">
        <v>-0.15168614999999999</v>
      </c>
      <c r="W15" s="383">
        <v>0.28218605000000019</v>
      </c>
      <c r="X15" s="383">
        <v>-2.5479551199999992</v>
      </c>
      <c r="Y15" s="383">
        <v>-10.723138209999998</v>
      </c>
      <c r="Z15" s="383">
        <v>-33.227309902000002</v>
      </c>
      <c r="AB15" s="384">
        <v>-50.762999999999998</v>
      </c>
      <c r="AD15" s="384">
        <v>7</v>
      </c>
      <c r="AE15" s="384">
        <v>22</v>
      </c>
      <c r="AF15" s="384">
        <v>22</v>
      </c>
      <c r="AG15" s="384"/>
      <c r="AH15" s="384">
        <v>-73</v>
      </c>
      <c r="AI15" s="389"/>
      <c r="AL15" s="367">
        <v>15.20520505831468</v>
      </c>
      <c r="AM15" s="165">
        <v>3.1530635440289528E-2</v>
      </c>
      <c r="AN15" s="367">
        <v>25.224508352231624</v>
      </c>
      <c r="AO15" s="166"/>
      <c r="AP15" s="166">
        <v>1</v>
      </c>
      <c r="AQ15" s="166">
        <v>1.0445706543516773</v>
      </c>
      <c r="AS15" s="368">
        <v>7</v>
      </c>
      <c r="AT15" s="369">
        <v>3.8096909713007308</v>
      </c>
      <c r="AU15" s="369">
        <v>1.59671510267848</v>
      </c>
      <c r="AV15" s="369">
        <v>3.8096909713007308</v>
      </c>
      <c r="AW15" s="369">
        <v>22</v>
      </c>
      <c r="AX15" s="369">
        <v>-47.190309028699275</v>
      </c>
      <c r="AY15" s="379">
        <v>15.20520505831468</v>
      </c>
      <c r="AZ15" s="379">
        <v>25.224508352231624</v>
      </c>
      <c r="BA15" s="379">
        <v>-6.7605956181529692</v>
      </c>
      <c r="BB15" s="379">
        <v>6.7605956181529692</v>
      </c>
      <c r="BC15" s="361"/>
      <c r="BD15" s="370">
        <v>0</v>
      </c>
      <c r="BE15" s="371">
        <v>0</v>
      </c>
      <c r="BF15" s="371">
        <v>0</v>
      </c>
      <c r="BG15" s="385">
        <v>0</v>
      </c>
      <c r="BH15" s="379">
        <v>0</v>
      </c>
      <c r="BJ15" s="373">
        <v>-24.676916095919633</v>
      </c>
      <c r="BK15" s="371">
        <v>0</v>
      </c>
      <c r="BL15" s="386">
        <v>2.1220383515703645E-3</v>
      </c>
      <c r="BM15" s="387">
        <v>0</v>
      </c>
      <c r="BO15" s="371">
        <v>0</v>
      </c>
    </row>
    <row r="16" spans="1:67" x14ac:dyDescent="0.25">
      <c r="A16" s="388"/>
      <c r="B16" s="388" t="s">
        <v>994</v>
      </c>
      <c r="C16" s="376" t="s">
        <v>23</v>
      </c>
      <c r="D16" s="377" t="s">
        <v>943</v>
      </c>
      <c r="E16" s="358">
        <v>5</v>
      </c>
      <c r="F16" s="358" t="s">
        <v>1077</v>
      </c>
      <c r="G16" s="359" t="s">
        <v>1077</v>
      </c>
      <c r="H16" s="359" t="s">
        <v>1077</v>
      </c>
      <c r="I16" s="359" t="s">
        <v>1077</v>
      </c>
      <c r="J16" s="359">
        <v>5</v>
      </c>
      <c r="K16" s="154">
        <v>1621.0834931999998</v>
      </c>
      <c r="L16" s="155">
        <v>3234.2731210799998</v>
      </c>
      <c r="N16" s="378">
        <v>-27.430130300000428</v>
      </c>
      <c r="O16" s="379">
        <v>-69.557557315001205</v>
      </c>
      <c r="P16" s="379">
        <v>-42.127427015000762</v>
      </c>
      <c r="Q16" s="380">
        <v>-2.5987203738557424E-2</v>
      </c>
      <c r="S16" s="381">
        <v>-35.781977578999999</v>
      </c>
      <c r="T16" s="382">
        <v>-29.257000000000001</v>
      </c>
      <c r="U16" s="383">
        <v>-6.2603759300000004</v>
      </c>
      <c r="V16" s="383">
        <v>-10.26251677</v>
      </c>
      <c r="W16" s="383">
        <v>8.3203186000000038</v>
      </c>
      <c r="X16" s="383">
        <v>-6.524977578999998</v>
      </c>
      <c r="Y16" s="383">
        <v>-6.6843033500000004</v>
      </c>
      <c r="Z16" s="383">
        <v>8.5391445139999984</v>
      </c>
      <c r="AB16" s="384">
        <v>-100.871</v>
      </c>
      <c r="AD16" s="391" t="s">
        <v>352</v>
      </c>
      <c r="AE16" s="384">
        <v>8</v>
      </c>
      <c r="AF16" s="384">
        <v>9</v>
      </c>
      <c r="AG16" s="384">
        <v>-17</v>
      </c>
      <c r="AH16" s="384">
        <v>-91</v>
      </c>
      <c r="AI16" s="389"/>
      <c r="AL16" s="367">
        <v>2.7144676205881835</v>
      </c>
      <c r="AM16" s="165">
        <v>2.8551694338914375E-2</v>
      </c>
      <c r="AN16" s="367">
        <v>22.8413554711315</v>
      </c>
      <c r="AO16" s="166"/>
      <c r="AP16" s="166">
        <v>1</v>
      </c>
      <c r="AQ16" s="166">
        <v>1.0067138822107282</v>
      </c>
      <c r="AS16" s="368" t="s">
        <v>352</v>
      </c>
      <c r="AT16" s="369">
        <v>10.902067405293835</v>
      </c>
      <c r="AU16" s="369">
        <v>9.9264060856241922</v>
      </c>
      <c r="AV16" s="369">
        <v>9.9264060856241922</v>
      </c>
      <c r="AW16" s="369">
        <v>9</v>
      </c>
      <c r="AX16" s="369">
        <v>-72.073593914375806</v>
      </c>
      <c r="AY16" s="379">
        <v>2.7144676205881835</v>
      </c>
      <c r="AZ16" s="379">
        <v>22.8413554711315</v>
      </c>
      <c r="BA16" s="379">
        <v>-46.517770822656125</v>
      </c>
      <c r="BB16" s="379">
        <v>6.5</v>
      </c>
      <c r="BC16" s="361"/>
      <c r="BD16" s="370">
        <v>-40.017770822656125</v>
      </c>
      <c r="BE16" s="371">
        <v>0</v>
      </c>
      <c r="BF16" s="371">
        <v>0</v>
      </c>
      <c r="BG16" s="385">
        <v>0</v>
      </c>
      <c r="BH16" s="379">
        <v>-40.017770822656125</v>
      </c>
      <c r="BJ16" s="373">
        <v>-29.164223972188665</v>
      </c>
      <c r="BK16" s="371">
        <v>0</v>
      </c>
      <c r="BL16" s="386">
        <v>2.0097251396720317E-3</v>
      </c>
      <c r="BM16" s="374">
        <v>-1.2373033854757836E-2</v>
      </c>
      <c r="BO16" s="371">
        <v>-40.017770822656125</v>
      </c>
    </row>
    <row r="17" spans="1:67" x14ac:dyDescent="0.25">
      <c r="A17" s="375"/>
      <c r="B17" s="375" t="s">
        <v>962</v>
      </c>
      <c r="C17" s="376" t="s">
        <v>25</v>
      </c>
      <c r="D17" s="377" t="s">
        <v>943</v>
      </c>
      <c r="E17" s="358">
        <v>4</v>
      </c>
      <c r="F17" s="358" t="s">
        <v>1077</v>
      </c>
      <c r="G17" s="359" t="s">
        <v>1077</v>
      </c>
      <c r="H17" s="359" t="s">
        <v>1077</v>
      </c>
      <c r="I17" s="359">
        <v>4</v>
      </c>
      <c r="J17" s="359" t="s">
        <v>1077</v>
      </c>
      <c r="K17" s="154">
        <v>2723.0285244799998</v>
      </c>
      <c r="L17" s="155">
        <v>5446.3614263199997</v>
      </c>
      <c r="N17" s="378">
        <v>-9.6363648599985421</v>
      </c>
      <c r="O17" s="379">
        <v>-50.409899270000011</v>
      </c>
      <c r="P17" s="379">
        <v>-40.773534410001474</v>
      </c>
      <c r="Q17" s="380">
        <v>-1.4973597978665225E-2</v>
      </c>
      <c r="S17" s="381">
        <v>-21.411680553899998</v>
      </c>
      <c r="T17" s="382">
        <v>-10.542999999999999</v>
      </c>
      <c r="U17" s="383">
        <v>-4.9111107499999997</v>
      </c>
      <c r="V17" s="383">
        <v>-3.8108106799999999</v>
      </c>
      <c r="W17" s="383">
        <v>-1.7795808799999997</v>
      </c>
      <c r="X17" s="383">
        <v>-10.868680553899999</v>
      </c>
      <c r="Y17" s="383">
        <v>-3.4355277099999997</v>
      </c>
      <c r="Z17" s="383">
        <v>-5.4248238361000025</v>
      </c>
      <c r="AB17" s="384">
        <v>-102.8608662</v>
      </c>
      <c r="AD17" s="391" t="s">
        <v>352</v>
      </c>
      <c r="AE17" s="384">
        <v>11</v>
      </c>
      <c r="AF17" s="384">
        <v>11</v>
      </c>
      <c r="AG17" s="384">
        <v>-1</v>
      </c>
      <c r="AH17" s="384">
        <v>-77</v>
      </c>
      <c r="AI17" s="389"/>
      <c r="AJ17" t="s">
        <v>944</v>
      </c>
      <c r="AL17" s="367">
        <v>0</v>
      </c>
      <c r="AM17" s="165">
        <v>4.0318710607437622E-2</v>
      </c>
      <c r="AN17" s="367">
        <v>32.254968485950094</v>
      </c>
      <c r="AO17" s="166"/>
      <c r="AP17" s="166">
        <v>1.0312822522330383</v>
      </c>
      <c r="AQ17" s="166">
        <v>1.0265593355317737</v>
      </c>
      <c r="AS17" s="368" t="s">
        <v>352</v>
      </c>
      <c r="AT17" s="369">
        <v>17.330138014677832</v>
      </c>
      <c r="AU17" s="369">
        <v>13.561816525893899</v>
      </c>
      <c r="AV17" s="369">
        <v>13.561816525893899</v>
      </c>
      <c r="AW17" s="369">
        <v>11</v>
      </c>
      <c r="AX17" s="369">
        <v>-52.438183474106097</v>
      </c>
      <c r="AY17" s="379">
        <v>0</v>
      </c>
      <c r="AZ17" s="379">
        <v>32.254968485950094</v>
      </c>
      <c r="BA17" s="379">
        <v>-20.183214988156003</v>
      </c>
      <c r="BB17" s="379">
        <v>20.183214988156003</v>
      </c>
      <c r="BC17" s="361"/>
      <c r="BD17" s="370">
        <v>0</v>
      </c>
      <c r="BE17" s="371">
        <v>0</v>
      </c>
      <c r="BF17" s="371">
        <v>0</v>
      </c>
      <c r="BG17" s="385">
        <v>0</v>
      </c>
      <c r="BH17" s="379">
        <v>0</v>
      </c>
      <c r="BJ17" s="373">
        <v>-22.992626147054523</v>
      </c>
      <c r="BK17" s="371">
        <v>0</v>
      </c>
      <c r="BL17" s="386">
        <v>3.7058163071255093E-3</v>
      </c>
      <c r="BM17" s="387">
        <v>0</v>
      </c>
      <c r="BO17" s="371">
        <v>0</v>
      </c>
    </row>
    <row r="18" spans="1:67" x14ac:dyDescent="0.25">
      <c r="A18" s="388"/>
      <c r="B18" s="388" t="s">
        <v>981</v>
      </c>
      <c r="C18" s="376" t="s">
        <v>46</v>
      </c>
      <c r="D18" s="377" t="s">
        <v>922</v>
      </c>
      <c r="E18" s="358">
        <v>4</v>
      </c>
      <c r="F18" s="358" t="s">
        <v>1077</v>
      </c>
      <c r="G18" s="359" t="s">
        <v>1077</v>
      </c>
      <c r="H18" s="359" t="s">
        <v>1077</v>
      </c>
      <c r="I18" s="359">
        <v>4</v>
      </c>
      <c r="J18" s="359" t="s">
        <v>1077</v>
      </c>
      <c r="K18" s="154">
        <v>1102.29925495</v>
      </c>
      <c r="L18" s="155">
        <v>2202.4189999999999</v>
      </c>
      <c r="N18" s="378">
        <v>-21.663923540000138</v>
      </c>
      <c r="O18" s="379">
        <v>-62.025233410460004</v>
      </c>
      <c r="P18" s="379">
        <v>-40.36130987045987</v>
      </c>
      <c r="Q18" s="380">
        <v>-3.6615564865178696E-2</v>
      </c>
      <c r="S18" s="381">
        <v>-3.9005574500000009</v>
      </c>
      <c r="T18" s="382">
        <v>-0.98855745063</v>
      </c>
      <c r="U18" s="383">
        <v>-8.1644766900000008</v>
      </c>
      <c r="V18" s="383">
        <v>-1.1665719400000001</v>
      </c>
      <c r="W18" s="383">
        <v>-9.1194737693699963</v>
      </c>
      <c r="X18" s="383">
        <v>-2.9119999993700008</v>
      </c>
      <c r="Y18" s="383">
        <v>-3.6709999999999998</v>
      </c>
      <c r="Z18" s="383">
        <v>-14.339230020630001</v>
      </c>
      <c r="AB18" s="384">
        <v>-68.379000000000005</v>
      </c>
      <c r="AD18" s="384">
        <v>4</v>
      </c>
      <c r="AE18" s="384">
        <v>13</v>
      </c>
      <c r="AF18" s="384">
        <v>13</v>
      </c>
      <c r="AG18" s="384"/>
      <c r="AH18" s="384">
        <v>-91</v>
      </c>
      <c r="AL18" s="367">
        <v>20.506984978485317</v>
      </c>
      <c r="AM18" s="165">
        <v>1.7274250887803554E-2</v>
      </c>
      <c r="AN18" s="367">
        <v>13.819400710242844</v>
      </c>
      <c r="AO18" s="166"/>
      <c r="AP18" s="166">
        <v>1.00017152670969</v>
      </c>
      <c r="AQ18" s="166">
        <v>1.0925589024610189</v>
      </c>
      <c r="AS18" s="368">
        <v>4</v>
      </c>
      <c r="AT18" s="369">
        <v>5.953759954573461</v>
      </c>
      <c r="AU18" s="369">
        <v>3.9691435859374837</v>
      </c>
      <c r="AV18" s="369">
        <v>3.9691435859374837</v>
      </c>
      <c r="AW18" s="369">
        <v>13</v>
      </c>
      <c r="AX18" s="369">
        <v>-74.030856414062512</v>
      </c>
      <c r="AY18" s="379">
        <v>20.506984978485317</v>
      </c>
      <c r="AZ18" s="379">
        <v>13.819400710242844</v>
      </c>
      <c r="BA18" s="379">
        <v>-39.704470725334346</v>
      </c>
      <c r="BB18" s="379">
        <v>29.704470725334346</v>
      </c>
      <c r="BC18" s="361"/>
      <c r="BD18" s="370">
        <v>-10</v>
      </c>
      <c r="BE18" s="390">
        <v>-10</v>
      </c>
      <c r="BF18" s="390">
        <v>0</v>
      </c>
      <c r="BG18" s="385">
        <v>-10</v>
      </c>
      <c r="BH18" s="379">
        <v>0</v>
      </c>
      <c r="BJ18" s="373">
        <v>-25.37673807749113</v>
      </c>
      <c r="BK18" s="371">
        <v>0</v>
      </c>
      <c r="BL18" s="374">
        <v>1.3487202355834357E-2</v>
      </c>
      <c r="BM18" s="387">
        <v>0</v>
      </c>
      <c r="BO18" s="371">
        <v>-40</v>
      </c>
    </row>
    <row r="19" spans="1:67" x14ac:dyDescent="0.25">
      <c r="A19" s="375"/>
      <c r="B19" s="375" t="s">
        <v>948</v>
      </c>
      <c r="C19" s="376" t="s">
        <v>92</v>
      </c>
      <c r="D19" s="377" t="s">
        <v>949</v>
      </c>
      <c r="E19" s="358">
        <v>0</v>
      </c>
      <c r="F19" s="358" t="s">
        <v>1077</v>
      </c>
      <c r="G19" s="359" t="s">
        <v>1077</v>
      </c>
      <c r="H19" s="359" t="s">
        <v>1077</v>
      </c>
      <c r="I19" s="359" t="s">
        <v>1077</v>
      </c>
      <c r="J19" s="359" t="s">
        <v>1077</v>
      </c>
      <c r="K19" s="154">
        <v>2044.47672607</v>
      </c>
      <c r="L19" s="155">
        <v>4041.8379995300002</v>
      </c>
      <c r="N19" s="378">
        <v>-35.283031200000011</v>
      </c>
      <c r="O19" s="379">
        <v>-75.104515920000622</v>
      </c>
      <c r="P19" s="379">
        <v>-39.821484720000612</v>
      </c>
      <c r="Q19" s="380">
        <v>-1.9477592585046225E-2</v>
      </c>
      <c r="S19" s="381">
        <v>-18.01013</v>
      </c>
      <c r="T19" s="382">
        <v>0</v>
      </c>
      <c r="U19" s="383">
        <v>-8.4762686600000006</v>
      </c>
      <c r="V19" s="383">
        <v>-8.8145075199999994</v>
      </c>
      <c r="W19" s="383">
        <v>13.965074120000001</v>
      </c>
      <c r="X19" s="383">
        <v>-18.01013</v>
      </c>
      <c r="Y19" s="383">
        <v>-6.5149516400000005</v>
      </c>
      <c r="Z19" s="383">
        <v>-11.970701019999996</v>
      </c>
      <c r="AB19" s="384">
        <v>-112.17430999999999</v>
      </c>
      <c r="AD19" s="384">
        <v>5</v>
      </c>
      <c r="AE19" s="384">
        <v>10</v>
      </c>
      <c r="AF19" s="384">
        <v>10</v>
      </c>
      <c r="AG19" s="384"/>
      <c r="AH19" s="384">
        <v>-125</v>
      </c>
      <c r="AI19" s="389"/>
      <c r="AJ19" t="s">
        <v>950</v>
      </c>
      <c r="AL19" s="367">
        <v>37.574399271890876</v>
      </c>
      <c r="AM19" s="165">
        <v>2.3101352624407198E-2</v>
      </c>
      <c r="AN19" s="367">
        <v>18.481082099525757</v>
      </c>
      <c r="AO19" s="166"/>
      <c r="AP19" s="166">
        <v>1.0487500000000005</v>
      </c>
      <c r="AQ19" s="166">
        <v>1.1275041180578997</v>
      </c>
      <c r="AS19" s="368">
        <v>5</v>
      </c>
      <c r="AT19" s="369">
        <v>10.525440828661495</v>
      </c>
      <c r="AU19" s="369">
        <v>7.3403062284838869</v>
      </c>
      <c r="AV19" s="369">
        <v>10.525440828661495</v>
      </c>
      <c r="AW19" s="369">
        <v>10</v>
      </c>
      <c r="AX19" s="369">
        <v>-104.47455917133851</v>
      </c>
      <c r="AY19" s="379">
        <v>37.574399271890876</v>
      </c>
      <c r="AZ19" s="379">
        <v>18.481082099525757</v>
      </c>
      <c r="BA19" s="379">
        <v>-48.419077799921872</v>
      </c>
      <c r="BB19" s="379">
        <v>0.4</v>
      </c>
      <c r="BC19" s="361"/>
      <c r="BD19" s="370">
        <v>-48.019077799921874</v>
      </c>
      <c r="BE19" s="371">
        <v>-48</v>
      </c>
      <c r="BF19" s="371">
        <v>-1.9077799921873861E-2</v>
      </c>
      <c r="BG19" s="385">
        <v>-48.019077799921874</v>
      </c>
      <c r="BH19" s="379">
        <v>0</v>
      </c>
      <c r="BJ19" s="373">
        <v>-24.558764305669865</v>
      </c>
      <c r="BK19" s="371">
        <v>0</v>
      </c>
      <c r="BL19" s="386">
        <v>9.8964876881882328E-5</v>
      </c>
      <c r="BM19" s="387">
        <v>0</v>
      </c>
      <c r="BO19" s="371">
        <v>-100</v>
      </c>
    </row>
    <row r="20" spans="1:67" x14ac:dyDescent="0.25">
      <c r="A20" s="388"/>
      <c r="B20" s="388" t="s">
        <v>983</v>
      </c>
      <c r="C20" s="376" t="s">
        <v>86</v>
      </c>
      <c r="D20" s="377" t="s">
        <v>949</v>
      </c>
      <c r="E20" s="358">
        <v>4</v>
      </c>
      <c r="F20" s="358" t="s">
        <v>1077</v>
      </c>
      <c r="G20" s="359" t="s">
        <v>1077</v>
      </c>
      <c r="H20" s="359" t="s">
        <v>1077</v>
      </c>
      <c r="I20" s="359">
        <v>4</v>
      </c>
      <c r="J20" s="359" t="s">
        <v>1077</v>
      </c>
      <c r="K20" s="154">
        <v>1702.9668354999999</v>
      </c>
      <c r="L20" s="155">
        <v>3415.8500038000002</v>
      </c>
      <c r="N20" s="378">
        <v>-24.212104940000227</v>
      </c>
      <c r="O20" s="379">
        <v>-59.111402680002001</v>
      </c>
      <c r="P20" s="379">
        <v>-34.899297740001778</v>
      </c>
      <c r="Q20" s="380">
        <v>-2.0493233932976248E-2</v>
      </c>
      <c r="S20" s="381">
        <v>2.1526370088999993</v>
      </c>
      <c r="T20" s="382">
        <v>0.874</v>
      </c>
      <c r="U20" s="383">
        <v>-9.9084470500000013</v>
      </c>
      <c r="V20" s="383">
        <v>-6.5846411099999997</v>
      </c>
      <c r="W20" s="383">
        <v>2.1451157900000002</v>
      </c>
      <c r="X20" s="383">
        <v>1.2786370088999992</v>
      </c>
      <c r="Y20" s="383">
        <v>-6.4150128000000004</v>
      </c>
      <c r="Z20" s="383">
        <v>-16.288949578899999</v>
      </c>
      <c r="AB20" s="384">
        <v>-59.793500000000002</v>
      </c>
      <c r="AD20" s="384">
        <v>10</v>
      </c>
      <c r="AE20" s="384">
        <v>10</v>
      </c>
      <c r="AF20" s="384">
        <v>10</v>
      </c>
      <c r="AG20" s="384">
        <v>0</v>
      </c>
      <c r="AH20" s="384">
        <v>-95</v>
      </c>
      <c r="AI20" s="389"/>
      <c r="AJ20" t="s">
        <v>950</v>
      </c>
      <c r="AL20" s="367">
        <v>0</v>
      </c>
      <c r="AM20" s="165">
        <v>2.9851607486835026E-2</v>
      </c>
      <c r="AN20" s="367">
        <v>23.881285989468022</v>
      </c>
      <c r="AO20" s="166"/>
      <c r="AP20" s="166">
        <v>1.05</v>
      </c>
      <c r="AQ20" s="166">
        <v>1.0192222287567489</v>
      </c>
      <c r="AS20" s="368">
        <v>10</v>
      </c>
      <c r="AT20" s="369">
        <v>8.9924530901442914</v>
      </c>
      <c r="AU20" s="369">
        <v>6.2305033307835753</v>
      </c>
      <c r="AV20" s="369">
        <v>10</v>
      </c>
      <c r="AW20" s="369">
        <v>10</v>
      </c>
      <c r="AX20" s="369">
        <v>-75</v>
      </c>
      <c r="AY20" s="379">
        <v>0</v>
      </c>
      <c r="AZ20" s="379">
        <v>23.881285989468022</v>
      </c>
      <c r="BA20" s="379">
        <v>-51.118714010531974</v>
      </c>
      <c r="BB20" s="379">
        <v>30.718714010531976</v>
      </c>
      <c r="BC20" s="361"/>
      <c r="BD20" s="370">
        <v>-20.399999999999999</v>
      </c>
      <c r="BE20" s="371">
        <v>-20.399999999999999</v>
      </c>
      <c r="BF20" s="371">
        <v>0</v>
      </c>
      <c r="BG20" s="385">
        <v>-20.399999999999999</v>
      </c>
      <c r="BH20" s="379">
        <v>0</v>
      </c>
      <c r="BJ20" s="373">
        <v>-19.899297740001778</v>
      </c>
      <c r="BK20" s="371">
        <v>0</v>
      </c>
      <c r="BL20" s="374">
        <v>8.992992659618719E-3</v>
      </c>
      <c r="BM20" s="387">
        <v>0</v>
      </c>
      <c r="BO20" s="371">
        <v>-20.399999999999999</v>
      </c>
    </row>
    <row r="21" spans="1:67" x14ac:dyDescent="0.25">
      <c r="A21" s="388"/>
      <c r="B21" s="388" t="s">
        <v>1008</v>
      </c>
      <c r="C21" s="376" t="s">
        <v>54</v>
      </c>
      <c r="D21" s="377" t="s">
        <v>922</v>
      </c>
      <c r="E21" s="358">
        <v>5</v>
      </c>
      <c r="F21" s="358" t="s">
        <v>1077</v>
      </c>
      <c r="G21" s="359" t="s">
        <v>1077</v>
      </c>
      <c r="H21" s="359" t="s">
        <v>1077</v>
      </c>
      <c r="I21" s="359" t="s">
        <v>1077</v>
      </c>
      <c r="J21" s="359">
        <v>5</v>
      </c>
      <c r="K21" s="154">
        <v>555.82370127000002</v>
      </c>
      <c r="L21" s="155">
        <v>1120.2190000000001</v>
      </c>
      <c r="N21" s="378">
        <v>-40.52311533000001</v>
      </c>
      <c r="O21" s="379">
        <v>-74.474681729999816</v>
      </c>
      <c r="P21" s="379">
        <v>-33.951566399999805</v>
      </c>
      <c r="Q21" s="380">
        <v>-6.1083336896976446E-2</v>
      </c>
      <c r="S21" s="381">
        <v>-5.5398780000000007</v>
      </c>
      <c r="T21" s="382">
        <v>-0.39200000000000002</v>
      </c>
      <c r="U21" s="383">
        <v>-1.2247786200000002</v>
      </c>
      <c r="V21" s="383">
        <v>-4.3591142200000004</v>
      </c>
      <c r="W21" s="383">
        <v>-0.48915688999999851</v>
      </c>
      <c r="X21" s="383">
        <v>-5.1478780000000004</v>
      </c>
      <c r="Y21" s="383">
        <v>-6.9479166699999997</v>
      </c>
      <c r="Z21" s="383">
        <v>-15.390722000000002</v>
      </c>
      <c r="AB21" s="384">
        <v>-101.482</v>
      </c>
      <c r="AD21" s="384">
        <v>6</v>
      </c>
      <c r="AE21" s="384">
        <v>2</v>
      </c>
      <c r="AF21" s="384">
        <v>2</v>
      </c>
      <c r="AG21" s="384"/>
      <c r="AH21" s="384">
        <v>-156</v>
      </c>
      <c r="AL21" s="367">
        <v>1.8711561400346457</v>
      </c>
      <c r="AM21" s="165">
        <v>5.8796410233107636E-3</v>
      </c>
      <c r="AN21" s="367">
        <v>4.7037128186486106</v>
      </c>
      <c r="AP21" s="166">
        <v>1</v>
      </c>
      <c r="AQ21" s="166">
        <v>1.0136308297596635</v>
      </c>
      <c r="AS21" s="368">
        <v>6</v>
      </c>
      <c r="AT21" s="369">
        <v>3.9930164438325702</v>
      </c>
      <c r="AU21" s="369">
        <v>4.0739649024271083</v>
      </c>
      <c r="AV21" s="369">
        <v>3.9930164438325702</v>
      </c>
      <c r="AW21" s="369">
        <v>2</v>
      </c>
      <c r="AX21" s="369">
        <v>-150.00698355616743</v>
      </c>
      <c r="AY21" s="379">
        <v>1.8711561400346457</v>
      </c>
      <c r="AZ21" s="379">
        <v>4.7037128186486106</v>
      </c>
      <c r="BA21" s="379">
        <v>-143.43211459748417</v>
      </c>
      <c r="BB21" s="379">
        <v>30.4</v>
      </c>
      <c r="BC21" s="361"/>
      <c r="BD21" s="370">
        <v>-113.03211459748417</v>
      </c>
      <c r="BE21" s="371">
        <v>-57.1</v>
      </c>
      <c r="BF21" s="371">
        <v>0</v>
      </c>
      <c r="BG21" s="385">
        <v>-57.1</v>
      </c>
      <c r="BH21" s="379">
        <v>-55.932114597484166</v>
      </c>
      <c r="BJ21" s="373">
        <v>-29.955058178083519</v>
      </c>
      <c r="BK21" s="371">
        <v>0</v>
      </c>
      <c r="BL21" s="374">
        <v>2.7137550782480924E-2</v>
      </c>
      <c r="BM21" s="374">
        <v>-4.9929625008577935E-2</v>
      </c>
      <c r="BO21" s="371">
        <v>-120</v>
      </c>
    </row>
    <row r="22" spans="1:67" x14ac:dyDescent="0.25">
      <c r="A22" s="388"/>
      <c r="B22" s="388" t="s">
        <v>972</v>
      </c>
      <c r="C22" s="376" t="s">
        <v>90</v>
      </c>
      <c r="D22" s="377" t="s">
        <v>949</v>
      </c>
      <c r="E22" s="358">
        <v>4</v>
      </c>
      <c r="F22" s="358" t="s">
        <v>1077</v>
      </c>
      <c r="G22" s="359" t="s">
        <v>1077</v>
      </c>
      <c r="H22" s="359" t="s">
        <v>1077</v>
      </c>
      <c r="I22" s="359">
        <v>4</v>
      </c>
      <c r="J22" s="359" t="s">
        <v>1077</v>
      </c>
      <c r="K22" s="154">
        <v>1973.68148692</v>
      </c>
      <c r="L22" s="155">
        <v>3925.6509999999998</v>
      </c>
      <c r="N22" s="378">
        <v>-103.14384893999944</v>
      </c>
      <c r="O22" s="379">
        <v>-136.99293949199915</v>
      </c>
      <c r="P22" s="379">
        <v>-33.849090551999709</v>
      </c>
      <c r="Q22" s="380">
        <v>-1.7150229546319763E-2</v>
      </c>
      <c r="S22" s="381">
        <v>9.1671037487999989</v>
      </c>
      <c r="T22" s="382">
        <v>10.972</v>
      </c>
      <c r="U22" s="383">
        <v>-16.791079509999999</v>
      </c>
      <c r="V22" s="383">
        <v>-6.5233877900000001</v>
      </c>
      <c r="W22" s="383">
        <v>7.0505991200000002</v>
      </c>
      <c r="X22" s="383">
        <v>-1.8048962512000006</v>
      </c>
      <c r="Y22" s="383">
        <v>-3.15512718</v>
      </c>
      <c r="Z22" s="383">
        <v>-23.597198940799998</v>
      </c>
      <c r="AB22" s="384">
        <v>-135.52199999999999</v>
      </c>
      <c r="AD22" s="384">
        <v>15</v>
      </c>
      <c r="AE22" s="384">
        <v>10</v>
      </c>
      <c r="AF22" s="384">
        <v>10</v>
      </c>
      <c r="AG22" s="384" t="s">
        <v>973</v>
      </c>
      <c r="AH22" s="384">
        <v>-200</v>
      </c>
      <c r="AI22" s="389"/>
      <c r="AJ22" t="s">
        <v>974</v>
      </c>
      <c r="AL22" s="367">
        <v>12.590025677523196</v>
      </c>
      <c r="AM22" s="165">
        <v>3.2948425565288667E-2</v>
      </c>
      <c r="AN22" s="367">
        <v>26.358740452230933</v>
      </c>
      <c r="AO22" s="166"/>
      <c r="AP22" s="166">
        <v>1.0487500000000005</v>
      </c>
      <c r="AQ22" s="166">
        <v>1.0740118682494648</v>
      </c>
      <c r="AS22" s="368">
        <v>15</v>
      </c>
      <c r="AT22" s="369">
        <v>19.897205476920412</v>
      </c>
      <c r="AU22" s="369">
        <v>17.577490896126438</v>
      </c>
      <c r="AV22" s="369">
        <v>19.897205476920412</v>
      </c>
      <c r="AW22" s="369">
        <v>10</v>
      </c>
      <c r="AX22" s="369">
        <v>-170.10279452307958</v>
      </c>
      <c r="AY22" s="379">
        <v>12.590025677523196</v>
      </c>
      <c r="AZ22" s="379">
        <v>26.358740452230933</v>
      </c>
      <c r="BA22" s="379">
        <v>-131.15402839332546</v>
      </c>
      <c r="BB22" s="379">
        <v>25.754028393325456</v>
      </c>
      <c r="BC22" s="361"/>
      <c r="BD22" s="370">
        <v>-105.4</v>
      </c>
      <c r="BE22" s="371">
        <v>-105.4</v>
      </c>
      <c r="BF22" s="371">
        <v>0</v>
      </c>
      <c r="BG22" s="385">
        <v>-105.4</v>
      </c>
      <c r="BH22" s="379">
        <v>0</v>
      </c>
      <c r="BJ22" s="373">
        <v>-13.900487813539502</v>
      </c>
      <c r="BK22" s="371">
        <v>0</v>
      </c>
      <c r="BL22" s="374">
        <v>6.560447781355362E-3</v>
      </c>
      <c r="BM22" s="387">
        <v>0</v>
      </c>
      <c r="BO22" s="371">
        <v>-130</v>
      </c>
    </row>
    <row r="23" spans="1:67" x14ac:dyDescent="0.25">
      <c r="A23" s="388"/>
      <c r="B23" s="388" t="s">
        <v>985</v>
      </c>
      <c r="C23" s="376" t="s">
        <v>94</v>
      </c>
      <c r="D23" s="377" t="s">
        <v>949</v>
      </c>
      <c r="E23" s="358">
        <v>4</v>
      </c>
      <c r="F23" s="358" t="s">
        <v>1077</v>
      </c>
      <c r="G23" s="359" t="s">
        <v>1077</v>
      </c>
      <c r="H23" s="359" t="s">
        <v>1077</v>
      </c>
      <c r="I23" s="359">
        <v>4</v>
      </c>
      <c r="J23" s="359" t="s">
        <v>1077</v>
      </c>
      <c r="K23" s="154">
        <v>1107.222861</v>
      </c>
      <c r="L23" s="155">
        <v>2240.096</v>
      </c>
      <c r="N23" s="378">
        <v>-3.0315000000000367</v>
      </c>
      <c r="O23" s="379">
        <v>-34.380439720001249</v>
      </c>
      <c r="P23" s="379">
        <v>-31.348939720001209</v>
      </c>
      <c r="Q23" s="380">
        <v>-2.8313125409719309E-2</v>
      </c>
      <c r="S23" s="381">
        <v>-16.417015725199999</v>
      </c>
      <c r="T23" s="382">
        <v>-2.7440000000000002</v>
      </c>
      <c r="U23" s="383">
        <v>-8.9184181799999998</v>
      </c>
      <c r="V23" s="383">
        <v>-3.49693707</v>
      </c>
      <c r="W23" s="383">
        <v>-1.0732866299999997</v>
      </c>
      <c r="X23" s="383">
        <v>-13.673015725199999</v>
      </c>
      <c r="Y23" s="383">
        <v>-19.434999999999999</v>
      </c>
      <c r="Z23" s="383">
        <v>17.991717885199996</v>
      </c>
      <c r="AB23" s="384">
        <v>-71</v>
      </c>
      <c r="AD23" s="384">
        <v>8</v>
      </c>
      <c r="AE23" s="384">
        <v>4</v>
      </c>
      <c r="AF23" s="392">
        <v>10</v>
      </c>
      <c r="AG23" s="384"/>
      <c r="AH23" s="384">
        <v>-60</v>
      </c>
      <c r="AI23" s="389"/>
      <c r="AJ23" t="s">
        <v>950</v>
      </c>
      <c r="AL23" s="367">
        <v>0.21864760424065591</v>
      </c>
      <c r="AM23" s="165">
        <v>1.47383442412393E-2</v>
      </c>
      <c r="AN23" s="367">
        <v>11.790675392991441</v>
      </c>
      <c r="AO23" s="166"/>
      <c r="AP23" s="166">
        <v>1.03</v>
      </c>
      <c r="AQ23" s="166">
        <v>1.0306998778349721</v>
      </c>
      <c r="AS23" s="368">
        <v>8</v>
      </c>
      <c r="AT23" s="369">
        <v>3.6066275455984549</v>
      </c>
      <c r="AU23" s="369">
        <v>1.962045206986305</v>
      </c>
      <c r="AV23" s="369">
        <v>8</v>
      </c>
      <c r="AW23" s="369">
        <v>10</v>
      </c>
      <c r="AX23" s="369">
        <v>-42</v>
      </c>
      <c r="AY23" s="379">
        <v>0.21864760424065591</v>
      </c>
      <c r="AZ23" s="379">
        <v>11.790675392991441</v>
      </c>
      <c r="BA23" s="379">
        <v>-29.990677002767903</v>
      </c>
      <c r="BB23" s="379">
        <v>29.990677002767903</v>
      </c>
      <c r="BC23" s="361"/>
      <c r="BD23" s="370">
        <v>0</v>
      </c>
      <c r="BE23" s="371">
        <v>0</v>
      </c>
      <c r="BF23" s="371">
        <v>0</v>
      </c>
      <c r="BG23" s="385">
        <v>0</v>
      </c>
      <c r="BH23" s="379">
        <v>0</v>
      </c>
      <c r="BJ23" s="373">
        <v>-23.348939720001209</v>
      </c>
      <c r="BK23" s="371">
        <v>0</v>
      </c>
      <c r="BL23" s="374">
        <v>1.3388121313893647E-2</v>
      </c>
      <c r="BM23" s="387">
        <v>0</v>
      </c>
      <c r="BO23" s="371">
        <v>0</v>
      </c>
    </row>
    <row r="24" spans="1:67" x14ac:dyDescent="0.25">
      <c r="A24" s="375"/>
      <c r="B24" s="375" t="s">
        <v>915</v>
      </c>
      <c r="C24" s="376" t="s">
        <v>74</v>
      </c>
      <c r="D24" s="377" t="s">
        <v>916</v>
      </c>
      <c r="E24" s="358">
        <v>1</v>
      </c>
      <c r="F24" s="358">
        <v>1</v>
      </c>
      <c r="G24" s="359" t="s">
        <v>1077</v>
      </c>
      <c r="H24" s="359" t="s">
        <v>1077</v>
      </c>
      <c r="I24" s="359" t="s">
        <v>1077</v>
      </c>
      <c r="J24" s="359" t="s">
        <v>1077</v>
      </c>
      <c r="K24" s="154">
        <v>1761.3255164100001</v>
      </c>
      <c r="L24" s="155">
        <v>3500.799</v>
      </c>
      <c r="N24" s="378">
        <v>-56.820883929999596</v>
      </c>
      <c r="O24" s="379">
        <v>-87.558363219998583</v>
      </c>
      <c r="P24" s="379">
        <v>-30.737479289998976</v>
      </c>
      <c r="Q24" s="380">
        <v>-1.7451333670932823E-2</v>
      </c>
      <c r="S24" s="381">
        <v>-19.922000000000008</v>
      </c>
      <c r="T24" s="382">
        <v>-1.161</v>
      </c>
      <c r="U24" s="383">
        <v>-0.90979100000000002</v>
      </c>
      <c r="V24" s="383">
        <v>-2.0158208200000001</v>
      </c>
      <c r="W24" s="383">
        <v>4.0870645400004104</v>
      </c>
      <c r="X24" s="383">
        <v>-18.761000000000006</v>
      </c>
      <c r="Y24" s="383">
        <v>-8.695821819999999</v>
      </c>
      <c r="Z24" s="383">
        <v>-3.2811101899999962</v>
      </c>
      <c r="AB24" s="384">
        <v>-72.654648117000008</v>
      </c>
      <c r="AD24" s="384">
        <v>8.9</v>
      </c>
      <c r="AE24" s="384">
        <v>13.8</v>
      </c>
      <c r="AF24" s="384">
        <v>13.8</v>
      </c>
      <c r="AG24" s="384"/>
      <c r="AH24" s="384">
        <v>-83.4</v>
      </c>
      <c r="AI24" s="389"/>
      <c r="AJ24" t="s">
        <v>917</v>
      </c>
      <c r="AL24" s="367">
        <v>29.347518434211789</v>
      </c>
      <c r="AM24" s="165">
        <v>4.7245222470317184E-2</v>
      </c>
      <c r="AN24" s="367">
        <v>37.796177976253745</v>
      </c>
      <c r="AO24" s="166"/>
      <c r="AP24" s="166">
        <v>1.03</v>
      </c>
      <c r="AQ24" s="166">
        <v>1.1086478007365541</v>
      </c>
      <c r="AS24" s="368">
        <v>8.9</v>
      </c>
      <c r="AT24" s="369">
        <v>4.1652838059974995</v>
      </c>
      <c r="AU24" s="369">
        <v>0.48525865272036028</v>
      </c>
      <c r="AV24" s="369">
        <v>6.5326419029987495</v>
      </c>
      <c r="AW24" s="369">
        <v>13.8</v>
      </c>
      <c r="AX24" s="369">
        <v>-63.067358097001261</v>
      </c>
      <c r="AY24" s="379">
        <v>29.347518434211789</v>
      </c>
      <c r="AZ24" s="379">
        <v>37.796177976253745</v>
      </c>
      <c r="BA24" s="379">
        <v>0</v>
      </c>
      <c r="BB24" s="379">
        <v>0</v>
      </c>
      <c r="BC24" s="361"/>
      <c r="BD24" s="370">
        <v>0</v>
      </c>
      <c r="BE24" s="371">
        <v>0</v>
      </c>
      <c r="BF24" s="371">
        <v>0</v>
      </c>
      <c r="BG24" s="385">
        <v>0</v>
      </c>
      <c r="BH24" s="379">
        <v>0</v>
      </c>
      <c r="BJ24" s="373">
        <v>-13.671158338499602</v>
      </c>
      <c r="BK24" s="371">
        <v>4.0763383134642766</v>
      </c>
      <c r="BL24" s="386">
        <v>0</v>
      </c>
      <c r="BM24" s="387">
        <v>0</v>
      </c>
      <c r="BO24" s="371">
        <v>0</v>
      </c>
    </row>
    <row r="25" spans="1:67" x14ac:dyDescent="0.25">
      <c r="A25" s="375"/>
      <c r="B25" s="375" t="s">
        <v>942</v>
      </c>
      <c r="C25" s="376" t="s">
        <v>19</v>
      </c>
      <c r="D25" s="377" t="s">
        <v>943</v>
      </c>
      <c r="E25" s="358">
        <v>5</v>
      </c>
      <c r="F25" s="358" t="s">
        <v>1077</v>
      </c>
      <c r="G25" s="359" t="s">
        <v>1077</v>
      </c>
      <c r="H25" s="359" t="s">
        <v>1077</v>
      </c>
      <c r="I25" s="359" t="s">
        <v>1077</v>
      </c>
      <c r="J25" s="359">
        <v>5</v>
      </c>
      <c r="K25" s="154">
        <v>1885.2385086199999</v>
      </c>
      <c r="L25" s="155">
        <v>3765.35728789</v>
      </c>
      <c r="N25" s="378">
        <v>-27.078987999999928</v>
      </c>
      <c r="O25" s="379">
        <v>-57.724400290001505</v>
      </c>
      <c r="P25" s="379">
        <v>-30.645412290001577</v>
      </c>
      <c r="Q25" s="380">
        <v>-1.6255456352010391E-2</v>
      </c>
      <c r="S25" s="381">
        <v>-6.689523233400001</v>
      </c>
      <c r="T25" s="382">
        <v>0.23166666667000002</v>
      </c>
      <c r="U25" s="383">
        <v>-1.4653462799999999</v>
      </c>
      <c r="V25" s="383">
        <v>0.42356228000000001</v>
      </c>
      <c r="W25" s="383">
        <v>0.81005246333104575</v>
      </c>
      <c r="X25" s="383">
        <v>-6.9211899000700008</v>
      </c>
      <c r="Y25" s="383">
        <v>-7.5256482599999996</v>
      </c>
      <c r="Z25" s="383">
        <v>-16.198457209929998</v>
      </c>
      <c r="AB25" s="384">
        <v>-63.314</v>
      </c>
      <c r="AD25" s="391" t="s">
        <v>352</v>
      </c>
      <c r="AE25" s="384">
        <v>7</v>
      </c>
      <c r="AF25" s="384">
        <v>7</v>
      </c>
      <c r="AG25" s="384">
        <v>-13</v>
      </c>
      <c r="AH25" s="384">
        <v>-53</v>
      </c>
      <c r="AI25" s="389"/>
      <c r="AJ25" t="s">
        <v>944</v>
      </c>
      <c r="AL25" s="367">
        <v>35.810114803346458</v>
      </c>
      <c r="AM25" s="165">
        <v>2.2266405568736193E-2</v>
      </c>
      <c r="AN25" s="367">
        <v>17.813124454988955</v>
      </c>
      <c r="AO25" s="166"/>
      <c r="AP25" s="166">
        <v>1.048750000000001</v>
      </c>
      <c r="AQ25" s="166">
        <v>1.1263107931684844</v>
      </c>
      <c r="AS25" s="368" t="s">
        <v>352</v>
      </c>
      <c r="AT25" s="369">
        <v>14.466032264322131</v>
      </c>
      <c r="AU25" s="369">
        <v>13.313587202909192</v>
      </c>
      <c r="AV25" s="369">
        <v>13.313587202909192</v>
      </c>
      <c r="AW25" s="369">
        <v>7</v>
      </c>
      <c r="AX25" s="369">
        <v>-32.68641279709081</v>
      </c>
      <c r="AY25" s="379">
        <v>35.810114803346458</v>
      </c>
      <c r="AZ25" s="379">
        <v>17.813124454988955</v>
      </c>
      <c r="BA25" s="379">
        <v>0</v>
      </c>
      <c r="BB25" s="379">
        <v>-40</v>
      </c>
      <c r="BC25" s="361"/>
      <c r="BD25" s="370">
        <v>-40</v>
      </c>
      <c r="BE25" s="390">
        <v>-30</v>
      </c>
      <c r="BF25" s="390"/>
      <c r="BG25" s="385">
        <v>-30</v>
      </c>
      <c r="BH25" s="379">
        <v>-10</v>
      </c>
      <c r="BJ25" s="373">
        <v>-16.988618688546982</v>
      </c>
      <c r="BK25" s="371">
        <v>20.936826461244603</v>
      </c>
      <c r="BL25" s="386">
        <v>-1.0623161878594228E-2</v>
      </c>
      <c r="BM25" s="387">
        <v>-2.6557904696485569E-3</v>
      </c>
      <c r="BO25" s="371">
        <v>-30</v>
      </c>
    </row>
    <row r="26" spans="1:67" x14ac:dyDescent="0.25">
      <c r="A26" s="388"/>
      <c r="B26" s="388" t="s">
        <v>1000</v>
      </c>
      <c r="C26" s="376" t="s">
        <v>50</v>
      </c>
      <c r="D26" s="377" t="s">
        <v>922</v>
      </c>
      <c r="E26" s="358">
        <v>5</v>
      </c>
      <c r="F26" s="358" t="s">
        <v>1077</v>
      </c>
      <c r="G26" s="359" t="s">
        <v>1077</v>
      </c>
      <c r="H26" s="359" t="s">
        <v>1077</v>
      </c>
      <c r="I26" s="359" t="s">
        <v>1077</v>
      </c>
      <c r="J26" s="359">
        <v>5</v>
      </c>
      <c r="K26" s="154">
        <v>819.91244726000002</v>
      </c>
      <c r="L26" s="155">
        <v>1616.3309999999999</v>
      </c>
      <c r="N26" s="378">
        <v>-8.3090000000000011</v>
      </c>
      <c r="O26" s="379">
        <v>-36.517580839999155</v>
      </c>
      <c r="P26" s="379">
        <v>-28.208580839999151</v>
      </c>
      <c r="Q26" s="380">
        <v>-3.4404381753523998E-2</v>
      </c>
      <c r="S26" s="381">
        <v>-3.8302153140000028</v>
      </c>
      <c r="T26" s="382">
        <v>-2.6402343735999998</v>
      </c>
      <c r="U26" s="383">
        <v>-5.6578090199999993</v>
      </c>
      <c r="V26" s="383">
        <v>-2.6819902200000003</v>
      </c>
      <c r="W26" s="383">
        <v>1.2280377736000005</v>
      </c>
      <c r="X26" s="383">
        <v>-1.189980940400003</v>
      </c>
      <c r="Y26" s="383">
        <v>-6.9779999999999998</v>
      </c>
      <c r="Z26" s="383">
        <v>-10.288604059599999</v>
      </c>
      <c r="AB26" s="384">
        <v>-69.774000000000001</v>
      </c>
      <c r="AD26" s="384">
        <v>7</v>
      </c>
      <c r="AE26" s="384">
        <v>10</v>
      </c>
      <c r="AF26" s="384">
        <v>10</v>
      </c>
      <c r="AG26" s="384"/>
      <c r="AH26" s="384">
        <v>-70</v>
      </c>
      <c r="AL26" s="367">
        <v>0</v>
      </c>
      <c r="AM26" s="165">
        <v>1.0503239647333087E-2</v>
      </c>
      <c r="AN26" s="367">
        <v>8.4025917178664695</v>
      </c>
      <c r="AO26" s="166"/>
      <c r="AP26" s="166">
        <v>1.0487500000000005</v>
      </c>
      <c r="AQ26" s="166">
        <v>1.042217655700693</v>
      </c>
      <c r="AS26" s="368">
        <v>7</v>
      </c>
      <c r="AT26" s="369">
        <v>6.2350992558788878</v>
      </c>
      <c r="AU26" s="369">
        <v>4.8689203628411013</v>
      </c>
      <c r="AV26" s="369">
        <v>6.2350992558788878</v>
      </c>
      <c r="AW26" s="369">
        <v>10</v>
      </c>
      <c r="AX26" s="369">
        <v>-53.764900744121114</v>
      </c>
      <c r="AY26" s="379">
        <v>0</v>
      </c>
      <c r="AZ26" s="379">
        <v>8.4025917178664695</v>
      </c>
      <c r="BA26" s="379">
        <v>-45.362309026254643</v>
      </c>
      <c r="BB26" s="379">
        <v>10.4</v>
      </c>
      <c r="BC26" s="361"/>
      <c r="BD26" s="370">
        <v>-34.962309026254644</v>
      </c>
      <c r="BE26" s="371">
        <v>0</v>
      </c>
      <c r="BF26" s="371">
        <v>0</v>
      </c>
      <c r="BG26" s="385">
        <v>0</v>
      </c>
      <c r="BH26" s="379">
        <v>-34.962309026254644</v>
      </c>
      <c r="BJ26" s="373">
        <v>-15.091031212059708</v>
      </c>
      <c r="BK26" s="371">
        <v>0</v>
      </c>
      <c r="BL26" s="374">
        <v>6.4343256424581356E-3</v>
      </c>
      <c r="BM26" s="374">
        <v>-2.1630661681459211E-2</v>
      </c>
      <c r="BO26" s="371">
        <v>-34.962309026254644</v>
      </c>
    </row>
    <row r="27" spans="1:67" x14ac:dyDescent="0.25">
      <c r="A27" s="375"/>
      <c r="B27" s="375" t="s">
        <v>955</v>
      </c>
      <c r="C27" s="376" t="s">
        <v>38</v>
      </c>
      <c r="D27" s="377" t="s">
        <v>922</v>
      </c>
      <c r="E27" s="358">
        <v>3</v>
      </c>
      <c r="F27" s="358" t="s">
        <v>1077</v>
      </c>
      <c r="G27" s="359" t="s">
        <v>1077</v>
      </c>
      <c r="H27" s="359">
        <v>3</v>
      </c>
      <c r="I27" s="359" t="s">
        <v>1077</v>
      </c>
      <c r="J27" s="359" t="s">
        <v>1077</v>
      </c>
      <c r="K27" s="154">
        <v>1402.6343810000001</v>
      </c>
      <c r="L27" s="155">
        <v>2836.9250000000002</v>
      </c>
      <c r="N27" s="378">
        <v>-52.159778652999762</v>
      </c>
      <c r="O27" s="379">
        <v>-79.214277590000989</v>
      </c>
      <c r="P27" s="379">
        <v>-27.054498937001227</v>
      </c>
      <c r="Q27" s="380">
        <v>-1.9288347201152221E-2</v>
      </c>
      <c r="S27" s="381">
        <v>-6.2256545800000005</v>
      </c>
      <c r="T27" s="382">
        <v>0</v>
      </c>
      <c r="U27" s="383">
        <v>-5.8293009800000002</v>
      </c>
      <c r="V27" s="383">
        <v>-0.79559771999999995</v>
      </c>
      <c r="W27" s="383">
        <v>6.2248986999999998</v>
      </c>
      <c r="X27" s="383">
        <v>-6.2256545800000005</v>
      </c>
      <c r="Y27" s="383">
        <v>-2.8453309199999999</v>
      </c>
      <c r="Z27" s="383">
        <v>-17.583513437000001</v>
      </c>
      <c r="AB27" s="384">
        <v>-46.5</v>
      </c>
      <c r="AD27" s="384">
        <v>8</v>
      </c>
      <c r="AE27" s="384">
        <v>10</v>
      </c>
      <c r="AF27" s="384">
        <v>10</v>
      </c>
      <c r="AG27" s="384"/>
      <c r="AH27" s="384">
        <v>-117</v>
      </c>
      <c r="AI27" s="389"/>
      <c r="AL27" s="367">
        <v>18.087852320005535</v>
      </c>
      <c r="AM27" s="165">
        <v>2.3507802475911263E-2</v>
      </c>
      <c r="AN27" s="367">
        <v>18.806241980729009</v>
      </c>
      <c r="AO27" s="166"/>
      <c r="AP27" s="166">
        <v>1.0265211488111268</v>
      </c>
      <c r="AQ27" s="166">
        <v>1.0820688793495776</v>
      </c>
      <c r="AS27" s="368">
        <v>8</v>
      </c>
      <c r="AT27" s="369">
        <v>5.1327960567391573</v>
      </c>
      <c r="AU27" s="369">
        <v>2.9337907693762437</v>
      </c>
      <c r="AV27" s="369">
        <v>5.1327960567391573</v>
      </c>
      <c r="AW27" s="369">
        <v>10</v>
      </c>
      <c r="AX27" s="369">
        <v>-101.86720394326085</v>
      </c>
      <c r="AY27" s="379">
        <v>18.087852320005535</v>
      </c>
      <c r="AZ27" s="379">
        <v>18.806241980729009</v>
      </c>
      <c r="BA27" s="379">
        <v>-64.973109642526296</v>
      </c>
      <c r="BB27" s="379">
        <v>10</v>
      </c>
      <c r="BC27" s="361"/>
      <c r="BD27" s="370">
        <v>-54.973109642526296</v>
      </c>
      <c r="BE27" s="390">
        <v>-68.8</v>
      </c>
      <c r="BF27" s="390">
        <v>13.826890357473701</v>
      </c>
      <c r="BG27" s="385">
        <v>-54.973109642526296</v>
      </c>
      <c r="BH27" s="379">
        <v>0</v>
      </c>
      <c r="BJ27" s="373">
        <v>-14.488100908631649</v>
      </c>
      <c r="BK27" s="371">
        <v>0</v>
      </c>
      <c r="BL27" s="386">
        <v>3.5249433805969489E-3</v>
      </c>
      <c r="BM27" s="387">
        <v>0</v>
      </c>
      <c r="BO27" s="371">
        <v>-65</v>
      </c>
    </row>
    <row r="28" spans="1:67" x14ac:dyDescent="0.25">
      <c r="A28" s="388"/>
      <c r="B28" s="388" t="s">
        <v>987</v>
      </c>
      <c r="C28" s="376" t="s">
        <v>96</v>
      </c>
      <c r="D28" s="377" t="s">
        <v>949</v>
      </c>
      <c r="E28" s="358">
        <v>4</v>
      </c>
      <c r="F28" s="358" t="s">
        <v>1077</v>
      </c>
      <c r="G28" s="359" t="s">
        <v>1077</v>
      </c>
      <c r="H28" s="359" t="s">
        <v>1077</v>
      </c>
      <c r="I28" s="359">
        <v>4</v>
      </c>
      <c r="J28" s="359" t="s">
        <v>1077</v>
      </c>
      <c r="K28" s="154">
        <v>1975.8913104800001</v>
      </c>
      <c r="L28" s="155">
        <v>3904.4540000000002</v>
      </c>
      <c r="N28" s="378">
        <v>-10.692999999999774</v>
      </c>
      <c r="O28" s="379">
        <v>-36.32532584999889</v>
      </c>
      <c r="P28" s="379">
        <v>-25.632325849999116</v>
      </c>
      <c r="Q28" s="380">
        <v>-1.2972538374983944E-2</v>
      </c>
      <c r="S28" s="381">
        <v>-3.2650000000000006</v>
      </c>
      <c r="T28" s="382">
        <v>-3.3220000000000001</v>
      </c>
      <c r="U28" s="383">
        <v>-5.3250000000000002</v>
      </c>
      <c r="V28" s="383">
        <v>-8.8807093800000008</v>
      </c>
      <c r="W28" s="383">
        <v>17.605428349999002</v>
      </c>
      <c r="X28" s="383">
        <v>5.6999999999999496E-2</v>
      </c>
      <c r="Y28" s="383">
        <v>-12.38882008</v>
      </c>
      <c r="Z28" s="383">
        <v>-13.378224739999999</v>
      </c>
      <c r="AB28" s="384">
        <v>-133.39850000000001</v>
      </c>
      <c r="AD28" s="384">
        <v>8</v>
      </c>
      <c r="AE28" s="384">
        <v>9</v>
      </c>
      <c r="AF28" s="384">
        <v>9</v>
      </c>
      <c r="AG28" s="384"/>
      <c r="AH28" s="392">
        <v>-80</v>
      </c>
      <c r="AI28" s="389"/>
      <c r="AJ28" t="s">
        <v>988</v>
      </c>
      <c r="AL28" s="367">
        <v>0</v>
      </c>
      <c r="AM28" s="165">
        <v>2.4925195412421101E-2</v>
      </c>
      <c r="AN28" s="367">
        <v>19.94015632993688</v>
      </c>
      <c r="AO28" s="166"/>
      <c r="AP28" s="166">
        <v>1.0487500000000003</v>
      </c>
      <c r="AQ28" s="166">
        <v>1.0448146566464516</v>
      </c>
      <c r="AS28" s="368">
        <v>8</v>
      </c>
      <c r="AT28" s="369">
        <v>14.533116738142398</v>
      </c>
      <c r="AU28" s="369">
        <v>11.849337913211738</v>
      </c>
      <c r="AV28" s="369">
        <v>8</v>
      </c>
      <c r="AW28" s="369">
        <v>9</v>
      </c>
      <c r="AX28" s="369">
        <v>-63</v>
      </c>
      <c r="AY28" s="379">
        <v>0</v>
      </c>
      <c r="AZ28" s="379">
        <v>19.94015632993688</v>
      </c>
      <c r="BA28" s="379">
        <v>-43.059843670063117</v>
      </c>
      <c r="BB28" s="379">
        <v>43.059843670063117</v>
      </c>
      <c r="BC28" s="361"/>
      <c r="BD28" s="370">
        <v>0</v>
      </c>
      <c r="BE28" s="371">
        <v>0</v>
      </c>
      <c r="BF28" s="371">
        <v>0</v>
      </c>
      <c r="BG28" s="385">
        <v>0</v>
      </c>
      <c r="BH28" s="379">
        <v>0</v>
      </c>
      <c r="BJ28" s="373">
        <v>-12.632325849999116</v>
      </c>
      <c r="BK28" s="371">
        <v>0</v>
      </c>
      <c r="BL28" s="374">
        <v>1.1028390568838335E-2</v>
      </c>
      <c r="BM28" s="387">
        <v>0</v>
      </c>
      <c r="BO28" s="371">
        <v>-40</v>
      </c>
    </row>
    <row r="29" spans="1:67" x14ac:dyDescent="0.25">
      <c r="A29" s="375"/>
      <c r="B29" s="375" t="s">
        <v>952</v>
      </c>
      <c r="C29" s="376" t="s">
        <v>66</v>
      </c>
      <c r="D29" s="377" t="s">
        <v>904</v>
      </c>
      <c r="E29" s="358">
        <v>5</v>
      </c>
      <c r="F29" s="358" t="s">
        <v>1077</v>
      </c>
      <c r="G29" s="359" t="s">
        <v>1077</v>
      </c>
      <c r="H29" s="359" t="s">
        <v>1077</v>
      </c>
      <c r="I29" s="359" t="s">
        <v>1077</v>
      </c>
      <c r="J29" s="359">
        <v>5</v>
      </c>
      <c r="K29" s="154">
        <v>1279.1086094300001</v>
      </c>
      <c r="L29" s="155">
        <v>2567.7800000000002</v>
      </c>
      <c r="N29" s="378">
        <v>-22.088497999999962</v>
      </c>
      <c r="O29" s="379">
        <v>-44.971633169999279</v>
      </c>
      <c r="P29" s="379">
        <v>-22.883135169999314</v>
      </c>
      <c r="Q29" s="380">
        <v>-1.7889907863411662E-2</v>
      </c>
      <c r="S29" s="381">
        <v>-11.280773180000002</v>
      </c>
      <c r="T29" s="382">
        <v>-0.15428985429</v>
      </c>
      <c r="U29" s="383">
        <v>-3.09848531</v>
      </c>
      <c r="V29" s="383">
        <v>-0.17688015999999998</v>
      </c>
      <c r="W29" s="383">
        <v>3.4296553242900001</v>
      </c>
      <c r="X29" s="383">
        <v>-11.126483325710002</v>
      </c>
      <c r="Y29" s="383">
        <v>-2.1645167299999999</v>
      </c>
      <c r="Z29" s="383">
        <v>-9.5921351142900022</v>
      </c>
      <c r="AB29" s="384">
        <v>-60.165999999999997</v>
      </c>
      <c r="AD29" s="391" t="s">
        <v>352</v>
      </c>
      <c r="AE29" s="384">
        <v>3.5</v>
      </c>
      <c r="AF29" s="384">
        <v>4.8000000000000007</v>
      </c>
      <c r="AG29" s="384"/>
      <c r="AH29" s="384">
        <v>-80</v>
      </c>
      <c r="AI29" s="389"/>
      <c r="AJ29" t="s">
        <v>953</v>
      </c>
      <c r="AL29" s="367">
        <v>23.67799136478126</v>
      </c>
      <c r="AM29" s="165">
        <v>1.5696640571499193E-2</v>
      </c>
      <c r="AN29" s="367">
        <v>12.557312457199355</v>
      </c>
      <c r="AO29" s="166"/>
      <c r="AP29" s="166">
        <v>1.0305903627116404</v>
      </c>
      <c r="AQ29" s="166">
        <v>1.1075755018878204</v>
      </c>
      <c r="AS29" s="368" t="s">
        <v>352</v>
      </c>
      <c r="AT29" s="369">
        <v>4.9321916852175871</v>
      </c>
      <c r="AU29" s="369">
        <v>2.5765997806679741</v>
      </c>
      <c r="AV29" s="369">
        <v>3.7543957329427808</v>
      </c>
      <c r="AW29" s="369">
        <v>4.8000000000000007</v>
      </c>
      <c r="AX29" s="369">
        <v>-71.44560426705722</v>
      </c>
      <c r="AY29" s="379">
        <v>23.67799136478126</v>
      </c>
      <c r="AZ29" s="379">
        <v>12.557312457199355</v>
      </c>
      <c r="BA29" s="379">
        <v>-35.210300445076598</v>
      </c>
      <c r="BB29" s="379">
        <v>-5.0999999999999996</v>
      </c>
      <c r="BC29" s="361"/>
      <c r="BD29" s="370">
        <v>-40.310300445076599</v>
      </c>
      <c r="BE29" s="390">
        <v>-40.299999999999997</v>
      </c>
      <c r="BF29" s="390"/>
      <c r="BG29" s="385">
        <v>-40.299999999999997</v>
      </c>
      <c r="BH29" s="379">
        <v>-1.0300445076602216E-2</v>
      </c>
      <c r="BJ29" s="373">
        <v>-17.505937303527922</v>
      </c>
      <c r="BK29" s="371">
        <v>0</v>
      </c>
      <c r="BL29" s="386">
        <v>-1.9861514615738107E-3</v>
      </c>
      <c r="BM29" s="387">
        <v>-4.0114204007361281E-6</v>
      </c>
      <c r="BO29" s="371">
        <v>-40.310300445076599</v>
      </c>
    </row>
    <row r="30" spans="1:67" x14ac:dyDescent="0.25">
      <c r="A30" s="375"/>
      <c r="B30" s="375" t="s">
        <v>909</v>
      </c>
      <c r="C30" s="376" t="s">
        <v>64</v>
      </c>
      <c r="D30" s="377" t="s">
        <v>904</v>
      </c>
      <c r="E30" s="358">
        <v>1</v>
      </c>
      <c r="F30" s="358">
        <v>1</v>
      </c>
      <c r="G30" s="359" t="s">
        <v>1077</v>
      </c>
      <c r="H30" s="359" t="s">
        <v>1077</v>
      </c>
      <c r="I30" s="359" t="s">
        <v>1077</v>
      </c>
      <c r="J30" s="359" t="s">
        <v>1077</v>
      </c>
      <c r="K30" s="154">
        <v>1579.4459203600002</v>
      </c>
      <c r="L30" s="155">
        <v>3173.9180000000001</v>
      </c>
      <c r="N30" s="378">
        <v>-16.990525689999725</v>
      </c>
      <c r="O30" s="379">
        <v>-39.513889060000153</v>
      </c>
      <c r="P30" s="379">
        <v>-22.523363370000425</v>
      </c>
      <c r="Q30" s="380">
        <v>-1.4260294119387586E-2</v>
      </c>
      <c r="S30" s="381">
        <v>-0.6944337365000024</v>
      </c>
      <c r="T30" s="382">
        <v>-1.32</v>
      </c>
      <c r="U30" s="383">
        <v>-4.9659255</v>
      </c>
      <c r="V30" s="383">
        <v>-5.1535666000000004</v>
      </c>
      <c r="W30" s="383">
        <v>9.6216030400000001</v>
      </c>
      <c r="X30" s="383">
        <v>0.62556626349999767</v>
      </c>
      <c r="Y30" s="383">
        <v>0.83099999999999996</v>
      </c>
      <c r="Z30" s="383">
        <v>-22.162040573500001</v>
      </c>
      <c r="AB30" s="384">
        <v>-54.283000000000001</v>
      </c>
      <c r="AD30" s="391" t="s">
        <v>352</v>
      </c>
      <c r="AE30" s="384">
        <v>4.5</v>
      </c>
      <c r="AF30" s="384">
        <v>6.1999999999999993</v>
      </c>
      <c r="AG30" s="384"/>
      <c r="AH30" s="384">
        <v>-38</v>
      </c>
      <c r="AI30" s="389"/>
      <c r="AJ30" t="s">
        <v>910</v>
      </c>
      <c r="AL30" s="367">
        <v>28.383213068417131</v>
      </c>
      <c r="AM30" s="165">
        <v>1.7036228986714093E-2</v>
      </c>
      <c r="AN30" s="367">
        <v>13.628983189371274</v>
      </c>
      <c r="AO30" s="166"/>
      <c r="AP30" s="166">
        <v>1.0160089477563148</v>
      </c>
      <c r="AQ30" s="166">
        <v>1.0877443029386411</v>
      </c>
      <c r="AS30" s="368" t="s">
        <v>352</v>
      </c>
      <c r="AT30" s="369">
        <v>5.3919669538742578</v>
      </c>
      <c r="AU30" s="369">
        <v>1.2316712222723236</v>
      </c>
      <c r="AV30" s="369">
        <v>3.3118190880732907</v>
      </c>
      <c r="AW30" s="369">
        <v>6.1999999999999993</v>
      </c>
      <c r="AX30" s="369">
        <v>-28.488180911926708</v>
      </c>
      <c r="AY30" s="379">
        <v>28.383213068417131</v>
      </c>
      <c r="AZ30" s="379">
        <v>13.628983189371274</v>
      </c>
      <c r="BA30" s="379">
        <v>0</v>
      </c>
      <c r="BB30" s="379">
        <v>0</v>
      </c>
      <c r="BC30" s="361"/>
      <c r="BD30" s="370">
        <v>0</v>
      </c>
      <c r="BE30" s="371">
        <v>0</v>
      </c>
      <c r="BF30" s="371">
        <v>0</v>
      </c>
      <c r="BG30" s="385">
        <v>0</v>
      </c>
      <c r="BH30" s="379">
        <v>0</v>
      </c>
      <c r="BJ30" s="373">
        <v>-16.367453825963779</v>
      </c>
      <c r="BK30" s="371">
        <v>13.524015345861697</v>
      </c>
      <c r="BL30" s="386">
        <v>0</v>
      </c>
      <c r="BM30" s="387">
        <v>0</v>
      </c>
      <c r="BO30" s="371">
        <v>0</v>
      </c>
    </row>
    <row r="31" spans="1:67" x14ac:dyDescent="0.25">
      <c r="A31" s="375"/>
      <c r="B31" s="375" t="s">
        <v>946</v>
      </c>
      <c r="C31" s="376" t="s">
        <v>21</v>
      </c>
      <c r="D31" s="377" t="s">
        <v>943</v>
      </c>
      <c r="E31" s="358">
        <v>0</v>
      </c>
      <c r="F31" s="358" t="s">
        <v>1077</v>
      </c>
      <c r="G31" s="359" t="s">
        <v>1077</v>
      </c>
      <c r="H31" s="359" t="s">
        <v>1077</v>
      </c>
      <c r="I31" s="359" t="s">
        <v>1077</v>
      </c>
      <c r="J31" s="359" t="s">
        <v>1077</v>
      </c>
      <c r="K31" s="154">
        <v>3629.9034364299996</v>
      </c>
      <c r="L31" s="155">
        <v>7340.1962051199998</v>
      </c>
      <c r="N31" s="378">
        <v>-44.20118270000183</v>
      </c>
      <c r="O31" s="379">
        <v>-65.690090152000082</v>
      </c>
      <c r="P31" s="379">
        <v>-21.488907451998251</v>
      </c>
      <c r="Q31" s="380">
        <v>-5.9199666956244257E-3</v>
      </c>
      <c r="S31" s="381">
        <v>26.144176858000002</v>
      </c>
      <c r="T31" s="382">
        <v>17.031666858000001</v>
      </c>
      <c r="U31" s="383">
        <v>-18.52168631</v>
      </c>
      <c r="V31" s="383">
        <v>-9.3307579499999989</v>
      </c>
      <c r="W31" s="383">
        <v>1.0061061420000001</v>
      </c>
      <c r="X31" s="383">
        <v>9.1125100000000003</v>
      </c>
      <c r="Y31" s="383">
        <v>-4.2190151880000002</v>
      </c>
      <c r="Z31" s="383">
        <v>-16.567731004000002</v>
      </c>
      <c r="AB31" s="384">
        <v>-90.317999999999998</v>
      </c>
      <c r="AD31" s="391" t="s">
        <v>352</v>
      </c>
      <c r="AE31" s="384">
        <v>8.1</v>
      </c>
      <c r="AF31" s="384">
        <v>8.1</v>
      </c>
      <c r="AG31" s="384">
        <v>-22</v>
      </c>
      <c r="AH31" s="384">
        <v>-107</v>
      </c>
      <c r="AI31" s="389"/>
      <c r="AL31" s="367">
        <v>45.640002588419556</v>
      </c>
      <c r="AM31" s="165">
        <v>5.7968313190030776E-2</v>
      </c>
      <c r="AN31" s="367">
        <v>46.374650552024619</v>
      </c>
      <c r="AO31" s="166"/>
      <c r="AP31" s="166">
        <v>1.0487500000000001</v>
      </c>
      <c r="AQ31" s="166">
        <v>1.1071614389708671</v>
      </c>
      <c r="AS31" s="368" t="s">
        <v>352</v>
      </c>
      <c r="AT31" s="369">
        <v>30.966392559632158</v>
      </c>
      <c r="AU31" s="369">
        <v>27.541792174482978</v>
      </c>
      <c r="AV31" s="369">
        <v>27.541792174482978</v>
      </c>
      <c r="AW31" s="369">
        <v>8.1</v>
      </c>
      <c r="AX31" s="369">
        <v>-71.358207825517027</v>
      </c>
      <c r="AY31" s="379">
        <v>45.640002588419556</v>
      </c>
      <c r="AZ31" s="379">
        <v>46.374650552024619</v>
      </c>
      <c r="BA31" s="379">
        <v>0</v>
      </c>
      <c r="BB31" s="379">
        <v>-35</v>
      </c>
      <c r="BC31" s="361"/>
      <c r="BD31" s="370">
        <v>-35</v>
      </c>
      <c r="BE31" s="390">
        <v>-49.9</v>
      </c>
      <c r="BF31" s="390">
        <v>14.9</v>
      </c>
      <c r="BG31" s="385">
        <v>-35</v>
      </c>
      <c r="BH31" s="379">
        <v>0</v>
      </c>
      <c r="BJ31" s="373">
        <v>0.38198863524323734</v>
      </c>
      <c r="BK31" s="371">
        <v>20.656445314927147</v>
      </c>
      <c r="BL31" s="386">
        <v>-4.7682649103557321E-3</v>
      </c>
      <c r="BM31" s="387">
        <v>0</v>
      </c>
      <c r="BO31" s="371">
        <v>-35</v>
      </c>
    </row>
    <row r="32" spans="1:67" x14ac:dyDescent="0.25">
      <c r="A32" s="375"/>
      <c r="B32" s="375" t="s">
        <v>930</v>
      </c>
      <c r="C32" s="376" t="s">
        <v>106</v>
      </c>
      <c r="D32" s="377" t="s">
        <v>925</v>
      </c>
      <c r="E32" s="358">
        <v>0</v>
      </c>
      <c r="F32" s="358" t="s">
        <v>1077</v>
      </c>
      <c r="G32" s="359" t="s">
        <v>1077</v>
      </c>
      <c r="H32" s="359" t="s">
        <v>1077</v>
      </c>
      <c r="I32" s="359" t="s">
        <v>1077</v>
      </c>
      <c r="J32" s="359" t="s">
        <v>1077</v>
      </c>
      <c r="K32" s="154">
        <v>1409.13650523</v>
      </c>
      <c r="L32" s="155">
        <v>2783.933</v>
      </c>
      <c r="N32" s="378">
        <v>-36.942499999999768</v>
      </c>
      <c r="O32" s="379">
        <v>-57.686656670000275</v>
      </c>
      <c r="P32" s="379">
        <v>-20.7441566700005</v>
      </c>
      <c r="Q32" s="380">
        <v>-1.4721183216110512E-2</v>
      </c>
      <c r="S32" s="381">
        <v>9.4589849099999945</v>
      </c>
      <c r="T32" s="382">
        <v>-1.6339999999999999</v>
      </c>
      <c r="U32" s="383">
        <v>-7.04444728</v>
      </c>
      <c r="V32" s="383">
        <v>-1.03110269</v>
      </c>
      <c r="W32" s="383">
        <v>9.7094932999992238</v>
      </c>
      <c r="X32" s="383">
        <v>11.092984909999995</v>
      </c>
      <c r="Y32" s="383">
        <v>-9.9730000000000008</v>
      </c>
      <c r="Z32" s="383">
        <v>-21.864084909999995</v>
      </c>
      <c r="AB32" s="384">
        <v>-129.03434399</v>
      </c>
      <c r="AD32" s="384">
        <v>0</v>
      </c>
      <c r="AE32" s="384">
        <v>13</v>
      </c>
      <c r="AF32" s="384">
        <v>13</v>
      </c>
      <c r="AG32" s="384"/>
      <c r="AH32" s="392">
        <v>-95</v>
      </c>
      <c r="AI32" s="389"/>
      <c r="AJ32" t="s">
        <v>931</v>
      </c>
      <c r="AL32" s="367">
        <v>24.44723076125598</v>
      </c>
      <c r="AM32" s="165">
        <v>2.3537010974470925E-2</v>
      </c>
      <c r="AN32" s="367">
        <v>18.829608779576741</v>
      </c>
      <c r="AO32" s="166"/>
      <c r="AP32" s="166">
        <v>1</v>
      </c>
      <c r="AQ32" s="166">
        <v>1.0725260386732063</v>
      </c>
      <c r="AS32" s="368">
        <v>0</v>
      </c>
      <c r="AT32" s="369">
        <v>18.319318287851793</v>
      </c>
      <c r="AU32" s="369">
        <v>18.221032970184392</v>
      </c>
      <c r="AV32" s="369">
        <v>10</v>
      </c>
      <c r="AW32" s="369">
        <v>13</v>
      </c>
      <c r="AX32" s="369">
        <v>-72</v>
      </c>
      <c r="AY32" s="379">
        <v>24.44723076125598</v>
      </c>
      <c r="AZ32" s="379">
        <v>18.829608779576741</v>
      </c>
      <c r="BA32" s="379">
        <v>-28.723160459167278</v>
      </c>
      <c r="BB32" s="379">
        <v>-13.576839540832719</v>
      </c>
      <c r="BC32" s="361"/>
      <c r="BD32" s="370">
        <v>-42.3</v>
      </c>
      <c r="BE32" s="371">
        <v>-42.3</v>
      </c>
      <c r="BF32" s="371">
        <v>0</v>
      </c>
      <c r="BG32" s="385">
        <v>-42.3</v>
      </c>
      <c r="BH32" s="379">
        <v>0</v>
      </c>
      <c r="BJ32" s="373">
        <v>-2.7441566700004998</v>
      </c>
      <c r="BK32" s="371">
        <v>0</v>
      </c>
      <c r="BL32" s="386">
        <v>-4.8768557076742571E-3</v>
      </c>
      <c r="BM32" s="387">
        <v>0</v>
      </c>
      <c r="BO32" s="371">
        <v>-70</v>
      </c>
    </row>
    <row r="33" spans="1:67" x14ac:dyDescent="0.25">
      <c r="A33" s="375"/>
      <c r="B33" s="375" t="s">
        <v>940</v>
      </c>
      <c r="C33" s="376" t="s">
        <v>44</v>
      </c>
      <c r="D33" s="377" t="s">
        <v>922</v>
      </c>
      <c r="E33" s="358">
        <v>2</v>
      </c>
      <c r="F33" s="358" t="s">
        <v>1077</v>
      </c>
      <c r="G33" s="359">
        <v>2</v>
      </c>
      <c r="H33" s="359" t="s">
        <v>1077</v>
      </c>
      <c r="I33" s="359" t="s">
        <v>1077</v>
      </c>
      <c r="J33" s="359" t="s">
        <v>1077</v>
      </c>
      <c r="K33" s="154">
        <v>857.8958169</v>
      </c>
      <c r="L33" s="155">
        <v>1707.5440000000001</v>
      </c>
      <c r="N33" s="378">
        <v>-21.803996780000013</v>
      </c>
      <c r="O33" s="379">
        <v>-42.546817019999942</v>
      </c>
      <c r="P33" s="379">
        <v>-20.742820239999929</v>
      </c>
      <c r="Q33" s="380">
        <v>-2.4178717078903535E-2</v>
      </c>
      <c r="S33" s="381">
        <v>-5.6574890840999998</v>
      </c>
      <c r="T33" s="382">
        <v>0</v>
      </c>
      <c r="U33" s="383">
        <v>-10.945938869999999</v>
      </c>
      <c r="V33" s="383">
        <v>-3.9518779300000002</v>
      </c>
      <c r="W33" s="383">
        <v>3.7752775500000002</v>
      </c>
      <c r="X33" s="383">
        <v>-5.6574890840999998</v>
      </c>
      <c r="Y33" s="383">
        <v>-7.1059999999999999</v>
      </c>
      <c r="Z33" s="383">
        <v>3.1432080941000002</v>
      </c>
      <c r="AB33" s="384">
        <v>-17.175000000000001</v>
      </c>
      <c r="AD33" s="384">
        <v>7</v>
      </c>
      <c r="AE33" s="384">
        <v>2</v>
      </c>
      <c r="AF33" s="384">
        <v>2</v>
      </c>
      <c r="AG33" s="384"/>
      <c r="AH33" s="384">
        <v>-39</v>
      </c>
      <c r="AI33" s="389"/>
      <c r="AL33" s="367">
        <v>27.843238708927899</v>
      </c>
      <c r="AM33" s="165">
        <v>8.7276225075843764E-3</v>
      </c>
      <c r="AN33" s="367">
        <v>6.9820980060675009</v>
      </c>
      <c r="AO33" s="166"/>
      <c r="AP33" s="166">
        <v>1.0316337295817457</v>
      </c>
      <c r="AQ33" s="166">
        <v>1.1670349054764486</v>
      </c>
      <c r="AS33" s="368">
        <v>7</v>
      </c>
      <c r="AT33" s="369">
        <v>5.7763227145719691</v>
      </c>
      <c r="AU33" s="369">
        <v>5.867957116247128</v>
      </c>
      <c r="AV33" s="369">
        <v>5.867957116247128</v>
      </c>
      <c r="AW33" s="369">
        <v>2</v>
      </c>
      <c r="AX33" s="369">
        <v>-31.132042883752874</v>
      </c>
      <c r="AY33" s="379">
        <v>27.843238708927899</v>
      </c>
      <c r="AZ33" s="379">
        <v>6.9820980060675009</v>
      </c>
      <c r="BA33" s="379">
        <v>0</v>
      </c>
      <c r="BB33" s="379">
        <v>0</v>
      </c>
      <c r="BC33" s="361"/>
      <c r="BD33" s="370">
        <v>0</v>
      </c>
      <c r="BE33" s="390">
        <v>-19.2</v>
      </c>
      <c r="BF33" s="390">
        <v>19.2</v>
      </c>
      <c r="BG33" s="385">
        <v>0</v>
      </c>
      <c r="BH33" s="379">
        <v>0</v>
      </c>
      <c r="BJ33" s="373">
        <v>-15.808841681876366</v>
      </c>
      <c r="BK33" s="371">
        <v>3.6932938312425261</v>
      </c>
      <c r="BL33" s="386">
        <v>0</v>
      </c>
      <c r="BM33" s="387">
        <v>0</v>
      </c>
      <c r="BO33" s="371">
        <v>-19</v>
      </c>
    </row>
    <row r="34" spans="1:67" x14ac:dyDescent="0.25">
      <c r="A34" s="388"/>
      <c r="B34" s="388" t="s">
        <v>996</v>
      </c>
      <c r="C34" s="376" t="s">
        <v>42</v>
      </c>
      <c r="D34" s="377" t="s">
        <v>922</v>
      </c>
      <c r="E34" s="358">
        <v>5</v>
      </c>
      <c r="F34" s="358" t="s">
        <v>1077</v>
      </c>
      <c r="G34" s="359" t="s">
        <v>1077</v>
      </c>
      <c r="H34" s="359" t="s">
        <v>1077</v>
      </c>
      <c r="I34" s="359" t="s">
        <v>1077</v>
      </c>
      <c r="J34" s="359">
        <v>5</v>
      </c>
      <c r="K34" s="154">
        <v>1205.34256013</v>
      </c>
      <c r="L34" s="155">
        <v>2409.8009999999999</v>
      </c>
      <c r="N34" s="378">
        <v>-15.622221270000001</v>
      </c>
      <c r="O34" s="379">
        <v>-36.179833910000113</v>
      </c>
      <c r="P34" s="379">
        <v>-20.557612640000116</v>
      </c>
      <c r="Q34" s="380">
        <v>-1.7055410901431135E-2</v>
      </c>
      <c r="S34" s="381">
        <v>3.8512880909999971</v>
      </c>
      <c r="T34" s="382">
        <v>5.8049770000000001</v>
      </c>
      <c r="U34" s="383">
        <v>-4.0133093100000004</v>
      </c>
      <c r="V34" s="383">
        <v>0.11544599999999999</v>
      </c>
      <c r="W34" s="383">
        <v>-6.0981914699999997</v>
      </c>
      <c r="X34" s="383">
        <v>-1.9536889090000029</v>
      </c>
      <c r="Y34" s="383">
        <v>-9.0037025900000014</v>
      </c>
      <c r="Z34" s="383">
        <v>-5.4091433609999928</v>
      </c>
      <c r="AB34" s="384">
        <v>-73.584000000000003</v>
      </c>
      <c r="AD34" s="384">
        <v>6</v>
      </c>
      <c r="AE34" s="384">
        <v>10</v>
      </c>
      <c r="AF34" s="384">
        <v>10</v>
      </c>
      <c r="AG34" s="384"/>
      <c r="AH34" s="384">
        <v>-67</v>
      </c>
      <c r="AI34" s="389"/>
      <c r="AL34" s="367">
        <v>0</v>
      </c>
      <c r="AM34" s="165">
        <v>1.5310046557862561E-2</v>
      </c>
      <c r="AN34" s="367">
        <v>12.248037246290048</v>
      </c>
      <c r="AO34" s="166"/>
      <c r="AP34" s="166">
        <v>1</v>
      </c>
      <c r="AQ34" s="166">
        <v>0.94100280545096004</v>
      </c>
      <c r="AS34" s="368">
        <v>6</v>
      </c>
      <c r="AT34" s="369">
        <v>7.9026351996693371</v>
      </c>
      <c r="AU34" s="369">
        <v>6.86026417911952</v>
      </c>
      <c r="AV34" s="369">
        <v>6.86026417911952</v>
      </c>
      <c r="AW34" s="369">
        <v>10</v>
      </c>
      <c r="AX34" s="369">
        <v>-50.139735820880482</v>
      </c>
      <c r="AY34" s="379">
        <v>0</v>
      </c>
      <c r="AZ34" s="379">
        <v>12.248037246290048</v>
      </c>
      <c r="BA34" s="379">
        <v>-37.891698574590436</v>
      </c>
      <c r="BB34" s="379">
        <v>9.9</v>
      </c>
      <c r="BC34" s="361"/>
      <c r="BD34" s="370">
        <v>-27.991698574590437</v>
      </c>
      <c r="BE34" s="371">
        <v>0</v>
      </c>
      <c r="BF34" s="371">
        <v>0</v>
      </c>
      <c r="BG34" s="385">
        <v>0</v>
      </c>
      <c r="BH34" s="379">
        <v>-27.991698574590437</v>
      </c>
      <c r="BJ34" s="373">
        <v>-7.1274805504403558</v>
      </c>
      <c r="BK34" s="371">
        <v>0</v>
      </c>
      <c r="BL34" s="386">
        <v>4.1082230441434791E-3</v>
      </c>
      <c r="BM34" s="374">
        <v>-1.1615771831197032E-2</v>
      </c>
      <c r="BO34" s="371">
        <v>-27.991698574590437</v>
      </c>
    </row>
    <row r="35" spans="1:67" x14ac:dyDescent="0.25">
      <c r="A35" s="388"/>
      <c r="B35" s="388" t="s">
        <v>978</v>
      </c>
      <c r="C35" s="376" t="s">
        <v>100</v>
      </c>
      <c r="D35" s="377" t="s">
        <v>925</v>
      </c>
      <c r="E35" s="358">
        <v>4</v>
      </c>
      <c r="F35" s="358" t="s">
        <v>1077</v>
      </c>
      <c r="G35" s="359" t="s">
        <v>1077</v>
      </c>
      <c r="H35" s="359" t="s">
        <v>1077</v>
      </c>
      <c r="I35" s="359">
        <v>4</v>
      </c>
      <c r="J35" s="359" t="s">
        <v>1077</v>
      </c>
      <c r="K35" s="154">
        <v>956.64490717000012</v>
      </c>
      <c r="L35" s="155">
        <v>1900.3040000000001</v>
      </c>
      <c r="N35" s="378">
        <v>-11.177709169999961</v>
      </c>
      <c r="O35" s="379">
        <v>-31.661652335300435</v>
      </c>
      <c r="P35" s="379">
        <v>-20.483943165300477</v>
      </c>
      <c r="Q35" s="380">
        <v>-2.1412274305517613E-2</v>
      </c>
      <c r="S35" s="381">
        <v>1.157542015299998</v>
      </c>
      <c r="T35" s="382">
        <v>3.408046E-2</v>
      </c>
      <c r="U35" s="383">
        <v>-6.2491569399999998</v>
      </c>
      <c r="V35" s="383">
        <v>-2.7381660299999999</v>
      </c>
      <c r="W35" s="383">
        <v>2.5022425099999999</v>
      </c>
      <c r="X35" s="383">
        <v>1.123461555299998</v>
      </c>
      <c r="Y35" s="383">
        <v>-1.80893156</v>
      </c>
      <c r="Z35" s="383">
        <v>-13.3474731603</v>
      </c>
      <c r="AB35" s="384">
        <v>-41.99</v>
      </c>
      <c r="AD35" s="384">
        <v>6</v>
      </c>
      <c r="AE35" s="384">
        <v>10</v>
      </c>
      <c r="AF35" s="384">
        <v>10</v>
      </c>
      <c r="AG35" s="384"/>
      <c r="AH35" s="384">
        <v>-45</v>
      </c>
      <c r="AI35" s="389"/>
      <c r="AJ35" t="s">
        <v>979</v>
      </c>
      <c r="AL35" s="367">
        <v>1.2223512501464189</v>
      </c>
      <c r="AM35" s="165">
        <v>1.3504499693836942E-2</v>
      </c>
      <c r="AN35" s="367">
        <v>10.803599755069554</v>
      </c>
      <c r="AO35" s="166"/>
      <c r="AP35" s="166">
        <v>1.0487500000000001</v>
      </c>
      <c r="AQ35" s="166">
        <v>1.0535427923853988</v>
      </c>
      <c r="AS35" s="368">
        <v>6</v>
      </c>
      <c r="AT35" s="369">
        <v>7.5033832222639738</v>
      </c>
      <c r="AU35" s="369">
        <v>7.0055616071758173</v>
      </c>
      <c r="AV35" s="369">
        <v>6</v>
      </c>
      <c r="AW35" s="369">
        <v>10</v>
      </c>
      <c r="AX35" s="369">
        <v>-29</v>
      </c>
      <c r="AY35" s="379">
        <v>1.2223512501464189</v>
      </c>
      <c r="AZ35" s="379">
        <v>10.803599755069554</v>
      </c>
      <c r="BA35" s="379">
        <v>-16.974048994784027</v>
      </c>
      <c r="BB35" s="379">
        <v>13.974048994784027</v>
      </c>
      <c r="BC35" s="361">
        <v>3</v>
      </c>
      <c r="BD35" s="370">
        <v>0</v>
      </c>
      <c r="BE35" s="371">
        <v>0</v>
      </c>
      <c r="BF35" s="371">
        <v>0</v>
      </c>
      <c r="BG35" s="385">
        <v>0</v>
      </c>
      <c r="BH35" s="379">
        <v>0</v>
      </c>
      <c r="BJ35" s="373">
        <v>-7.4839431653004773</v>
      </c>
      <c r="BK35" s="371">
        <v>0</v>
      </c>
      <c r="BL35" s="374">
        <v>7.353586055064888E-3</v>
      </c>
      <c r="BM35" s="387">
        <v>0</v>
      </c>
      <c r="BO35" s="371">
        <v>-10</v>
      </c>
    </row>
    <row r="36" spans="1:67" x14ac:dyDescent="0.25">
      <c r="A36" s="375"/>
      <c r="B36" s="375" t="s">
        <v>933</v>
      </c>
      <c r="C36" s="376" t="s">
        <v>108</v>
      </c>
      <c r="D36" s="377" t="s">
        <v>925</v>
      </c>
      <c r="E36" s="358">
        <v>1</v>
      </c>
      <c r="F36" s="358">
        <v>1</v>
      </c>
      <c r="G36" s="359" t="s">
        <v>1077</v>
      </c>
      <c r="H36" s="359" t="s">
        <v>1077</v>
      </c>
      <c r="I36" s="359" t="s">
        <v>1077</v>
      </c>
      <c r="J36" s="359" t="s">
        <v>1077</v>
      </c>
      <c r="K36" s="154">
        <v>909.12853284000005</v>
      </c>
      <c r="L36" s="155">
        <v>1804.6169999700001</v>
      </c>
      <c r="N36" s="378">
        <v>-6.6679999999998856</v>
      </c>
      <c r="O36" s="379">
        <v>-26.650998919999488</v>
      </c>
      <c r="P36" s="379">
        <v>-19.982998919999599</v>
      </c>
      <c r="Q36" s="380">
        <v>-2.1980389128889499E-2</v>
      </c>
      <c r="S36" s="381">
        <v>-4.6524200000000011</v>
      </c>
      <c r="T36" s="382">
        <v>0</v>
      </c>
      <c r="U36" s="383">
        <v>-3.1702983499999999</v>
      </c>
      <c r="V36" s="383">
        <v>-4.0088247099999998</v>
      </c>
      <c r="W36" s="383">
        <v>7.1791245399997443</v>
      </c>
      <c r="X36" s="383">
        <v>-4.6524200000000011</v>
      </c>
      <c r="Y36" s="383">
        <v>-9.6910000000000007</v>
      </c>
      <c r="Z36" s="383">
        <v>-5.6395799999999987</v>
      </c>
      <c r="AB36" s="384">
        <v>-3.2949999999999999</v>
      </c>
      <c r="AD36" s="391" t="s">
        <v>352</v>
      </c>
      <c r="AE36" s="384">
        <v>14</v>
      </c>
      <c r="AF36" s="384">
        <v>14</v>
      </c>
      <c r="AG36" s="384"/>
      <c r="AH36" s="384">
        <v>-28</v>
      </c>
      <c r="AI36" s="389"/>
      <c r="AJ36" t="s">
        <v>934</v>
      </c>
      <c r="AL36" s="367">
        <v>8.8609811866917614</v>
      </c>
      <c r="AM36" s="165">
        <v>1.1595265869817111E-2</v>
      </c>
      <c r="AN36" s="367">
        <v>9.2762126958536886</v>
      </c>
      <c r="AO36" s="166"/>
      <c r="AP36" s="166">
        <v>1.0363638336057968</v>
      </c>
      <c r="AQ36" s="166">
        <v>1.0743599083859245</v>
      </c>
      <c r="AS36" s="368" t="s">
        <v>352</v>
      </c>
      <c r="AT36" s="369">
        <v>8.5568236914224851</v>
      </c>
      <c r="AU36" s="369">
        <v>8.0084596588501409</v>
      </c>
      <c r="AV36" s="369">
        <v>8</v>
      </c>
      <c r="AW36" s="369">
        <v>14</v>
      </c>
      <c r="AX36" s="369">
        <v>-6</v>
      </c>
      <c r="AY36" s="379">
        <v>8.8609811866917614</v>
      </c>
      <c r="AZ36" s="379">
        <v>9.2762126958536886</v>
      </c>
      <c r="BA36" s="379">
        <v>0</v>
      </c>
      <c r="BB36" s="379">
        <v>0</v>
      </c>
      <c r="BC36" s="361"/>
      <c r="BD36" s="370">
        <v>0</v>
      </c>
      <c r="BE36" s="371">
        <v>0</v>
      </c>
      <c r="BF36" s="371">
        <v>0</v>
      </c>
      <c r="BG36" s="385">
        <v>0</v>
      </c>
      <c r="BH36" s="379">
        <v>0</v>
      </c>
      <c r="BJ36" s="373">
        <v>-1.9829989199995985</v>
      </c>
      <c r="BK36" s="371">
        <v>12.13719388254545</v>
      </c>
      <c r="BL36" s="386">
        <v>0</v>
      </c>
      <c r="BM36" s="387">
        <v>0</v>
      </c>
      <c r="BO36" s="371">
        <v>-20</v>
      </c>
    </row>
    <row r="37" spans="1:67" x14ac:dyDescent="0.25">
      <c r="A37" s="375"/>
      <c r="B37" s="375" t="s">
        <v>906</v>
      </c>
      <c r="C37" s="376" t="s">
        <v>62</v>
      </c>
      <c r="D37" s="377" t="s">
        <v>904</v>
      </c>
      <c r="E37" s="358">
        <v>1</v>
      </c>
      <c r="F37" s="358">
        <v>1</v>
      </c>
      <c r="G37" s="359" t="s">
        <v>1077</v>
      </c>
      <c r="H37" s="359" t="s">
        <v>1077</v>
      </c>
      <c r="I37" s="359" t="s">
        <v>1077</v>
      </c>
      <c r="J37" s="359" t="s">
        <v>1077</v>
      </c>
      <c r="K37" s="154">
        <v>945.60827117000008</v>
      </c>
      <c r="L37" s="155">
        <v>1888.502</v>
      </c>
      <c r="N37" s="378">
        <v>-1.4355836899995449</v>
      </c>
      <c r="O37" s="379">
        <v>-20.124418739999722</v>
      </c>
      <c r="P37" s="379">
        <v>-18.688835050000179</v>
      </c>
      <c r="Q37" s="380">
        <v>-1.9763823582968985E-2</v>
      </c>
      <c r="S37" s="381">
        <v>-7.3510812067000053</v>
      </c>
      <c r="T37" s="382">
        <v>-1.4472829999999999</v>
      </c>
      <c r="U37" s="383">
        <v>-7.10218785</v>
      </c>
      <c r="V37" s="383">
        <v>-2.2234911499999996</v>
      </c>
      <c r="W37" s="383">
        <v>6.34038726</v>
      </c>
      <c r="X37" s="383">
        <v>-5.9037982067000057</v>
      </c>
      <c r="Y37" s="383">
        <v>-3.327645</v>
      </c>
      <c r="Z37" s="383">
        <v>-5.0248171032999949</v>
      </c>
      <c r="AB37" s="384">
        <v>-17.100000000000001</v>
      </c>
      <c r="AD37" s="391" t="s">
        <v>352</v>
      </c>
      <c r="AE37" s="384">
        <v>10</v>
      </c>
      <c r="AF37" s="384">
        <v>14.100000000000001</v>
      </c>
      <c r="AG37" s="384"/>
      <c r="AH37" s="384">
        <v>-35</v>
      </c>
      <c r="AI37" s="389"/>
      <c r="AJ37" t="s">
        <v>907</v>
      </c>
      <c r="AL37" s="367">
        <v>22.249898742688956</v>
      </c>
      <c r="AM37" s="165">
        <v>2.3069562032156991E-2</v>
      </c>
      <c r="AN37" s="367">
        <v>18.455649625725592</v>
      </c>
      <c r="AO37" s="166"/>
      <c r="AP37" s="166">
        <v>1.056559933104855</v>
      </c>
      <c r="AQ37" s="166">
        <v>1.1706616641094083</v>
      </c>
      <c r="AS37" s="368" t="s">
        <v>352</v>
      </c>
      <c r="AT37" s="369">
        <v>8.5378383817674841</v>
      </c>
      <c r="AU37" s="369">
        <v>8.5995798167839901</v>
      </c>
      <c r="AV37" s="369">
        <v>8.5378383817674841</v>
      </c>
      <c r="AW37" s="369">
        <v>14.100000000000001</v>
      </c>
      <c r="AX37" s="369">
        <v>-12.362161618232513</v>
      </c>
      <c r="AY37" s="379">
        <v>22.249898742688956</v>
      </c>
      <c r="AZ37" s="379">
        <v>18.455649625725592</v>
      </c>
      <c r="BA37" s="379">
        <v>0</v>
      </c>
      <c r="BB37" s="379">
        <v>0</v>
      </c>
      <c r="BC37" s="361"/>
      <c r="BD37" s="370">
        <v>0</v>
      </c>
      <c r="BE37" s="371">
        <v>0</v>
      </c>
      <c r="BF37" s="371">
        <v>0</v>
      </c>
      <c r="BG37" s="385">
        <v>0</v>
      </c>
      <c r="BH37" s="379">
        <v>0</v>
      </c>
      <c r="BJ37" s="373">
        <v>-4.4199158591164371</v>
      </c>
      <c r="BK37" s="371">
        <v>28.343386750182034</v>
      </c>
      <c r="BL37" s="386">
        <v>0</v>
      </c>
      <c r="BM37" s="387">
        <v>0</v>
      </c>
      <c r="BO37" s="371">
        <v>0</v>
      </c>
    </row>
    <row r="38" spans="1:67" x14ac:dyDescent="0.25">
      <c r="A38" s="375"/>
      <c r="B38" s="375" t="s">
        <v>903</v>
      </c>
      <c r="C38" s="376" t="s">
        <v>60</v>
      </c>
      <c r="D38" s="377" t="s">
        <v>904</v>
      </c>
      <c r="E38" s="358">
        <v>1</v>
      </c>
      <c r="F38" s="358">
        <v>1</v>
      </c>
      <c r="G38" s="359" t="s">
        <v>1077</v>
      </c>
      <c r="H38" s="359" t="s">
        <v>1077</v>
      </c>
      <c r="I38" s="359" t="s">
        <v>1077</v>
      </c>
      <c r="J38" s="359" t="s">
        <v>1077</v>
      </c>
      <c r="K38" s="154">
        <v>1009.51044312</v>
      </c>
      <c r="L38" s="155">
        <v>2018.5170000000001</v>
      </c>
      <c r="N38" s="378">
        <v>0.88551457000022737</v>
      </c>
      <c r="O38" s="379">
        <v>-17.490690050000197</v>
      </c>
      <c r="P38" s="379">
        <v>-18.376204620000422</v>
      </c>
      <c r="Q38" s="380">
        <v>-1.8203085213469212E-2</v>
      </c>
      <c r="S38" s="381">
        <v>-5.5300000000000029</v>
      </c>
      <c r="T38" s="382">
        <v>-0.34722000000000003</v>
      </c>
      <c r="U38" s="383">
        <v>-6.2352261500000008</v>
      </c>
      <c r="V38" s="383">
        <v>-6.4959314499999996</v>
      </c>
      <c r="W38" s="383">
        <v>6.4423776000000004</v>
      </c>
      <c r="X38" s="383">
        <v>-5.1827800000000028</v>
      </c>
      <c r="Y38" s="383">
        <v>-5.3694899999999999</v>
      </c>
      <c r="Z38" s="383">
        <v>-1.1879346199999974</v>
      </c>
      <c r="AB38" s="384">
        <v>-13.166</v>
      </c>
      <c r="AD38" s="384">
        <v>4</v>
      </c>
      <c r="AE38" s="384">
        <v>5</v>
      </c>
      <c r="AF38" s="384">
        <v>7.1</v>
      </c>
      <c r="AG38" s="384"/>
      <c r="AH38" s="384">
        <v>-34</v>
      </c>
      <c r="AI38" s="389"/>
      <c r="AL38" s="367">
        <v>14.801893420706094</v>
      </c>
      <c r="AM38" s="165">
        <v>1.1947525959280149E-2</v>
      </c>
      <c r="AN38" s="367">
        <v>9.5580207674241198</v>
      </c>
      <c r="AO38" s="166"/>
      <c r="AP38" s="166">
        <v>1.02</v>
      </c>
      <c r="AQ38" s="166">
        <v>1.0813955953957377</v>
      </c>
      <c r="AS38" s="368">
        <v>4</v>
      </c>
      <c r="AT38" s="369">
        <v>5.0673353262515182</v>
      </c>
      <c r="AU38" s="369">
        <v>3.6919124233582341</v>
      </c>
      <c r="AV38" s="369">
        <v>4</v>
      </c>
      <c r="AW38" s="369">
        <v>7.1</v>
      </c>
      <c r="AX38" s="369">
        <v>-22.9</v>
      </c>
      <c r="AY38" s="379">
        <v>14.801893420706094</v>
      </c>
      <c r="AZ38" s="379">
        <v>9.5580207674241198</v>
      </c>
      <c r="BA38" s="379">
        <v>0</v>
      </c>
      <c r="BB38" s="379">
        <v>0</v>
      </c>
      <c r="BC38" s="361"/>
      <c r="BD38" s="370">
        <v>0</v>
      </c>
      <c r="BE38" s="371">
        <v>0</v>
      </c>
      <c r="BF38" s="371">
        <v>0</v>
      </c>
      <c r="BG38" s="385">
        <v>0</v>
      </c>
      <c r="BH38" s="379">
        <v>0</v>
      </c>
      <c r="BJ38" s="373">
        <v>-11.376204620000422</v>
      </c>
      <c r="BK38" s="371">
        <v>1.4599141881302149</v>
      </c>
      <c r="BL38" s="386">
        <v>0</v>
      </c>
      <c r="BM38" s="387">
        <v>0</v>
      </c>
      <c r="BO38" s="371">
        <v>0</v>
      </c>
    </row>
    <row r="39" spans="1:67" x14ac:dyDescent="0.25">
      <c r="A39" s="375"/>
      <c r="B39" s="375" t="s">
        <v>924</v>
      </c>
      <c r="C39" s="376" t="s">
        <v>102</v>
      </c>
      <c r="D39" s="377" t="s">
        <v>925</v>
      </c>
      <c r="E39" s="358">
        <v>1</v>
      </c>
      <c r="F39" s="358">
        <v>1</v>
      </c>
      <c r="G39" s="359" t="s">
        <v>1077</v>
      </c>
      <c r="H39" s="359" t="s">
        <v>1077</v>
      </c>
      <c r="I39" s="359" t="s">
        <v>1077</v>
      </c>
      <c r="J39" s="359" t="s">
        <v>1077</v>
      </c>
      <c r="K39" s="154">
        <v>1072.115184</v>
      </c>
      <c r="L39" s="155">
        <v>2096.8175017399999</v>
      </c>
      <c r="N39" s="378">
        <v>-5.4210000000000003</v>
      </c>
      <c r="O39" s="379">
        <v>-23.698569910000352</v>
      </c>
      <c r="P39" s="379">
        <v>-18.277569910000352</v>
      </c>
      <c r="Q39" s="380">
        <v>-1.7048140146479217E-2</v>
      </c>
      <c r="S39" s="381">
        <v>-3.8952183800000011</v>
      </c>
      <c r="T39" s="382">
        <v>-6.9000000000000006E-2</v>
      </c>
      <c r="U39" s="383">
        <v>-1.6444398</v>
      </c>
      <c r="V39" s="383">
        <v>-4.2076110299999998</v>
      </c>
      <c r="W39" s="383">
        <v>3.4654013199999998</v>
      </c>
      <c r="X39" s="383">
        <v>-3.8262183800000011</v>
      </c>
      <c r="Y39" s="383">
        <v>-5.173</v>
      </c>
      <c r="Z39" s="383">
        <v>-6.8227816199999989</v>
      </c>
      <c r="AB39" s="384">
        <v>-13.6</v>
      </c>
      <c r="AD39" s="384">
        <v>0</v>
      </c>
      <c r="AE39" s="384">
        <v>19</v>
      </c>
      <c r="AF39" s="384">
        <v>19</v>
      </c>
      <c r="AG39" s="384"/>
      <c r="AH39" s="384">
        <v>-40</v>
      </c>
      <c r="AI39" s="389"/>
      <c r="AJ39" t="s">
        <v>926</v>
      </c>
      <c r="AL39" s="367">
        <v>11.912334428400516</v>
      </c>
      <c r="AM39" s="165">
        <v>2.329362606011277E-2</v>
      </c>
      <c r="AN39" s="367">
        <v>18.634900848090215</v>
      </c>
      <c r="AO39" s="166"/>
      <c r="AP39" s="166">
        <v>1</v>
      </c>
      <c r="AQ39" s="166">
        <v>1.0518408904893217</v>
      </c>
      <c r="AS39" s="368">
        <v>0</v>
      </c>
      <c r="AT39" s="369">
        <v>11.041548233487834</v>
      </c>
      <c r="AU39" s="369">
        <v>11.190536454972786</v>
      </c>
      <c r="AV39" s="369">
        <v>0</v>
      </c>
      <c r="AW39" s="369">
        <v>19</v>
      </c>
      <c r="AX39" s="369">
        <v>-21</v>
      </c>
      <c r="AY39" s="379">
        <v>11.912334428400516</v>
      </c>
      <c r="AZ39" s="379">
        <v>18.634900848090215</v>
      </c>
      <c r="BA39" s="379">
        <v>0</v>
      </c>
      <c r="BB39" s="379">
        <v>0</v>
      </c>
      <c r="BC39" s="361"/>
      <c r="BD39" s="370">
        <v>0</v>
      </c>
      <c r="BE39" s="371">
        <v>0</v>
      </c>
      <c r="BF39" s="371">
        <v>0</v>
      </c>
      <c r="BG39" s="385">
        <v>0</v>
      </c>
      <c r="BH39" s="379">
        <v>0</v>
      </c>
      <c r="BJ39" s="373">
        <v>0.72243008999964786</v>
      </c>
      <c r="BK39" s="371">
        <v>9.5472352764907313</v>
      </c>
      <c r="BL39" s="386">
        <v>0</v>
      </c>
      <c r="BM39" s="387">
        <v>0</v>
      </c>
      <c r="BO39" s="371">
        <v>0</v>
      </c>
    </row>
    <row r="40" spans="1:67" x14ac:dyDescent="0.25">
      <c r="A40" s="375"/>
      <c r="B40" s="375" t="s">
        <v>990</v>
      </c>
      <c r="C40" s="376" t="s">
        <v>88</v>
      </c>
      <c r="D40" s="377" t="s">
        <v>949</v>
      </c>
      <c r="E40" s="358">
        <v>4</v>
      </c>
      <c r="F40" s="358" t="s">
        <v>1077</v>
      </c>
      <c r="G40" s="359" t="s">
        <v>1077</v>
      </c>
      <c r="H40" s="359" t="s">
        <v>1077</v>
      </c>
      <c r="I40" s="359">
        <v>4</v>
      </c>
      <c r="J40" s="359" t="s">
        <v>1077</v>
      </c>
      <c r="K40" s="154">
        <v>760.75582491</v>
      </c>
      <c r="L40" s="155">
        <v>1494.3443000299999</v>
      </c>
      <c r="N40" s="378">
        <v>0.16216100000004827</v>
      </c>
      <c r="O40" s="379">
        <v>-16.079450430000243</v>
      </c>
      <c r="P40" s="379">
        <v>-16.24161143000029</v>
      </c>
      <c r="Q40" s="380">
        <v>-2.1349309329207866E-2</v>
      </c>
      <c r="S40" s="381">
        <v>-13.378408427000004</v>
      </c>
      <c r="T40" s="382">
        <v>-14.285509244</v>
      </c>
      <c r="U40" s="383">
        <v>-1.7267359799999999</v>
      </c>
      <c r="V40" s="383">
        <v>-2.03123326</v>
      </c>
      <c r="W40" s="383">
        <v>13.509867054000001</v>
      </c>
      <c r="X40" s="383">
        <v>0.90710081699999634</v>
      </c>
      <c r="Y40" s="383">
        <v>3.28</v>
      </c>
      <c r="Z40" s="383">
        <v>-15.895100816999996</v>
      </c>
      <c r="AB40" s="384">
        <v>-60.9</v>
      </c>
      <c r="AD40" s="384">
        <v>5</v>
      </c>
      <c r="AE40" s="384">
        <v>4</v>
      </c>
      <c r="AF40" s="384">
        <v>4</v>
      </c>
      <c r="AG40" s="384">
        <v>10</v>
      </c>
      <c r="AH40" s="384">
        <v>-40</v>
      </c>
      <c r="AI40" s="389"/>
      <c r="AJ40" t="s">
        <v>950</v>
      </c>
      <c r="AL40" s="367">
        <v>14.66211891029784</v>
      </c>
      <c r="AM40" s="165">
        <v>9.2325431070355655E-3</v>
      </c>
      <c r="AN40" s="367">
        <v>7.3860344856284526</v>
      </c>
      <c r="AO40" s="166"/>
      <c r="AP40" s="166">
        <v>1.03</v>
      </c>
      <c r="AQ40" s="166">
        <v>1.1016252394115895</v>
      </c>
      <c r="AS40" s="368">
        <v>5</v>
      </c>
      <c r="AT40" s="369">
        <v>2.4852271850285805</v>
      </c>
      <c r="AU40" s="369">
        <v>1.3607383573781204</v>
      </c>
      <c r="AV40" s="369">
        <v>2.4852271850285805</v>
      </c>
      <c r="AW40" s="369">
        <v>4</v>
      </c>
      <c r="AX40" s="369">
        <v>-33.514772814971423</v>
      </c>
      <c r="AY40" s="379">
        <v>14.66211891029784</v>
      </c>
      <c r="AZ40" s="379">
        <v>7.3860344856284526</v>
      </c>
      <c r="BA40" s="379">
        <v>-11.466619419045127</v>
      </c>
      <c r="BB40" s="379">
        <v>11.466619419045127</v>
      </c>
      <c r="BC40" s="361"/>
      <c r="BD40" s="370">
        <v>0</v>
      </c>
      <c r="BE40" s="371">
        <v>0</v>
      </c>
      <c r="BF40" s="371">
        <v>0</v>
      </c>
      <c r="BG40" s="385">
        <v>0</v>
      </c>
      <c r="BH40" s="379">
        <v>0</v>
      </c>
      <c r="BJ40" s="373">
        <v>-10.998997837486</v>
      </c>
      <c r="BK40" s="371">
        <v>0</v>
      </c>
      <c r="BL40" s="386">
        <v>7.6733450375625805E-3</v>
      </c>
      <c r="BM40" s="387">
        <v>0</v>
      </c>
      <c r="BO40" s="371">
        <v>-10</v>
      </c>
    </row>
    <row r="41" spans="1:67" x14ac:dyDescent="0.25">
      <c r="A41" s="375"/>
      <c r="B41" s="375" t="s">
        <v>921</v>
      </c>
      <c r="C41" s="376" t="s">
        <v>40</v>
      </c>
      <c r="D41" s="377" t="s">
        <v>922</v>
      </c>
      <c r="E41" s="358">
        <v>1</v>
      </c>
      <c r="F41" s="358">
        <v>1</v>
      </c>
      <c r="G41" s="359" t="s">
        <v>1077</v>
      </c>
      <c r="H41" s="359" t="s">
        <v>1077</v>
      </c>
      <c r="I41" s="359" t="s">
        <v>1077</v>
      </c>
      <c r="J41" s="359" t="s">
        <v>1077</v>
      </c>
      <c r="K41" s="154">
        <v>1053.3319716800002</v>
      </c>
      <c r="L41" s="155">
        <v>2085.15</v>
      </c>
      <c r="N41" s="378">
        <v>-7.6960029999997719</v>
      </c>
      <c r="O41" s="379">
        <v>-20.377091420000127</v>
      </c>
      <c r="P41" s="379">
        <v>-12.681088420000354</v>
      </c>
      <c r="Q41" s="380">
        <v>-1.2039023556623646E-2</v>
      </c>
      <c r="S41" s="381">
        <v>-9.9329647749999985</v>
      </c>
      <c r="T41" s="382">
        <v>-1.7525217749999999</v>
      </c>
      <c r="U41" s="383">
        <v>-6.38112542</v>
      </c>
      <c r="V41" s="383">
        <v>1.6666168100000001</v>
      </c>
      <c r="W41" s="383">
        <v>0.51994696499999971</v>
      </c>
      <c r="X41" s="383">
        <v>-8.1804429999999986</v>
      </c>
      <c r="Y41" s="383">
        <v>-6.4119999999999999</v>
      </c>
      <c r="Z41" s="383">
        <v>7.8584379999999987</v>
      </c>
      <c r="AB41" s="384">
        <v>-35.097999999999999</v>
      </c>
      <c r="AD41" s="384">
        <v>5</v>
      </c>
      <c r="AE41" s="384">
        <v>8</v>
      </c>
      <c r="AF41" s="384">
        <v>8</v>
      </c>
      <c r="AG41" s="384"/>
      <c r="AH41" s="384">
        <v>-34</v>
      </c>
      <c r="AI41" s="389"/>
      <c r="AL41" s="367">
        <v>19.779962638034046</v>
      </c>
      <c r="AM41" s="165">
        <v>1.4544113037573508E-2</v>
      </c>
      <c r="AN41" s="367">
        <v>11.635290430058806</v>
      </c>
      <c r="AO41" s="166"/>
      <c r="AP41" s="166">
        <v>1.0367888547127257</v>
      </c>
      <c r="AQ41" s="166">
        <v>1.1133839484529915</v>
      </c>
      <c r="AS41" s="368">
        <v>5</v>
      </c>
      <c r="AT41" s="369">
        <v>1.997071267984172</v>
      </c>
      <c r="AU41" s="369">
        <v>0.80177546132546373</v>
      </c>
      <c r="AV41" s="369">
        <v>1.997071267984172</v>
      </c>
      <c r="AW41" s="369">
        <v>8</v>
      </c>
      <c r="AX41" s="369">
        <v>-24.002928732015825</v>
      </c>
      <c r="AY41" s="379">
        <v>19.779962638034046</v>
      </c>
      <c r="AZ41" s="379">
        <v>11.635290430058806</v>
      </c>
      <c r="BA41" s="379">
        <v>0</v>
      </c>
      <c r="BB41" s="379">
        <v>0</v>
      </c>
      <c r="BC41" s="361"/>
      <c r="BD41" s="370">
        <v>0</v>
      </c>
      <c r="BE41" s="371">
        <v>0</v>
      </c>
      <c r="BF41" s="371">
        <v>0</v>
      </c>
      <c r="BG41" s="385">
        <v>0</v>
      </c>
      <c r="BH41" s="379">
        <v>0</v>
      </c>
      <c r="BJ41" s="373">
        <v>-3.6825527860082676</v>
      </c>
      <c r="BK41" s="371">
        <v>7.4123243360770275</v>
      </c>
      <c r="BL41" s="386">
        <v>0</v>
      </c>
      <c r="BM41" s="387">
        <v>0</v>
      </c>
      <c r="BO41" s="371">
        <v>0</v>
      </c>
    </row>
    <row r="42" spans="1:67" x14ac:dyDescent="0.25">
      <c r="A42" s="375"/>
      <c r="B42" s="375" t="s">
        <v>957</v>
      </c>
      <c r="C42" s="376" t="s">
        <v>68</v>
      </c>
      <c r="D42" s="377" t="s">
        <v>904</v>
      </c>
      <c r="E42" s="358">
        <v>4</v>
      </c>
      <c r="F42" s="358" t="s">
        <v>1077</v>
      </c>
      <c r="G42" s="359" t="s">
        <v>1077</v>
      </c>
      <c r="H42" s="359" t="s">
        <v>1077</v>
      </c>
      <c r="I42" s="359">
        <v>4</v>
      </c>
      <c r="J42" s="359" t="s">
        <v>1077</v>
      </c>
      <c r="K42" s="154">
        <v>1181.13924352</v>
      </c>
      <c r="L42" s="155">
        <v>2370.5320000000002</v>
      </c>
      <c r="N42" s="378">
        <v>-13.97564079999928</v>
      </c>
      <c r="O42" s="379">
        <v>-25.282244727298629</v>
      </c>
      <c r="P42" s="379">
        <v>-11.306603927299349</v>
      </c>
      <c r="Q42" s="380">
        <v>-9.5726257419097398E-3</v>
      </c>
      <c r="S42" s="381">
        <v>1.5034678870999962</v>
      </c>
      <c r="T42" s="382">
        <v>2.298</v>
      </c>
      <c r="U42" s="383">
        <v>3.7462529800000004</v>
      </c>
      <c r="V42" s="383">
        <v>-4.0369439499999995</v>
      </c>
      <c r="W42" s="383">
        <v>-2.0073094999998542</v>
      </c>
      <c r="X42" s="383">
        <v>-0.79453211290000381</v>
      </c>
      <c r="Y42" s="383">
        <v>-8.6939558199999993</v>
      </c>
      <c r="Z42" s="383">
        <v>-1.818115524099996</v>
      </c>
      <c r="AB42" s="384">
        <v>-55.506999999999998</v>
      </c>
      <c r="AD42" s="384">
        <v>6</v>
      </c>
      <c r="AE42" s="384">
        <v>6.3</v>
      </c>
      <c r="AF42" s="384">
        <v>8.8999999999999986</v>
      </c>
      <c r="AG42" s="384"/>
      <c r="AH42" s="384">
        <v>-38</v>
      </c>
      <c r="AI42" s="389"/>
      <c r="AJ42" t="s">
        <v>958</v>
      </c>
      <c r="AL42" s="367">
        <v>2.2103774918192327</v>
      </c>
      <c r="AM42" s="165">
        <v>1.6978982488852247E-2</v>
      </c>
      <c r="AN42" s="367">
        <v>13.583185991081798</v>
      </c>
      <c r="AO42" s="166"/>
      <c r="AP42" s="166">
        <v>1</v>
      </c>
      <c r="AQ42" s="166">
        <v>1.0083234146102329</v>
      </c>
      <c r="AS42" s="368">
        <v>6</v>
      </c>
      <c r="AT42" s="369">
        <v>14.225821489213024</v>
      </c>
      <c r="AU42" s="369">
        <v>14.3540270567019</v>
      </c>
      <c r="AV42" s="369">
        <v>10</v>
      </c>
      <c r="AW42" s="369">
        <v>8.8999999999999986</v>
      </c>
      <c r="AX42" s="369">
        <v>-19.100000000000001</v>
      </c>
      <c r="AY42" s="379">
        <v>2.2103774918192327</v>
      </c>
      <c r="AZ42" s="379">
        <v>13.583185991081798</v>
      </c>
      <c r="BA42" s="379">
        <v>-3.3064365170989696</v>
      </c>
      <c r="BB42" s="379">
        <v>3.3064365170989696</v>
      </c>
      <c r="BC42" s="361"/>
      <c r="BD42" s="370">
        <v>0</v>
      </c>
      <c r="BE42" s="371">
        <v>0</v>
      </c>
      <c r="BF42" s="371">
        <v>0</v>
      </c>
      <c r="BG42" s="385">
        <v>0</v>
      </c>
      <c r="BH42" s="379">
        <v>0</v>
      </c>
      <c r="BJ42" s="373">
        <v>-6.6039272993494436E-3</v>
      </c>
      <c r="BK42" s="371">
        <v>0</v>
      </c>
      <c r="BL42" s="386">
        <v>1.3948077971944566E-3</v>
      </c>
      <c r="BM42" s="387">
        <v>0</v>
      </c>
      <c r="BO42" s="371">
        <v>-10</v>
      </c>
    </row>
    <row r="43" spans="1:67" x14ac:dyDescent="0.25">
      <c r="A43" s="388"/>
      <c r="B43" s="388" t="s">
        <v>970</v>
      </c>
      <c r="C43" s="376" t="s">
        <v>82</v>
      </c>
      <c r="D43" s="377" t="s">
        <v>916</v>
      </c>
      <c r="E43" s="358">
        <v>5</v>
      </c>
      <c r="F43" s="358" t="s">
        <v>1077</v>
      </c>
      <c r="G43" s="359" t="s">
        <v>1077</v>
      </c>
      <c r="H43" s="359" t="s">
        <v>1077</v>
      </c>
      <c r="I43" s="359" t="s">
        <v>1077</v>
      </c>
      <c r="J43" s="359">
        <v>5</v>
      </c>
      <c r="K43" s="154">
        <v>1617.34428</v>
      </c>
      <c r="L43" s="155">
        <v>3282.03</v>
      </c>
      <c r="N43" s="378">
        <v>-71.498695480000066</v>
      </c>
      <c r="O43" s="379">
        <v>-79.470362648301915</v>
      </c>
      <c r="P43" s="379">
        <v>-7.9716671683018596</v>
      </c>
      <c r="Q43" s="380">
        <v>-4.9288622508386771E-3</v>
      </c>
      <c r="S43" s="381">
        <v>-3.9306124983999995</v>
      </c>
      <c r="T43" s="382">
        <v>0</v>
      </c>
      <c r="U43" s="383">
        <v>-4.7493041700000003</v>
      </c>
      <c r="V43" s="383">
        <v>1.8252334399999999</v>
      </c>
      <c r="W43" s="383">
        <v>15.518323560000001</v>
      </c>
      <c r="X43" s="383">
        <v>-3.9306124983999995</v>
      </c>
      <c r="Y43" s="383">
        <v>-2.985397131</v>
      </c>
      <c r="Z43" s="383">
        <v>-13.649910369600004</v>
      </c>
      <c r="AB43" s="384">
        <v>0</v>
      </c>
      <c r="AD43" s="384">
        <v>7.7</v>
      </c>
      <c r="AE43" s="384">
        <v>14.3</v>
      </c>
      <c r="AF43" s="384">
        <v>14.3</v>
      </c>
      <c r="AG43" s="384"/>
      <c r="AH43" s="384">
        <v>-147.39999999999998</v>
      </c>
      <c r="AI43" s="389"/>
      <c r="AJ43" t="s">
        <v>917</v>
      </c>
      <c r="AL43" s="367">
        <v>0</v>
      </c>
      <c r="AM43" s="165">
        <v>3.1855929100621842E-2</v>
      </c>
      <c r="AN43" s="367">
        <v>25.484743280497472</v>
      </c>
      <c r="AO43" s="166"/>
      <c r="AP43" s="166">
        <v>1.0487500000000003</v>
      </c>
      <c r="AQ43" s="166">
        <v>1.0442161509170942</v>
      </c>
      <c r="AS43" s="368">
        <v>7.7</v>
      </c>
      <c r="AT43" s="369">
        <v>5.0699444830422058</v>
      </c>
      <c r="AU43" s="369">
        <v>1.48077176201257</v>
      </c>
      <c r="AV43" s="369">
        <v>6.384972241521103</v>
      </c>
      <c r="AW43" s="369">
        <v>14.3</v>
      </c>
      <c r="AX43" s="369">
        <v>-126.71502775847888</v>
      </c>
      <c r="AY43" s="379">
        <v>0</v>
      </c>
      <c r="AZ43" s="379">
        <v>25.484743280497472</v>
      </c>
      <c r="BA43" s="379">
        <v>-101.23028447798141</v>
      </c>
      <c r="BB43" s="379">
        <v>11.6</v>
      </c>
      <c r="BC43" s="361">
        <v>8</v>
      </c>
      <c r="BD43" s="370">
        <v>-81.630284477981419</v>
      </c>
      <c r="BE43" s="390">
        <v>-81.599999999999994</v>
      </c>
      <c r="BF43" s="390"/>
      <c r="BG43" s="385">
        <v>-81.599999999999994</v>
      </c>
      <c r="BH43" s="379">
        <v>-3.0284477981425084E-2</v>
      </c>
      <c r="BJ43" s="373">
        <v>9.5208189524586935</v>
      </c>
      <c r="BK43" s="371">
        <v>0</v>
      </c>
      <c r="BL43" s="374">
        <v>3.5343979183615017E-3</v>
      </c>
      <c r="BM43" s="387">
        <v>-9.2273617186390993E-6</v>
      </c>
      <c r="BO43" s="371">
        <v>-81.599999999999994</v>
      </c>
    </row>
    <row r="44" spans="1:67" x14ac:dyDescent="0.25">
      <c r="A44" s="375"/>
      <c r="B44" s="375" t="s">
        <v>928</v>
      </c>
      <c r="C44" s="376" t="s">
        <v>104</v>
      </c>
      <c r="D44" s="377" t="s">
        <v>925</v>
      </c>
      <c r="E44" s="358">
        <v>1</v>
      </c>
      <c r="F44" s="358">
        <v>1</v>
      </c>
      <c r="G44" s="359" t="s">
        <v>1077</v>
      </c>
      <c r="H44" s="359" t="s">
        <v>1077</v>
      </c>
      <c r="I44" s="359" t="s">
        <v>1077</v>
      </c>
      <c r="J44" s="359" t="s">
        <v>1077</v>
      </c>
      <c r="K44" s="154">
        <v>677.97376705999989</v>
      </c>
      <c r="L44" s="155">
        <v>1363.684</v>
      </c>
      <c r="N44" s="378">
        <v>-0.57546000000022735</v>
      </c>
      <c r="O44" s="379">
        <v>-8.4262333000003693</v>
      </c>
      <c r="P44" s="379">
        <v>-7.8507733000001432</v>
      </c>
      <c r="Q44" s="380">
        <v>-1.1579759691948905E-2</v>
      </c>
      <c r="S44" s="381">
        <v>-4.4970000000000017</v>
      </c>
      <c r="T44" s="382">
        <v>-0.36699999999999999</v>
      </c>
      <c r="U44" s="383">
        <v>-2.0638681999999999</v>
      </c>
      <c r="V44" s="383">
        <v>0.91830564999999997</v>
      </c>
      <c r="W44" s="383">
        <v>0.12932924999999984</v>
      </c>
      <c r="X44" s="383">
        <v>-4.1300000000000017</v>
      </c>
      <c r="Y44" s="383">
        <v>-5.7065799999999998</v>
      </c>
      <c r="Z44" s="383">
        <v>3.3690400000000018</v>
      </c>
      <c r="AB44" s="384">
        <v>0</v>
      </c>
      <c r="AD44" s="384">
        <v>10</v>
      </c>
      <c r="AE44" s="384">
        <v>6</v>
      </c>
      <c r="AF44" s="384">
        <v>6</v>
      </c>
      <c r="AG44" s="384"/>
      <c r="AH44" s="384">
        <v>-20</v>
      </c>
      <c r="AI44" s="389"/>
      <c r="AL44" s="367">
        <v>7.8656464821979997</v>
      </c>
      <c r="AM44" s="165">
        <v>6.7030363833640947E-3</v>
      </c>
      <c r="AN44" s="367">
        <v>5.3624291066912759</v>
      </c>
      <c r="AO44" s="166"/>
      <c r="AP44" s="166">
        <v>1</v>
      </c>
      <c r="AQ44" s="166">
        <v>1.0423328724535272</v>
      </c>
      <c r="AS44" s="368">
        <v>10</v>
      </c>
      <c r="AT44" s="369">
        <v>7.5335339870547866</v>
      </c>
      <c r="AU44" s="369">
        <v>7.5244187988789069</v>
      </c>
      <c r="AV44" s="369">
        <v>10</v>
      </c>
      <c r="AW44" s="369">
        <v>6</v>
      </c>
      <c r="AX44" s="369">
        <v>-4</v>
      </c>
      <c r="AY44" s="379">
        <v>7.8656464821979997</v>
      </c>
      <c r="AZ44" s="379">
        <v>5.3624291066912759</v>
      </c>
      <c r="BA44" s="379">
        <v>0</v>
      </c>
      <c r="BB44" s="379">
        <v>0</v>
      </c>
      <c r="BC44" s="361"/>
      <c r="BD44" s="370">
        <v>0</v>
      </c>
      <c r="BE44" s="371">
        <v>0</v>
      </c>
      <c r="BF44" s="371">
        <v>0</v>
      </c>
      <c r="BG44" s="385">
        <v>0</v>
      </c>
      <c r="BH44" s="379">
        <v>0</v>
      </c>
      <c r="BJ44" s="373">
        <v>3.1492266999998568</v>
      </c>
      <c r="BK44" s="371">
        <v>9.2280755888892756</v>
      </c>
      <c r="BL44" s="386">
        <v>0</v>
      </c>
      <c r="BM44" s="387">
        <v>0</v>
      </c>
      <c r="BO44" s="371">
        <v>0</v>
      </c>
    </row>
    <row r="45" spans="1:67" x14ac:dyDescent="0.25">
      <c r="A45" s="388"/>
      <c r="B45" s="388" t="s">
        <v>976</v>
      </c>
      <c r="C45" s="376" t="s">
        <v>48</v>
      </c>
      <c r="D45" s="377" t="s">
        <v>922</v>
      </c>
      <c r="E45" s="358">
        <v>4</v>
      </c>
      <c r="F45" s="358" t="s">
        <v>1077</v>
      </c>
      <c r="G45" s="359" t="s">
        <v>1077</v>
      </c>
      <c r="H45" s="359" t="s">
        <v>1077</v>
      </c>
      <c r="I45" s="359">
        <v>4</v>
      </c>
      <c r="J45" s="359" t="s">
        <v>1077</v>
      </c>
      <c r="K45" s="154">
        <v>868.31459701999995</v>
      </c>
      <c r="L45" s="155">
        <v>1733.7724129999999</v>
      </c>
      <c r="N45" s="378">
        <v>-30.489000000000207</v>
      </c>
      <c r="O45" s="379">
        <v>-38.063766880001076</v>
      </c>
      <c r="P45" s="379">
        <v>-7.5747668800008636</v>
      </c>
      <c r="Q45" s="380">
        <v>-8.7235282073996889E-3</v>
      </c>
      <c r="S45" s="381">
        <v>5.8137892410000012</v>
      </c>
      <c r="T45" s="382">
        <v>0.32600000000000001</v>
      </c>
      <c r="U45" s="383">
        <v>-9.0831953099999989</v>
      </c>
      <c r="V45" s="383">
        <v>0.1683231</v>
      </c>
      <c r="W45" s="383">
        <v>0.30050138999999759</v>
      </c>
      <c r="X45" s="383">
        <v>5.4877892410000015</v>
      </c>
      <c r="Y45" s="383">
        <v>3.8262771099999999</v>
      </c>
      <c r="Z45" s="383">
        <v>-8.6004624110000023</v>
      </c>
      <c r="AB45" s="384">
        <v>-39.377000000000002</v>
      </c>
      <c r="AD45" s="384">
        <v>10</v>
      </c>
      <c r="AE45" s="384">
        <v>2</v>
      </c>
      <c r="AF45" s="384">
        <v>2</v>
      </c>
      <c r="AG45" s="384"/>
      <c r="AH45" s="384">
        <v>-50</v>
      </c>
      <c r="AI45" s="389"/>
      <c r="AL45" s="367">
        <v>5.7025665540640951</v>
      </c>
      <c r="AM45" s="165">
        <v>6.7548015686518057E-3</v>
      </c>
      <c r="AN45" s="367">
        <v>5.4038412549214447</v>
      </c>
      <c r="AO45" s="166"/>
      <c r="AP45" s="166">
        <v>1</v>
      </c>
      <c r="AQ45" s="166">
        <v>1.0277269312107111</v>
      </c>
      <c r="AS45" s="368">
        <v>10</v>
      </c>
      <c r="AT45" s="369">
        <v>7.2289679918453631</v>
      </c>
      <c r="AU45" s="369">
        <v>6.7829683712547304</v>
      </c>
      <c r="AV45" s="369">
        <v>7.2289679918453631</v>
      </c>
      <c r="AW45" s="369">
        <v>2</v>
      </c>
      <c r="AX45" s="369">
        <v>-40.771032008154634</v>
      </c>
      <c r="AY45" s="379">
        <v>5.7025665540640951</v>
      </c>
      <c r="AZ45" s="379">
        <v>5.4038412549214447</v>
      </c>
      <c r="BA45" s="379">
        <v>-29.664624199169097</v>
      </c>
      <c r="BB45" s="379">
        <v>14.264624199169097</v>
      </c>
      <c r="BC45" s="361"/>
      <c r="BD45" s="370">
        <v>-15.4</v>
      </c>
      <c r="BE45" s="371">
        <v>-15.4</v>
      </c>
      <c r="BF45" s="371">
        <v>0</v>
      </c>
      <c r="BG45" s="385">
        <v>-15.4</v>
      </c>
      <c r="BH45" s="379">
        <v>0</v>
      </c>
      <c r="BJ45" s="373">
        <v>-1.9602828840781821</v>
      </c>
      <c r="BK45" s="371">
        <v>0</v>
      </c>
      <c r="BL45" s="374">
        <v>8.2275067316860684E-3</v>
      </c>
      <c r="BM45" s="387">
        <v>0</v>
      </c>
      <c r="BO45" s="371">
        <v>-15.4</v>
      </c>
    </row>
    <row r="46" spans="1:67" x14ac:dyDescent="0.25">
      <c r="A46" s="375"/>
      <c r="B46" s="375" t="s">
        <v>936</v>
      </c>
      <c r="C46" s="376" t="s">
        <v>110</v>
      </c>
      <c r="D46" s="377" t="s">
        <v>925</v>
      </c>
      <c r="E46" s="358">
        <v>1</v>
      </c>
      <c r="F46" s="358">
        <v>1</v>
      </c>
      <c r="G46" s="359" t="s">
        <v>1077</v>
      </c>
      <c r="H46" s="359" t="s">
        <v>1077</v>
      </c>
      <c r="I46" s="359" t="s">
        <v>1077</v>
      </c>
      <c r="J46" s="359" t="s">
        <v>1077</v>
      </c>
      <c r="K46" s="154">
        <v>654.04194194000002</v>
      </c>
      <c r="L46" s="155">
        <v>1308.0479996600002</v>
      </c>
      <c r="N46" s="378">
        <v>-8.9580000000000002</v>
      </c>
      <c r="O46" s="379">
        <v>-14.913323910000097</v>
      </c>
      <c r="P46" s="379">
        <v>-5.9553239100000965</v>
      </c>
      <c r="Q46" s="380">
        <v>-9.1054159192537256E-3</v>
      </c>
      <c r="S46" s="381">
        <v>0.11361685349999817</v>
      </c>
      <c r="T46" s="382">
        <v>0</v>
      </c>
      <c r="U46" s="383">
        <v>-2.0902483799999998</v>
      </c>
      <c r="V46" s="383">
        <v>-0.97404646000000006</v>
      </c>
      <c r="W46" s="383">
        <v>6.3130739999999852E-2</v>
      </c>
      <c r="X46" s="383">
        <v>0.11361685349999817</v>
      </c>
      <c r="Y46" s="383">
        <v>-6.1465890099999996</v>
      </c>
      <c r="Z46" s="383">
        <v>3.0788123465000012</v>
      </c>
      <c r="AB46" s="384">
        <v>-30.814</v>
      </c>
      <c r="AD46" s="384">
        <v>0</v>
      </c>
      <c r="AE46" s="384">
        <v>6</v>
      </c>
      <c r="AF46" s="384">
        <v>6</v>
      </c>
      <c r="AG46" s="384"/>
      <c r="AH46" s="384">
        <v>-12</v>
      </c>
      <c r="AI46" s="389"/>
      <c r="AJ46" t="s">
        <v>926</v>
      </c>
      <c r="AL46" s="367">
        <v>0.16076926910150052</v>
      </c>
      <c r="AM46" s="165">
        <v>8.2822530543171114E-3</v>
      </c>
      <c r="AN46" s="367">
        <v>6.6258024434536891</v>
      </c>
      <c r="AO46" s="166"/>
      <c r="AP46" s="166">
        <v>1.0299708832184287</v>
      </c>
      <c r="AQ46" s="166">
        <v>1.0309674623241796</v>
      </c>
      <c r="AS46" s="368">
        <v>0</v>
      </c>
      <c r="AT46" s="369">
        <v>6.1354595873166691</v>
      </c>
      <c r="AU46" s="369">
        <v>5.9734527634581429</v>
      </c>
      <c r="AV46" s="369">
        <v>0</v>
      </c>
      <c r="AW46" s="369">
        <v>6</v>
      </c>
      <c r="AX46" s="369">
        <v>-6</v>
      </c>
      <c r="AY46" s="379">
        <v>0.16076926910150052</v>
      </c>
      <c r="AZ46" s="379">
        <v>6.6258024434536891</v>
      </c>
      <c r="BA46" s="379">
        <v>0</v>
      </c>
      <c r="BB46" s="379">
        <v>0</v>
      </c>
      <c r="BC46" s="361"/>
      <c r="BD46" s="370">
        <v>0</v>
      </c>
      <c r="BE46" s="371">
        <v>0</v>
      </c>
      <c r="BF46" s="371">
        <v>0</v>
      </c>
      <c r="BG46" s="385">
        <v>0</v>
      </c>
      <c r="BH46" s="379">
        <v>0</v>
      </c>
      <c r="BJ46" s="373">
        <v>4.4676089999903468E-2</v>
      </c>
      <c r="BK46" s="371">
        <v>0.78657171255518943</v>
      </c>
      <c r="BL46" s="386">
        <v>0</v>
      </c>
      <c r="BM46" s="387">
        <v>0</v>
      </c>
      <c r="BO46" s="371">
        <v>0</v>
      </c>
    </row>
    <row r="47" spans="1:67" x14ac:dyDescent="0.25">
      <c r="A47" s="375"/>
      <c r="B47" s="375" t="s">
        <v>938</v>
      </c>
      <c r="C47" s="376" t="s">
        <v>112</v>
      </c>
      <c r="D47" s="377" t="s">
        <v>925</v>
      </c>
      <c r="E47" s="358">
        <v>1</v>
      </c>
      <c r="F47" s="358">
        <v>1</v>
      </c>
      <c r="G47" s="359" t="s">
        <v>1077</v>
      </c>
      <c r="H47" s="359" t="s">
        <v>1077</v>
      </c>
      <c r="I47" s="359" t="s">
        <v>1077</v>
      </c>
      <c r="J47" s="359" t="s">
        <v>1077</v>
      </c>
      <c r="K47" s="154">
        <v>646.64078238000002</v>
      </c>
      <c r="L47" s="155">
        <v>1293.2002817</v>
      </c>
      <c r="N47" s="378">
        <v>-6.1660000000000004</v>
      </c>
      <c r="O47" s="379">
        <v>-11.696999000000343</v>
      </c>
      <c r="P47" s="379">
        <v>-5.5309990000003424</v>
      </c>
      <c r="Q47" s="380">
        <v>-8.5534336075172527E-3</v>
      </c>
      <c r="S47" s="381">
        <v>0.2970000000000006</v>
      </c>
      <c r="T47" s="382">
        <v>0</v>
      </c>
      <c r="U47" s="383">
        <v>-2.5</v>
      </c>
      <c r="V47" s="383">
        <v>0.88731048999999995</v>
      </c>
      <c r="W47" s="383">
        <v>-0.88731048999999995</v>
      </c>
      <c r="X47" s="383">
        <v>0.2970000000000006</v>
      </c>
      <c r="Y47" s="383">
        <v>-2.76</v>
      </c>
      <c r="Z47" s="383">
        <v>-0.56800000000000095</v>
      </c>
      <c r="AB47" s="384">
        <v>0</v>
      </c>
      <c r="AD47" s="393">
        <v>0</v>
      </c>
      <c r="AE47" s="384">
        <v>4</v>
      </c>
      <c r="AF47" s="384">
        <v>4</v>
      </c>
      <c r="AG47" s="384"/>
      <c r="AH47" s="384">
        <v>-8</v>
      </c>
      <c r="AI47" s="389"/>
      <c r="AJ47" t="s">
        <v>926</v>
      </c>
      <c r="AL47" s="367">
        <v>14.415993015003025</v>
      </c>
      <c r="AM47" s="165">
        <v>7.3572071587062401E-3</v>
      </c>
      <c r="AN47" s="367">
        <v>5.8857657269649923</v>
      </c>
      <c r="AO47" s="166"/>
      <c r="AP47" s="166">
        <v>1.0487500000000001</v>
      </c>
      <c r="AQ47" s="166">
        <v>1.1458693979646828</v>
      </c>
      <c r="AS47" s="368">
        <v>0</v>
      </c>
      <c r="AT47" s="369">
        <v>9.3512059929550162</v>
      </c>
      <c r="AU47" s="369">
        <v>10.042215554330715</v>
      </c>
      <c r="AV47" s="369">
        <v>0</v>
      </c>
      <c r="AW47" s="369">
        <v>4</v>
      </c>
      <c r="AX47" s="369">
        <v>-4</v>
      </c>
      <c r="AY47" s="379">
        <v>14.415993015003025</v>
      </c>
      <c r="AZ47" s="379">
        <v>5.8857657269649923</v>
      </c>
      <c r="BA47" s="379">
        <v>0</v>
      </c>
      <c r="BB47" s="379">
        <v>0</v>
      </c>
      <c r="BC47" s="361"/>
      <c r="BD47" s="370">
        <v>0</v>
      </c>
      <c r="BE47" s="371">
        <v>0</v>
      </c>
      <c r="BF47" s="371">
        <v>0</v>
      </c>
      <c r="BG47" s="385">
        <v>0</v>
      </c>
      <c r="BH47" s="379">
        <v>0</v>
      </c>
      <c r="BJ47" s="373">
        <v>-1.5309990000003424</v>
      </c>
      <c r="BK47" s="371">
        <v>16.301758741968015</v>
      </c>
      <c r="BL47" s="386">
        <v>0</v>
      </c>
      <c r="BM47" s="387">
        <v>0</v>
      </c>
      <c r="BO47" s="371">
        <v>0</v>
      </c>
    </row>
    <row r="48" spans="1:67" x14ac:dyDescent="0.25">
      <c r="A48" s="394"/>
      <c r="B48" s="394" t="s">
        <v>912</v>
      </c>
      <c r="C48" s="395" t="s">
        <v>70</v>
      </c>
      <c r="D48" s="396" t="s">
        <v>904</v>
      </c>
      <c r="E48" s="358">
        <v>1</v>
      </c>
      <c r="F48" s="358">
        <v>1</v>
      </c>
      <c r="G48" s="359" t="s">
        <v>1077</v>
      </c>
      <c r="H48" s="359" t="s">
        <v>1077</v>
      </c>
      <c r="I48" s="359" t="s">
        <v>1077</v>
      </c>
      <c r="J48" s="359" t="s">
        <v>1077</v>
      </c>
      <c r="K48" s="191">
        <v>1115.555826</v>
      </c>
      <c r="L48" s="192">
        <v>2193.1080000000002</v>
      </c>
      <c r="N48" s="397">
        <v>-3.5644999999998288</v>
      </c>
      <c r="O48" s="398">
        <v>-6.0384996200006649</v>
      </c>
      <c r="P48" s="398">
        <v>-2.4739996200008361</v>
      </c>
      <c r="Q48" s="399">
        <v>-2.2177282053841706E-3</v>
      </c>
      <c r="S48" s="400">
        <v>-11.042504000000001</v>
      </c>
      <c r="T48" s="401">
        <v>-2.5065040000000001</v>
      </c>
      <c r="U48" s="402">
        <v>-5.4629981699999997</v>
      </c>
      <c r="V48" s="402">
        <v>-1.056541</v>
      </c>
      <c r="W48" s="402">
        <v>9.0260435499998657</v>
      </c>
      <c r="X48" s="402">
        <v>-8.5360000000000014</v>
      </c>
      <c r="Y48" s="402">
        <v>0.96499999999999997</v>
      </c>
      <c r="Z48" s="402">
        <v>5.0970000000000013</v>
      </c>
      <c r="AB48" s="403">
        <v>-4</v>
      </c>
      <c r="AD48" s="403">
        <v>5</v>
      </c>
      <c r="AE48" s="403">
        <v>0.7</v>
      </c>
      <c r="AF48" s="403">
        <v>0.8</v>
      </c>
      <c r="AG48" s="403"/>
      <c r="AH48" s="403">
        <v>-5</v>
      </c>
      <c r="AI48" s="389"/>
      <c r="AJ48" t="s">
        <v>913</v>
      </c>
      <c r="AL48" s="367">
        <v>14.48495483358419</v>
      </c>
      <c r="AM48" s="165">
        <v>1.3036971633515387E-2</v>
      </c>
      <c r="AN48" s="367">
        <v>10.429577306812309</v>
      </c>
      <c r="AO48" s="166"/>
      <c r="AP48" s="166">
        <v>1.0409354075088022</v>
      </c>
      <c r="AQ48" s="166">
        <v>1.0944658426413683</v>
      </c>
      <c r="AS48" s="368">
        <v>5</v>
      </c>
      <c r="AT48" s="369">
        <v>7.5445092909137967</v>
      </c>
      <c r="AU48" s="369">
        <v>6.0699016596572637</v>
      </c>
      <c r="AV48" s="369">
        <v>6</v>
      </c>
      <c r="AW48" s="369">
        <v>0.8</v>
      </c>
      <c r="AX48" s="369">
        <v>1.8</v>
      </c>
      <c r="AY48" s="398">
        <v>14.48495483358419</v>
      </c>
      <c r="AZ48" s="398">
        <v>10.429577306812309</v>
      </c>
      <c r="BA48" s="398">
        <v>0</v>
      </c>
      <c r="BB48" s="398">
        <v>0</v>
      </c>
      <c r="BC48" s="404"/>
      <c r="BD48" s="370">
        <v>0</v>
      </c>
      <c r="BE48" s="371">
        <v>0</v>
      </c>
      <c r="BF48" s="371">
        <v>0</v>
      </c>
      <c r="BG48" s="405">
        <v>0</v>
      </c>
      <c r="BH48" s="398">
        <v>0</v>
      </c>
      <c r="BJ48" s="373">
        <v>1.2260003799991639</v>
      </c>
      <c r="BK48" s="371">
        <v>26.7145321403965</v>
      </c>
      <c r="BL48" s="386">
        <v>0</v>
      </c>
      <c r="BM48" s="387">
        <v>0</v>
      </c>
      <c r="BO48" s="371">
        <v>0</v>
      </c>
    </row>
    <row r="49" spans="11:67" x14ac:dyDescent="0.25">
      <c r="AL49" s="369"/>
      <c r="AM49" s="369"/>
      <c r="AN49" s="369"/>
      <c r="AQ49" s="369"/>
      <c r="AS49" s="368"/>
      <c r="AT49" s="369"/>
      <c r="AU49" s="369"/>
      <c r="AV49" s="406"/>
    </row>
    <row r="50" spans="11:67" ht="15.75" thickBot="1" x14ac:dyDescent="0.3">
      <c r="K50" s="201">
        <v>64161.279397950006</v>
      </c>
      <c r="L50" s="201">
        <v>127973.15081906001</v>
      </c>
      <c r="N50" s="407">
        <v>-972.72499944300353</v>
      </c>
      <c r="O50" s="407">
        <v>-2387.8347656219435</v>
      </c>
      <c r="P50" s="407">
        <v>-1415.1097661789399</v>
      </c>
      <c r="Q50" s="203">
        <v>-2.2055510417770031E-2</v>
      </c>
      <c r="S50" s="408">
        <v>-337.46788891054018</v>
      </c>
      <c r="T50" s="408">
        <v>-103.45339940869002</v>
      </c>
      <c r="U50" s="408">
        <v>-303.92305074000001</v>
      </c>
      <c r="V50" s="408">
        <v>-205.68564586999997</v>
      </c>
      <c r="W50" s="408">
        <v>172.53625725868946</v>
      </c>
      <c r="X50" s="408">
        <v>-234.01448950185008</v>
      </c>
      <c r="Y50" s="408">
        <v>-255.51102794390002</v>
      </c>
      <c r="Z50" s="408">
        <v>-485.0585216232501</v>
      </c>
      <c r="AB50" s="408">
        <v>-2924.3881683069999</v>
      </c>
      <c r="AD50" s="408">
        <v>248.2</v>
      </c>
      <c r="AE50" s="408">
        <v>412.40000000000003</v>
      </c>
      <c r="AF50" s="408">
        <v>431.30000000000007</v>
      </c>
      <c r="AG50" s="408">
        <v>-43</v>
      </c>
      <c r="AH50" s="408">
        <v>-3753</v>
      </c>
      <c r="AI50" s="389"/>
      <c r="AL50" s="409">
        <v>610.76047739691887</v>
      </c>
      <c r="AM50" s="409">
        <v>0.99999999999999989</v>
      </c>
      <c r="AN50" s="409">
        <v>800</v>
      </c>
      <c r="AO50" s="408"/>
      <c r="AP50" s="408"/>
      <c r="AQ50" s="409"/>
      <c r="AS50" s="409">
        <v>248.2</v>
      </c>
      <c r="AT50" s="409">
        <v>385.93926545153084</v>
      </c>
      <c r="AU50" s="409">
        <v>299.54503421869418</v>
      </c>
      <c r="AV50" s="409">
        <v>343.71608560741186</v>
      </c>
      <c r="AW50" s="409">
        <v>431.30000000000007</v>
      </c>
      <c r="AX50" s="409">
        <v>-2977.9839143925878</v>
      </c>
      <c r="AY50" s="409">
        <v>610.76047739691887</v>
      </c>
      <c r="AZ50" s="409">
        <v>800</v>
      </c>
      <c r="BA50" s="410">
        <v>-1777.7217249196581</v>
      </c>
      <c r="BB50" s="409">
        <v>496.11010643318525</v>
      </c>
      <c r="BC50" s="409"/>
      <c r="BD50" s="409">
        <v>-1219.4116184864724</v>
      </c>
      <c r="BE50" s="409">
        <v>-719.6</v>
      </c>
      <c r="BF50" s="409">
        <v>99.107812557551838</v>
      </c>
      <c r="BG50" s="409">
        <v>-620.4921874424482</v>
      </c>
      <c r="BH50" s="409">
        <v>-598.91943104402458</v>
      </c>
      <c r="BJ50" s="409">
        <v>-830.85172337523454</v>
      </c>
      <c r="BK50" s="409">
        <v>210.49828792398881</v>
      </c>
      <c r="BO50" s="409">
        <v>-1580.8471394242824</v>
      </c>
    </row>
    <row r="51" spans="11:67" ht="15.75" thickTop="1" x14ac:dyDescent="0.25">
      <c r="K51" s="69">
        <v>0</v>
      </c>
      <c r="L51" s="69">
        <v>0</v>
      </c>
      <c r="N51" s="69">
        <v>0</v>
      </c>
      <c r="O51" s="69">
        <v>0</v>
      </c>
      <c r="P51" s="69">
        <v>0</v>
      </c>
      <c r="S51" s="69">
        <v>4.5474735088646412E-13</v>
      </c>
      <c r="T51" s="69"/>
      <c r="U51" s="69"/>
      <c r="V51" s="69"/>
      <c r="W51" s="69"/>
      <c r="X51" s="69"/>
      <c r="Y51" s="69"/>
      <c r="Z51" s="69"/>
      <c r="AB51" s="69">
        <v>0</v>
      </c>
      <c r="AD51" s="69"/>
      <c r="AE51" s="69"/>
      <c r="AF51" s="69"/>
      <c r="AG51" s="69"/>
      <c r="AH51" s="69">
        <v>0</v>
      </c>
      <c r="AI51" s="69"/>
    </row>
    <row r="52" spans="11:67" ht="15.75" thickBot="1" x14ac:dyDescent="0.3">
      <c r="O52">
        <v>-2055</v>
      </c>
      <c r="P52">
        <v>-411</v>
      </c>
      <c r="Q52" s="411">
        <v>-2.2177282053841706E-3</v>
      </c>
      <c r="AX52" s="409">
        <v>-2601.6999999999998</v>
      </c>
      <c r="BB52" s="323" t="s">
        <v>1009</v>
      </c>
      <c r="BC52" s="323"/>
      <c r="BD52" s="369">
        <v>0</v>
      </c>
      <c r="BE52" s="369"/>
      <c r="BF52" s="369"/>
      <c r="BG52" s="323" t="s">
        <v>1010</v>
      </c>
      <c r="BH52" s="369">
        <v>-598.91943104402458</v>
      </c>
    </row>
    <row r="53" spans="11:67" ht="15.75" thickTop="1" x14ac:dyDescent="0.25">
      <c r="O53" s="412">
        <v>-332.83476562194346</v>
      </c>
      <c r="BB53" s="323"/>
      <c r="BC53" s="323"/>
    </row>
    <row r="54" spans="11:67" ht="15.75" thickBot="1" x14ac:dyDescent="0.3">
      <c r="AD54" t="s">
        <v>1011</v>
      </c>
      <c r="BB54" s="323" t="s">
        <v>1012</v>
      </c>
      <c r="BC54" s="323"/>
      <c r="BD54" s="409">
        <v>-1219.4116184864724</v>
      </c>
      <c r="BE54" s="369"/>
      <c r="BF54" s="369"/>
    </row>
  </sheetData>
  <mergeCells count="11">
    <mergeCell ref="V4:V5"/>
    <mergeCell ref="K4:L4"/>
    <mergeCell ref="N4:Q4"/>
    <mergeCell ref="S4:S5"/>
    <mergeCell ref="T4:T5"/>
    <mergeCell ref="U4:U5"/>
    <mergeCell ref="X4:X5"/>
    <mergeCell ref="AB4:AB5"/>
    <mergeCell ref="AH4:AH5"/>
    <mergeCell ref="AQ4:AQ5"/>
    <mergeCell ref="AS4:AU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CADF-E4D0-42FD-AA2D-619896A789A0}">
  <sheetPr codeName="Sheet15">
    <tabColor rgb="FF0070C0"/>
  </sheetPr>
  <dimension ref="A1:AF69"/>
  <sheetViews>
    <sheetView zoomScaleNormal="100" workbookViewId="0">
      <pane xSplit="4" ySplit="4" topLeftCell="K5" activePane="bottomRight" state="frozen"/>
      <selection pane="topRight" activeCell="P3" sqref="P3"/>
      <selection pane="bottomLeft" activeCell="P3" sqref="P3"/>
      <selection pane="bottomRight" activeCell="P18" sqref="P18"/>
    </sheetView>
  </sheetViews>
  <sheetFormatPr defaultRowHeight="15" outlineLevelCol="1" x14ac:dyDescent="0.25"/>
  <cols>
    <col min="1" max="1" width="8.7109375" customWidth="1" outlineLevel="1"/>
    <col min="2" max="2" width="21.7109375" customWidth="1" outlineLevel="1"/>
    <col min="4" max="4" width="54" bestFit="1" customWidth="1"/>
    <col min="5" max="6" width="13.28515625" customWidth="1"/>
    <col min="7" max="7" width="13.28515625" style="41" customWidth="1"/>
    <col min="9" max="11" width="13.28515625" style="41" customWidth="1"/>
    <col min="12" max="13" width="13.28515625" customWidth="1"/>
    <col min="14" max="14" width="13.28515625" style="41" customWidth="1"/>
    <col min="15" max="15" width="13.28515625" customWidth="1"/>
    <col min="16" max="16" width="13.28515625" style="41" customWidth="1"/>
    <col min="17" max="22" width="13.28515625" customWidth="1"/>
    <col min="23" max="24" width="13.28515625" style="41" customWidth="1"/>
    <col min="25" max="26" width="13.28515625" customWidth="1"/>
    <col min="27" max="27" width="13.28515625" style="41" customWidth="1"/>
    <col min="28" max="32" width="13.28515625" customWidth="1"/>
  </cols>
  <sheetData>
    <row r="1" spans="1:32" ht="25.5" x14ac:dyDescent="0.35">
      <c r="A1" s="1" t="s">
        <v>12</v>
      </c>
    </row>
    <row r="2" spans="1:32" x14ac:dyDescent="0.25">
      <c r="K2" s="41" t="e">
        <f>I57</f>
        <v>#REF!</v>
      </c>
      <c r="N2" s="41" t="e">
        <f>MIN(N5:N46)</f>
        <v>#REF!</v>
      </c>
      <c r="P2" s="41">
        <v>1</v>
      </c>
      <c r="AA2" s="41" t="s">
        <v>144</v>
      </c>
      <c r="AC2" t="s">
        <v>145</v>
      </c>
    </row>
    <row r="3" spans="1:32" ht="114.75" x14ac:dyDescent="0.25">
      <c r="A3" s="25" t="s">
        <v>13</v>
      </c>
      <c r="B3" s="26" t="s">
        <v>14</v>
      </c>
      <c r="C3" s="26" t="s">
        <v>15</v>
      </c>
      <c r="D3" s="26" t="s">
        <v>16</v>
      </c>
      <c r="E3" s="27" t="s">
        <v>142</v>
      </c>
      <c r="F3" s="27" t="s">
        <v>1014</v>
      </c>
      <c r="G3" s="42" t="s">
        <v>146</v>
      </c>
      <c r="H3" s="36" t="s">
        <v>147</v>
      </c>
      <c r="I3" s="42" t="s">
        <v>127</v>
      </c>
      <c r="J3" s="42" t="s">
        <v>354</v>
      </c>
      <c r="K3" s="47" t="s">
        <v>128</v>
      </c>
      <c r="L3" s="47" t="s">
        <v>355</v>
      </c>
      <c r="M3" s="47" t="s">
        <v>356</v>
      </c>
      <c r="N3" s="42" t="s">
        <v>131</v>
      </c>
      <c r="O3" s="47" t="s">
        <v>357</v>
      </c>
      <c r="P3" s="47" t="s">
        <v>358</v>
      </c>
      <c r="Q3" s="47" t="s">
        <v>359</v>
      </c>
      <c r="R3" s="47" t="s">
        <v>355</v>
      </c>
      <c r="S3" s="47" t="s">
        <v>148</v>
      </c>
      <c r="T3" s="59" t="s">
        <v>149</v>
      </c>
      <c r="U3" s="59" t="s">
        <v>150</v>
      </c>
      <c r="V3" s="47" t="s">
        <v>361</v>
      </c>
      <c r="W3" s="42" t="s">
        <v>364</v>
      </c>
      <c r="X3" s="42" t="s">
        <v>151</v>
      </c>
      <c r="Y3" s="27" t="s">
        <v>152</v>
      </c>
      <c r="Z3" s="27" t="s">
        <v>153</v>
      </c>
      <c r="AA3" s="62" t="s">
        <v>154</v>
      </c>
      <c r="AB3" s="47" t="s">
        <v>155</v>
      </c>
      <c r="AC3" s="47" t="s">
        <v>4</v>
      </c>
      <c r="AD3" s="47" t="s">
        <v>5</v>
      </c>
      <c r="AE3" s="59" t="s">
        <v>6</v>
      </c>
      <c r="AF3" s="27" t="s">
        <v>159</v>
      </c>
    </row>
    <row r="4" spans="1:32" x14ac:dyDescent="0.25">
      <c r="AA4" s="63"/>
    </row>
    <row r="5" spans="1:32" x14ac:dyDescent="0.25">
      <c r="A5" s="10" t="s">
        <v>17</v>
      </c>
      <c r="B5" s="4" t="s">
        <v>18</v>
      </c>
      <c r="C5" s="4" t="s">
        <v>19</v>
      </c>
      <c r="D5" s="4" t="s">
        <v>20</v>
      </c>
      <c r="E5" s="11">
        <f>SUMIFS('ICB Core Baseline 2024-25'!Q:Q,'ICB Core Baseline 2024-25'!C:C,C5)</f>
        <v>3049118.4291022574</v>
      </c>
      <c r="F5" s="11" t="e">
        <f>SUMIFS(#REF!,#REF!,C5)</f>
        <v>#REF!</v>
      </c>
      <c r="G5" s="43" t="e">
        <f>E5/F5-1</f>
        <v>#REF!</v>
      </c>
      <c r="I5" s="43" t="e">
        <f>SUMIFS(#REF!,#REF!,C5)</f>
        <v>#REF!</v>
      </c>
      <c r="J5" s="43" t="e">
        <f>I5-$I$57</f>
        <v>#REF!</v>
      </c>
      <c r="K5" s="43" t="e">
        <f>$K$2+J5</f>
        <v>#REF!</v>
      </c>
      <c r="L5" s="11" t="e">
        <f>E5*(K5-I5)</f>
        <v>#REF!</v>
      </c>
      <c r="M5" s="11" t="e">
        <f t="shared" ref="M5:M46" si="0">E5*(1+K5)</f>
        <v>#REF!</v>
      </c>
      <c r="N5" s="43" t="e">
        <f>SUMIFS(#REF!,#REF!,C5)</f>
        <v>#REF!</v>
      </c>
      <c r="O5" s="11" t="e">
        <f t="shared" ref="O5:O46" si="1">M5*N5</f>
        <v>#REF!</v>
      </c>
      <c r="P5" s="43" t="e">
        <f>IF(N5&gt;0,N5,N5*$P$2)</f>
        <v>#REF!</v>
      </c>
      <c r="Q5" s="11" t="e">
        <f t="shared" ref="Q5:Q46" si="2">M5*P5</f>
        <v>#REF!</v>
      </c>
      <c r="R5" s="11" t="e">
        <f>Q5-O5</f>
        <v>#REF!</v>
      </c>
      <c r="S5" s="11" t="e">
        <f t="shared" ref="S5:S46" si="3">E5*(1+K5)*(1+P5)</f>
        <v>#REF!</v>
      </c>
      <c r="T5" s="11" t="e">
        <f>(SUMIFS(#REF!,#REF!,C5)/SUMIFS(#REF!,#REF!,C5))*1000</f>
        <v>#REF!</v>
      </c>
      <c r="U5" s="11" t="e">
        <f>(S5/T5)*1000</f>
        <v>#REF!</v>
      </c>
      <c r="V5" s="11" t="e">
        <f>F5*(1+K5)</f>
        <v>#REF!</v>
      </c>
      <c r="W5" s="43" t="e">
        <f>S5/V5-1</f>
        <v>#REF!</v>
      </c>
      <c r="X5" s="43" t="e">
        <f>S5/E5-1</f>
        <v>#REF!</v>
      </c>
      <c r="Y5" s="11" t="e">
        <f>SUMIFS(#REF!,#REF!,C5)/(1+1.8%)*(1+1.8%+2.3%)</f>
        <v>#REF!</v>
      </c>
      <c r="Z5" s="11" t="e">
        <f>SUM(S5,Y5)</f>
        <v>#REF!</v>
      </c>
      <c r="AA5" s="64"/>
      <c r="AB5" s="11" t="e">
        <f>(SUMIFS(#REF!,#REF!,C5)/(1+1.8%))*(1+1.8%+2.3%)</f>
        <v>#REF!</v>
      </c>
      <c r="AC5" s="11" t="e">
        <f>-SUMIFS(#REF!,#REF!,C5)/1000</f>
        <v>#REF!</v>
      </c>
      <c r="AD5" s="11" t="e">
        <f>SUMIFS(#REF!,#REF!,C5)</f>
        <v>#REF!</v>
      </c>
      <c r="AE5" s="11" t="e">
        <f>SUMIFS(#REF!,#REF!,C5)</f>
        <v>#REF!</v>
      </c>
      <c r="AF5" s="11" t="e">
        <f t="shared" ref="AF5:AF46" si="4">SUM(Z5,AB5:AE5)</f>
        <v>#REF!</v>
      </c>
    </row>
    <row r="6" spans="1:32" x14ac:dyDescent="0.25">
      <c r="A6" s="13" t="s">
        <v>17</v>
      </c>
      <c r="B6" s="14" t="s">
        <v>18</v>
      </c>
      <c r="C6" s="4" t="s">
        <v>21</v>
      </c>
      <c r="D6" s="4" t="s">
        <v>22</v>
      </c>
      <c r="E6" s="11">
        <f>SUMIFS('ICB Core Baseline 2024-25'!Q:Q,'ICB Core Baseline 2024-25'!C:C,C6)</f>
        <v>6016186.5103033921</v>
      </c>
      <c r="F6" s="11" t="e">
        <f>SUMIFS(#REF!,#REF!,C6)</f>
        <v>#REF!</v>
      </c>
      <c r="G6" s="43" t="e">
        <f t="shared" ref="G6:G46" si="5">E6/F6-1</f>
        <v>#REF!</v>
      </c>
      <c r="I6" s="43" t="e">
        <f>SUMIFS(#REF!,#REF!,C6)</f>
        <v>#REF!</v>
      </c>
      <c r="J6" s="43" t="e">
        <f t="shared" ref="J6:J46" si="6">I6-$I$57</f>
        <v>#REF!</v>
      </c>
      <c r="K6" s="43" t="e">
        <f t="shared" ref="K6:K46" si="7">$K$2+J6</f>
        <v>#REF!</v>
      </c>
      <c r="L6" s="11" t="e">
        <f t="shared" ref="L6:L46" si="8">E6*(K6-I6)</f>
        <v>#REF!</v>
      </c>
      <c r="M6" s="11" t="e">
        <f t="shared" si="0"/>
        <v>#REF!</v>
      </c>
      <c r="N6" s="43" t="e">
        <f>SUMIFS(#REF!,#REF!,C6)</f>
        <v>#REF!</v>
      </c>
      <c r="O6" s="11" t="e">
        <f t="shared" si="1"/>
        <v>#REF!</v>
      </c>
      <c r="P6" s="43" t="e">
        <f t="shared" ref="P6:P46" si="9">IF(N6&gt;0,N6,N6*$P$2)</f>
        <v>#REF!</v>
      </c>
      <c r="Q6" s="11" t="e">
        <f t="shared" si="2"/>
        <v>#REF!</v>
      </c>
      <c r="R6" s="11" t="e">
        <f t="shared" ref="R6:R46" si="10">Q6-O6</f>
        <v>#REF!</v>
      </c>
      <c r="S6" s="11" t="e">
        <f t="shared" si="3"/>
        <v>#REF!</v>
      </c>
      <c r="T6" s="11" t="e">
        <f>(SUMIFS(#REF!,#REF!,C6)/SUMIFS(#REF!,#REF!,C6))*1000</f>
        <v>#REF!</v>
      </c>
      <c r="U6" s="11" t="e">
        <f t="shared" ref="U6:U46" si="11">(S6/T6)*1000</f>
        <v>#REF!</v>
      </c>
      <c r="V6" s="11" t="e">
        <f t="shared" ref="V6:V46" si="12">F6*(1+K6)</f>
        <v>#REF!</v>
      </c>
      <c r="W6" s="43" t="e">
        <f t="shared" ref="W6:W46" si="13">S6/V6-1</f>
        <v>#REF!</v>
      </c>
      <c r="X6" s="43" t="e">
        <f t="shared" ref="X6:X46" si="14">S6/E6-1</f>
        <v>#REF!</v>
      </c>
      <c r="Y6" s="11" t="e">
        <f>SUMIFS(#REF!,#REF!,C6)/(1+1.8%)*(1+1.8%+2.3%)</f>
        <v>#REF!</v>
      </c>
      <c r="Z6" s="11" t="e">
        <f t="shared" ref="Z6:Z46" si="15">SUM(S6,Y6)</f>
        <v>#REF!</v>
      </c>
      <c r="AA6" s="64"/>
      <c r="AB6" s="11" t="e">
        <f>(SUMIFS(#REF!,#REF!,C6)/(1+1.8%))*(1+1.8%+2.3%)</f>
        <v>#REF!</v>
      </c>
      <c r="AC6" s="11" t="e">
        <f>-SUMIFS(#REF!,#REF!,C6)/1000</f>
        <v>#REF!</v>
      </c>
      <c r="AD6" s="11" t="e">
        <f>SUMIFS(#REF!,#REF!,C6)</f>
        <v>#REF!</v>
      </c>
      <c r="AE6" s="11" t="e">
        <f>SUMIFS(#REF!,#REF!,C6)</f>
        <v>#REF!</v>
      </c>
      <c r="AF6" s="11" t="e">
        <f t="shared" si="4"/>
        <v>#REF!</v>
      </c>
    </row>
    <row r="7" spans="1:32" x14ac:dyDescent="0.25">
      <c r="A7" s="13" t="s">
        <v>17</v>
      </c>
      <c r="B7" s="14" t="s">
        <v>18</v>
      </c>
      <c r="C7" s="4" t="s">
        <v>23</v>
      </c>
      <c r="D7" s="4" t="s">
        <v>24</v>
      </c>
      <c r="E7" s="11">
        <f>SUMIFS('ICB Core Baseline 2024-25'!Q:Q,'ICB Core Baseline 2024-25'!C:C,C7)</f>
        <v>2625646.0761444462</v>
      </c>
      <c r="F7" s="11" t="e">
        <f>SUMIFS(#REF!,#REF!,C7)</f>
        <v>#REF!</v>
      </c>
      <c r="G7" s="43" t="e">
        <f t="shared" si="5"/>
        <v>#REF!</v>
      </c>
      <c r="I7" s="43" t="e">
        <f>SUMIFS(#REF!,#REF!,C7)</f>
        <v>#REF!</v>
      </c>
      <c r="J7" s="43" t="e">
        <f t="shared" si="6"/>
        <v>#REF!</v>
      </c>
      <c r="K7" s="43" t="e">
        <f t="shared" si="7"/>
        <v>#REF!</v>
      </c>
      <c r="L7" s="11" t="e">
        <f t="shared" si="8"/>
        <v>#REF!</v>
      </c>
      <c r="M7" s="11" t="e">
        <f t="shared" si="0"/>
        <v>#REF!</v>
      </c>
      <c r="N7" s="43" t="e">
        <f>SUMIFS(#REF!,#REF!,C7)</f>
        <v>#REF!</v>
      </c>
      <c r="O7" s="11" t="e">
        <f t="shared" si="1"/>
        <v>#REF!</v>
      </c>
      <c r="P7" s="43" t="e">
        <f t="shared" si="9"/>
        <v>#REF!</v>
      </c>
      <c r="Q7" s="11" t="e">
        <f t="shared" si="2"/>
        <v>#REF!</v>
      </c>
      <c r="R7" s="11" t="e">
        <f t="shared" si="10"/>
        <v>#REF!</v>
      </c>
      <c r="S7" s="11" t="e">
        <f t="shared" si="3"/>
        <v>#REF!</v>
      </c>
      <c r="T7" s="11" t="e">
        <f>(SUMIFS(#REF!,#REF!,C7)/SUMIFS(#REF!,#REF!,C7))*1000</f>
        <v>#REF!</v>
      </c>
      <c r="U7" s="11" t="e">
        <f t="shared" si="11"/>
        <v>#REF!</v>
      </c>
      <c r="V7" s="11" t="e">
        <f t="shared" si="12"/>
        <v>#REF!</v>
      </c>
      <c r="W7" s="43" t="e">
        <f t="shared" si="13"/>
        <v>#REF!</v>
      </c>
      <c r="X7" s="43" t="e">
        <f t="shared" si="14"/>
        <v>#REF!</v>
      </c>
      <c r="Y7" s="11" t="e">
        <f>SUMIFS(#REF!,#REF!,C7)/(1+1.8%)*(1+1.8%+2.3%)</f>
        <v>#REF!</v>
      </c>
      <c r="Z7" s="11" t="e">
        <f t="shared" si="15"/>
        <v>#REF!</v>
      </c>
      <c r="AA7" s="64"/>
      <c r="AB7" s="11" t="e">
        <f>(SUMIFS(#REF!,#REF!,C7)/(1+1.8%))*(1+1.8%+2.3%)</f>
        <v>#REF!</v>
      </c>
      <c r="AC7" s="11" t="e">
        <f>-SUMIFS(#REF!,#REF!,C7)/1000</f>
        <v>#REF!</v>
      </c>
      <c r="AD7" s="11" t="e">
        <f>SUMIFS(#REF!,#REF!,C7)</f>
        <v>#REF!</v>
      </c>
      <c r="AE7" s="11" t="e">
        <f>SUMIFS(#REF!,#REF!,C7)</f>
        <v>#REF!</v>
      </c>
      <c r="AF7" s="11" t="e">
        <f t="shared" si="4"/>
        <v>#REF!</v>
      </c>
    </row>
    <row r="8" spans="1:32" x14ac:dyDescent="0.25">
      <c r="A8" s="15" t="s">
        <v>17</v>
      </c>
      <c r="B8" s="16" t="s">
        <v>18</v>
      </c>
      <c r="C8" s="17" t="s">
        <v>25</v>
      </c>
      <c r="D8" s="17" t="s">
        <v>26</v>
      </c>
      <c r="E8" s="18">
        <f>SUMIFS('ICB Core Baseline 2024-25'!Q:Q,'ICB Core Baseline 2024-25'!C:C,C8)</f>
        <v>4412463.5914081903</v>
      </c>
      <c r="F8" s="18" t="e">
        <f>SUMIFS(#REF!,#REF!,C8)</f>
        <v>#REF!</v>
      </c>
      <c r="G8" s="44" t="e">
        <f t="shared" si="5"/>
        <v>#REF!</v>
      </c>
      <c r="I8" s="44" t="e">
        <f>SUMIFS(#REF!,#REF!,C8)</f>
        <v>#REF!</v>
      </c>
      <c r="J8" s="44" t="e">
        <f t="shared" si="6"/>
        <v>#REF!</v>
      </c>
      <c r="K8" s="44" t="e">
        <f t="shared" si="7"/>
        <v>#REF!</v>
      </c>
      <c r="L8" s="18" t="e">
        <f t="shared" si="8"/>
        <v>#REF!</v>
      </c>
      <c r="M8" s="18" t="e">
        <f t="shared" si="0"/>
        <v>#REF!</v>
      </c>
      <c r="N8" s="44" t="e">
        <f>SUMIFS(#REF!,#REF!,C8)</f>
        <v>#REF!</v>
      </c>
      <c r="O8" s="18" t="e">
        <f t="shared" si="1"/>
        <v>#REF!</v>
      </c>
      <c r="P8" s="44" t="e">
        <f t="shared" si="9"/>
        <v>#REF!</v>
      </c>
      <c r="Q8" s="18" t="e">
        <f t="shared" si="2"/>
        <v>#REF!</v>
      </c>
      <c r="R8" s="18" t="e">
        <f t="shared" si="10"/>
        <v>#REF!</v>
      </c>
      <c r="S8" s="18" t="e">
        <f t="shared" si="3"/>
        <v>#REF!</v>
      </c>
      <c r="T8" s="18" t="e">
        <f>(SUMIFS(#REF!,#REF!,C8)/SUMIFS(#REF!,#REF!,C8))*1000</f>
        <v>#REF!</v>
      </c>
      <c r="U8" s="18" t="e">
        <f t="shared" si="11"/>
        <v>#REF!</v>
      </c>
      <c r="V8" s="18" t="e">
        <f t="shared" si="12"/>
        <v>#REF!</v>
      </c>
      <c r="W8" s="44" t="e">
        <f t="shared" si="13"/>
        <v>#REF!</v>
      </c>
      <c r="X8" s="44" t="e">
        <f t="shared" si="14"/>
        <v>#REF!</v>
      </c>
      <c r="Y8" s="18" t="e">
        <f>SUMIFS(#REF!,#REF!,C8)/(1+1.8%)*(1+1.8%+2.3%)</f>
        <v>#REF!</v>
      </c>
      <c r="Z8" s="18" t="e">
        <f t="shared" si="15"/>
        <v>#REF!</v>
      </c>
      <c r="AA8" s="65"/>
      <c r="AB8" s="18" t="e">
        <f>(SUMIFS(#REF!,#REF!,C8)/(1+1.8%))*(1+1.8%+2.3%)</f>
        <v>#REF!</v>
      </c>
      <c r="AC8" s="18" t="e">
        <f>-SUMIFS(#REF!,#REF!,C8)/1000</f>
        <v>#REF!</v>
      </c>
      <c r="AD8" s="18" t="e">
        <f>SUMIFS(#REF!,#REF!,C8)</f>
        <v>#REF!</v>
      </c>
      <c r="AE8" s="18" t="e">
        <f>SUMIFS(#REF!,#REF!,C8)</f>
        <v>#REF!</v>
      </c>
      <c r="AF8" s="18" t="e">
        <f t="shared" si="4"/>
        <v>#REF!</v>
      </c>
    </row>
    <row r="9" spans="1:32" x14ac:dyDescent="0.25">
      <c r="A9" s="10" t="s">
        <v>27</v>
      </c>
      <c r="B9" s="4" t="s">
        <v>28</v>
      </c>
      <c r="C9" s="4" t="s">
        <v>29</v>
      </c>
      <c r="D9" s="4" t="s">
        <v>30</v>
      </c>
      <c r="E9" s="11">
        <f>SUMIFS('ICB Core Baseline 2024-25'!Q:Q,'ICB Core Baseline 2024-25'!C:C,C9)</f>
        <v>5282103.6953610079</v>
      </c>
      <c r="F9" s="11" t="e">
        <f>SUMIFS(#REF!,#REF!,C9)</f>
        <v>#REF!</v>
      </c>
      <c r="G9" s="43" t="e">
        <f t="shared" si="5"/>
        <v>#REF!</v>
      </c>
      <c r="I9" s="43" t="e">
        <f>SUMIFS(#REF!,#REF!,C9)</f>
        <v>#REF!</v>
      </c>
      <c r="J9" s="43" t="e">
        <f t="shared" si="6"/>
        <v>#REF!</v>
      </c>
      <c r="K9" s="43" t="e">
        <f t="shared" si="7"/>
        <v>#REF!</v>
      </c>
      <c r="L9" s="11" t="e">
        <f t="shared" si="8"/>
        <v>#REF!</v>
      </c>
      <c r="M9" s="11" t="e">
        <f t="shared" si="0"/>
        <v>#REF!</v>
      </c>
      <c r="N9" s="43" t="e">
        <f>SUMIFS(#REF!,#REF!,C9)</f>
        <v>#REF!</v>
      </c>
      <c r="O9" s="11" t="e">
        <f t="shared" si="1"/>
        <v>#REF!</v>
      </c>
      <c r="P9" s="43" t="e">
        <f t="shared" si="9"/>
        <v>#REF!</v>
      </c>
      <c r="Q9" s="11" t="e">
        <f t="shared" si="2"/>
        <v>#REF!</v>
      </c>
      <c r="R9" s="11" t="e">
        <f t="shared" si="10"/>
        <v>#REF!</v>
      </c>
      <c r="S9" s="11" t="e">
        <f t="shared" si="3"/>
        <v>#REF!</v>
      </c>
      <c r="T9" s="11" t="e">
        <f>(SUMIFS(#REF!,#REF!,C9)/SUMIFS(#REF!,#REF!,C9))*1000</f>
        <v>#REF!</v>
      </c>
      <c r="U9" s="11" t="e">
        <f t="shared" si="11"/>
        <v>#REF!</v>
      </c>
      <c r="V9" s="11" t="e">
        <f t="shared" si="12"/>
        <v>#REF!</v>
      </c>
      <c r="W9" s="43" t="e">
        <f t="shared" si="13"/>
        <v>#REF!</v>
      </c>
      <c r="X9" s="43" t="e">
        <f t="shared" si="14"/>
        <v>#REF!</v>
      </c>
      <c r="Y9" s="11" t="e">
        <f>SUMIFS(#REF!,#REF!,C9)/(1+1.8%)*(1+1.8%+2.3%)</f>
        <v>#REF!</v>
      </c>
      <c r="Z9" s="11" t="e">
        <f t="shared" si="15"/>
        <v>#REF!</v>
      </c>
      <c r="AA9" s="64"/>
      <c r="AB9" s="11" t="e">
        <f>(SUMIFS(#REF!,#REF!,C9)/(1+1.8%))*(1+1.8%+2.3%)</f>
        <v>#REF!</v>
      </c>
      <c r="AC9" s="11" t="e">
        <f>-SUMIFS(#REF!,#REF!,C9)/1000</f>
        <v>#REF!</v>
      </c>
      <c r="AD9" s="11" t="e">
        <f>SUMIFS(#REF!,#REF!,C9)</f>
        <v>#REF!</v>
      </c>
      <c r="AE9" s="11" t="e">
        <f>SUMIFS(#REF!,#REF!,C9)</f>
        <v>#REF!</v>
      </c>
      <c r="AF9" s="11" t="e">
        <f t="shared" si="4"/>
        <v>#REF!</v>
      </c>
    </row>
    <row r="10" spans="1:32" x14ac:dyDescent="0.25">
      <c r="A10" s="13" t="s">
        <v>27</v>
      </c>
      <c r="B10" s="14" t="s">
        <v>28</v>
      </c>
      <c r="C10" s="4" t="s">
        <v>31</v>
      </c>
      <c r="D10" s="4" t="s">
        <v>8</v>
      </c>
      <c r="E10" s="11">
        <f>SUMIFS('ICB Core Baseline 2024-25'!Q:Q,'ICB Core Baseline 2024-25'!C:C,C10)</f>
        <v>5659485.1514335498</v>
      </c>
      <c r="F10" s="11" t="e">
        <f>SUMIFS(#REF!,#REF!,C10)</f>
        <v>#REF!</v>
      </c>
      <c r="G10" s="43" t="e">
        <f t="shared" si="5"/>
        <v>#REF!</v>
      </c>
      <c r="I10" s="43" t="e">
        <f>SUMIFS(#REF!,#REF!,C10)</f>
        <v>#REF!</v>
      </c>
      <c r="J10" s="43" t="e">
        <f t="shared" si="6"/>
        <v>#REF!</v>
      </c>
      <c r="K10" s="43" t="e">
        <f t="shared" si="7"/>
        <v>#REF!</v>
      </c>
      <c r="L10" s="11" t="e">
        <f t="shared" si="8"/>
        <v>#REF!</v>
      </c>
      <c r="M10" s="11" t="e">
        <f t="shared" si="0"/>
        <v>#REF!</v>
      </c>
      <c r="N10" s="43" t="e">
        <f>SUMIFS(#REF!,#REF!,C10)</f>
        <v>#REF!</v>
      </c>
      <c r="O10" s="11" t="e">
        <f t="shared" si="1"/>
        <v>#REF!</v>
      </c>
      <c r="P10" s="43" t="e">
        <f t="shared" si="9"/>
        <v>#REF!</v>
      </c>
      <c r="Q10" s="11" t="e">
        <f t="shared" si="2"/>
        <v>#REF!</v>
      </c>
      <c r="R10" s="11" t="e">
        <f t="shared" si="10"/>
        <v>#REF!</v>
      </c>
      <c r="S10" s="11" t="e">
        <f t="shared" si="3"/>
        <v>#REF!</v>
      </c>
      <c r="T10" s="11" t="e">
        <f>(SUMIFS(#REF!,#REF!,C10)/SUMIFS(#REF!,#REF!,C10))*1000</f>
        <v>#REF!</v>
      </c>
      <c r="U10" s="11" t="e">
        <f t="shared" si="11"/>
        <v>#REF!</v>
      </c>
      <c r="V10" s="11" t="e">
        <f t="shared" si="12"/>
        <v>#REF!</v>
      </c>
      <c r="W10" s="43" t="e">
        <f t="shared" si="13"/>
        <v>#REF!</v>
      </c>
      <c r="X10" s="43" t="e">
        <f t="shared" si="14"/>
        <v>#REF!</v>
      </c>
      <c r="Y10" s="11" t="e">
        <f>SUMIFS(#REF!,#REF!,C10)/(1+1.8%)*(1+1.8%+2.3%)</f>
        <v>#REF!</v>
      </c>
      <c r="Z10" s="11" t="e">
        <f t="shared" si="15"/>
        <v>#REF!</v>
      </c>
      <c r="AA10" s="64"/>
      <c r="AB10" s="11" t="e">
        <f>(SUMIFS(#REF!,#REF!,C10)/(1+1.8%))*(1+1.8%+2.3%)</f>
        <v>#REF!</v>
      </c>
      <c r="AC10" s="11" t="e">
        <f>-SUMIFS(#REF!,#REF!,C10)/1000</f>
        <v>#REF!</v>
      </c>
      <c r="AD10" s="11" t="e">
        <f>SUMIFS(#REF!,#REF!,C10)</f>
        <v>#REF!</v>
      </c>
      <c r="AE10" s="11" t="e">
        <f>SUMIFS(#REF!,#REF!,C10)</f>
        <v>#REF!</v>
      </c>
      <c r="AF10" s="11" t="e">
        <f t="shared" si="4"/>
        <v>#REF!</v>
      </c>
    </row>
    <row r="11" spans="1:32" x14ac:dyDescent="0.25">
      <c r="A11" s="15" t="s">
        <v>27</v>
      </c>
      <c r="B11" s="16" t="s">
        <v>28</v>
      </c>
      <c r="C11" s="17" t="s">
        <v>32</v>
      </c>
      <c r="D11" s="17" t="s">
        <v>33</v>
      </c>
      <c r="E11" s="18">
        <f>SUMIFS('ICB Core Baseline 2024-25'!Q:Q,'ICB Core Baseline 2024-25'!C:C,C11)</f>
        <v>3508460.5811494747</v>
      </c>
      <c r="F11" s="18" t="e">
        <f>SUMIFS(#REF!,#REF!,C11)</f>
        <v>#REF!</v>
      </c>
      <c r="G11" s="44" t="e">
        <f t="shared" si="5"/>
        <v>#REF!</v>
      </c>
      <c r="I11" s="44" t="e">
        <f>SUMIFS(#REF!,#REF!,C11)</f>
        <v>#REF!</v>
      </c>
      <c r="J11" s="44" t="e">
        <f t="shared" si="6"/>
        <v>#REF!</v>
      </c>
      <c r="K11" s="44" t="e">
        <f t="shared" si="7"/>
        <v>#REF!</v>
      </c>
      <c r="L11" s="18" t="e">
        <f t="shared" si="8"/>
        <v>#REF!</v>
      </c>
      <c r="M11" s="18" t="e">
        <f t="shared" si="0"/>
        <v>#REF!</v>
      </c>
      <c r="N11" s="44" t="e">
        <f>SUMIFS(#REF!,#REF!,C11)</f>
        <v>#REF!</v>
      </c>
      <c r="O11" s="18" t="e">
        <f t="shared" si="1"/>
        <v>#REF!</v>
      </c>
      <c r="P11" s="44" t="e">
        <f t="shared" si="9"/>
        <v>#REF!</v>
      </c>
      <c r="Q11" s="18" t="e">
        <f t="shared" si="2"/>
        <v>#REF!</v>
      </c>
      <c r="R11" s="18" t="e">
        <f t="shared" si="10"/>
        <v>#REF!</v>
      </c>
      <c r="S11" s="18" t="e">
        <f t="shared" si="3"/>
        <v>#REF!</v>
      </c>
      <c r="T11" s="18" t="e">
        <f>(SUMIFS(#REF!,#REF!,C11)/SUMIFS(#REF!,#REF!,C11))*1000</f>
        <v>#REF!</v>
      </c>
      <c r="U11" s="18" t="e">
        <f t="shared" si="11"/>
        <v>#REF!</v>
      </c>
      <c r="V11" s="18" t="e">
        <f t="shared" si="12"/>
        <v>#REF!</v>
      </c>
      <c r="W11" s="44" t="e">
        <f t="shared" si="13"/>
        <v>#REF!</v>
      </c>
      <c r="X11" s="44" t="e">
        <f t="shared" si="14"/>
        <v>#REF!</v>
      </c>
      <c r="Y11" s="18" t="e">
        <f>SUMIFS(#REF!,#REF!,C11)/(1+1.8%)*(1+1.8%+2.3%)</f>
        <v>#REF!</v>
      </c>
      <c r="Z11" s="18" t="e">
        <f t="shared" si="15"/>
        <v>#REF!</v>
      </c>
      <c r="AA11" s="65"/>
      <c r="AB11" s="18" t="e">
        <f>(SUMIFS(#REF!,#REF!,C11)/(1+1.8%))*(1+1.8%+2.3%)</f>
        <v>#REF!</v>
      </c>
      <c r="AC11" s="18" t="e">
        <f>-SUMIFS(#REF!,#REF!,C11)/1000</f>
        <v>#REF!</v>
      </c>
      <c r="AD11" s="18" t="e">
        <f>SUMIFS(#REF!,#REF!,C11)</f>
        <v>#REF!</v>
      </c>
      <c r="AE11" s="18" t="e">
        <f>SUMIFS(#REF!,#REF!,C11)</f>
        <v>#REF!</v>
      </c>
      <c r="AF11" s="18" t="e">
        <f t="shared" si="4"/>
        <v>#REF!</v>
      </c>
    </row>
    <row r="12" spans="1:32" x14ac:dyDescent="0.25">
      <c r="A12" s="10" t="s">
        <v>34</v>
      </c>
      <c r="B12" s="4" t="s">
        <v>35</v>
      </c>
      <c r="C12" s="4" t="s">
        <v>36</v>
      </c>
      <c r="D12" s="4" t="s">
        <v>37</v>
      </c>
      <c r="E12" s="11">
        <f>SUMIFS('ICB Core Baseline 2024-25'!Q:Q,'ICB Core Baseline 2024-25'!C:C,C12)</f>
        <v>2582726.5490809772</v>
      </c>
      <c r="F12" s="11" t="e">
        <f>SUMIFS(#REF!,#REF!,C12)</f>
        <v>#REF!</v>
      </c>
      <c r="G12" s="43" t="e">
        <f t="shared" si="5"/>
        <v>#REF!</v>
      </c>
      <c r="I12" s="43" t="e">
        <f>SUMIFS(#REF!,#REF!,C12)</f>
        <v>#REF!</v>
      </c>
      <c r="J12" s="43" t="e">
        <f t="shared" si="6"/>
        <v>#REF!</v>
      </c>
      <c r="K12" s="43" t="e">
        <f t="shared" si="7"/>
        <v>#REF!</v>
      </c>
      <c r="L12" s="11" t="e">
        <f t="shared" si="8"/>
        <v>#REF!</v>
      </c>
      <c r="M12" s="11" t="e">
        <f t="shared" si="0"/>
        <v>#REF!</v>
      </c>
      <c r="N12" s="43" t="e">
        <f>SUMIFS(#REF!,#REF!,C12)</f>
        <v>#REF!</v>
      </c>
      <c r="O12" s="11" t="e">
        <f t="shared" si="1"/>
        <v>#REF!</v>
      </c>
      <c r="P12" s="43" t="e">
        <f t="shared" si="9"/>
        <v>#REF!</v>
      </c>
      <c r="Q12" s="11" t="e">
        <f t="shared" si="2"/>
        <v>#REF!</v>
      </c>
      <c r="R12" s="11" t="e">
        <f t="shared" si="10"/>
        <v>#REF!</v>
      </c>
      <c r="S12" s="11" t="e">
        <f t="shared" si="3"/>
        <v>#REF!</v>
      </c>
      <c r="T12" s="11" t="e">
        <f>(SUMIFS(#REF!,#REF!,C12)/SUMIFS(#REF!,#REF!,C12))*1000</f>
        <v>#REF!</v>
      </c>
      <c r="U12" s="11" t="e">
        <f t="shared" si="11"/>
        <v>#REF!</v>
      </c>
      <c r="V12" s="11" t="e">
        <f t="shared" si="12"/>
        <v>#REF!</v>
      </c>
      <c r="W12" s="43" t="e">
        <f t="shared" si="13"/>
        <v>#REF!</v>
      </c>
      <c r="X12" s="43" t="e">
        <f t="shared" si="14"/>
        <v>#REF!</v>
      </c>
      <c r="Y12" s="11" t="e">
        <f>SUMIFS(#REF!,#REF!,C12)/(1+1.8%)*(1+1.8%+2.3%)</f>
        <v>#REF!</v>
      </c>
      <c r="Z12" s="11" t="e">
        <f t="shared" si="15"/>
        <v>#REF!</v>
      </c>
      <c r="AA12" s="64"/>
      <c r="AB12" s="11" t="e">
        <f>(SUMIFS(#REF!,#REF!,C12)/(1+1.8%))*(1+1.8%+2.3%)</f>
        <v>#REF!</v>
      </c>
      <c r="AC12" s="11" t="e">
        <f>-SUMIFS(#REF!,#REF!,C12)/1000</f>
        <v>#REF!</v>
      </c>
      <c r="AD12" s="11" t="e">
        <f>SUMIFS(#REF!,#REF!,C12)</f>
        <v>#REF!</v>
      </c>
      <c r="AE12" s="11" t="e">
        <f>SUMIFS(#REF!,#REF!,C12)</f>
        <v>#REF!</v>
      </c>
      <c r="AF12" s="11" t="e">
        <f t="shared" si="4"/>
        <v>#REF!</v>
      </c>
    </row>
    <row r="13" spans="1:32" x14ac:dyDescent="0.25">
      <c r="A13" s="13" t="s">
        <v>34</v>
      </c>
      <c r="B13" s="14" t="s">
        <v>35</v>
      </c>
      <c r="C13" s="4" t="s">
        <v>38</v>
      </c>
      <c r="D13" s="4" t="s">
        <v>39</v>
      </c>
      <c r="E13" s="11">
        <f>SUMIFS('ICB Core Baseline 2024-25'!Q:Q,'ICB Core Baseline 2024-25'!C:C,C13)</f>
        <v>2279346.3873321107</v>
      </c>
      <c r="F13" s="11" t="e">
        <f>SUMIFS(#REF!,#REF!,C13)</f>
        <v>#REF!</v>
      </c>
      <c r="G13" s="43" t="e">
        <f t="shared" si="5"/>
        <v>#REF!</v>
      </c>
      <c r="I13" s="43" t="e">
        <f>SUMIFS(#REF!,#REF!,C13)</f>
        <v>#REF!</v>
      </c>
      <c r="J13" s="43" t="e">
        <f t="shared" si="6"/>
        <v>#REF!</v>
      </c>
      <c r="K13" s="43" t="e">
        <f t="shared" si="7"/>
        <v>#REF!</v>
      </c>
      <c r="L13" s="11" t="e">
        <f t="shared" si="8"/>
        <v>#REF!</v>
      </c>
      <c r="M13" s="11" t="e">
        <f t="shared" si="0"/>
        <v>#REF!</v>
      </c>
      <c r="N13" s="43" t="e">
        <f>SUMIFS(#REF!,#REF!,C13)</f>
        <v>#REF!</v>
      </c>
      <c r="O13" s="11" t="e">
        <f t="shared" si="1"/>
        <v>#REF!</v>
      </c>
      <c r="P13" s="43" t="e">
        <f t="shared" si="9"/>
        <v>#REF!</v>
      </c>
      <c r="Q13" s="11" t="e">
        <f t="shared" si="2"/>
        <v>#REF!</v>
      </c>
      <c r="R13" s="11" t="e">
        <f t="shared" si="10"/>
        <v>#REF!</v>
      </c>
      <c r="S13" s="11" t="e">
        <f t="shared" si="3"/>
        <v>#REF!</v>
      </c>
      <c r="T13" s="11" t="e">
        <f>(SUMIFS(#REF!,#REF!,C13)/SUMIFS(#REF!,#REF!,C13))*1000</f>
        <v>#REF!</v>
      </c>
      <c r="U13" s="11" t="e">
        <f t="shared" si="11"/>
        <v>#REF!</v>
      </c>
      <c r="V13" s="11" t="e">
        <f t="shared" si="12"/>
        <v>#REF!</v>
      </c>
      <c r="W13" s="43" t="e">
        <f t="shared" si="13"/>
        <v>#REF!</v>
      </c>
      <c r="X13" s="43" t="e">
        <f t="shared" si="14"/>
        <v>#REF!</v>
      </c>
      <c r="Y13" s="11" t="e">
        <f>SUMIFS(#REF!,#REF!,C13)/(1+1.8%)*(1+1.8%+2.3%)</f>
        <v>#REF!</v>
      </c>
      <c r="Z13" s="11" t="e">
        <f t="shared" si="15"/>
        <v>#REF!</v>
      </c>
      <c r="AA13" s="64"/>
      <c r="AB13" s="11" t="e">
        <f>(SUMIFS(#REF!,#REF!,C13)/(1+1.8%))*(1+1.8%+2.3%)</f>
        <v>#REF!</v>
      </c>
      <c r="AC13" s="11" t="e">
        <f>-SUMIFS(#REF!,#REF!,C13)/1000</f>
        <v>#REF!</v>
      </c>
      <c r="AD13" s="11" t="e">
        <f>SUMIFS(#REF!,#REF!,C13)</f>
        <v>#REF!</v>
      </c>
      <c r="AE13" s="11" t="e">
        <f>SUMIFS(#REF!,#REF!,C13)</f>
        <v>#REF!</v>
      </c>
      <c r="AF13" s="11" t="e">
        <f t="shared" si="4"/>
        <v>#REF!</v>
      </c>
    </row>
    <row r="14" spans="1:32" x14ac:dyDescent="0.25">
      <c r="A14" s="13" t="s">
        <v>34</v>
      </c>
      <c r="B14" s="14" t="s">
        <v>35</v>
      </c>
      <c r="C14" s="4" t="s">
        <v>40</v>
      </c>
      <c r="D14" s="4" t="s">
        <v>41</v>
      </c>
      <c r="E14" s="11">
        <f>SUMIFS('ICB Core Baseline 2024-25'!Q:Q,'ICB Core Baseline 2024-25'!C:C,C14)</f>
        <v>1685859.4368248242</v>
      </c>
      <c r="F14" s="11" t="e">
        <f>SUMIFS(#REF!,#REF!,C14)</f>
        <v>#REF!</v>
      </c>
      <c r="G14" s="43" t="e">
        <f t="shared" si="5"/>
        <v>#REF!</v>
      </c>
      <c r="I14" s="43" t="e">
        <f>SUMIFS(#REF!,#REF!,C14)</f>
        <v>#REF!</v>
      </c>
      <c r="J14" s="43" t="e">
        <f t="shared" si="6"/>
        <v>#REF!</v>
      </c>
      <c r="K14" s="43" t="e">
        <f t="shared" si="7"/>
        <v>#REF!</v>
      </c>
      <c r="L14" s="11" t="e">
        <f t="shared" si="8"/>
        <v>#REF!</v>
      </c>
      <c r="M14" s="11" t="e">
        <f t="shared" si="0"/>
        <v>#REF!</v>
      </c>
      <c r="N14" s="43" t="e">
        <f>SUMIFS(#REF!,#REF!,C14)</f>
        <v>#REF!</v>
      </c>
      <c r="O14" s="11" t="e">
        <f t="shared" si="1"/>
        <v>#REF!</v>
      </c>
      <c r="P14" s="43" t="e">
        <f t="shared" si="9"/>
        <v>#REF!</v>
      </c>
      <c r="Q14" s="11" t="e">
        <f t="shared" si="2"/>
        <v>#REF!</v>
      </c>
      <c r="R14" s="11" t="e">
        <f t="shared" si="10"/>
        <v>#REF!</v>
      </c>
      <c r="S14" s="11" t="e">
        <f t="shared" si="3"/>
        <v>#REF!</v>
      </c>
      <c r="T14" s="11" t="e">
        <f>(SUMIFS(#REF!,#REF!,C14)/SUMIFS(#REF!,#REF!,C14))*1000</f>
        <v>#REF!</v>
      </c>
      <c r="U14" s="11" t="e">
        <f t="shared" si="11"/>
        <v>#REF!</v>
      </c>
      <c r="V14" s="11" t="e">
        <f t="shared" si="12"/>
        <v>#REF!</v>
      </c>
      <c r="W14" s="43" t="e">
        <f t="shared" si="13"/>
        <v>#REF!</v>
      </c>
      <c r="X14" s="43" t="e">
        <f t="shared" si="14"/>
        <v>#REF!</v>
      </c>
      <c r="Y14" s="11" t="e">
        <f>SUMIFS(#REF!,#REF!,C14)/(1+1.8%)*(1+1.8%+2.3%)</f>
        <v>#REF!</v>
      </c>
      <c r="Z14" s="11" t="e">
        <f t="shared" si="15"/>
        <v>#REF!</v>
      </c>
      <c r="AA14" s="64"/>
      <c r="AB14" s="11" t="e">
        <f>(SUMIFS(#REF!,#REF!,C14)/(1+1.8%))*(1+1.8%+2.3%)</f>
        <v>#REF!</v>
      </c>
      <c r="AC14" s="11" t="e">
        <f>-SUMIFS(#REF!,#REF!,C14)/1000</f>
        <v>#REF!</v>
      </c>
      <c r="AD14" s="11" t="e">
        <f>SUMIFS(#REF!,#REF!,C14)</f>
        <v>#REF!</v>
      </c>
      <c r="AE14" s="11" t="e">
        <f>SUMIFS(#REF!,#REF!,C14)</f>
        <v>#REF!</v>
      </c>
      <c r="AF14" s="11" t="e">
        <f t="shared" si="4"/>
        <v>#REF!</v>
      </c>
    </row>
    <row r="15" spans="1:32" x14ac:dyDescent="0.25">
      <c r="A15" s="13" t="s">
        <v>34</v>
      </c>
      <c r="B15" s="14" t="s">
        <v>35</v>
      </c>
      <c r="C15" s="4" t="s">
        <v>42</v>
      </c>
      <c r="D15" s="4" t="s">
        <v>43</v>
      </c>
      <c r="E15" s="11">
        <f>SUMIFS('ICB Core Baseline 2024-25'!Q:Q,'ICB Core Baseline 2024-25'!C:C,C15)</f>
        <v>1963325.072147588</v>
      </c>
      <c r="F15" s="11" t="e">
        <f>SUMIFS(#REF!,#REF!,C15)</f>
        <v>#REF!</v>
      </c>
      <c r="G15" s="43" t="e">
        <f t="shared" si="5"/>
        <v>#REF!</v>
      </c>
      <c r="I15" s="43" t="e">
        <f>SUMIFS(#REF!,#REF!,C15)</f>
        <v>#REF!</v>
      </c>
      <c r="J15" s="43" t="e">
        <f t="shared" si="6"/>
        <v>#REF!</v>
      </c>
      <c r="K15" s="43" t="e">
        <f t="shared" si="7"/>
        <v>#REF!</v>
      </c>
      <c r="L15" s="11" t="e">
        <f t="shared" si="8"/>
        <v>#REF!</v>
      </c>
      <c r="M15" s="11" t="e">
        <f t="shared" si="0"/>
        <v>#REF!</v>
      </c>
      <c r="N15" s="43" t="e">
        <f>SUMIFS(#REF!,#REF!,C15)</f>
        <v>#REF!</v>
      </c>
      <c r="O15" s="11" t="e">
        <f t="shared" si="1"/>
        <v>#REF!</v>
      </c>
      <c r="P15" s="43" t="e">
        <f t="shared" si="9"/>
        <v>#REF!</v>
      </c>
      <c r="Q15" s="11" t="e">
        <f t="shared" si="2"/>
        <v>#REF!</v>
      </c>
      <c r="R15" s="11" t="e">
        <f t="shared" si="10"/>
        <v>#REF!</v>
      </c>
      <c r="S15" s="11" t="e">
        <f t="shared" si="3"/>
        <v>#REF!</v>
      </c>
      <c r="T15" s="11" t="e">
        <f>(SUMIFS(#REF!,#REF!,C15)/SUMIFS(#REF!,#REF!,C15))*1000</f>
        <v>#REF!</v>
      </c>
      <c r="U15" s="11" t="e">
        <f t="shared" si="11"/>
        <v>#REF!</v>
      </c>
      <c r="V15" s="11" t="e">
        <f t="shared" si="12"/>
        <v>#REF!</v>
      </c>
      <c r="W15" s="43" t="e">
        <f t="shared" si="13"/>
        <v>#REF!</v>
      </c>
      <c r="X15" s="43" t="e">
        <f t="shared" si="14"/>
        <v>#REF!</v>
      </c>
      <c r="Y15" s="11" t="e">
        <f>SUMIFS(#REF!,#REF!,C15)/(1+1.8%)*(1+1.8%+2.3%)</f>
        <v>#REF!</v>
      </c>
      <c r="Z15" s="11" t="e">
        <f t="shared" si="15"/>
        <v>#REF!</v>
      </c>
      <c r="AA15" s="64"/>
      <c r="AB15" s="11" t="e">
        <f>(SUMIFS(#REF!,#REF!,C15)/(1+1.8%))*(1+1.8%+2.3%)</f>
        <v>#REF!</v>
      </c>
      <c r="AC15" s="11" t="e">
        <f>-SUMIFS(#REF!,#REF!,C15)/1000</f>
        <v>#REF!</v>
      </c>
      <c r="AD15" s="11" t="e">
        <f>SUMIFS(#REF!,#REF!,C15)</f>
        <v>#REF!</v>
      </c>
      <c r="AE15" s="11" t="e">
        <f>SUMIFS(#REF!,#REF!,C15)</f>
        <v>#REF!</v>
      </c>
      <c r="AF15" s="11" t="e">
        <f t="shared" si="4"/>
        <v>#REF!</v>
      </c>
    </row>
    <row r="16" spans="1:32" x14ac:dyDescent="0.25">
      <c r="A16" s="13" t="s">
        <v>34</v>
      </c>
      <c r="B16" s="14" t="s">
        <v>35</v>
      </c>
      <c r="C16" s="4" t="s">
        <v>44</v>
      </c>
      <c r="D16" s="4" t="s">
        <v>45</v>
      </c>
      <c r="E16" s="11">
        <f>SUMIFS('ICB Core Baseline 2024-25'!Q:Q,'ICB Core Baseline 2024-25'!C:C,C16)</f>
        <v>1399084.5320666675</v>
      </c>
      <c r="F16" s="11" t="e">
        <f>SUMIFS(#REF!,#REF!,C16)</f>
        <v>#REF!</v>
      </c>
      <c r="G16" s="43" t="e">
        <f t="shared" si="5"/>
        <v>#REF!</v>
      </c>
      <c r="I16" s="43" t="e">
        <f>SUMIFS(#REF!,#REF!,C16)</f>
        <v>#REF!</v>
      </c>
      <c r="J16" s="43" t="e">
        <f t="shared" si="6"/>
        <v>#REF!</v>
      </c>
      <c r="K16" s="43" t="e">
        <f t="shared" si="7"/>
        <v>#REF!</v>
      </c>
      <c r="L16" s="11" t="e">
        <f t="shared" si="8"/>
        <v>#REF!</v>
      </c>
      <c r="M16" s="11" t="e">
        <f t="shared" si="0"/>
        <v>#REF!</v>
      </c>
      <c r="N16" s="43" t="e">
        <f>SUMIFS(#REF!,#REF!,C16)</f>
        <v>#REF!</v>
      </c>
      <c r="O16" s="11" t="e">
        <f t="shared" si="1"/>
        <v>#REF!</v>
      </c>
      <c r="P16" s="43" t="e">
        <f t="shared" si="9"/>
        <v>#REF!</v>
      </c>
      <c r="Q16" s="11" t="e">
        <f t="shared" si="2"/>
        <v>#REF!</v>
      </c>
      <c r="R16" s="11" t="e">
        <f t="shared" si="10"/>
        <v>#REF!</v>
      </c>
      <c r="S16" s="11" t="e">
        <f t="shared" si="3"/>
        <v>#REF!</v>
      </c>
      <c r="T16" s="11" t="e">
        <f>(SUMIFS(#REF!,#REF!,C16)/SUMIFS(#REF!,#REF!,C16))*1000</f>
        <v>#REF!</v>
      </c>
      <c r="U16" s="11" t="e">
        <f t="shared" si="11"/>
        <v>#REF!</v>
      </c>
      <c r="V16" s="11" t="e">
        <f t="shared" si="12"/>
        <v>#REF!</v>
      </c>
      <c r="W16" s="43" t="e">
        <f t="shared" si="13"/>
        <v>#REF!</v>
      </c>
      <c r="X16" s="43" t="e">
        <f t="shared" si="14"/>
        <v>#REF!</v>
      </c>
      <c r="Y16" s="11" t="e">
        <f>SUMIFS(#REF!,#REF!,C16)/(1+1.8%)*(1+1.8%+2.3%)</f>
        <v>#REF!</v>
      </c>
      <c r="Z16" s="11" t="e">
        <f t="shared" si="15"/>
        <v>#REF!</v>
      </c>
      <c r="AA16" s="64"/>
      <c r="AB16" s="11" t="e">
        <f>(SUMIFS(#REF!,#REF!,C16)/(1+1.8%))*(1+1.8%+2.3%)</f>
        <v>#REF!</v>
      </c>
      <c r="AC16" s="11" t="e">
        <f>-SUMIFS(#REF!,#REF!,C16)/1000</f>
        <v>#REF!</v>
      </c>
      <c r="AD16" s="11" t="e">
        <f>SUMIFS(#REF!,#REF!,C16)</f>
        <v>#REF!</v>
      </c>
      <c r="AE16" s="11" t="e">
        <f>SUMIFS(#REF!,#REF!,C16)</f>
        <v>#REF!</v>
      </c>
      <c r="AF16" s="11" t="e">
        <f t="shared" si="4"/>
        <v>#REF!</v>
      </c>
    </row>
    <row r="17" spans="1:32" x14ac:dyDescent="0.25">
      <c r="A17" s="13" t="s">
        <v>34</v>
      </c>
      <c r="B17" s="14" t="s">
        <v>35</v>
      </c>
      <c r="C17" s="4" t="s">
        <v>46</v>
      </c>
      <c r="D17" s="4" t="s">
        <v>47</v>
      </c>
      <c r="E17" s="11">
        <f>SUMIFS('ICB Core Baseline 2024-25'!Q:Q,'ICB Core Baseline 2024-25'!C:C,C17)</f>
        <v>1777885.3086175141</v>
      </c>
      <c r="F17" s="11" t="e">
        <f>SUMIFS(#REF!,#REF!,C17)</f>
        <v>#REF!</v>
      </c>
      <c r="G17" s="43" t="e">
        <f t="shared" si="5"/>
        <v>#REF!</v>
      </c>
      <c r="I17" s="43" t="e">
        <f>SUMIFS(#REF!,#REF!,C17)</f>
        <v>#REF!</v>
      </c>
      <c r="J17" s="43" t="e">
        <f t="shared" si="6"/>
        <v>#REF!</v>
      </c>
      <c r="K17" s="43" t="e">
        <f t="shared" si="7"/>
        <v>#REF!</v>
      </c>
      <c r="L17" s="11" t="e">
        <f t="shared" si="8"/>
        <v>#REF!</v>
      </c>
      <c r="M17" s="11" t="e">
        <f t="shared" si="0"/>
        <v>#REF!</v>
      </c>
      <c r="N17" s="43" t="e">
        <f>SUMIFS(#REF!,#REF!,C17)</f>
        <v>#REF!</v>
      </c>
      <c r="O17" s="11" t="e">
        <f t="shared" si="1"/>
        <v>#REF!</v>
      </c>
      <c r="P17" s="43" t="e">
        <f t="shared" si="9"/>
        <v>#REF!</v>
      </c>
      <c r="Q17" s="11" t="e">
        <f t="shared" si="2"/>
        <v>#REF!</v>
      </c>
      <c r="R17" s="11" t="e">
        <f t="shared" si="10"/>
        <v>#REF!</v>
      </c>
      <c r="S17" s="11" t="e">
        <f t="shared" si="3"/>
        <v>#REF!</v>
      </c>
      <c r="T17" s="11" t="e">
        <f>(SUMIFS(#REF!,#REF!,C17)/SUMIFS(#REF!,#REF!,C17))*1000</f>
        <v>#REF!</v>
      </c>
      <c r="U17" s="11" t="e">
        <f t="shared" si="11"/>
        <v>#REF!</v>
      </c>
      <c r="V17" s="11" t="e">
        <f t="shared" si="12"/>
        <v>#REF!</v>
      </c>
      <c r="W17" s="43" t="e">
        <f t="shared" si="13"/>
        <v>#REF!</v>
      </c>
      <c r="X17" s="43" t="e">
        <f t="shared" si="14"/>
        <v>#REF!</v>
      </c>
      <c r="Y17" s="11" t="e">
        <f>SUMIFS(#REF!,#REF!,C17)/(1+1.8%)*(1+1.8%+2.3%)</f>
        <v>#REF!</v>
      </c>
      <c r="Z17" s="11" t="e">
        <f t="shared" si="15"/>
        <v>#REF!</v>
      </c>
      <c r="AA17" s="64"/>
      <c r="AB17" s="11" t="e">
        <f>(SUMIFS(#REF!,#REF!,C17)/(1+1.8%))*(1+1.8%+2.3%)</f>
        <v>#REF!</v>
      </c>
      <c r="AC17" s="11" t="e">
        <f>-SUMIFS(#REF!,#REF!,C17)/1000</f>
        <v>#REF!</v>
      </c>
      <c r="AD17" s="11" t="e">
        <f>SUMIFS(#REF!,#REF!,C17)</f>
        <v>#REF!</v>
      </c>
      <c r="AE17" s="11" t="e">
        <f>SUMIFS(#REF!,#REF!,C17)</f>
        <v>#REF!</v>
      </c>
      <c r="AF17" s="11" t="e">
        <f t="shared" si="4"/>
        <v>#REF!</v>
      </c>
    </row>
    <row r="18" spans="1:32" x14ac:dyDescent="0.25">
      <c r="A18" s="13" t="s">
        <v>34</v>
      </c>
      <c r="B18" s="14" t="s">
        <v>35</v>
      </c>
      <c r="C18" s="4" t="s">
        <v>48</v>
      </c>
      <c r="D18" s="4" t="s">
        <v>49</v>
      </c>
      <c r="E18" s="11">
        <f>SUMIFS('ICB Core Baseline 2024-25'!Q:Q,'ICB Core Baseline 2024-25'!C:C,C18)</f>
        <v>1430894.8889875349</v>
      </c>
      <c r="F18" s="11" t="e">
        <f>SUMIFS(#REF!,#REF!,C18)</f>
        <v>#REF!</v>
      </c>
      <c r="G18" s="43" t="e">
        <f t="shared" si="5"/>
        <v>#REF!</v>
      </c>
      <c r="I18" s="43" t="e">
        <f>SUMIFS(#REF!,#REF!,C18)</f>
        <v>#REF!</v>
      </c>
      <c r="J18" s="43" t="e">
        <f t="shared" si="6"/>
        <v>#REF!</v>
      </c>
      <c r="K18" s="43" t="e">
        <f t="shared" si="7"/>
        <v>#REF!</v>
      </c>
      <c r="L18" s="11" t="e">
        <f t="shared" si="8"/>
        <v>#REF!</v>
      </c>
      <c r="M18" s="11" t="e">
        <f t="shared" si="0"/>
        <v>#REF!</v>
      </c>
      <c r="N18" s="43" t="e">
        <f>SUMIFS(#REF!,#REF!,C18)</f>
        <v>#REF!</v>
      </c>
      <c r="O18" s="11" t="e">
        <f t="shared" si="1"/>
        <v>#REF!</v>
      </c>
      <c r="P18" s="43" t="e">
        <f t="shared" si="9"/>
        <v>#REF!</v>
      </c>
      <c r="Q18" s="11" t="e">
        <f t="shared" si="2"/>
        <v>#REF!</v>
      </c>
      <c r="R18" s="11" t="e">
        <f t="shared" si="10"/>
        <v>#REF!</v>
      </c>
      <c r="S18" s="11" t="e">
        <f t="shared" si="3"/>
        <v>#REF!</v>
      </c>
      <c r="T18" s="11" t="e">
        <f>(SUMIFS(#REF!,#REF!,C18)/SUMIFS(#REF!,#REF!,C18))*1000</f>
        <v>#REF!</v>
      </c>
      <c r="U18" s="11" t="e">
        <f t="shared" si="11"/>
        <v>#REF!</v>
      </c>
      <c r="V18" s="11" t="e">
        <f t="shared" si="12"/>
        <v>#REF!</v>
      </c>
      <c r="W18" s="43" t="e">
        <f t="shared" si="13"/>
        <v>#REF!</v>
      </c>
      <c r="X18" s="43" t="e">
        <f t="shared" si="14"/>
        <v>#REF!</v>
      </c>
      <c r="Y18" s="11" t="e">
        <f>SUMIFS(#REF!,#REF!,C18)/(1+1.8%)*(1+1.8%+2.3%)</f>
        <v>#REF!</v>
      </c>
      <c r="Z18" s="11" t="e">
        <f t="shared" si="15"/>
        <v>#REF!</v>
      </c>
      <c r="AA18" s="64"/>
      <c r="AB18" s="11" t="e">
        <f>(SUMIFS(#REF!,#REF!,C18)/(1+1.8%))*(1+1.8%+2.3%)</f>
        <v>#REF!</v>
      </c>
      <c r="AC18" s="11" t="e">
        <f>-SUMIFS(#REF!,#REF!,C18)/1000</f>
        <v>#REF!</v>
      </c>
      <c r="AD18" s="11" t="e">
        <f>SUMIFS(#REF!,#REF!,C18)</f>
        <v>#REF!</v>
      </c>
      <c r="AE18" s="11" t="e">
        <f>SUMIFS(#REF!,#REF!,C18)</f>
        <v>#REF!</v>
      </c>
      <c r="AF18" s="11" t="e">
        <f t="shared" si="4"/>
        <v>#REF!</v>
      </c>
    </row>
    <row r="19" spans="1:32" x14ac:dyDescent="0.25">
      <c r="A19" s="13" t="s">
        <v>34</v>
      </c>
      <c r="B19" s="14" t="s">
        <v>35</v>
      </c>
      <c r="C19" s="4" t="s">
        <v>50</v>
      </c>
      <c r="D19" s="4" t="s">
        <v>51</v>
      </c>
      <c r="E19" s="11">
        <f>SUMIFS('ICB Core Baseline 2024-25'!Q:Q,'ICB Core Baseline 2024-25'!C:C,C19)</f>
        <v>1309001.4633780424</v>
      </c>
      <c r="F19" s="11" t="e">
        <f>SUMIFS(#REF!,#REF!,C19)</f>
        <v>#REF!</v>
      </c>
      <c r="G19" s="43" t="e">
        <f t="shared" si="5"/>
        <v>#REF!</v>
      </c>
      <c r="I19" s="43" t="e">
        <f>SUMIFS(#REF!,#REF!,C19)</f>
        <v>#REF!</v>
      </c>
      <c r="J19" s="43" t="e">
        <f t="shared" si="6"/>
        <v>#REF!</v>
      </c>
      <c r="K19" s="43" t="e">
        <f t="shared" si="7"/>
        <v>#REF!</v>
      </c>
      <c r="L19" s="11" t="e">
        <f t="shared" si="8"/>
        <v>#REF!</v>
      </c>
      <c r="M19" s="11" t="e">
        <f t="shared" si="0"/>
        <v>#REF!</v>
      </c>
      <c r="N19" s="43" t="e">
        <f>SUMIFS(#REF!,#REF!,C19)</f>
        <v>#REF!</v>
      </c>
      <c r="O19" s="11" t="e">
        <f t="shared" si="1"/>
        <v>#REF!</v>
      </c>
      <c r="P19" s="43" t="e">
        <f t="shared" si="9"/>
        <v>#REF!</v>
      </c>
      <c r="Q19" s="11" t="e">
        <f t="shared" si="2"/>
        <v>#REF!</v>
      </c>
      <c r="R19" s="11" t="e">
        <f t="shared" si="10"/>
        <v>#REF!</v>
      </c>
      <c r="S19" s="11" t="e">
        <f t="shared" si="3"/>
        <v>#REF!</v>
      </c>
      <c r="T19" s="11" t="e">
        <f>(SUMIFS(#REF!,#REF!,C19)/SUMIFS(#REF!,#REF!,C19))*1000</f>
        <v>#REF!</v>
      </c>
      <c r="U19" s="11" t="e">
        <f t="shared" si="11"/>
        <v>#REF!</v>
      </c>
      <c r="V19" s="11" t="e">
        <f t="shared" si="12"/>
        <v>#REF!</v>
      </c>
      <c r="W19" s="43" t="e">
        <f t="shared" si="13"/>
        <v>#REF!</v>
      </c>
      <c r="X19" s="43" t="e">
        <f t="shared" si="14"/>
        <v>#REF!</v>
      </c>
      <c r="Y19" s="11" t="e">
        <f>SUMIFS(#REF!,#REF!,C19)/(1+1.8%)*(1+1.8%+2.3%)</f>
        <v>#REF!</v>
      </c>
      <c r="Z19" s="11" t="e">
        <f t="shared" si="15"/>
        <v>#REF!</v>
      </c>
      <c r="AA19" s="64"/>
      <c r="AB19" s="11" t="e">
        <f>(SUMIFS(#REF!,#REF!,C19)/(1+1.8%))*(1+1.8%+2.3%)</f>
        <v>#REF!</v>
      </c>
      <c r="AC19" s="11" t="e">
        <f>-SUMIFS(#REF!,#REF!,C19)/1000</f>
        <v>#REF!</v>
      </c>
      <c r="AD19" s="11" t="e">
        <f>SUMIFS(#REF!,#REF!,C19)</f>
        <v>#REF!</v>
      </c>
      <c r="AE19" s="11" t="e">
        <f>SUMIFS(#REF!,#REF!,C19)</f>
        <v>#REF!</v>
      </c>
      <c r="AF19" s="11" t="e">
        <f t="shared" si="4"/>
        <v>#REF!</v>
      </c>
    </row>
    <row r="20" spans="1:32" x14ac:dyDescent="0.25">
      <c r="A20" s="13" t="s">
        <v>34</v>
      </c>
      <c r="B20" s="14" t="s">
        <v>35</v>
      </c>
      <c r="C20" s="4" t="s">
        <v>52</v>
      </c>
      <c r="D20" s="4" t="s">
        <v>53</v>
      </c>
      <c r="E20" s="11">
        <f>SUMIFS('ICB Core Baseline 2024-25'!Q:Q,'ICB Core Baseline 2024-25'!C:C,C20)</f>
        <v>2105484.7321976945</v>
      </c>
      <c r="F20" s="11" t="e">
        <f>SUMIFS(#REF!,#REF!,C20)</f>
        <v>#REF!</v>
      </c>
      <c r="G20" s="43" t="e">
        <f t="shared" si="5"/>
        <v>#REF!</v>
      </c>
      <c r="I20" s="43" t="e">
        <f>SUMIFS(#REF!,#REF!,C20)</f>
        <v>#REF!</v>
      </c>
      <c r="J20" s="43" t="e">
        <f t="shared" si="6"/>
        <v>#REF!</v>
      </c>
      <c r="K20" s="43" t="e">
        <f t="shared" si="7"/>
        <v>#REF!</v>
      </c>
      <c r="L20" s="11" t="e">
        <f t="shared" si="8"/>
        <v>#REF!</v>
      </c>
      <c r="M20" s="11" t="e">
        <f t="shared" si="0"/>
        <v>#REF!</v>
      </c>
      <c r="N20" s="43" t="e">
        <f>SUMIFS(#REF!,#REF!,C20)</f>
        <v>#REF!</v>
      </c>
      <c r="O20" s="11" t="e">
        <f t="shared" si="1"/>
        <v>#REF!</v>
      </c>
      <c r="P20" s="43" t="e">
        <f t="shared" si="9"/>
        <v>#REF!</v>
      </c>
      <c r="Q20" s="11" t="e">
        <f t="shared" si="2"/>
        <v>#REF!</v>
      </c>
      <c r="R20" s="11" t="e">
        <f t="shared" si="10"/>
        <v>#REF!</v>
      </c>
      <c r="S20" s="11" t="e">
        <f t="shared" si="3"/>
        <v>#REF!</v>
      </c>
      <c r="T20" s="11" t="e">
        <f>(SUMIFS(#REF!,#REF!,C20)/SUMIFS(#REF!,#REF!,C20))*1000</f>
        <v>#REF!</v>
      </c>
      <c r="U20" s="11" t="e">
        <f t="shared" si="11"/>
        <v>#REF!</v>
      </c>
      <c r="V20" s="11" t="e">
        <f t="shared" si="12"/>
        <v>#REF!</v>
      </c>
      <c r="W20" s="43" t="e">
        <f t="shared" si="13"/>
        <v>#REF!</v>
      </c>
      <c r="X20" s="43" t="e">
        <f t="shared" si="14"/>
        <v>#REF!</v>
      </c>
      <c r="Y20" s="11" t="e">
        <f>SUMIFS(#REF!,#REF!,C20)/(1+1.8%)*(1+1.8%+2.3%)</f>
        <v>#REF!</v>
      </c>
      <c r="Z20" s="11" t="e">
        <f t="shared" si="15"/>
        <v>#REF!</v>
      </c>
      <c r="AA20" s="64"/>
      <c r="AB20" s="11" t="e">
        <f>(SUMIFS(#REF!,#REF!,C20)/(1+1.8%))*(1+1.8%+2.3%)</f>
        <v>#REF!</v>
      </c>
      <c r="AC20" s="11" t="e">
        <f>-SUMIFS(#REF!,#REF!,C20)/1000</f>
        <v>#REF!</v>
      </c>
      <c r="AD20" s="11" t="e">
        <f>SUMIFS(#REF!,#REF!,C20)</f>
        <v>#REF!</v>
      </c>
      <c r="AE20" s="11" t="e">
        <f>SUMIFS(#REF!,#REF!,C20)</f>
        <v>#REF!</v>
      </c>
      <c r="AF20" s="11" t="e">
        <f t="shared" si="4"/>
        <v>#REF!</v>
      </c>
    </row>
    <row r="21" spans="1:32" x14ac:dyDescent="0.25">
      <c r="A21" s="13" t="s">
        <v>34</v>
      </c>
      <c r="B21" s="14" t="s">
        <v>35</v>
      </c>
      <c r="C21" s="4" t="s">
        <v>54</v>
      </c>
      <c r="D21" s="4" t="s">
        <v>55</v>
      </c>
      <c r="E21" s="11">
        <f>SUMIFS('ICB Core Baseline 2024-25'!Q:Q,'ICB Core Baseline 2024-25'!C:C,C21)</f>
        <v>916651.06573692488</v>
      </c>
      <c r="F21" s="11" t="e">
        <f>SUMIFS(#REF!,#REF!,C21)</f>
        <v>#REF!</v>
      </c>
      <c r="G21" s="43" t="e">
        <f t="shared" si="5"/>
        <v>#REF!</v>
      </c>
      <c r="I21" s="43" t="e">
        <f>SUMIFS(#REF!,#REF!,C21)</f>
        <v>#REF!</v>
      </c>
      <c r="J21" s="43" t="e">
        <f t="shared" si="6"/>
        <v>#REF!</v>
      </c>
      <c r="K21" s="43" t="e">
        <f t="shared" si="7"/>
        <v>#REF!</v>
      </c>
      <c r="L21" s="11" t="e">
        <f t="shared" si="8"/>
        <v>#REF!</v>
      </c>
      <c r="M21" s="11" t="e">
        <f t="shared" si="0"/>
        <v>#REF!</v>
      </c>
      <c r="N21" s="43" t="e">
        <f>SUMIFS(#REF!,#REF!,C21)</f>
        <v>#REF!</v>
      </c>
      <c r="O21" s="11" t="e">
        <f t="shared" si="1"/>
        <v>#REF!</v>
      </c>
      <c r="P21" s="43" t="e">
        <f t="shared" si="9"/>
        <v>#REF!</v>
      </c>
      <c r="Q21" s="11" t="e">
        <f t="shared" si="2"/>
        <v>#REF!</v>
      </c>
      <c r="R21" s="11" t="e">
        <f t="shared" si="10"/>
        <v>#REF!</v>
      </c>
      <c r="S21" s="11" t="e">
        <f t="shared" si="3"/>
        <v>#REF!</v>
      </c>
      <c r="T21" s="11" t="e">
        <f>(SUMIFS(#REF!,#REF!,C21)/SUMIFS(#REF!,#REF!,C21))*1000</f>
        <v>#REF!</v>
      </c>
      <c r="U21" s="11" t="e">
        <f t="shared" si="11"/>
        <v>#REF!</v>
      </c>
      <c r="V21" s="11" t="e">
        <f t="shared" si="12"/>
        <v>#REF!</v>
      </c>
      <c r="W21" s="43" t="e">
        <f t="shared" si="13"/>
        <v>#REF!</v>
      </c>
      <c r="X21" s="43" t="e">
        <f t="shared" si="14"/>
        <v>#REF!</v>
      </c>
      <c r="Y21" s="11" t="e">
        <f>SUMIFS(#REF!,#REF!,C21)/(1+1.8%)*(1+1.8%+2.3%)</f>
        <v>#REF!</v>
      </c>
      <c r="Z21" s="11" t="e">
        <f t="shared" si="15"/>
        <v>#REF!</v>
      </c>
      <c r="AA21" s="64"/>
      <c r="AB21" s="11" t="e">
        <f>(SUMIFS(#REF!,#REF!,C21)/(1+1.8%))*(1+1.8%+2.3%)</f>
        <v>#REF!</v>
      </c>
      <c r="AC21" s="11" t="e">
        <f>-SUMIFS(#REF!,#REF!,C21)/1000</f>
        <v>#REF!</v>
      </c>
      <c r="AD21" s="11" t="e">
        <f>SUMIFS(#REF!,#REF!,C21)</f>
        <v>#REF!</v>
      </c>
      <c r="AE21" s="11" t="e">
        <f>SUMIFS(#REF!,#REF!,C21)</f>
        <v>#REF!</v>
      </c>
      <c r="AF21" s="11" t="e">
        <f t="shared" si="4"/>
        <v>#REF!</v>
      </c>
    </row>
    <row r="22" spans="1:32" x14ac:dyDescent="0.25">
      <c r="A22" s="15" t="s">
        <v>34</v>
      </c>
      <c r="B22" s="16" t="s">
        <v>35</v>
      </c>
      <c r="C22" s="17" t="s">
        <v>56</v>
      </c>
      <c r="D22" s="17" t="s">
        <v>57</v>
      </c>
      <c r="E22" s="18">
        <f>SUMIFS('ICB Core Baseline 2024-25'!Q:Q,'ICB Core Baseline 2024-25'!C:C,C22)</f>
        <v>2085926.6315805949</v>
      </c>
      <c r="F22" s="18" t="e">
        <f>SUMIFS(#REF!,#REF!,C22)</f>
        <v>#REF!</v>
      </c>
      <c r="G22" s="44" t="e">
        <f t="shared" si="5"/>
        <v>#REF!</v>
      </c>
      <c r="I22" s="44" t="e">
        <f>SUMIFS(#REF!,#REF!,C22)</f>
        <v>#REF!</v>
      </c>
      <c r="J22" s="44" t="e">
        <f t="shared" si="6"/>
        <v>#REF!</v>
      </c>
      <c r="K22" s="44" t="e">
        <f t="shared" si="7"/>
        <v>#REF!</v>
      </c>
      <c r="L22" s="18" t="e">
        <f t="shared" si="8"/>
        <v>#REF!</v>
      </c>
      <c r="M22" s="18" t="e">
        <f t="shared" si="0"/>
        <v>#REF!</v>
      </c>
      <c r="N22" s="44" t="e">
        <f>SUMIFS(#REF!,#REF!,C22)</f>
        <v>#REF!</v>
      </c>
      <c r="O22" s="18" t="e">
        <f t="shared" si="1"/>
        <v>#REF!</v>
      </c>
      <c r="P22" s="44" t="e">
        <f t="shared" si="9"/>
        <v>#REF!</v>
      </c>
      <c r="Q22" s="18" t="e">
        <f t="shared" si="2"/>
        <v>#REF!</v>
      </c>
      <c r="R22" s="18" t="e">
        <f t="shared" si="10"/>
        <v>#REF!</v>
      </c>
      <c r="S22" s="18" t="e">
        <f t="shared" si="3"/>
        <v>#REF!</v>
      </c>
      <c r="T22" s="18" t="e">
        <f>(SUMIFS(#REF!,#REF!,C22)/SUMIFS(#REF!,#REF!,C22))*1000</f>
        <v>#REF!</v>
      </c>
      <c r="U22" s="18" t="e">
        <f t="shared" si="11"/>
        <v>#REF!</v>
      </c>
      <c r="V22" s="18" t="e">
        <f t="shared" si="12"/>
        <v>#REF!</v>
      </c>
      <c r="W22" s="44" t="e">
        <f t="shared" si="13"/>
        <v>#REF!</v>
      </c>
      <c r="X22" s="44" t="e">
        <f t="shared" si="14"/>
        <v>#REF!</v>
      </c>
      <c r="Y22" s="18" t="e">
        <f>SUMIFS(#REF!,#REF!,C22)/(1+1.8%)*(1+1.8%+2.3%)</f>
        <v>#REF!</v>
      </c>
      <c r="Z22" s="18" t="e">
        <f t="shared" si="15"/>
        <v>#REF!</v>
      </c>
      <c r="AA22" s="65"/>
      <c r="AB22" s="18" t="e">
        <f>(SUMIFS(#REF!,#REF!,C22)/(1+1.8%))*(1+1.8%+2.3%)</f>
        <v>#REF!</v>
      </c>
      <c r="AC22" s="18" t="e">
        <f>-SUMIFS(#REF!,#REF!,C22)/1000</f>
        <v>#REF!</v>
      </c>
      <c r="AD22" s="18" t="e">
        <f>SUMIFS(#REF!,#REF!,C22)</f>
        <v>#REF!</v>
      </c>
      <c r="AE22" s="18" t="e">
        <f>SUMIFS(#REF!,#REF!,C22)</f>
        <v>#REF!</v>
      </c>
      <c r="AF22" s="18" t="e">
        <f t="shared" si="4"/>
        <v>#REF!</v>
      </c>
    </row>
    <row r="23" spans="1:32" x14ac:dyDescent="0.25">
      <c r="A23" s="10" t="s">
        <v>58</v>
      </c>
      <c r="B23" s="4" t="s">
        <v>59</v>
      </c>
      <c r="C23" s="4" t="s">
        <v>60</v>
      </c>
      <c r="D23" s="4" t="s">
        <v>61</v>
      </c>
      <c r="E23" s="11">
        <f>SUMIFS('ICB Core Baseline 2024-25'!Q:Q,'ICB Core Baseline 2024-25'!C:C,C23)</f>
        <v>1642311.0679959552</v>
      </c>
      <c r="F23" s="11" t="e">
        <f>SUMIFS(#REF!,#REF!,C23)</f>
        <v>#REF!</v>
      </c>
      <c r="G23" s="43" t="e">
        <f t="shared" si="5"/>
        <v>#REF!</v>
      </c>
      <c r="I23" s="43" t="e">
        <f>SUMIFS(#REF!,#REF!,C23)</f>
        <v>#REF!</v>
      </c>
      <c r="J23" s="43" t="e">
        <f t="shared" si="6"/>
        <v>#REF!</v>
      </c>
      <c r="K23" s="43" t="e">
        <f t="shared" si="7"/>
        <v>#REF!</v>
      </c>
      <c r="L23" s="11" t="e">
        <f t="shared" si="8"/>
        <v>#REF!</v>
      </c>
      <c r="M23" s="11" t="e">
        <f t="shared" si="0"/>
        <v>#REF!</v>
      </c>
      <c r="N23" s="43" t="e">
        <f>SUMIFS(#REF!,#REF!,C23)</f>
        <v>#REF!</v>
      </c>
      <c r="O23" s="11" t="e">
        <f t="shared" si="1"/>
        <v>#REF!</v>
      </c>
      <c r="P23" s="43" t="e">
        <f t="shared" si="9"/>
        <v>#REF!</v>
      </c>
      <c r="Q23" s="11" t="e">
        <f t="shared" si="2"/>
        <v>#REF!</v>
      </c>
      <c r="R23" s="11" t="e">
        <f t="shared" si="10"/>
        <v>#REF!</v>
      </c>
      <c r="S23" s="11" t="e">
        <f t="shared" si="3"/>
        <v>#REF!</v>
      </c>
      <c r="T23" s="11" t="e">
        <f>(SUMIFS(#REF!,#REF!,C23)/SUMIFS(#REF!,#REF!,C23))*1000</f>
        <v>#REF!</v>
      </c>
      <c r="U23" s="11" t="e">
        <f t="shared" si="11"/>
        <v>#REF!</v>
      </c>
      <c r="V23" s="11" t="e">
        <f t="shared" si="12"/>
        <v>#REF!</v>
      </c>
      <c r="W23" s="43" t="e">
        <f t="shared" si="13"/>
        <v>#REF!</v>
      </c>
      <c r="X23" s="43" t="e">
        <f t="shared" si="14"/>
        <v>#REF!</v>
      </c>
      <c r="Y23" s="11" t="e">
        <f>SUMIFS(#REF!,#REF!,C23)/(1+1.8%)*(1+1.8%+2.3%)</f>
        <v>#REF!</v>
      </c>
      <c r="Z23" s="11" t="e">
        <f t="shared" si="15"/>
        <v>#REF!</v>
      </c>
      <c r="AA23" s="64"/>
      <c r="AB23" s="11" t="e">
        <f>(SUMIFS(#REF!,#REF!,C23)/(1+1.8%))*(1+1.8%+2.3%)</f>
        <v>#REF!</v>
      </c>
      <c r="AC23" s="11" t="e">
        <f>-SUMIFS(#REF!,#REF!,C23)/1000</f>
        <v>#REF!</v>
      </c>
      <c r="AD23" s="11" t="e">
        <f>SUMIFS(#REF!,#REF!,C23)</f>
        <v>#REF!</v>
      </c>
      <c r="AE23" s="11" t="e">
        <f>SUMIFS(#REF!,#REF!,C23)</f>
        <v>#REF!</v>
      </c>
      <c r="AF23" s="11" t="e">
        <f t="shared" si="4"/>
        <v>#REF!</v>
      </c>
    </row>
    <row r="24" spans="1:32" x14ac:dyDescent="0.25">
      <c r="A24" s="13" t="s">
        <v>58</v>
      </c>
      <c r="B24" s="14" t="s">
        <v>59</v>
      </c>
      <c r="C24" s="4" t="s">
        <v>62</v>
      </c>
      <c r="D24" s="4" t="s">
        <v>63</v>
      </c>
      <c r="E24" s="11">
        <f>SUMIFS('ICB Core Baseline 2024-25'!Q:Q,'ICB Core Baseline 2024-25'!C:C,C24)</f>
        <v>1520393.7039299591</v>
      </c>
      <c r="F24" s="11" t="e">
        <f>SUMIFS(#REF!,#REF!,C24)</f>
        <v>#REF!</v>
      </c>
      <c r="G24" s="43" t="e">
        <f t="shared" si="5"/>
        <v>#REF!</v>
      </c>
      <c r="I24" s="43" t="e">
        <f>SUMIFS(#REF!,#REF!,C24)</f>
        <v>#REF!</v>
      </c>
      <c r="J24" s="43" t="e">
        <f t="shared" si="6"/>
        <v>#REF!</v>
      </c>
      <c r="K24" s="43" t="e">
        <f t="shared" si="7"/>
        <v>#REF!</v>
      </c>
      <c r="L24" s="11" t="e">
        <f t="shared" si="8"/>
        <v>#REF!</v>
      </c>
      <c r="M24" s="11" t="e">
        <f t="shared" si="0"/>
        <v>#REF!</v>
      </c>
      <c r="N24" s="43" t="e">
        <f>SUMIFS(#REF!,#REF!,C24)</f>
        <v>#REF!</v>
      </c>
      <c r="O24" s="11" t="e">
        <f t="shared" si="1"/>
        <v>#REF!</v>
      </c>
      <c r="P24" s="43" t="e">
        <f t="shared" si="9"/>
        <v>#REF!</v>
      </c>
      <c r="Q24" s="11" t="e">
        <f t="shared" si="2"/>
        <v>#REF!</v>
      </c>
      <c r="R24" s="11" t="e">
        <f t="shared" si="10"/>
        <v>#REF!</v>
      </c>
      <c r="S24" s="11" t="e">
        <f t="shared" si="3"/>
        <v>#REF!</v>
      </c>
      <c r="T24" s="11" t="e">
        <f>(SUMIFS(#REF!,#REF!,C24)/SUMIFS(#REF!,#REF!,C24))*1000</f>
        <v>#REF!</v>
      </c>
      <c r="U24" s="11" t="e">
        <f t="shared" si="11"/>
        <v>#REF!</v>
      </c>
      <c r="V24" s="11" t="e">
        <f t="shared" si="12"/>
        <v>#REF!</v>
      </c>
      <c r="W24" s="43" t="e">
        <f t="shared" si="13"/>
        <v>#REF!</v>
      </c>
      <c r="X24" s="43" t="e">
        <f t="shared" si="14"/>
        <v>#REF!</v>
      </c>
      <c r="Y24" s="11" t="e">
        <f>SUMIFS(#REF!,#REF!,C24)/(1+1.8%)*(1+1.8%+2.3%)</f>
        <v>#REF!</v>
      </c>
      <c r="Z24" s="11" t="e">
        <f t="shared" si="15"/>
        <v>#REF!</v>
      </c>
      <c r="AA24" s="64"/>
      <c r="AB24" s="11" t="e">
        <f>(SUMIFS(#REF!,#REF!,C24)/(1+1.8%))*(1+1.8%+2.3%)</f>
        <v>#REF!</v>
      </c>
      <c r="AC24" s="11" t="e">
        <f>-SUMIFS(#REF!,#REF!,C24)/1000</f>
        <v>#REF!</v>
      </c>
      <c r="AD24" s="11" t="e">
        <f>SUMIFS(#REF!,#REF!,C24)</f>
        <v>#REF!</v>
      </c>
      <c r="AE24" s="11" t="e">
        <f>SUMIFS(#REF!,#REF!,C24)</f>
        <v>#REF!</v>
      </c>
      <c r="AF24" s="11" t="e">
        <f t="shared" si="4"/>
        <v>#REF!</v>
      </c>
    </row>
    <row r="25" spans="1:32" x14ac:dyDescent="0.25">
      <c r="A25" s="13" t="s">
        <v>58</v>
      </c>
      <c r="B25" s="14" t="s">
        <v>59</v>
      </c>
      <c r="C25" s="4" t="s">
        <v>64</v>
      </c>
      <c r="D25" s="4" t="s">
        <v>65</v>
      </c>
      <c r="E25" s="11">
        <f>SUMIFS('ICB Core Baseline 2024-25'!Q:Q,'ICB Core Baseline 2024-25'!C:C,C25)</f>
        <v>2595751.7014513845</v>
      </c>
      <c r="F25" s="11" t="e">
        <f>SUMIFS(#REF!,#REF!,C25)</f>
        <v>#REF!</v>
      </c>
      <c r="G25" s="43" t="e">
        <f t="shared" si="5"/>
        <v>#REF!</v>
      </c>
      <c r="I25" s="43" t="e">
        <f>SUMIFS(#REF!,#REF!,C25)</f>
        <v>#REF!</v>
      </c>
      <c r="J25" s="43" t="e">
        <f t="shared" si="6"/>
        <v>#REF!</v>
      </c>
      <c r="K25" s="43" t="e">
        <f t="shared" si="7"/>
        <v>#REF!</v>
      </c>
      <c r="L25" s="11" t="e">
        <f t="shared" si="8"/>
        <v>#REF!</v>
      </c>
      <c r="M25" s="11" t="e">
        <f t="shared" si="0"/>
        <v>#REF!</v>
      </c>
      <c r="N25" s="43" t="e">
        <f>SUMIFS(#REF!,#REF!,C25)</f>
        <v>#REF!</v>
      </c>
      <c r="O25" s="11" t="e">
        <f t="shared" si="1"/>
        <v>#REF!</v>
      </c>
      <c r="P25" s="43" t="e">
        <f t="shared" si="9"/>
        <v>#REF!</v>
      </c>
      <c r="Q25" s="11" t="e">
        <f t="shared" si="2"/>
        <v>#REF!</v>
      </c>
      <c r="R25" s="11" t="e">
        <f t="shared" si="10"/>
        <v>#REF!</v>
      </c>
      <c r="S25" s="11" t="e">
        <f t="shared" si="3"/>
        <v>#REF!</v>
      </c>
      <c r="T25" s="11" t="e">
        <f>(SUMIFS(#REF!,#REF!,C25)/SUMIFS(#REF!,#REF!,C25))*1000</f>
        <v>#REF!</v>
      </c>
      <c r="U25" s="11" t="e">
        <f t="shared" si="11"/>
        <v>#REF!</v>
      </c>
      <c r="V25" s="11" t="e">
        <f t="shared" si="12"/>
        <v>#REF!</v>
      </c>
      <c r="W25" s="43" t="e">
        <f t="shared" si="13"/>
        <v>#REF!</v>
      </c>
      <c r="X25" s="43" t="e">
        <f t="shared" si="14"/>
        <v>#REF!</v>
      </c>
      <c r="Y25" s="11" t="e">
        <f>SUMIFS(#REF!,#REF!,C25)/(1+1.8%)*(1+1.8%+2.3%)</f>
        <v>#REF!</v>
      </c>
      <c r="Z25" s="11" t="e">
        <f t="shared" si="15"/>
        <v>#REF!</v>
      </c>
      <c r="AA25" s="64"/>
      <c r="AB25" s="11" t="e">
        <f>(SUMIFS(#REF!,#REF!,C25)/(1+1.8%))*(1+1.8%+2.3%)</f>
        <v>#REF!</v>
      </c>
      <c r="AC25" s="11" t="e">
        <f>-SUMIFS(#REF!,#REF!,C25)/1000</f>
        <v>#REF!</v>
      </c>
      <c r="AD25" s="11" t="e">
        <f>SUMIFS(#REF!,#REF!,C25)</f>
        <v>#REF!</v>
      </c>
      <c r="AE25" s="11" t="e">
        <f>SUMIFS(#REF!,#REF!,C25)</f>
        <v>#REF!</v>
      </c>
      <c r="AF25" s="11" t="e">
        <f t="shared" si="4"/>
        <v>#REF!</v>
      </c>
    </row>
    <row r="26" spans="1:32" x14ac:dyDescent="0.25">
      <c r="A26" s="13" t="s">
        <v>58</v>
      </c>
      <c r="B26" s="14" t="s">
        <v>59</v>
      </c>
      <c r="C26" s="4" t="s">
        <v>66</v>
      </c>
      <c r="D26" s="4" t="s">
        <v>67</v>
      </c>
      <c r="E26" s="11">
        <f>SUMIFS('ICB Core Baseline 2024-25'!Q:Q,'ICB Core Baseline 2024-25'!C:C,C26)</f>
        <v>2107372.3351789187</v>
      </c>
      <c r="F26" s="11" t="e">
        <f>SUMIFS(#REF!,#REF!,C26)</f>
        <v>#REF!</v>
      </c>
      <c r="G26" s="43" t="e">
        <f t="shared" si="5"/>
        <v>#REF!</v>
      </c>
      <c r="I26" s="43" t="e">
        <f>SUMIFS(#REF!,#REF!,C26)</f>
        <v>#REF!</v>
      </c>
      <c r="J26" s="43" t="e">
        <f t="shared" si="6"/>
        <v>#REF!</v>
      </c>
      <c r="K26" s="43" t="e">
        <f t="shared" si="7"/>
        <v>#REF!</v>
      </c>
      <c r="L26" s="11" t="e">
        <f t="shared" si="8"/>
        <v>#REF!</v>
      </c>
      <c r="M26" s="11" t="e">
        <f t="shared" si="0"/>
        <v>#REF!</v>
      </c>
      <c r="N26" s="43" t="e">
        <f>SUMIFS(#REF!,#REF!,C26)</f>
        <v>#REF!</v>
      </c>
      <c r="O26" s="11" t="e">
        <f t="shared" si="1"/>
        <v>#REF!</v>
      </c>
      <c r="P26" s="43" t="e">
        <f t="shared" si="9"/>
        <v>#REF!</v>
      </c>
      <c r="Q26" s="11" t="e">
        <f t="shared" si="2"/>
        <v>#REF!</v>
      </c>
      <c r="R26" s="11" t="e">
        <f t="shared" si="10"/>
        <v>#REF!</v>
      </c>
      <c r="S26" s="11" t="e">
        <f t="shared" si="3"/>
        <v>#REF!</v>
      </c>
      <c r="T26" s="11" t="e">
        <f>(SUMIFS(#REF!,#REF!,C26)/SUMIFS(#REF!,#REF!,C26))*1000</f>
        <v>#REF!</v>
      </c>
      <c r="U26" s="11" t="e">
        <f t="shared" si="11"/>
        <v>#REF!</v>
      </c>
      <c r="V26" s="11" t="e">
        <f t="shared" si="12"/>
        <v>#REF!</v>
      </c>
      <c r="W26" s="43" t="e">
        <f t="shared" si="13"/>
        <v>#REF!</v>
      </c>
      <c r="X26" s="43" t="e">
        <f t="shared" si="14"/>
        <v>#REF!</v>
      </c>
      <c r="Y26" s="11" t="e">
        <f>SUMIFS(#REF!,#REF!,C26)/(1+1.8%)*(1+1.8%+2.3%)</f>
        <v>#REF!</v>
      </c>
      <c r="Z26" s="11" t="e">
        <f t="shared" si="15"/>
        <v>#REF!</v>
      </c>
      <c r="AA26" s="64"/>
      <c r="AB26" s="11" t="e">
        <f>(SUMIFS(#REF!,#REF!,C26)/(1+1.8%))*(1+1.8%+2.3%)</f>
        <v>#REF!</v>
      </c>
      <c r="AC26" s="11" t="e">
        <f>-SUMIFS(#REF!,#REF!,C26)/1000</f>
        <v>#REF!</v>
      </c>
      <c r="AD26" s="11" t="e">
        <f>SUMIFS(#REF!,#REF!,C26)</f>
        <v>#REF!</v>
      </c>
      <c r="AE26" s="11" t="e">
        <f>SUMIFS(#REF!,#REF!,C26)</f>
        <v>#REF!</v>
      </c>
      <c r="AF26" s="11" t="e">
        <f t="shared" si="4"/>
        <v>#REF!</v>
      </c>
    </row>
    <row r="27" spans="1:32" x14ac:dyDescent="0.25">
      <c r="A27" s="13" t="s">
        <v>58</v>
      </c>
      <c r="B27" s="14" t="s">
        <v>59</v>
      </c>
      <c r="C27" s="4" t="s">
        <v>68</v>
      </c>
      <c r="D27" s="4" t="s">
        <v>69</v>
      </c>
      <c r="E27" s="11">
        <f>SUMIFS('ICB Core Baseline 2024-25'!Q:Q,'ICB Core Baseline 2024-25'!C:C,C27)</f>
        <v>1928859.6706777667</v>
      </c>
      <c r="F27" s="11" t="e">
        <f>SUMIFS(#REF!,#REF!,C27)</f>
        <v>#REF!</v>
      </c>
      <c r="G27" s="43" t="e">
        <f t="shared" si="5"/>
        <v>#REF!</v>
      </c>
      <c r="I27" s="43" t="e">
        <f>SUMIFS(#REF!,#REF!,C27)</f>
        <v>#REF!</v>
      </c>
      <c r="J27" s="43" t="e">
        <f t="shared" si="6"/>
        <v>#REF!</v>
      </c>
      <c r="K27" s="43" t="e">
        <f t="shared" si="7"/>
        <v>#REF!</v>
      </c>
      <c r="L27" s="11" t="e">
        <f t="shared" si="8"/>
        <v>#REF!</v>
      </c>
      <c r="M27" s="11" t="e">
        <f t="shared" si="0"/>
        <v>#REF!</v>
      </c>
      <c r="N27" s="43" t="e">
        <f>SUMIFS(#REF!,#REF!,C27)</f>
        <v>#REF!</v>
      </c>
      <c r="O27" s="11" t="e">
        <f t="shared" si="1"/>
        <v>#REF!</v>
      </c>
      <c r="P27" s="43" t="e">
        <f t="shared" si="9"/>
        <v>#REF!</v>
      </c>
      <c r="Q27" s="11" t="e">
        <f t="shared" si="2"/>
        <v>#REF!</v>
      </c>
      <c r="R27" s="11" t="e">
        <f t="shared" si="10"/>
        <v>#REF!</v>
      </c>
      <c r="S27" s="11" t="e">
        <f t="shared" si="3"/>
        <v>#REF!</v>
      </c>
      <c r="T27" s="11" t="e">
        <f>(SUMIFS(#REF!,#REF!,C27)/SUMIFS(#REF!,#REF!,C27))*1000</f>
        <v>#REF!</v>
      </c>
      <c r="U27" s="11" t="e">
        <f t="shared" si="11"/>
        <v>#REF!</v>
      </c>
      <c r="V27" s="11" t="e">
        <f t="shared" si="12"/>
        <v>#REF!</v>
      </c>
      <c r="W27" s="43" t="e">
        <f t="shared" si="13"/>
        <v>#REF!</v>
      </c>
      <c r="X27" s="43" t="e">
        <f t="shared" si="14"/>
        <v>#REF!</v>
      </c>
      <c r="Y27" s="11" t="e">
        <f>SUMIFS(#REF!,#REF!,C27)/(1+1.8%)*(1+1.8%+2.3%)</f>
        <v>#REF!</v>
      </c>
      <c r="Z27" s="11" t="e">
        <f t="shared" si="15"/>
        <v>#REF!</v>
      </c>
      <c r="AA27" s="64"/>
      <c r="AB27" s="11" t="e">
        <f>(SUMIFS(#REF!,#REF!,C27)/(1+1.8%))*(1+1.8%+2.3%)</f>
        <v>#REF!</v>
      </c>
      <c r="AC27" s="11" t="e">
        <f>-SUMIFS(#REF!,#REF!,C27)/1000</f>
        <v>#REF!</v>
      </c>
      <c r="AD27" s="11" t="e">
        <f>SUMIFS(#REF!,#REF!,C27)</f>
        <v>#REF!</v>
      </c>
      <c r="AE27" s="11" t="e">
        <f>SUMIFS(#REF!,#REF!,C27)</f>
        <v>#REF!</v>
      </c>
      <c r="AF27" s="11" t="e">
        <f t="shared" si="4"/>
        <v>#REF!</v>
      </c>
    </row>
    <row r="28" spans="1:32" x14ac:dyDescent="0.25">
      <c r="A28" s="15" t="s">
        <v>58</v>
      </c>
      <c r="B28" s="16" t="s">
        <v>59</v>
      </c>
      <c r="C28" s="17" t="s">
        <v>70</v>
      </c>
      <c r="D28" s="17" t="s">
        <v>71</v>
      </c>
      <c r="E28" s="18">
        <f>SUMIFS('ICB Core Baseline 2024-25'!Q:Q,'ICB Core Baseline 2024-25'!C:C,C28)</f>
        <v>1765011.2948444334</v>
      </c>
      <c r="F28" s="18" t="e">
        <f>SUMIFS(#REF!,#REF!,C28)</f>
        <v>#REF!</v>
      </c>
      <c r="G28" s="44" t="e">
        <f t="shared" si="5"/>
        <v>#REF!</v>
      </c>
      <c r="I28" s="44" t="e">
        <f>SUMIFS(#REF!,#REF!,C28)</f>
        <v>#REF!</v>
      </c>
      <c r="J28" s="44" t="e">
        <f t="shared" si="6"/>
        <v>#REF!</v>
      </c>
      <c r="K28" s="44" t="e">
        <f t="shared" si="7"/>
        <v>#REF!</v>
      </c>
      <c r="L28" s="18" t="e">
        <f t="shared" si="8"/>
        <v>#REF!</v>
      </c>
      <c r="M28" s="18" t="e">
        <f t="shared" si="0"/>
        <v>#REF!</v>
      </c>
      <c r="N28" s="44" t="e">
        <f>SUMIFS(#REF!,#REF!,C28)</f>
        <v>#REF!</v>
      </c>
      <c r="O28" s="18" t="e">
        <f t="shared" si="1"/>
        <v>#REF!</v>
      </c>
      <c r="P28" s="44" t="e">
        <f t="shared" si="9"/>
        <v>#REF!</v>
      </c>
      <c r="Q28" s="18" t="e">
        <f t="shared" si="2"/>
        <v>#REF!</v>
      </c>
      <c r="R28" s="18" t="e">
        <f t="shared" si="10"/>
        <v>#REF!</v>
      </c>
      <c r="S28" s="18" t="e">
        <f t="shared" si="3"/>
        <v>#REF!</v>
      </c>
      <c r="T28" s="18" t="e">
        <f>(SUMIFS(#REF!,#REF!,C28)/SUMIFS(#REF!,#REF!,C28))*1000</f>
        <v>#REF!</v>
      </c>
      <c r="U28" s="18" t="e">
        <f t="shared" si="11"/>
        <v>#REF!</v>
      </c>
      <c r="V28" s="18" t="e">
        <f t="shared" si="12"/>
        <v>#REF!</v>
      </c>
      <c r="W28" s="44" t="e">
        <f t="shared" si="13"/>
        <v>#REF!</v>
      </c>
      <c r="X28" s="44" t="e">
        <f t="shared" si="14"/>
        <v>#REF!</v>
      </c>
      <c r="Y28" s="18" t="e">
        <f>SUMIFS(#REF!,#REF!,C28)/(1+1.8%)*(1+1.8%+2.3%)</f>
        <v>#REF!</v>
      </c>
      <c r="Z28" s="18" t="e">
        <f t="shared" si="15"/>
        <v>#REF!</v>
      </c>
      <c r="AA28" s="65"/>
      <c r="AB28" s="18" t="e">
        <f>(SUMIFS(#REF!,#REF!,C28)/(1+1.8%))*(1+1.8%+2.3%)</f>
        <v>#REF!</v>
      </c>
      <c r="AC28" s="18" t="e">
        <f>-SUMIFS(#REF!,#REF!,C28)/1000</f>
        <v>#REF!</v>
      </c>
      <c r="AD28" s="18" t="e">
        <f>SUMIFS(#REF!,#REF!,C28)</f>
        <v>#REF!</v>
      </c>
      <c r="AE28" s="18" t="e">
        <f>SUMIFS(#REF!,#REF!,C28)</f>
        <v>#REF!</v>
      </c>
      <c r="AF28" s="18" t="e">
        <f t="shared" si="4"/>
        <v>#REF!</v>
      </c>
    </row>
    <row r="29" spans="1:32" x14ac:dyDescent="0.25">
      <c r="A29" s="10" t="s">
        <v>72</v>
      </c>
      <c r="B29" s="4" t="s">
        <v>73</v>
      </c>
      <c r="C29" s="4" t="s">
        <v>74</v>
      </c>
      <c r="D29" s="4" t="s">
        <v>75</v>
      </c>
      <c r="E29" s="11">
        <f>SUMIFS('ICB Core Baseline 2024-25'!Q:Q,'ICB Core Baseline 2024-25'!C:C,C29)</f>
        <v>2837571.0307440353</v>
      </c>
      <c r="F29" s="11" t="e">
        <f>SUMIFS(#REF!,#REF!,C29)</f>
        <v>#REF!</v>
      </c>
      <c r="G29" s="43" t="e">
        <f t="shared" si="5"/>
        <v>#REF!</v>
      </c>
      <c r="I29" s="43" t="e">
        <f>SUMIFS(#REF!,#REF!,C29)</f>
        <v>#REF!</v>
      </c>
      <c r="J29" s="43" t="e">
        <f t="shared" si="6"/>
        <v>#REF!</v>
      </c>
      <c r="K29" s="43" t="e">
        <f t="shared" si="7"/>
        <v>#REF!</v>
      </c>
      <c r="L29" s="11" t="e">
        <f t="shared" si="8"/>
        <v>#REF!</v>
      </c>
      <c r="M29" s="11" t="e">
        <f t="shared" si="0"/>
        <v>#REF!</v>
      </c>
      <c r="N29" s="43" t="e">
        <f>SUMIFS(#REF!,#REF!,C29)</f>
        <v>#REF!</v>
      </c>
      <c r="O29" s="11" t="e">
        <f t="shared" si="1"/>
        <v>#REF!</v>
      </c>
      <c r="P29" s="43" t="e">
        <f t="shared" si="9"/>
        <v>#REF!</v>
      </c>
      <c r="Q29" s="11" t="e">
        <f t="shared" si="2"/>
        <v>#REF!</v>
      </c>
      <c r="R29" s="11" t="e">
        <f t="shared" si="10"/>
        <v>#REF!</v>
      </c>
      <c r="S29" s="11" t="e">
        <f t="shared" si="3"/>
        <v>#REF!</v>
      </c>
      <c r="T29" s="11" t="e">
        <f>(SUMIFS(#REF!,#REF!,C29)/SUMIFS(#REF!,#REF!,C29))*1000</f>
        <v>#REF!</v>
      </c>
      <c r="U29" s="11" t="e">
        <f t="shared" si="11"/>
        <v>#REF!</v>
      </c>
      <c r="V29" s="11" t="e">
        <f t="shared" si="12"/>
        <v>#REF!</v>
      </c>
      <c r="W29" s="43" t="e">
        <f t="shared" si="13"/>
        <v>#REF!</v>
      </c>
      <c r="X29" s="43" t="e">
        <f t="shared" si="14"/>
        <v>#REF!</v>
      </c>
      <c r="Y29" s="11" t="e">
        <f>SUMIFS(#REF!,#REF!,C29)/(1+1.8%)*(1+1.8%+2.3%)</f>
        <v>#REF!</v>
      </c>
      <c r="Z29" s="11" t="e">
        <f t="shared" si="15"/>
        <v>#REF!</v>
      </c>
      <c r="AA29" s="64"/>
      <c r="AB29" s="11" t="e">
        <f>(SUMIFS(#REF!,#REF!,C29)/(1+1.8%))*(1+1.8%+2.3%)</f>
        <v>#REF!</v>
      </c>
      <c r="AC29" s="11" t="e">
        <f>-SUMIFS(#REF!,#REF!,C29)/1000</f>
        <v>#REF!</v>
      </c>
      <c r="AD29" s="11" t="e">
        <f>SUMIFS(#REF!,#REF!,C29)</f>
        <v>#REF!</v>
      </c>
      <c r="AE29" s="11" t="e">
        <f>SUMIFS(#REF!,#REF!,C29)</f>
        <v>#REF!</v>
      </c>
      <c r="AF29" s="11" t="e">
        <f t="shared" si="4"/>
        <v>#REF!</v>
      </c>
    </row>
    <row r="30" spans="1:32" x14ac:dyDescent="0.25">
      <c r="A30" s="13" t="s">
        <v>72</v>
      </c>
      <c r="B30" s="14" t="s">
        <v>73</v>
      </c>
      <c r="C30" s="4" t="s">
        <v>76</v>
      </c>
      <c r="D30" s="4" t="s">
        <v>77</v>
      </c>
      <c r="E30" s="11">
        <f>SUMIFS('ICB Core Baseline 2024-25'!Q:Q,'ICB Core Baseline 2024-25'!C:C,C30)</f>
        <v>3671431.3138210168</v>
      </c>
      <c r="F30" s="11" t="e">
        <f>SUMIFS(#REF!,#REF!,C30)</f>
        <v>#REF!</v>
      </c>
      <c r="G30" s="43" t="e">
        <f t="shared" si="5"/>
        <v>#REF!</v>
      </c>
      <c r="I30" s="43" t="e">
        <f>SUMIFS(#REF!,#REF!,C30)</f>
        <v>#REF!</v>
      </c>
      <c r="J30" s="43" t="e">
        <f t="shared" si="6"/>
        <v>#REF!</v>
      </c>
      <c r="K30" s="43" t="e">
        <f t="shared" si="7"/>
        <v>#REF!</v>
      </c>
      <c r="L30" s="11" t="e">
        <f t="shared" si="8"/>
        <v>#REF!</v>
      </c>
      <c r="M30" s="11" t="e">
        <f t="shared" si="0"/>
        <v>#REF!</v>
      </c>
      <c r="N30" s="43" t="e">
        <f>SUMIFS(#REF!,#REF!,C30)</f>
        <v>#REF!</v>
      </c>
      <c r="O30" s="11" t="e">
        <f t="shared" si="1"/>
        <v>#REF!</v>
      </c>
      <c r="P30" s="43" t="e">
        <f t="shared" si="9"/>
        <v>#REF!</v>
      </c>
      <c r="Q30" s="11" t="e">
        <f t="shared" si="2"/>
        <v>#REF!</v>
      </c>
      <c r="R30" s="11" t="e">
        <f t="shared" si="10"/>
        <v>#REF!</v>
      </c>
      <c r="S30" s="11" t="e">
        <f t="shared" si="3"/>
        <v>#REF!</v>
      </c>
      <c r="T30" s="11" t="e">
        <f>(SUMIFS(#REF!,#REF!,C30)/SUMIFS(#REF!,#REF!,C30))*1000</f>
        <v>#REF!</v>
      </c>
      <c r="U30" s="11" t="e">
        <f t="shared" si="11"/>
        <v>#REF!</v>
      </c>
      <c r="V30" s="11" t="e">
        <f t="shared" si="12"/>
        <v>#REF!</v>
      </c>
      <c r="W30" s="43" t="e">
        <f t="shared" si="13"/>
        <v>#REF!</v>
      </c>
      <c r="X30" s="43" t="e">
        <f t="shared" si="14"/>
        <v>#REF!</v>
      </c>
      <c r="Y30" s="11" t="e">
        <f>SUMIFS(#REF!,#REF!,C30)/(1+1.8%)*(1+1.8%+2.3%)</f>
        <v>#REF!</v>
      </c>
      <c r="Z30" s="11" t="e">
        <f t="shared" si="15"/>
        <v>#REF!</v>
      </c>
      <c r="AA30" s="64"/>
      <c r="AB30" s="11" t="e">
        <f>(SUMIFS(#REF!,#REF!,C30)/(1+1.8%))*(1+1.8%+2.3%)</f>
        <v>#REF!</v>
      </c>
      <c r="AC30" s="11" t="e">
        <f>-SUMIFS(#REF!,#REF!,C30)/1000</f>
        <v>#REF!</v>
      </c>
      <c r="AD30" s="11" t="e">
        <f>SUMIFS(#REF!,#REF!,C30)</f>
        <v>#REF!</v>
      </c>
      <c r="AE30" s="11" t="e">
        <f>SUMIFS(#REF!,#REF!,C30)</f>
        <v>#REF!</v>
      </c>
      <c r="AF30" s="11" t="e">
        <f t="shared" si="4"/>
        <v>#REF!</v>
      </c>
    </row>
    <row r="31" spans="1:32" x14ac:dyDescent="0.25">
      <c r="A31" s="13" t="s">
        <v>72</v>
      </c>
      <c r="B31" s="14" t="s">
        <v>73</v>
      </c>
      <c r="C31" s="4" t="s">
        <v>78</v>
      </c>
      <c r="D31" s="4" t="s">
        <v>79</v>
      </c>
      <c r="E31" s="11">
        <f>SUMIFS('ICB Core Baseline 2024-25'!Q:Q,'ICB Core Baseline 2024-25'!C:C,C31)</f>
        <v>4091956.0059199715</v>
      </c>
      <c r="F31" s="11" t="e">
        <f>SUMIFS(#REF!,#REF!,C31)</f>
        <v>#REF!</v>
      </c>
      <c r="G31" s="43" t="e">
        <f t="shared" si="5"/>
        <v>#REF!</v>
      </c>
      <c r="I31" s="43" t="e">
        <f>SUMIFS(#REF!,#REF!,C31)</f>
        <v>#REF!</v>
      </c>
      <c r="J31" s="43" t="e">
        <f t="shared" si="6"/>
        <v>#REF!</v>
      </c>
      <c r="K31" s="43" t="e">
        <f t="shared" si="7"/>
        <v>#REF!</v>
      </c>
      <c r="L31" s="11" t="e">
        <f t="shared" si="8"/>
        <v>#REF!</v>
      </c>
      <c r="M31" s="11" t="e">
        <f t="shared" si="0"/>
        <v>#REF!</v>
      </c>
      <c r="N31" s="43" t="e">
        <f>SUMIFS(#REF!,#REF!,C31)</f>
        <v>#REF!</v>
      </c>
      <c r="O31" s="11" t="e">
        <f t="shared" si="1"/>
        <v>#REF!</v>
      </c>
      <c r="P31" s="43" t="e">
        <f t="shared" si="9"/>
        <v>#REF!</v>
      </c>
      <c r="Q31" s="11" t="e">
        <f t="shared" si="2"/>
        <v>#REF!</v>
      </c>
      <c r="R31" s="11" t="e">
        <f t="shared" si="10"/>
        <v>#REF!</v>
      </c>
      <c r="S31" s="11" t="e">
        <f t="shared" si="3"/>
        <v>#REF!</v>
      </c>
      <c r="T31" s="11" t="e">
        <f>(SUMIFS(#REF!,#REF!,C31)/SUMIFS(#REF!,#REF!,C31))*1000</f>
        <v>#REF!</v>
      </c>
      <c r="U31" s="11" t="e">
        <f t="shared" si="11"/>
        <v>#REF!</v>
      </c>
      <c r="V31" s="11" t="e">
        <f t="shared" si="12"/>
        <v>#REF!</v>
      </c>
      <c r="W31" s="43" t="e">
        <f t="shared" si="13"/>
        <v>#REF!</v>
      </c>
      <c r="X31" s="43" t="e">
        <f t="shared" si="14"/>
        <v>#REF!</v>
      </c>
      <c r="Y31" s="11" t="e">
        <f>SUMIFS(#REF!,#REF!,C31)/(1+1.8%)*(1+1.8%+2.3%)</f>
        <v>#REF!</v>
      </c>
      <c r="Z31" s="11" t="e">
        <f t="shared" si="15"/>
        <v>#REF!</v>
      </c>
      <c r="AA31" s="64"/>
      <c r="AB31" s="11" t="e">
        <f>(SUMIFS(#REF!,#REF!,C31)/(1+1.8%))*(1+1.8%+2.3%)</f>
        <v>#REF!</v>
      </c>
      <c r="AC31" s="11" t="e">
        <f>-SUMIFS(#REF!,#REF!,C31)/1000</f>
        <v>#REF!</v>
      </c>
      <c r="AD31" s="11" t="e">
        <f>SUMIFS(#REF!,#REF!,C31)</f>
        <v>#REF!</v>
      </c>
      <c r="AE31" s="11" t="e">
        <f>SUMIFS(#REF!,#REF!,C31)</f>
        <v>#REF!</v>
      </c>
      <c r="AF31" s="11" t="e">
        <f t="shared" si="4"/>
        <v>#REF!</v>
      </c>
    </row>
    <row r="32" spans="1:32" x14ac:dyDescent="0.25">
      <c r="A32" s="13" t="s">
        <v>72</v>
      </c>
      <c r="B32" s="14" t="s">
        <v>73</v>
      </c>
      <c r="C32" s="4" t="s">
        <v>80</v>
      </c>
      <c r="D32" s="4" t="s">
        <v>81</v>
      </c>
      <c r="E32" s="11">
        <f>SUMIFS('ICB Core Baseline 2024-25'!Q:Q,'ICB Core Baseline 2024-25'!C:C,C32)</f>
        <v>3546989.4042566177</v>
      </c>
      <c r="F32" s="11" t="e">
        <f>SUMIFS(#REF!,#REF!,C32)</f>
        <v>#REF!</v>
      </c>
      <c r="G32" s="43" t="e">
        <f t="shared" si="5"/>
        <v>#REF!</v>
      </c>
      <c r="I32" s="43" t="e">
        <f>SUMIFS(#REF!,#REF!,C32)</f>
        <v>#REF!</v>
      </c>
      <c r="J32" s="43" t="e">
        <f t="shared" si="6"/>
        <v>#REF!</v>
      </c>
      <c r="K32" s="43" t="e">
        <f t="shared" si="7"/>
        <v>#REF!</v>
      </c>
      <c r="L32" s="11" t="e">
        <f t="shared" si="8"/>
        <v>#REF!</v>
      </c>
      <c r="M32" s="11" t="e">
        <f t="shared" si="0"/>
        <v>#REF!</v>
      </c>
      <c r="N32" s="43" t="e">
        <f>SUMIFS(#REF!,#REF!,C32)</f>
        <v>#REF!</v>
      </c>
      <c r="O32" s="11" t="e">
        <f t="shared" si="1"/>
        <v>#REF!</v>
      </c>
      <c r="P32" s="43" t="e">
        <f t="shared" si="9"/>
        <v>#REF!</v>
      </c>
      <c r="Q32" s="11" t="e">
        <f t="shared" si="2"/>
        <v>#REF!</v>
      </c>
      <c r="R32" s="11" t="e">
        <f t="shared" si="10"/>
        <v>#REF!</v>
      </c>
      <c r="S32" s="11" t="e">
        <f t="shared" si="3"/>
        <v>#REF!</v>
      </c>
      <c r="T32" s="11" t="e">
        <f>(SUMIFS(#REF!,#REF!,C32)/SUMIFS(#REF!,#REF!,C32))*1000</f>
        <v>#REF!</v>
      </c>
      <c r="U32" s="11" t="e">
        <f t="shared" si="11"/>
        <v>#REF!</v>
      </c>
      <c r="V32" s="11" t="e">
        <f t="shared" si="12"/>
        <v>#REF!</v>
      </c>
      <c r="W32" s="43" t="e">
        <f t="shared" si="13"/>
        <v>#REF!</v>
      </c>
      <c r="X32" s="43" t="e">
        <f t="shared" si="14"/>
        <v>#REF!</v>
      </c>
      <c r="Y32" s="11" t="e">
        <f>SUMIFS(#REF!,#REF!,C32)/(1+1.8%)*(1+1.8%+2.3%)</f>
        <v>#REF!</v>
      </c>
      <c r="Z32" s="11" t="e">
        <f t="shared" si="15"/>
        <v>#REF!</v>
      </c>
      <c r="AA32" s="64"/>
      <c r="AB32" s="11" t="e">
        <f>(SUMIFS(#REF!,#REF!,C32)/(1+1.8%))*(1+1.8%+2.3%)</f>
        <v>#REF!</v>
      </c>
      <c r="AC32" s="11" t="e">
        <f>-SUMIFS(#REF!,#REF!,C32)/1000</f>
        <v>#REF!</v>
      </c>
      <c r="AD32" s="11" t="e">
        <f>SUMIFS(#REF!,#REF!,C32)</f>
        <v>#REF!</v>
      </c>
      <c r="AE32" s="11" t="e">
        <f>SUMIFS(#REF!,#REF!,C32)</f>
        <v>#REF!</v>
      </c>
      <c r="AF32" s="11" t="e">
        <f t="shared" si="4"/>
        <v>#REF!</v>
      </c>
    </row>
    <row r="33" spans="1:32" x14ac:dyDescent="0.25">
      <c r="A33" s="15" t="s">
        <v>72</v>
      </c>
      <c r="B33" s="16" t="s">
        <v>73</v>
      </c>
      <c r="C33" s="17" t="s">
        <v>82</v>
      </c>
      <c r="D33" s="17" t="s">
        <v>83</v>
      </c>
      <c r="E33" s="18">
        <f>SUMIFS('ICB Core Baseline 2024-25'!Q:Q,'ICB Core Baseline 2024-25'!C:C,C33)</f>
        <v>2648722.1990535683</v>
      </c>
      <c r="F33" s="18" t="e">
        <f>SUMIFS(#REF!,#REF!,C33)</f>
        <v>#REF!</v>
      </c>
      <c r="G33" s="44" t="e">
        <f t="shared" si="5"/>
        <v>#REF!</v>
      </c>
      <c r="I33" s="44" t="e">
        <f>SUMIFS(#REF!,#REF!,C33)</f>
        <v>#REF!</v>
      </c>
      <c r="J33" s="44" t="e">
        <f t="shared" si="6"/>
        <v>#REF!</v>
      </c>
      <c r="K33" s="44" t="e">
        <f t="shared" si="7"/>
        <v>#REF!</v>
      </c>
      <c r="L33" s="18" t="e">
        <f t="shared" si="8"/>
        <v>#REF!</v>
      </c>
      <c r="M33" s="18" t="e">
        <f t="shared" si="0"/>
        <v>#REF!</v>
      </c>
      <c r="N33" s="44" t="e">
        <f>SUMIFS(#REF!,#REF!,C33)</f>
        <v>#REF!</v>
      </c>
      <c r="O33" s="18" t="e">
        <f t="shared" si="1"/>
        <v>#REF!</v>
      </c>
      <c r="P33" s="44" t="e">
        <f t="shared" si="9"/>
        <v>#REF!</v>
      </c>
      <c r="Q33" s="18" t="e">
        <f t="shared" si="2"/>
        <v>#REF!</v>
      </c>
      <c r="R33" s="18" t="e">
        <f t="shared" si="10"/>
        <v>#REF!</v>
      </c>
      <c r="S33" s="18" t="e">
        <f t="shared" si="3"/>
        <v>#REF!</v>
      </c>
      <c r="T33" s="18" t="e">
        <f>(SUMIFS(#REF!,#REF!,C33)/SUMIFS(#REF!,#REF!,C33))*1000</f>
        <v>#REF!</v>
      </c>
      <c r="U33" s="18" t="e">
        <f t="shared" si="11"/>
        <v>#REF!</v>
      </c>
      <c r="V33" s="18" t="e">
        <f t="shared" si="12"/>
        <v>#REF!</v>
      </c>
      <c r="W33" s="44" t="e">
        <f t="shared" si="13"/>
        <v>#REF!</v>
      </c>
      <c r="X33" s="44" t="e">
        <f t="shared" si="14"/>
        <v>#REF!</v>
      </c>
      <c r="Y33" s="18" t="e">
        <f>SUMIFS(#REF!,#REF!,C33)/(1+1.8%)*(1+1.8%+2.3%)</f>
        <v>#REF!</v>
      </c>
      <c r="Z33" s="18" t="e">
        <f t="shared" si="15"/>
        <v>#REF!</v>
      </c>
      <c r="AA33" s="65"/>
      <c r="AB33" s="18" t="e">
        <f>(SUMIFS(#REF!,#REF!,C33)/(1+1.8%))*(1+1.8%+2.3%)</f>
        <v>#REF!</v>
      </c>
      <c r="AC33" s="18" t="e">
        <f>-SUMIFS(#REF!,#REF!,C33)/1000</f>
        <v>#REF!</v>
      </c>
      <c r="AD33" s="18" t="e">
        <f>SUMIFS(#REF!,#REF!,C33)</f>
        <v>#REF!</v>
      </c>
      <c r="AE33" s="18" t="e">
        <f>SUMIFS(#REF!,#REF!,C33)</f>
        <v>#REF!</v>
      </c>
      <c r="AF33" s="18" t="e">
        <f t="shared" si="4"/>
        <v>#REF!</v>
      </c>
    </row>
    <row r="34" spans="1:32" x14ac:dyDescent="0.25">
      <c r="A34" s="10" t="s">
        <v>84</v>
      </c>
      <c r="B34" s="4" t="s">
        <v>85</v>
      </c>
      <c r="C34" s="4" t="s">
        <v>86</v>
      </c>
      <c r="D34" s="4" t="s">
        <v>87</v>
      </c>
      <c r="E34" s="11">
        <f>SUMIFS('ICB Core Baseline 2024-25'!Q:Q,'ICB Core Baseline 2024-25'!C:C,C34)</f>
        <v>2769520.4685177435</v>
      </c>
      <c r="F34" s="11" t="e">
        <f>SUMIFS(#REF!,#REF!,C34)</f>
        <v>#REF!</v>
      </c>
      <c r="G34" s="43" t="e">
        <f t="shared" si="5"/>
        <v>#REF!</v>
      </c>
      <c r="I34" s="43" t="e">
        <f>SUMIFS(#REF!,#REF!,C34)</f>
        <v>#REF!</v>
      </c>
      <c r="J34" s="43" t="e">
        <f t="shared" si="6"/>
        <v>#REF!</v>
      </c>
      <c r="K34" s="43" t="e">
        <f t="shared" si="7"/>
        <v>#REF!</v>
      </c>
      <c r="L34" s="11" t="e">
        <f t="shared" si="8"/>
        <v>#REF!</v>
      </c>
      <c r="M34" s="11" t="e">
        <f t="shared" si="0"/>
        <v>#REF!</v>
      </c>
      <c r="N34" s="43" t="e">
        <f>SUMIFS(#REF!,#REF!,C34)</f>
        <v>#REF!</v>
      </c>
      <c r="O34" s="11" t="e">
        <f t="shared" si="1"/>
        <v>#REF!</v>
      </c>
      <c r="P34" s="43" t="e">
        <f t="shared" si="9"/>
        <v>#REF!</v>
      </c>
      <c r="Q34" s="11" t="e">
        <f t="shared" si="2"/>
        <v>#REF!</v>
      </c>
      <c r="R34" s="11" t="e">
        <f t="shared" si="10"/>
        <v>#REF!</v>
      </c>
      <c r="S34" s="11" t="e">
        <f t="shared" si="3"/>
        <v>#REF!</v>
      </c>
      <c r="T34" s="11" t="e">
        <f>(SUMIFS(#REF!,#REF!,C34)/SUMIFS(#REF!,#REF!,C34))*1000</f>
        <v>#REF!</v>
      </c>
      <c r="U34" s="11" t="e">
        <f t="shared" si="11"/>
        <v>#REF!</v>
      </c>
      <c r="V34" s="11" t="e">
        <f t="shared" si="12"/>
        <v>#REF!</v>
      </c>
      <c r="W34" s="43" t="e">
        <f t="shared" si="13"/>
        <v>#REF!</v>
      </c>
      <c r="X34" s="43" t="e">
        <f t="shared" si="14"/>
        <v>#REF!</v>
      </c>
      <c r="Y34" s="11" t="e">
        <f>SUMIFS(#REF!,#REF!,C34)/(1+1.8%)*(1+1.8%+2.3%)</f>
        <v>#REF!</v>
      </c>
      <c r="Z34" s="11" t="e">
        <f t="shared" si="15"/>
        <v>#REF!</v>
      </c>
      <c r="AA34" s="64"/>
      <c r="AB34" s="11" t="e">
        <f>(SUMIFS(#REF!,#REF!,C34)/(1+1.8%))*(1+1.8%+2.3%)</f>
        <v>#REF!</v>
      </c>
      <c r="AC34" s="11" t="e">
        <f>-SUMIFS(#REF!,#REF!,C34)/1000</f>
        <v>#REF!</v>
      </c>
      <c r="AD34" s="11" t="e">
        <f>SUMIFS(#REF!,#REF!,C34)</f>
        <v>#REF!</v>
      </c>
      <c r="AE34" s="11" t="e">
        <f>SUMIFS(#REF!,#REF!,C34)</f>
        <v>#REF!</v>
      </c>
      <c r="AF34" s="11" t="e">
        <f t="shared" si="4"/>
        <v>#REF!</v>
      </c>
    </row>
    <row r="35" spans="1:32" x14ac:dyDescent="0.25">
      <c r="A35" s="13" t="s">
        <v>84</v>
      </c>
      <c r="B35" s="14" t="s">
        <v>85</v>
      </c>
      <c r="C35" s="4" t="s">
        <v>88</v>
      </c>
      <c r="D35" s="4" t="s">
        <v>89</v>
      </c>
      <c r="E35" s="11">
        <f>SUMIFS('ICB Core Baseline 2024-25'!Q:Q,'ICB Core Baseline 2024-25'!C:C,C35)</f>
        <v>1227431.9215465274</v>
      </c>
      <c r="F35" s="11" t="e">
        <f>SUMIFS(#REF!,#REF!,C35)</f>
        <v>#REF!</v>
      </c>
      <c r="G35" s="43" t="e">
        <f t="shared" si="5"/>
        <v>#REF!</v>
      </c>
      <c r="I35" s="43" t="e">
        <f>SUMIFS(#REF!,#REF!,C35)</f>
        <v>#REF!</v>
      </c>
      <c r="J35" s="43" t="e">
        <f t="shared" si="6"/>
        <v>#REF!</v>
      </c>
      <c r="K35" s="43" t="e">
        <f t="shared" si="7"/>
        <v>#REF!</v>
      </c>
      <c r="L35" s="11" t="e">
        <f t="shared" si="8"/>
        <v>#REF!</v>
      </c>
      <c r="M35" s="11" t="e">
        <f t="shared" si="0"/>
        <v>#REF!</v>
      </c>
      <c r="N35" s="43" t="e">
        <f>SUMIFS(#REF!,#REF!,C35)</f>
        <v>#REF!</v>
      </c>
      <c r="O35" s="11" t="e">
        <f t="shared" si="1"/>
        <v>#REF!</v>
      </c>
      <c r="P35" s="43" t="e">
        <f t="shared" si="9"/>
        <v>#REF!</v>
      </c>
      <c r="Q35" s="11" t="e">
        <f t="shared" si="2"/>
        <v>#REF!</v>
      </c>
      <c r="R35" s="11" t="e">
        <f t="shared" si="10"/>
        <v>#REF!</v>
      </c>
      <c r="S35" s="11" t="e">
        <f t="shared" si="3"/>
        <v>#REF!</v>
      </c>
      <c r="T35" s="11" t="e">
        <f>(SUMIFS(#REF!,#REF!,C35)/SUMIFS(#REF!,#REF!,C35))*1000</f>
        <v>#REF!</v>
      </c>
      <c r="U35" s="11" t="e">
        <f t="shared" si="11"/>
        <v>#REF!</v>
      </c>
      <c r="V35" s="11" t="e">
        <f t="shared" si="12"/>
        <v>#REF!</v>
      </c>
      <c r="W35" s="43" t="e">
        <f t="shared" si="13"/>
        <v>#REF!</v>
      </c>
      <c r="X35" s="43" t="e">
        <f t="shared" si="14"/>
        <v>#REF!</v>
      </c>
      <c r="Y35" s="11" t="e">
        <f>SUMIFS(#REF!,#REF!,C35)/(1+1.8%)*(1+1.8%+2.3%)</f>
        <v>#REF!</v>
      </c>
      <c r="Z35" s="11" t="e">
        <f t="shared" si="15"/>
        <v>#REF!</v>
      </c>
      <c r="AA35" s="64"/>
      <c r="AB35" s="11" t="e">
        <f>(SUMIFS(#REF!,#REF!,C35)/(1+1.8%))*(1+1.8%+2.3%)</f>
        <v>#REF!</v>
      </c>
      <c r="AC35" s="11" t="e">
        <f>-SUMIFS(#REF!,#REF!,C35)/1000</f>
        <v>#REF!</v>
      </c>
      <c r="AD35" s="11" t="e">
        <f>SUMIFS(#REF!,#REF!,C35)</f>
        <v>#REF!</v>
      </c>
      <c r="AE35" s="11" t="e">
        <f>SUMIFS(#REF!,#REF!,C35)</f>
        <v>#REF!</v>
      </c>
      <c r="AF35" s="11" t="e">
        <f t="shared" si="4"/>
        <v>#REF!</v>
      </c>
    </row>
    <row r="36" spans="1:32" x14ac:dyDescent="0.25">
      <c r="A36" s="13" t="s">
        <v>84</v>
      </c>
      <c r="B36" s="14" t="s">
        <v>85</v>
      </c>
      <c r="C36" s="4" t="s">
        <v>90</v>
      </c>
      <c r="D36" s="4" t="s">
        <v>91</v>
      </c>
      <c r="E36" s="11">
        <f>SUMIFS('ICB Core Baseline 2024-25'!Q:Q,'ICB Core Baseline 2024-25'!C:C,C36)</f>
        <v>3206852.1433185297</v>
      </c>
      <c r="F36" s="11" t="e">
        <f>SUMIFS(#REF!,#REF!,C36)</f>
        <v>#REF!</v>
      </c>
      <c r="G36" s="43" t="e">
        <f t="shared" si="5"/>
        <v>#REF!</v>
      </c>
      <c r="I36" s="43" t="e">
        <f>SUMIFS(#REF!,#REF!,C36)</f>
        <v>#REF!</v>
      </c>
      <c r="J36" s="43" t="e">
        <f t="shared" si="6"/>
        <v>#REF!</v>
      </c>
      <c r="K36" s="43" t="e">
        <f t="shared" si="7"/>
        <v>#REF!</v>
      </c>
      <c r="L36" s="11" t="e">
        <f t="shared" si="8"/>
        <v>#REF!</v>
      </c>
      <c r="M36" s="11" t="e">
        <f t="shared" si="0"/>
        <v>#REF!</v>
      </c>
      <c r="N36" s="43" t="e">
        <f>SUMIFS(#REF!,#REF!,C36)</f>
        <v>#REF!</v>
      </c>
      <c r="O36" s="11" t="e">
        <f t="shared" si="1"/>
        <v>#REF!</v>
      </c>
      <c r="P36" s="43" t="e">
        <f t="shared" si="9"/>
        <v>#REF!</v>
      </c>
      <c r="Q36" s="11" t="e">
        <f t="shared" si="2"/>
        <v>#REF!</v>
      </c>
      <c r="R36" s="11" t="e">
        <f t="shared" si="10"/>
        <v>#REF!</v>
      </c>
      <c r="S36" s="11" t="e">
        <f t="shared" si="3"/>
        <v>#REF!</v>
      </c>
      <c r="T36" s="11" t="e">
        <f>(SUMIFS(#REF!,#REF!,C36)/SUMIFS(#REF!,#REF!,C36))*1000</f>
        <v>#REF!</v>
      </c>
      <c r="U36" s="11" t="e">
        <f t="shared" si="11"/>
        <v>#REF!</v>
      </c>
      <c r="V36" s="11" t="e">
        <f t="shared" si="12"/>
        <v>#REF!</v>
      </c>
      <c r="W36" s="43" t="e">
        <f t="shared" si="13"/>
        <v>#REF!</v>
      </c>
      <c r="X36" s="43" t="e">
        <f t="shared" si="14"/>
        <v>#REF!</v>
      </c>
      <c r="Y36" s="11" t="e">
        <f>SUMIFS(#REF!,#REF!,C36)/(1+1.8%)*(1+1.8%+2.3%)</f>
        <v>#REF!</v>
      </c>
      <c r="Z36" s="11" t="e">
        <f t="shared" si="15"/>
        <v>#REF!</v>
      </c>
      <c r="AA36" s="64"/>
      <c r="AB36" s="11" t="e">
        <f>(SUMIFS(#REF!,#REF!,C36)/(1+1.8%))*(1+1.8%+2.3%)</f>
        <v>#REF!</v>
      </c>
      <c r="AC36" s="11" t="e">
        <f>-SUMIFS(#REF!,#REF!,C36)/1000</f>
        <v>#REF!</v>
      </c>
      <c r="AD36" s="11" t="e">
        <f>SUMIFS(#REF!,#REF!,C36)</f>
        <v>#REF!</v>
      </c>
      <c r="AE36" s="11" t="e">
        <f>SUMIFS(#REF!,#REF!,C36)</f>
        <v>#REF!</v>
      </c>
      <c r="AF36" s="11" t="e">
        <f t="shared" si="4"/>
        <v>#REF!</v>
      </c>
    </row>
    <row r="37" spans="1:32" x14ac:dyDescent="0.25">
      <c r="A37" s="13" t="s">
        <v>84</v>
      </c>
      <c r="B37" s="14" t="s">
        <v>85</v>
      </c>
      <c r="C37" s="4" t="s">
        <v>92</v>
      </c>
      <c r="D37" s="4" t="s">
        <v>93</v>
      </c>
      <c r="E37" s="11">
        <f>SUMIFS('ICB Core Baseline 2024-25'!Q:Q,'ICB Core Baseline 2024-25'!C:C,C37)</f>
        <v>3320649.430494213</v>
      </c>
      <c r="F37" s="11" t="e">
        <f>SUMIFS(#REF!,#REF!,C37)</f>
        <v>#REF!</v>
      </c>
      <c r="G37" s="43" t="e">
        <f t="shared" si="5"/>
        <v>#REF!</v>
      </c>
      <c r="I37" s="43" t="e">
        <f>SUMIFS(#REF!,#REF!,C37)</f>
        <v>#REF!</v>
      </c>
      <c r="J37" s="43" t="e">
        <f t="shared" si="6"/>
        <v>#REF!</v>
      </c>
      <c r="K37" s="43" t="e">
        <f t="shared" si="7"/>
        <v>#REF!</v>
      </c>
      <c r="L37" s="11" t="e">
        <f t="shared" si="8"/>
        <v>#REF!</v>
      </c>
      <c r="M37" s="11" t="e">
        <f t="shared" si="0"/>
        <v>#REF!</v>
      </c>
      <c r="N37" s="43" t="e">
        <f>SUMIFS(#REF!,#REF!,C37)</f>
        <v>#REF!</v>
      </c>
      <c r="O37" s="11" t="e">
        <f t="shared" si="1"/>
        <v>#REF!</v>
      </c>
      <c r="P37" s="43" t="e">
        <f t="shared" si="9"/>
        <v>#REF!</v>
      </c>
      <c r="Q37" s="11" t="e">
        <f t="shared" si="2"/>
        <v>#REF!</v>
      </c>
      <c r="R37" s="11" t="e">
        <f t="shared" si="10"/>
        <v>#REF!</v>
      </c>
      <c r="S37" s="11" t="e">
        <f t="shared" si="3"/>
        <v>#REF!</v>
      </c>
      <c r="T37" s="11" t="e">
        <f>(SUMIFS(#REF!,#REF!,C37)/SUMIFS(#REF!,#REF!,C37))*1000</f>
        <v>#REF!</v>
      </c>
      <c r="U37" s="11" t="e">
        <f t="shared" si="11"/>
        <v>#REF!</v>
      </c>
      <c r="V37" s="11" t="e">
        <f t="shared" si="12"/>
        <v>#REF!</v>
      </c>
      <c r="W37" s="43" t="e">
        <f t="shared" si="13"/>
        <v>#REF!</v>
      </c>
      <c r="X37" s="43" t="e">
        <f t="shared" si="14"/>
        <v>#REF!</v>
      </c>
      <c r="Y37" s="11" t="e">
        <f>SUMIFS(#REF!,#REF!,C37)/(1+1.8%)*(1+1.8%+2.3%)</f>
        <v>#REF!</v>
      </c>
      <c r="Z37" s="11" t="e">
        <f t="shared" si="15"/>
        <v>#REF!</v>
      </c>
      <c r="AA37" s="64"/>
      <c r="AB37" s="11" t="e">
        <f>(SUMIFS(#REF!,#REF!,C37)/(1+1.8%))*(1+1.8%+2.3%)</f>
        <v>#REF!</v>
      </c>
      <c r="AC37" s="11" t="e">
        <f>-SUMIFS(#REF!,#REF!,C37)/1000</f>
        <v>#REF!</v>
      </c>
      <c r="AD37" s="11" t="e">
        <f>SUMIFS(#REF!,#REF!,C37)</f>
        <v>#REF!</v>
      </c>
      <c r="AE37" s="11" t="e">
        <f>SUMIFS(#REF!,#REF!,C37)</f>
        <v>#REF!</v>
      </c>
      <c r="AF37" s="11" t="e">
        <f t="shared" si="4"/>
        <v>#REF!</v>
      </c>
    </row>
    <row r="38" spans="1:32" x14ac:dyDescent="0.25">
      <c r="A38" s="13" t="s">
        <v>84</v>
      </c>
      <c r="B38" s="14" t="s">
        <v>85</v>
      </c>
      <c r="C38" s="4" t="s">
        <v>94</v>
      </c>
      <c r="D38" s="4" t="s">
        <v>95</v>
      </c>
      <c r="E38" s="11">
        <f>SUMIFS('ICB Core Baseline 2024-25'!Q:Q,'ICB Core Baseline 2024-25'!C:C,C38)</f>
        <v>1831234.3662092758</v>
      </c>
      <c r="F38" s="11" t="e">
        <f>SUMIFS(#REF!,#REF!,C38)</f>
        <v>#REF!</v>
      </c>
      <c r="G38" s="43" t="e">
        <f t="shared" si="5"/>
        <v>#REF!</v>
      </c>
      <c r="I38" s="43" t="e">
        <f>SUMIFS(#REF!,#REF!,C38)</f>
        <v>#REF!</v>
      </c>
      <c r="J38" s="43" t="e">
        <f t="shared" si="6"/>
        <v>#REF!</v>
      </c>
      <c r="K38" s="43" t="e">
        <f t="shared" si="7"/>
        <v>#REF!</v>
      </c>
      <c r="L38" s="11" t="e">
        <f t="shared" si="8"/>
        <v>#REF!</v>
      </c>
      <c r="M38" s="11" t="e">
        <f t="shared" si="0"/>
        <v>#REF!</v>
      </c>
      <c r="N38" s="43" t="e">
        <f>SUMIFS(#REF!,#REF!,C38)</f>
        <v>#REF!</v>
      </c>
      <c r="O38" s="11" t="e">
        <f t="shared" si="1"/>
        <v>#REF!</v>
      </c>
      <c r="P38" s="43" t="e">
        <f t="shared" si="9"/>
        <v>#REF!</v>
      </c>
      <c r="Q38" s="11" t="e">
        <f t="shared" si="2"/>
        <v>#REF!</v>
      </c>
      <c r="R38" s="11" t="e">
        <f t="shared" si="10"/>
        <v>#REF!</v>
      </c>
      <c r="S38" s="11" t="e">
        <f t="shared" si="3"/>
        <v>#REF!</v>
      </c>
      <c r="T38" s="11" t="e">
        <f>(SUMIFS(#REF!,#REF!,C38)/SUMIFS(#REF!,#REF!,C38))*1000</f>
        <v>#REF!</v>
      </c>
      <c r="U38" s="11" t="e">
        <f t="shared" si="11"/>
        <v>#REF!</v>
      </c>
      <c r="V38" s="11" t="e">
        <f t="shared" si="12"/>
        <v>#REF!</v>
      </c>
      <c r="W38" s="43" t="e">
        <f t="shared" si="13"/>
        <v>#REF!</v>
      </c>
      <c r="X38" s="43" t="e">
        <f t="shared" si="14"/>
        <v>#REF!</v>
      </c>
      <c r="Y38" s="11" t="e">
        <f>SUMIFS(#REF!,#REF!,C38)/(1+1.8%)*(1+1.8%+2.3%)</f>
        <v>#REF!</v>
      </c>
      <c r="Z38" s="11" t="e">
        <f t="shared" si="15"/>
        <v>#REF!</v>
      </c>
      <c r="AA38" s="64"/>
      <c r="AB38" s="11" t="e">
        <f>(SUMIFS(#REF!,#REF!,C38)/(1+1.8%))*(1+1.8%+2.3%)</f>
        <v>#REF!</v>
      </c>
      <c r="AC38" s="11" t="e">
        <f>-SUMIFS(#REF!,#REF!,C38)/1000</f>
        <v>#REF!</v>
      </c>
      <c r="AD38" s="11" t="e">
        <f>SUMIFS(#REF!,#REF!,C38)</f>
        <v>#REF!</v>
      </c>
      <c r="AE38" s="11" t="e">
        <f>SUMIFS(#REF!,#REF!,C38)</f>
        <v>#REF!</v>
      </c>
      <c r="AF38" s="11" t="e">
        <f t="shared" si="4"/>
        <v>#REF!</v>
      </c>
    </row>
    <row r="39" spans="1:32" x14ac:dyDescent="0.25">
      <c r="A39" s="15" t="s">
        <v>84</v>
      </c>
      <c r="B39" s="16" t="s">
        <v>85</v>
      </c>
      <c r="C39" s="17" t="s">
        <v>96</v>
      </c>
      <c r="D39" s="17" t="s">
        <v>97</v>
      </c>
      <c r="E39" s="18">
        <f>SUMIFS('ICB Core Baseline 2024-25'!Q:Q,'ICB Core Baseline 2024-25'!C:C,C39)</f>
        <v>3226653.8255152423</v>
      </c>
      <c r="F39" s="18" t="e">
        <f>SUMIFS(#REF!,#REF!,C39)</f>
        <v>#REF!</v>
      </c>
      <c r="G39" s="44" t="e">
        <f t="shared" si="5"/>
        <v>#REF!</v>
      </c>
      <c r="I39" s="44" t="e">
        <f>SUMIFS(#REF!,#REF!,C39)</f>
        <v>#REF!</v>
      </c>
      <c r="J39" s="44" t="e">
        <f t="shared" si="6"/>
        <v>#REF!</v>
      </c>
      <c r="K39" s="44" t="e">
        <f t="shared" si="7"/>
        <v>#REF!</v>
      </c>
      <c r="L39" s="18" t="e">
        <f t="shared" si="8"/>
        <v>#REF!</v>
      </c>
      <c r="M39" s="18" t="e">
        <f t="shared" si="0"/>
        <v>#REF!</v>
      </c>
      <c r="N39" s="44" t="e">
        <f>SUMIFS(#REF!,#REF!,C39)</f>
        <v>#REF!</v>
      </c>
      <c r="O39" s="18" t="e">
        <f t="shared" si="1"/>
        <v>#REF!</v>
      </c>
      <c r="P39" s="44" t="e">
        <f t="shared" si="9"/>
        <v>#REF!</v>
      </c>
      <c r="Q39" s="18" t="e">
        <f t="shared" si="2"/>
        <v>#REF!</v>
      </c>
      <c r="R39" s="18" t="e">
        <f t="shared" si="10"/>
        <v>#REF!</v>
      </c>
      <c r="S39" s="18" t="e">
        <f t="shared" si="3"/>
        <v>#REF!</v>
      </c>
      <c r="T39" s="18" t="e">
        <f>(SUMIFS(#REF!,#REF!,C39)/SUMIFS(#REF!,#REF!,C39))*1000</f>
        <v>#REF!</v>
      </c>
      <c r="U39" s="18" t="e">
        <f t="shared" si="11"/>
        <v>#REF!</v>
      </c>
      <c r="V39" s="18" t="e">
        <f t="shared" si="12"/>
        <v>#REF!</v>
      </c>
      <c r="W39" s="44" t="e">
        <f t="shared" si="13"/>
        <v>#REF!</v>
      </c>
      <c r="X39" s="44" t="e">
        <f t="shared" si="14"/>
        <v>#REF!</v>
      </c>
      <c r="Y39" s="18" t="e">
        <f>SUMIFS(#REF!,#REF!,C39)/(1+1.8%)*(1+1.8%+2.3%)</f>
        <v>#REF!</v>
      </c>
      <c r="Z39" s="18" t="e">
        <f t="shared" si="15"/>
        <v>#REF!</v>
      </c>
      <c r="AA39" s="65"/>
      <c r="AB39" s="18" t="e">
        <f>(SUMIFS(#REF!,#REF!,C39)/(1+1.8%))*(1+1.8%+2.3%)</f>
        <v>#REF!</v>
      </c>
      <c r="AC39" s="18" t="e">
        <f>-SUMIFS(#REF!,#REF!,C39)/1000</f>
        <v>#REF!</v>
      </c>
      <c r="AD39" s="18" t="e">
        <f>SUMIFS(#REF!,#REF!,C39)</f>
        <v>#REF!</v>
      </c>
      <c r="AE39" s="18" t="e">
        <f>SUMIFS(#REF!,#REF!,C39)</f>
        <v>#REF!</v>
      </c>
      <c r="AF39" s="18" t="e">
        <f t="shared" si="4"/>
        <v>#REF!</v>
      </c>
    </row>
    <row r="40" spans="1:32" x14ac:dyDescent="0.25">
      <c r="A40" s="10" t="s">
        <v>98</v>
      </c>
      <c r="B40" s="4" t="s">
        <v>99</v>
      </c>
      <c r="C40" s="4" t="s">
        <v>100</v>
      </c>
      <c r="D40" s="4" t="s">
        <v>101</v>
      </c>
      <c r="E40" s="11">
        <f>SUMIFS('ICB Core Baseline 2024-25'!Q:Q,'ICB Core Baseline 2024-25'!C:C,C40)</f>
        <v>1531973.7598892734</v>
      </c>
      <c r="F40" s="11" t="e">
        <f>SUMIFS(#REF!,#REF!,C40)</f>
        <v>#REF!</v>
      </c>
      <c r="G40" s="43" t="e">
        <f t="shared" si="5"/>
        <v>#REF!</v>
      </c>
      <c r="I40" s="43" t="e">
        <f>SUMIFS(#REF!,#REF!,C40)</f>
        <v>#REF!</v>
      </c>
      <c r="J40" s="43" t="e">
        <f t="shared" si="6"/>
        <v>#REF!</v>
      </c>
      <c r="K40" s="43" t="e">
        <f t="shared" si="7"/>
        <v>#REF!</v>
      </c>
      <c r="L40" s="11" t="e">
        <f t="shared" si="8"/>
        <v>#REF!</v>
      </c>
      <c r="M40" s="11" t="e">
        <f t="shared" si="0"/>
        <v>#REF!</v>
      </c>
      <c r="N40" s="43" t="e">
        <f>SUMIFS(#REF!,#REF!,C40)</f>
        <v>#REF!</v>
      </c>
      <c r="O40" s="11" t="e">
        <f t="shared" si="1"/>
        <v>#REF!</v>
      </c>
      <c r="P40" s="43" t="e">
        <f t="shared" si="9"/>
        <v>#REF!</v>
      </c>
      <c r="Q40" s="11" t="e">
        <f t="shared" si="2"/>
        <v>#REF!</v>
      </c>
      <c r="R40" s="11" t="e">
        <f t="shared" si="10"/>
        <v>#REF!</v>
      </c>
      <c r="S40" s="11" t="e">
        <f t="shared" si="3"/>
        <v>#REF!</v>
      </c>
      <c r="T40" s="11" t="e">
        <f>(SUMIFS(#REF!,#REF!,C40)/SUMIFS(#REF!,#REF!,C40))*1000</f>
        <v>#REF!</v>
      </c>
      <c r="U40" s="11" t="e">
        <f t="shared" si="11"/>
        <v>#REF!</v>
      </c>
      <c r="V40" s="11" t="e">
        <f t="shared" si="12"/>
        <v>#REF!</v>
      </c>
      <c r="W40" s="43" t="e">
        <f t="shared" si="13"/>
        <v>#REF!</v>
      </c>
      <c r="X40" s="43" t="e">
        <f t="shared" si="14"/>
        <v>#REF!</v>
      </c>
      <c r="Y40" s="11" t="e">
        <f>SUMIFS(#REF!,#REF!,C40)/(1+1.8%)*(1+1.8%+2.3%)</f>
        <v>#REF!</v>
      </c>
      <c r="Z40" s="11" t="e">
        <f t="shared" si="15"/>
        <v>#REF!</v>
      </c>
      <c r="AA40" s="64"/>
      <c r="AB40" s="11" t="e">
        <f>(SUMIFS(#REF!,#REF!,C40)/(1+1.8%))*(1+1.8%+2.3%)</f>
        <v>#REF!</v>
      </c>
      <c r="AC40" s="11" t="e">
        <f>-SUMIFS(#REF!,#REF!,C40)/1000</f>
        <v>#REF!</v>
      </c>
      <c r="AD40" s="11" t="e">
        <f>SUMIFS(#REF!,#REF!,C40)</f>
        <v>#REF!</v>
      </c>
      <c r="AE40" s="11" t="e">
        <f>SUMIFS(#REF!,#REF!,C40)</f>
        <v>#REF!</v>
      </c>
      <c r="AF40" s="11" t="e">
        <f t="shared" si="4"/>
        <v>#REF!</v>
      </c>
    </row>
    <row r="41" spans="1:32" x14ac:dyDescent="0.25">
      <c r="A41" s="13" t="s">
        <v>98</v>
      </c>
      <c r="B41" s="14" t="s">
        <v>99</v>
      </c>
      <c r="C41" s="4" t="s">
        <v>102</v>
      </c>
      <c r="D41" s="4" t="s">
        <v>103</v>
      </c>
      <c r="E41" s="11">
        <f>SUMIFS('ICB Core Baseline 2024-25'!Q:Q,'ICB Core Baseline 2024-25'!C:C,C41)</f>
        <v>1696336.7513857663</v>
      </c>
      <c r="F41" s="11" t="e">
        <f>SUMIFS(#REF!,#REF!,C41)</f>
        <v>#REF!</v>
      </c>
      <c r="G41" s="43" t="e">
        <f t="shared" si="5"/>
        <v>#REF!</v>
      </c>
      <c r="I41" s="43" t="e">
        <f>SUMIFS(#REF!,#REF!,C41)</f>
        <v>#REF!</v>
      </c>
      <c r="J41" s="43" t="e">
        <f t="shared" si="6"/>
        <v>#REF!</v>
      </c>
      <c r="K41" s="43" t="e">
        <f t="shared" si="7"/>
        <v>#REF!</v>
      </c>
      <c r="L41" s="11" t="e">
        <f t="shared" si="8"/>
        <v>#REF!</v>
      </c>
      <c r="M41" s="11" t="e">
        <f t="shared" si="0"/>
        <v>#REF!</v>
      </c>
      <c r="N41" s="43" t="e">
        <f>SUMIFS(#REF!,#REF!,C41)</f>
        <v>#REF!</v>
      </c>
      <c r="O41" s="11" t="e">
        <f t="shared" si="1"/>
        <v>#REF!</v>
      </c>
      <c r="P41" s="43" t="e">
        <f t="shared" si="9"/>
        <v>#REF!</v>
      </c>
      <c r="Q41" s="11" t="e">
        <f t="shared" si="2"/>
        <v>#REF!</v>
      </c>
      <c r="R41" s="11" t="e">
        <f t="shared" si="10"/>
        <v>#REF!</v>
      </c>
      <c r="S41" s="11" t="e">
        <f t="shared" si="3"/>
        <v>#REF!</v>
      </c>
      <c r="T41" s="11" t="e">
        <f>(SUMIFS(#REF!,#REF!,C41)/SUMIFS(#REF!,#REF!,C41))*1000</f>
        <v>#REF!</v>
      </c>
      <c r="U41" s="11" t="e">
        <f t="shared" si="11"/>
        <v>#REF!</v>
      </c>
      <c r="V41" s="11" t="e">
        <f t="shared" si="12"/>
        <v>#REF!</v>
      </c>
      <c r="W41" s="43" t="e">
        <f t="shared" si="13"/>
        <v>#REF!</v>
      </c>
      <c r="X41" s="43" t="e">
        <f t="shared" si="14"/>
        <v>#REF!</v>
      </c>
      <c r="Y41" s="11" t="e">
        <f>SUMIFS(#REF!,#REF!,C41)/(1+1.8%)*(1+1.8%+2.3%)</f>
        <v>#REF!</v>
      </c>
      <c r="Z41" s="11" t="e">
        <f t="shared" si="15"/>
        <v>#REF!</v>
      </c>
      <c r="AA41" s="64"/>
      <c r="AB41" s="11" t="e">
        <f>(SUMIFS(#REF!,#REF!,C41)/(1+1.8%))*(1+1.8%+2.3%)</f>
        <v>#REF!</v>
      </c>
      <c r="AC41" s="11" t="e">
        <f>-SUMIFS(#REF!,#REF!,C41)/1000</f>
        <v>#REF!</v>
      </c>
      <c r="AD41" s="11" t="e">
        <f>SUMIFS(#REF!,#REF!,C41)</f>
        <v>#REF!</v>
      </c>
      <c r="AE41" s="11" t="e">
        <f>SUMIFS(#REF!,#REF!,C41)</f>
        <v>#REF!</v>
      </c>
      <c r="AF41" s="11" t="e">
        <f t="shared" si="4"/>
        <v>#REF!</v>
      </c>
    </row>
    <row r="42" spans="1:32" x14ac:dyDescent="0.25">
      <c r="A42" s="13" t="s">
        <v>98</v>
      </c>
      <c r="B42" s="14" t="s">
        <v>99</v>
      </c>
      <c r="C42" s="4" t="s">
        <v>104</v>
      </c>
      <c r="D42" s="4" t="s">
        <v>105</v>
      </c>
      <c r="E42" s="11">
        <f>SUMIFS('ICB Core Baseline 2024-25'!Q:Q,'ICB Core Baseline 2024-25'!C:C,C42)</f>
        <v>1099576.1345820946</v>
      </c>
      <c r="F42" s="11" t="e">
        <f>SUMIFS(#REF!,#REF!,C42)</f>
        <v>#REF!</v>
      </c>
      <c r="G42" s="43" t="e">
        <f t="shared" si="5"/>
        <v>#REF!</v>
      </c>
      <c r="I42" s="43" t="e">
        <f>SUMIFS(#REF!,#REF!,C42)</f>
        <v>#REF!</v>
      </c>
      <c r="J42" s="43" t="e">
        <f t="shared" si="6"/>
        <v>#REF!</v>
      </c>
      <c r="K42" s="43" t="e">
        <f t="shared" si="7"/>
        <v>#REF!</v>
      </c>
      <c r="L42" s="11" t="e">
        <f t="shared" si="8"/>
        <v>#REF!</v>
      </c>
      <c r="M42" s="11" t="e">
        <f t="shared" si="0"/>
        <v>#REF!</v>
      </c>
      <c r="N42" s="43" t="e">
        <f>SUMIFS(#REF!,#REF!,C42)</f>
        <v>#REF!</v>
      </c>
      <c r="O42" s="11" t="e">
        <f t="shared" si="1"/>
        <v>#REF!</v>
      </c>
      <c r="P42" s="43" t="e">
        <f t="shared" si="9"/>
        <v>#REF!</v>
      </c>
      <c r="Q42" s="11" t="e">
        <f t="shared" si="2"/>
        <v>#REF!</v>
      </c>
      <c r="R42" s="11" t="e">
        <f t="shared" si="10"/>
        <v>#REF!</v>
      </c>
      <c r="S42" s="11" t="e">
        <f t="shared" si="3"/>
        <v>#REF!</v>
      </c>
      <c r="T42" s="11" t="e">
        <f>(SUMIFS(#REF!,#REF!,C42)/SUMIFS(#REF!,#REF!,C42))*1000</f>
        <v>#REF!</v>
      </c>
      <c r="U42" s="11" t="e">
        <f t="shared" si="11"/>
        <v>#REF!</v>
      </c>
      <c r="V42" s="11" t="e">
        <f t="shared" si="12"/>
        <v>#REF!</v>
      </c>
      <c r="W42" s="43" t="e">
        <f t="shared" si="13"/>
        <v>#REF!</v>
      </c>
      <c r="X42" s="43" t="e">
        <f t="shared" si="14"/>
        <v>#REF!</v>
      </c>
      <c r="Y42" s="11" t="e">
        <f>SUMIFS(#REF!,#REF!,C42)/(1+1.8%)*(1+1.8%+2.3%)</f>
        <v>#REF!</v>
      </c>
      <c r="Z42" s="11" t="e">
        <f t="shared" si="15"/>
        <v>#REF!</v>
      </c>
      <c r="AA42" s="64"/>
      <c r="AB42" s="11" t="e">
        <f>(SUMIFS(#REF!,#REF!,C42)/(1+1.8%))*(1+1.8%+2.3%)</f>
        <v>#REF!</v>
      </c>
      <c r="AC42" s="11" t="e">
        <f>-SUMIFS(#REF!,#REF!,C42)/1000</f>
        <v>#REF!</v>
      </c>
      <c r="AD42" s="11" t="e">
        <f>SUMIFS(#REF!,#REF!,C42)</f>
        <v>#REF!</v>
      </c>
      <c r="AE42" s="11" t="e">
        <f>SUMIFS(#REF!,#REF!,C42)</f>
        <v>#REF!</v>
      </c>
      <c r="AF42" s="11" t="e">
        <f t="shared" si="4"/>
        <v>#REF!</v>
      </c>
    </row>
    <row r="43" spans="1:32" x14ac:dyDescent="0.25">
      <c r="A43" s="13" t="s">
        <v>98</v>
      </c>
      <c r="B43" s="14" t="s">
        <v>99</v>
      </c>
      <c r="C43" s="4" t="s">
        <v>106</v>
      </c>
      <c r="D43" s="4" t="s">
        <v>107</v>
      </c>
      <c r="E43" s="11">
        <f>SUMIFS('ICB Core Baseline 2024-25'!Q:Q,'ICB Core Baseline 2024-25'!C:C,C43)</f>
        <v>2261976.4170612651</v>
      </c>
      <c r="F43" s="11" t="e">
        <f>SUMIFS(#REF!,#REF!,C43)</f>
        <v>#REF!</v>
      </c>
      <c r="G43" s="43" t="e">
        <f t="shared" si="5"/>
        <v>#REF!</v>
      </c>
      <c r="I43" s="43" t="e">
        <f>SUMIFS(#REF!,#REF!,C43)</f>
        <v>#REF!</v>
      </c>
      <c r="J43" s="43" t="e">
        <f t="shared" si="6"/>
        <v>#REF!</v>
      </c>
      <c r="K43" s="43" t="e">
        <f t="shared" si="7"/>
        <v>#REF!</v>
      </c>
      <c r="L43" s="11" t="e">
        <f t="shared" si="8"/>
        <v>#REF!</v>
      </c>
      <c r="M43" s="11" t="e">
        <f t="shared" si="0"/>
        <v>#REF!</v>
      </c>
      <c r="N43" s="43" t="e">
        <f>SUMIFS(#REF!,#REF!,C43)</f>
        <v>#REF!</v>
      </c>
      <c r="O43" s="11" t="e">
        <f t="shared" si="1"/>
        <v>#REF!</v>
      </c>
      <c r="P43" s="43" t="e">
        <f t="shared" si="9"/>
        <v>#REF!</v>
      </c>
      <c r="Q43" s="11" t="e">
        <f t="shared" si="2"/>
        <v>#REF!</v>
      </c>
      <c r="R43" s="11" t="e">
        <f t="shared" si="10"/>
        <v>#REF!</v>
      </c>
      <c r="S43" s="11" t="e">
        <f t="shared" si="3"/>
        <v>#REF!</v>
      </c>
      <c r="T43" s="11" t="e">
        <f>(SUMIFS(#REF!,#REF!,C43)/SUMIFS(#REF!,#REF!,C43))*1000</f>
        <v>#REF!</v>
      </c>
      <c r="U43" s="11" t="e">
        <f t="shared" si="11"/>
        <v>#REF!</v>
      </c>
      <c r="V43" s="11" t="e">
        <f t="shared" si="12"/>
        <v>#REF!</v>
      </c>
      <c r="W43" s="43" t="e">
        <f t="shared" si="13"/>
        <v>#REF!</v>
      </c>
      <c r="X43" s="43" t="e">
        <f t="shared" si="14"/>
        <v>#REF!</v>
      </c>
      <c r="Y43" s="11" t="e">
        <f>SUMIFS(#REF!,#REF!,C43)/(1+1.8%)*(1+1.8%+2.3%)</f>
        <v>#REF!</v>
      </c>
      <c r="Z43" s="11" t="e">
        <f t="shared" si="15"/>
        <v>#REF!</v>
      </c>
      <c r="AA43" s="64"/>
      <c r="AB43" s="11" t="e">
        <f>(SUMIFS(#REF!,#REF!,C43)/(1+1.8%))*(1+1.8%+2.3%)</f>
        <v>#REF!</v>
      </c>
      <c r="AC43" s="11" t="e">
        <f>-SUMIFS(#REF!,#REF!,C43)/1000</f>
        <v>#REF!</v>
      </c>
      <c r="AD43" s="11" t="e">
        <f>SUMIFS(#REF!,#REF!,C43)</f>
        <v>#REF!</v>
      </c>
      <c r="AE43" s="11" t="e">
        <f>SUMIFS(#REF!,#REF!,C43)</f>
        <v>#REF!</v>
      </c>
      <c r="AF43" s="11" t="e">
        <f t="shared" si="4"/>
        <v>#REF!</v>
      </c>
    </row>
    <row r="44" spans="1:32" x14ac:dyDescent="0.25">
      <c r="A44" s="13" t="s">
        <v>98</v>
      </c>
      <c r="B44" s="14" t="s">
        <v>99</v>
      </c>
      <c r="C44" s="4" t="s">
        <v>108</v>
      </c>
      <c r="D44" s="4" t="s">
        <v>109</v>
      </c>
      <c r="E44" s="11">
        <f>SUMIFS('ICB Core Baseline 2024-25'!Q:Q,'ICB Core Baseline 2024-25'!C:C,C44)</f>
        <v>1451965.4129123772</v>
      </c>
      <c r="F44" s="11" t="e">
        <f>SUMIFS(#REF!,#REF!,C44)</f>
        <v>#REF!</v>
      </c>
      <c r="G44" s="43" t="e">
        <f t="shared" si="5"/>
        <v>#REF!</v>
      </c>
      <c r="I44" s="43" t="e">
        <f>SUMIFS(#REF!,#REF!,C44)</f>
        <v>#REF!</v>
      </c>
      <c r="J44" s="43" t="e">
        <f t="shared" si="6"/>
        <v>#REF!</v>
      </c>
      <c r="K44" s="43" t="e">
        <f t="shared" si="7"/>
        <v>#REF!</v>
      </c>
      <c r="L44" s="11" t="e">
        <f t="shared" si="8"/>
        <v>#REF!</v>
      </c>
      <c r="M44" s="11" t="e">
        <f t="shared" si="0"/>
        <v>#REF!</v>
      </c>
      <c r="N44" s="43" t="e">
        <f>SUMIFS(#REF!,#REF!,C44)</f>
        <v>#REF!</v>
      </c>
      <c r="O44" s="11" t="e">
        <f t="shared" si="1"/>
        <v>#REF!</v>
      </c>
      <c r="P44" s="43" t="e">
        <f t="shared" si="9"/>
        <v>#REF!</v>
      </c>
      <c r="Q44" s="11" t="e">
        <f t="shared" si="2"/>
        <v>#REF!</v>
      </c>
      <c r="R44" s="11" t="e">
        <f t="shared" si="10"/>
        <v>#REF!</v>
      </c>
      <c r="S44" s="11" t="e">
        <f t="shared" si="3"/>
        <v>#REF!</v>
      </c>
      <c r="T44" s="11" t="e">
        <f>(SUMIFS(#REF!,#REF!,C44)/SUMIFS(#REF!,#REF!,C44))*1000</f>
        <v>#REF!</v>
      </c>
      <c r="U44" s="11" t="e">
        <f t="shared" si="11"/>
        <v>#REF!</v>
      </c>
      <c r="V44" s="11" t="e">
        <f t="shared" si="12"/>
        <v>#REF!</v>
      </c>
      <c r="W44" s="43" t="e">
        <f t="shared" si="13"/>
        <v>#REF!</v>
      </c>
      <c r="X44" s="43" t="e">
        <f t="shared" si="14"/>
        <v>#REF!</v>
      </c>
      <c r="Y44" s="11" t="e">
        <f>SUMIFS(#REF!,#REF!,C44)/(1+1.8%)*(1+1.8%+2.3%)</f>
        <v>#REF!</v>
      </c>
      <c r="Z44" s="11" t="e">
        <f t="shared" si="15"/>
        <v>#REF!</v>
      </c>
      <c r="AA44" s="64"/>
      <c r="AB44" s="11" t="e">
        <f>(SUMIFS(#REF!,#REF!,C44)/(1+1.8%))*(1+1.8%+2.3%)</f>
        <v>#REF!</v>
      </c>
      <c r="AC44" s="11" t="e">
        <f>-SUMIFS(#REF!,#REF!,C44)/1000</f>
        <v>#REF!</v>
      </c>
      <c r="AD44" s="11" t="e">
        <f>SUMIFS(#REF!,#REF!,C44)</f>
        <v>#REF!</v>
      </c>
      <c r="AE44" s="11" t="e">
        <f>SUMIFS(#REF!,#REF!,C44)</f>
        <v>#REF!</v>
      </c>
      <c r="AF44" s="11" t="e">
        <f t="shared" si="4"/>
        <v>#REF!</v>
      </c>
    </row>
    <row r="45" spans="1:32" x14ac:dyDescent="0.25">
      <c r="A45" s="13" t="s">
        <v>98</v>
      </c>
      <c r="B45" s="14" t="s">
        <v>99</v>
      </c>
      <c r="C45" s="4" t="s">
        <v>110</v>
      </c>
      <c r="D45" s="4" t="s">
        <v>111</v>
      </c>
      <c r="E45" s="11">
        <f>SUMIFS('ICB Core Baseline 2024-25'!Q:Q,'ICB Core Baseline 2024-25'!C:C,C45)</f>
        <v>1065172.6958849912</v>
      </c>
      <c r="F45" s="11" t="e">
        <f>SUMIFS(#REF!,#REF!,C45)</f>
        <v>#REF!</v>
      </c>
      <c r="G45" s="43" t="e">
        <f t="shared" si="5"/>
        <v>#REF!</v>
      </c>
      <c r="I45" s="43" t="e">
        <f>SUMIFS(#REF!,#REF!,C45)</f>
        <v>#REF!</v>
      </c>
      <c r="J45" s="43" t="e">
        <f t="shared" si="6"/>
        <v>#REF!</v>
      </c>
      <c r="K45" s="43" t="e">
        <f t="shared" si="7"/>
        <v>#REF!</v>
      </c>
      <c r="L45" s="11" t="e">
        <f t="shared" si="8"/>
        <v>#REF!</v>
      </c>
      <c r="M45" s="11" t="e">
        <f t="shared" si="0"/>
        <v>#REF!</v>
      </c>
      <c r="N45" s="43" t="e">
        <f>SUMIFS(#REF!,#REF!,C45)</f>
        <v>#REF!</v>
      </c>
      <c r="O45" s="11" t="e">
        <f t="shared" si="1"/>
        <v>#REF!</v>
      </c>
      <c r="P45" s="43" t="e">
        <f t="shared" si="9"/>
        <v>#REF!</v>
      </c>
      <c r="Q45" s="11" t="e">
        <f t="shared" si="2"/>
        <v>#REF!</v>
      </c>
      <c r="R45" s="11" t="e">
        <f t="shared" si="10"/>
        <v>#REF!</v>
      </c>
      <c r="S45" s="11" t="e">
        <f t="shared" si="3"/>
        <v>#REF!</v>
      </c>
      <c r="T45" s="11" t="e">
        <f>(SUMIFS(#REF!,#REF!,C45)/SUMIFS(#REF!,#REF!,C45))*1000</f>
        <v>#REF!</v>
      </c>
      <c r="U45" s="11" t="e">
        <f t="shared" si="11"/>
        <v>#REF!</v>
      </c>
      <c r="V45" s="11" t="e">
        <f t="shared" si="12"/>
        <v>#REF!</v>
      </c>
      <c r="W45" s="43" t="e">
        <f t="shared" si="13"/>
        <v>#REF!</v>
      </c>
      <c r="X45" s="43" t="e">
        <f t="shared" si="14"/>
        <v>#REF!</v>
      </c>
      <c r="Y45" s="11" t="e">
        <f>SUMIFS(#REF!,#REF!,C45)/(1+1.8%)*(1+1.8%+2.3%)</f>
        <v>#REF!</v>
      </c>
      <c r="Z45" s="11" t="e">
        <f t="shared" si="15"/>
        <v>#REF!</v>
      </c>
      <c r="AA45" s="64"/>
      <c r="AB45" s="11" t="e">
        <f>(SUMIFS(#REF!,#REF!,C45)/(1+1.8%))*(1+1.8%+2.3%)</f>
        <v>#REF!</v>
      </c>
      <c r="AC45" s="11" t="e">
        <f>-SUMIFS(#REF!,#REF!,C45)/1000</f>
        <v>#REF!</v>
      </c>
      <c r="AD45" s="11" t="e">
        <f>SUMIFS(#REF!,#REF!,C45)</f>
        <v>#REF!</v>
      </c>
      <c r="AE45" s="11" t="e">
        <f>SUMIFS(#REF!,#REF!,C45)</f>
        <v>#REF!</v>
      </c>
      <c r="AF45" s="11" t="e">
        <f t="shared" si="4"/>
        <v>#REF!</v>
      </c>
    </row>
    <row r="46" spans="1:32" x14ac:dyDescent="0.25">
      <c r="A46" s="13" t="s">
        <v>98</v>
      </c>
      <c r="B46" s="14" t="s">
        <v>99</v>
      </c>
      <c r="C46" s="4" t="s">
        <v>112</v>
      </c>
      <c r="D46" s="4" t="s">
        <v>113</v>
      </c>
      <c r="E46" s="11">
        <f>SUMIFS('ICB Core Baseline 2024-25'!Q:Q,'ICB Core Baseline 2024-25'!C:C,C46)</f>
        <v>1058710.3515852729</v>
      </c>
      <c r="F46" s="11" t="e">
        <f>SUMIFS(#REF!,#REF!,C46)</f>
        <v>#REF!</v>
      </c>
      <c r="G46" s="43" t="e">
        <f t="shared" si="5"/>
        <v>#REF!</v>
      </c>
      <c r="I46" s="43" t="e">
        <f>SUMIFS(#REF!,#REF!,C46)</f>
        <v>#REF!</v>
      </c>
      <c r="J46" s="43" t="e">
        <f t="shared" si="6"/>
        <v>#REF!</v>
      </c>
      <c r="K46" s="43" t="e">
        <f t="shared" si="7"/>
        <v>#REF!</v>
      </c>
      <c r="L46" s="11" t="e">
        <f t="shared" si="8"/>
        <v>#REF!</v>
      </c>
      <c r="M46" s="11" t="e">
        <f t="shared" si="0"/>
        <v>#REF!</v>
      </c>
      <c r="N46" s="43" t="e">
        <f>SUMIFS(#REF!,#REF!,C46)</f>
        <v>#REF!</v>
      </c>
      <c r="O46" s="11" t="e">
        <f t="shared" si="1"/>
        <v>#REF!</v>
      </c>
      <c r="P46" s="43" t="e">
        <f t="shared" si="9"/>
        <v>#REF!</v>
      </c>
      <c r="Q46" s="11" t="e">
        <f t="shared" si="2"/>
        <v>#REF!</v>
      </c>
      <c r="R46" s="11" t="e">
        <f t="shared" si="10"/>
        <v>#REF!</v>
      </c>
      <c r="S46" s="11" t="e">
        <f t="shared" si="3"/>
        <v>#REF!</v>
      </c>
      <c r="T46" s="11" t="e">
        <f>(SUMIFS(#REF!,#REF!,C46)/SUMIFS(#REF!,#REF!,C46))*1000</f>
        <v>#REF!</v>
      </c>
      <c r="U46" s="11" t="e">
        <f t="shared" si="11"/>
        <v>#REF!</v>
      </c>
      <c r="V46" s="11" t="e">
        <f t="shared" si="12"/>
        <v>#REF!</v>
      </c>
      <c r="W46" s="43" t="e">
        <f t="shared" si="13"/>
        <v>#REF!</v>
      </c>
      <c r="X46" s="43" t="e">
        <f t="shared" si="14"/>
        <v>#REF!</v>
      </c>
      <c r="Y46" s="11" t="e">
        <f>SUMIFS(#REF!,#REF!,C46)/(1+1.8%)*(1+1.8%+2.3%)</f>
        <v>#REF!</v>
      </c>
      <c r="Z46" s="11" t="e">
        <f t="shared" si="15"/>
        <v>#REF!</v>
      </c>
      <c r="AA46" s="64"/>
      <c r="AB46" s="11" t="e">
        <f>(SUMIFS(#REF!,#REF!,C46)/(1+1.8%))*(1+1.8%+2.3%)</f>
        <v>#REF!</v>
      </c>
      <c r="AC46" s="11" t="e">
        <f>-SUMIFS(#REF!,#REF!,C46)/1000</f>
        <v>#REF!</v>
      </c>
      <c r="AD46" s="11" t="e">
        <f>SUMIFS(#REF!,#REF!,C46)</f>
        <v>#REF!</v>
      </c>
      <c r="AE46" s="11" t="e">
        <f>SUMIFS(#REF!,#REF!,C46)</f>
        <v>#REF!</v>
      </c>
      <c r="AF46" s="11" t="e">
        <f t="shared" si="4"/>
        <v>#REF!</v>
      </c>
    </row>
    <row r="47" spans="1:32" x14ac:dyDescent="0.25">
      <c r="A47" s="4"/>
      <c r="B47" s="4"/>
      <c r="C47" s="4"/>
      <c r="D47" s="4"/>
      <c r="AA47" s="63"/>
    </row>
    <row r="48" spans="1:32" x14ac:dyDescent="0.25">
      <c r="A48" s="4"/>
      <c r="B48" s="4"/>
      <c r="C48" s="4"/>
      <c r="D48" s="4"/>
      <c r="AA48" s="63"/>
    </row>
    <row r="49" spans="1:32" ht="114.75" x14ac:dyDescent="0.25">
      <c r="A49" s="4"/>
      <c r="B49" s="5" t="s">
        <v>114</v>
      </c>
      <c r="C49" s="5" t="s">
        <v>13</v>
      </c>
      <c r="D49" s="5" t="s">
        <v>14</v>
      </c>
      <c r="E49" s="27" t="s">
        <v>142</v>
      </c>
      <c r="F49" s="27" t="s">
        <v>1014</v>
      </c>
      <c r="G49" s="42" t="s">
        <v>146</v>
      </c>
      <c r="H49" s="36" t="s">
        <v>147</v>
      </c>
      <c r="I49" s="42" t="s">
        <v>127</v>
      </c>
      <c r="J49" s="42" t="s">
        <v>381</v>
      </c>
      <c r="K49" s="47" t="s">
        <v>128</v>
      </c>
      <c r="L49" s="47" t="s">
        <v>355</v>
      </c>
      <c r="M49" s="47" t="s">
        <v>356</v>
      </c>
      <c r="N49" s="42" t="s">
        <v>131</v>
      </c>
      <c r="O49" s="47" t="s">
        <v>357</v>
      </c>
      <c r="P49" s="47" t="s">
        <v>358</v>
      </c>
      <c r="Q49" s="47" t="s">
        <v>359</v>
      </c>
      <c r="R49" s="47" t="s">
        <v>355</v>
      </c>
      <c r="S49" s="47" t="s">
        <v>148</v>
      </c>
      <c r="T49" s="59" t="s">
        <v>149</v>
      </c>
      <c r="U49" s="59" t="s">
        <v>150</v>
      </c>
      <c r="V49" s="47" t="s">
        <v>361</v>
      </c>
      <c r="W49" s="42" t="s">
        <v>364</v>
      </c>
      <c r="X49" s="42" t="s">
        <v>151</v>
      </c>
      <c r="Y49" s="27" t="s">
        <v>152</v>
      </c>
      <c r="Z49" s="27" t="s">
        <v>153</v>
      </c>
      <c r="AA49" s="62" t="s">
        <v>154</v>
      </c>
      <c r="AB49" s="47" t="s">
        <v>155</v>
      </c>
      <c r="AC49" s="47" t="s">
        <v>382</v>
      </c>
      <c r="AD49" s="47" t="s">
        <v>5</v>
      </c>
      <c r="AE49" s="59"/>
      <c r="AF49" s="27" t="s">
        <v>383</v>
      </c>
    </row>
    <row r="50" spans="1:32" x14ac:dyDescent="0.25">
      <c r="A50" s="4"/>
      <c r="B50" s="21">
        <v>1</v>
      </c>
      <c r="C50" s="22" t="s">
        <v>17</v>
      </c>
      <c r="D50" s="22" t="s">
        <v>18</v>
      </c>
      <c r="E50" s="23">
        <f>SUMIFS(E$5:E$46,$A$5:$A$46,$C50)</f>
        <v>16103414.606958285</v>
      </c>
      <c r="F50" s="23" t="e">
        <f t="shared" ref="F50" si="16">SUMIFS(F$5:F$46,$A$5:$A$46,$C50)</f>
        <v>#REF!</v>
      </c>
      <c r="G50" s="45" t="e">
        <f t="shared" ref="G50:G57" si="17">E50/F50-1</f>
        <v>#REF!</v>
      </c>
      <c r="I50" s="45" t="e" cm="1">
        <f t="array" ref="I50">SUMPRODUCT((I$5:I$46)*($E$5:$E$46)*($A$5:$A$46=$C50))/SUMPRODUCT(($E$5:$E$46)*($A$5:$A$46=$C50))</f>
        <v>#REF!</v>
      </c>
      <c r="J50" s="45" t="e" cm="1">
        <f t="array" ref="J50">SUMPRODUCT((J$5:J$46)*($E$5:$E$46)*($A$5:$A$46=$C50))/SUMPRODUCT(($E$5:$E$46)*($A$5:$A$46=$C50))</f>
        <v>#REF!</v>
      </c>
      <c r="K50" s="45" t="e" cm="1">
        <f t="array" ref="K50">SUMPRODUCT((K$5:K$46)*($E$5:$E$46)*($A$5:$A$46=$C50))/SUMPRODUCT(($E$5:$E$46)*($A$5:$A$46=$C50))</f>
        <v>#REF!</v>
      </c>
      <c r="L50" s="23" t="e">
        <f t="shared" ref="L50:M56" si="18">SUMIFS(L$5:L$46,$A$5:$A$46,$C50)</f>
        <v>#REF!</v>
      </c>
      <c r="M50" s="23" t="e">
        <f t="shared" si="18"/>
        <v>#REF!</v>
      </c>
      <c r="N50" s="45" t="e">
        <f>SUMIFS(#REF!,#REF!,C50)</f>
        <v>#REF!</v>
      </c>
      <c r="O50" s="23" t="e">
        <f t="shared" ref="O50:O56" si="19">SUMIFS(O$5:O$46,$A$5:$A$46,$C50)</f>
        <v>#REF!</v>
      </c>
      <c r="P50" s="45" t="e" cm="1">
        <f t="array" ref="P50">SUMPRODUCT((P$5:P$46)*($M$5:$M$46)*($A$5:$A$46=$C50))/SUMPRODUCT(($M$5:$M$46)*($A$5:$A$46=$C50))</f>
        <v>#REF!</v>
      </c>
      <c r="Q50" s="23" t="e">
        <f t="shared" ref="Q50:AF56" si="20">SUMIFS(Q$5:Q$46,$A$5:$A$46,$C50)</f>
        <v>#REF!</v>
      </c>
      <c r="R50" s="23" t="e">
        <f t="shared" si="20"/>
        <v>#REF!</v>
      </c>
      <c r="S50" s="23" t="e">
        <f t="shared" si="20"/>
        <v>#REF!</v>
      </c>
      <c r="T50" s="23" t="e">
        <f t="shared" si="20"/>
        <v>#REF!</v>
      </c>
      <c r="U50" s="23" t="e">
        <f t="shared" ref="U50:U57" si="21">(S50/T50)*1000</f>
        <v>#REF!</v>
      </c>
      <c r="V50" s="23" t="e">
        <f t="shared" si="20"/>
        <v>#REF!</v>
      </c>
      <c r="W50" s="45" t="e">
        <f t="shared" ref="W50:W57" si="22">S50/V50-1</f>
        <v>#REF!</v>
      </c>
      <c r="X50" s="45" t="e">
        <f t="shared" ref="X50:X57" si="23">S50/E50-1</f>
        <v>#REF!</v>
      </c>
      <c r="Y50" s="23" t="e">
        <f t="shared" si="20"/>
        <v>#REF!</v>
      </c>
      <c r="Z50" s="23" t="e">
        <f t="shared" si="20"/>
        <v>#REF!</v>
      </c>
      <c r="AA50" s="66"/>
      <c r="AB50" s="23" t="e">
        <f t="shared" si="20"/>
        <v>#REF!</v>
      </c>
      <c r="AC50" s="23" t="e">
        <f t="shared" si="20"/>
        <v>#REF!</v>
      </c>
      <c r="AD50" s="23" t="e">
        <f t="shared" si="20"/>
        <v>#REF!</v>
      </c>
      <c r="AE50" s="23" t="e">
        <f t="shared" si="20"/>
        <v>#REF!</v>
      </c>
      <c r="AF50" s="23" t="e">
        <f t="shared" si="20"/>
        <v>#REF!</v>
      </c>
    </row>
    <row r="51" spans="1:32" x14ac:dyDescent="0.25">
      <c r="A51" s="4"/>
      <c r="B51" s="21">
        <v>2</v>
      </c>
      <c r="C51" s="22" t="s">
        <v>27</v>
      </c>
      <c r="D51" s="22" t="s">
        <v>28</v>
      </c>
      <c r="E51" s="23">
        <f t="shared" ref="E51:F56" si="24">SUMIFS(E$5:E$46,$A$5:$A$46,$C51)</f>
        <v>14450049.427944031</v>
      </c>
      <c r="F51" s="23" t="e">
        <f t="shared" si="24"/>
        <v>#REF!</v>
      </c>
      <c r="G51" s="45" t="e">
        <f t="shared" si="17"/>
        <v>#REF!</v>
      </c>
      <c r="I51" s="45" t="e" cm="1">
        <f t="array" ref="I51">SUMPRODUCT((I$5:I$46)*($E$5:$E$46)*($A$5:$A$46=$C51))/SUMPRODUCT(($E$5:$E$46)*($A$5:$A$46=$C51))</f>
        <v>#REF!</v>
      </c>
      <c r="J51" s="45" t="e" cm="1">
        <f t="array" ref="J51">SUMPRODUCT((J$5:J$46)*($E$5:$E$46)*($A$5:$A$46=$C51))/SUMPRODUCT(($E$5:$E$46)*($A$5:$A$46=$C51))</f>
        <v>#REF!</v>
      </c>
      <c r="K51" s="45" t="e" cm="1">
        <f t="array" ref="K51">SUMPRODUCT((K$5:K$46)*($E$5:$E$46)*($A$5:$A$46=$C51))/SUMPRODUCT(($E$5:$E$46)*($A$5:$A$46=$C51))</f>
        <v>#REF!</v>
      </c>
      <c r="L51" s="23" t="e">
        <f t="shared" si="18"/>
        <v>#REF!</v>
      </c>
      <c r="M51" s="23" t="e">
        <f t="shared" si="18"/>
        <v>#REF!</v>
      </c>
      <c r="N51" s="45" t="e">
        <f>SUMIFS(#REF!,#REF!,C51)</f>
        <v>#REF!</v>
      </c>
      <c r="O51" s="23" t="e">
        <f t="shared" si="19"/>
        <v>#REF!</v>
      </c>
      <c r="P51" s="45" t="e" cm="1">
        <f t="array" ref="P51">SUMPRODUCT((P$5:P$46)*($M$5:$M$46)*($A$5:$A$46=$C51))/SUMPRODUCT(($M$5:$M$46)*($A$5:$A$46=$C51))</f>
        <v>#REF!</v>
      </c>
      <c r="Q51" s="23" t="e">
        <f t="shared" si="20"/>
        <v>#REF!</v>
      </c>
      <c r="R51" s="23" t="e">
        <f t="shared" si="20"/>
        <v>#REF!</v>
      </c>
      <c r="S51" s="23" t="e">
        <f t="shared" si="20"/>
        <v>#REF!</v>
      </c>
      <c r="T51" s="23" t="e">
        <f t="shared" si="20"/>
        <v>#REF!</v>
      </c>
      <c r="U51" s="23" t="e">
        <f t="shared" si="21"/>
        <v>#REF!</v>
      </c>
      <c r="V51" s="23" t="e">
        <f t="shared" si="20"/>
        <v>#REF!</v>
      </c>
      <c r="W51" s="45" t="e">
        <f t="shared" si="22"/>
        <v>#REF!</v>
      </c>
      <c r="X51" s="45" t="e">
        <f t="shared" si="23"/>
        <v>#REF!</v>
      </c>
      <c r="Y51" s="23" t="e">
        <f t="shared" si="20"/>
        <v>#REF!</v>
      </c>
      <c r="Z51" s="23" t="e">
        <f t="shared" si="20"/>
        <v>#REF!</v>
      </c>
      <c r="AA51" s="66"/>
      <c r="AB51" s="23" t="e">
        <f t="shared" si="20"/>
        <v>#REF!</v>
      </c>
      <c r="AC51" s="23" t="e">
        <f t="shared" si="20"/>
        <v>#REF!</v>
      </c>
      <c r="AD51" s="23" t="e">
        <f t="shared" si="20"/>
        <v>#REF!</v>
      </c>
      <c r="AE51" s="23" t="e">
        <f t="shared" si="20"/>
        <v>#REF!</v>
      </c>
      <c r="AF51" s="23" t="e">
        <f t="shared" si="20"/>
        <v>#REF!</v>
      </c>
    </row>
    <row r="52" spans="1:32" x14ac:dyDescent="0.25">
      <c r="A52" s="4"/>
      <c r="B52" s="21">
        <v>3</v>
      </c>
      <c r="C52" s="22" t="s">
        <v>34</v>
      </c>
      <c r="D52" s="22" t="s">
        <v>35</v>
      </c>
      <c r="E52" s="23">
        <f t="shared" si="24"/>
        <v>19536186.067950472</v>
      </c>
      <c r="F52" s="23" t="e">
        <f t="shared" si="24"/>
        <v>#REF!</v>
      </c>
      <c r="G52" s="45" t="e">
        <f t="shared" si="17"/>
        <v>#REF!</v>
      </c>
      <c r="I52" s="45" t="e" cm="1">
        <f t="array" ref="I52">SUMPRODUCT((I$5:I$46)*($E$5:$E$46)*($A$5:$A$46=$C52))/SUMPRODUCT(($E$5:$E$46)*($A$5:$A$46=$C52))</f>
        <v>#REF!</v>
      </c>
      <c r="J52" s="45" t="e" cm="1">
        <f t="array" ref="J52">SUMPRODUCT((J$5:J$46)*($E$5:$E$46)*($A$5:$A$46=$C52))/SUMPRODUCT(($E$5:$E$46)*($A$5:$A$46=$C52))</f>
        <v>#REF!</v>
      </c>
      <c r="K52" s="45" t="e" cm="1">
        <f t="array" ref="K52">SUMPRODUCT((K$5:K$46)*($E$5:$E$46)*($A$5:$A$46=$C52))/SUMPRODUCT(($E$5:$E$46)*($A$5:$A$46=$C52))</f>
        <v>#REF!</v>
      </c>
      <c r="L52" s="23" t="e">
        <f t="shared" si="18"/>
        <v>#REF!</v>
      </c>
      <c r="M52" s="23" t="e">
        <f t="shared" si="18"/>
        <v>#REF!</v>
      </c>
      <c r="N52" s="45" t="e">
        <f>SUMIFS(#REF!,#REF!,C52)</f>
        <v>#REF!</v>
      </c>
      <c r="O52" s="23" t="e">
        <f t="shared" si="19"/>
        <v>#REF!</v>
      </c>
      <c r="P52" s="45" t="e" cm="1">
        <f t="array" ref="P52">SUMPRODUCT((P$5:P$46)*($M$5:$M$46)*($A$5:$A$46=$C52))/SUMPRODUCT(($M$5:$M$46)*($A$5:$A$46=$C52))</f>
        <v>#REF!</v>
      </c>
      <c r="Q52" s="23" t="e">
        <f t="shared" si="20"/>
        <v>#REF!</v>
      </c>
      <c r="R52" s="23" t="e">
        <f t="shared" si="20"/>
        <v>#REF!</v>
      </c>
      <c r="S52" s="23" t="e">
        <f t="shared" si="20"/>
        <v>#REF!</v>
      </c>
      <c r="T52" s="23" t="e">
        <f t="shared" si="20"/>
        <v>#REF!</v>
      </c>
      <c r="U52" s="23" t="e">
        <f t="shared" si="21"/>
        <v>#REF!</v>
      </c>
      <c r="V52" s="23" t="e">
        <f t="shared" si="20"/>
        <v>#REF!</v>
      </c>
      <c r="W52" s="45" t="e">
        <f t="shared" si="22"/>
        <v>#REF!</v>
      </c>
      <c r="X52" s="45" t="e">
        <f t="shared" si="23"/>
        <v>#REF!</v>
      </c>
      <c r="Y52" s="23" t="e">
        <f t="shared" si="20"/>
        <v>#REF!</v>
      </c>
      <c r="Z52" s="23" t="e">
        <f t="shared" si="20"/>
        <v>#REF!</v>
      </c>
      <c r="AA52" s="66"/>
      <c r="AB52" s="23" t="e">
        <f t="shared" si="20"/>
        <v>#REF!</v>
      </c>
      <c r="AC52" s="23" t="e">
        <f t="shared" si="20"/>
        <v>#REF!</v>
      </c>
      <c r="AD52" s="23" t="e">
        <f t="shared" si="20"/>
        <v>#REF!</v>
      </c>
      <c r="AE52" s="23" t="e">
        <f t="shared" si="20"/>
        <v>#REF!</v>
      </c>
      <c r="AF52" s="23" t="e">
        <f t="shared" si="20"/>
        <v>#REF!</v>
      </c>
    </row>
    <row r="53" spans="1:32" x14ac:dyDescent="0.25">
      <c r="A53" s="4"/>
      <c r="B53" s="21">
        <v>4</v>
      </c>
      <c r="C53" s="22" t="s">
        <v>58</v>
      </c>
      <c r="D53" s="22" t="s">
        <v>59</v>
      </c>
      <c r="E53" s="23">
        <f t="shared" si="24"/>
        <v>11559699.774078418</v>
      </c>
      <c r="F53" s="23" t="e">
        <f t="shared" si="24"/>
        <v>#REF!</v>
      </c>
      <c r="G53" s="45" t="e">
        <f t="shared" si="17"/>
        <v>#REF!</v>
      </c>
      <c r="I53" s="45" t="e" cm="1">
        <f t="array" ref="I53">SUMPRODUCT((I$5:I$46)*($E$5:$E$46)*($A$5:$A$46=$C53))/SUMPRODUCT(($E$5:$E$46)*($A$5:$A$46=$C53))</f>
        <v>#REF!</v>
      </c>
      <c r="J53" s="45" t="e" cm="1">
        <f t="array" ref="J53">SUMPRODUCT((J$5:J$46)*($E$5:$E$46)*($A$5:$A$46=$C53))/SUMPRODUCT(($E$5:$E$46)*($A$5:$A$46=$C53))</f>
        <v>#REF!</v>
      </c>
      <c r="K53" s="45" t="e" cm="1">
        <f t="array" ref="K53">SUMPRODUCT((K$5:K$46)*($E$5:$E$46)*($A$5:$A$46=$C53))/SUMPRODUCT(($E$5:$E$46)*($A$5:$A$46=$C53))</f>
        <v>#REF!</v>
      </c>
      <c r="L53" s="23" t="e">
        <f t="shared" si="18"/>
        <v>#REF!</v>
      </c>
      <c r="M53" s="23" t="e">
        <f t="shared" si="18"/>
        <v>#REF!</v>
      </c>
      <c r="N53" s="45" t="e">
        <f>SUMIFS(#REF!,#REF!,C53)</f>
        <v>#REF!</v>
      </c>
      <c r="O53" s="23" t="e">
        <f t="shared" si="19"/>
        <v>#REF!</v>
      </c>
      <c r="P53" s="45" t="e" cm="1">
        <f t="array" ref="P53">SUMPRODUCT((P$5:P$46)*($M$5:$M$46)*($A$5:$A$46=$C53))/SUMPRODUCT(($M$5:$M$46)*($A$5:$A$46=$C53))</f>
        <v>#REF!</v>
      </c>
      <c r="Q53" s="23" t="e">
        <f t="shared" si="20"/>
        <v>#REF!</v>
      </c>
      <c r="R53" s="23" t="e">
        <f t="shared" si="20"/>
        <v>#REF!</v>
      </c>
      <c r="S53" s="23" t="e">
        <f t="shared" si="20"/>
        <v>#REF!</v>
      </c>
      <c r="T53" s="23" t="e">
        <f t="shared" si="20"/>
        <v>#REF!</v>
      </c>
      <c r="U53" s="23" t="e">
        <f t="shared" si="21"/>
        <v>#REF!</v>
      </c>
      <c r="V53" s="23" t="e">
        <f t="shared" si="20"/>
        <v>#REF!</v>
      </c>
      <c r="W53" s="45" t="e">
        <f t="shared" si="22"/>
        <v>#REF!</v>
      </c>
      <c r="X53" s="45" t="e">
        <f t="shared" si="23"/>
        <v>#REF!</v>
      </c>
      <c r="Y53" s="23" t="e">
        <f t="shared" si="20"/>
        <v>#REF!</v>
      </c>
      <c r="Z53" s="23" t="e">
        <f t="shared" si="20"/>
        <v>#REF!</v>
      </c>
      <c r="AA53" s="66"/>
      <c r="AB53" s="23" t="e">
        <f t="shared" si="20"/>
        <v>#REF!</v>
      </c>
      <c r="AC53" s="23" t="e">
        <f t="shared" si="20"/>
        <v>#REF!</v>
      </c>
      <c r="AD53" s="23" t="e">
        <f t="shared" si="20"/>
        <v>#REF!</v>
      </c>
      <c r="AE53" s="23" t="e">
        <f t="shared" si="20"/>
        <v>#REF!</v>
      </c>
      <c r="AF53" s="23" t="e">
        <f t="shared" si="20"/>
        <v>#REF!</v>
      </c>
    </row>
    <row r="54" spans="1:32" x14ac:dyDescent="0.25">
      <c r="A54" s="4"/>
      <c r="B54" s="21">
        <v>5</v>
      </c>
      <c r="C54" s="22" t="s">
        <v>72</v>
      </c>
      <c r="D54" s="22" t="s">
        <v>73</v>
      </c>
      <c r="E54" s="23">
        <f t="shared" si="24"/>
        <v>16796669.95379521</v>
      </c>
      <c r="F54" s="23" t="e">
        <f t="shared" si="24"/>
        <v>#REF!</v>
      </c>
      <c r="G54" s="45" t="e">
        <f t="shared" si="17"/>
        <v>#REF!</v>
      </c>
      <c r="I54" s="45" t="e" cm="1">
        <f t="array" ref="I54">SUMPRODUCT((I$5:I$46)*($E$5:$E$46)*($A$5:$A$46=$C54))/SUMPRODUCT(($E$5:$E$46)*($A$5:$A$46=$C54))</f>
        <v>#REF!</v>
      </c>
      <c r="J54" s="45" t="e" cm="1">
        <f t="array" ref="J54">SUMPRODUCT((J$5:J$46)*($E$5:$E$46)*($A$5:$A$46=$C54))/SUMPRODUCT(($E$5:$E$46)*($A$5:$A$46=$C54))</f>
        <v>#REF!</v>
      </c>
      <c r="K54" s="45" t="e" cm="1">
        <f t="array" ref="K54">SUMPRODUCT((K$5:K$46)*($E$5:$E$46)*($A$5:$A$46=$C54))/SUMPRODUCT(($E$5:$E$46)*($A$5:$A$46=$C54))</f>
        <v>#REF!</v>
      </c>
      <c r="L54" s="23" t="e">
        <f t="shared" si="18"/>
        <v>#REF!</v>
      </c>
      <c r="M54" s="23" t="e">
        <f t="shared" si="18"/>
        <v>#REF!</v>
      </c>
      <c r="N54" s="45" t="e">
        <f>SUMIFS(#REF!,#REF!,C54)</f>
        <v>#REF!</v>
      </c>
      <c r="O54" s="23" t="e">
        <f t="shared" si="19"/>
        <v>#REF!</v>
      </c>
      <c r="P54" s="45" t="e" cm="1">
        <f t="array" ref="P54">SUMPRODUCT((P$5:P$46)*($M$5:$M$46)*($A$5:$A$46=$C54))/SUMPRODUCT(($M$5:$M$46)*($A$5:$A$46=$C54))</f>
        <v>#REF!</v>
      </c>
      <c r="Q54" s="23" t="e">
        <f t="shared" si="20"/>
        <v>#REF!</v>
      </c>
      <c r="R54" s="23" t="e">
        <f t="shared" si="20"/>
        <v>#REF!</v>
      </c>
      <c r="S54" s="23" t="e">
        <f t="shared" si="20"/>
        <v>#REF!</v>
      </c>
      <c r="T54" s="23" t="e">
        <f t="shared" si="20"/>
        <v>#REF!</v>
      </c>
      <c r="U54" s="23" t="e">
        <f t="shared" si="21"/>
        <v>#REF!</v>
      </c>
      <c r="V54" s="23" t="e">
        <f t="shared" si="20"/>
        <v>#REF!</v>
      </c>
      <c r="W54" s="45" t="e">
        <f t="shared" si="22"/>
        <v>#REF!</v>
      </c>
      <c r="X54" s="45" t="e">
        <f t="shared" si="23"/>
        <v>#REF!</v>
      </c>
      <c r="Y54" s="23" t="e">
        <f t="shared" si="20"/>
        <v>#REF!</v>
      </c>
      <c r="Z54" s="23" t="e">
        <f t="shared" si="20"/>
        <v>#REF!</v>
      </c>
      <c r="AA54" s="66"/>
      <c r="AB54" s="23" t="e">
        <f t="shared" si="20"/>
        <v>#REF!</v>
      </c>
      <c r="AC54" s="23" t="e">
        <f t="shared" si="20"/>
        <v>#REF!</v>
      </c>
      <c r="AD54" s="23" t="e">
        <f t="shared" si="20"/>
        <v>#REF!</v>
      </c>
      <c r="AE54" s="23" t="e">
        <f t="shared" si="20"/>
        <v>#REF!</v>
      </c>
      <c r="AF54" s="23" t="e">
        <f t="shared" si="20"/>
        <v>#REF!</v>
      </c>
    </row>
    <row r="55" spans="1:32" x14ac:dyDescent="0.25">
      <c r="A55" s="4"/>
      <c r="B55" s="21">
        <v>6</v>
      </c>
      <c r="C55" s="22" t="s">
        <v>84</v>
      </c>
      <c r="D55" s="22" t="s">
        <v>85</v>
      </c>
      <c r="E55" s="23">
        <f t="shared" si="24"/>
        <v>15582342.155601533</v>
      </c>
      <c r="F55" s="23" t="e">
        <f t="shared" si="24"/>
        <v>#REF!</v>
      </c>
      <c r="G55" s="45" t="e">
        <f t="shared" si="17"/>
        <v>#REF!</v>
      </c>
      <c r="I55" s="45" t="e" cm="1">
        <f t="array" ref="I55">SUMPRODUCT((I$5:I$46)*($E$5:$E$46)*($A$5:$A$46=$C55))/SUMPRODUCT(($E$5:$E$46)*($A$5:$A$46=$C55))</f>
        <v>#REF!</v>
      </c>
      <c r="J55" s="45" t="e" cm="1">
        <f t="array" ref="J55">SUMPRODUCT((J$5:J$46)*($E$5:$E$46)*($A$5:$A$46=$C55))/SUMPRODUCT(($E$5:$E$46)*($A$5:$A$46=$C55))</f>
        <v>#REF!</v>
      </c>
      <c r="K55" s="45" t="e" cm="1">
        <f t="array" ref="K55">SUMPRODUCT((K$5:K$46)*($E$5:$E$46)*($A$5:$A$46=$C55))/SUMPRODUCT(($E$5:$E$46)*($A$5:$A$46=$C55))</f>
        <v>#REF!</v>
      </c>
      <c r="L55" s="23" t="e">
        <f t="shared" si="18"/>
        <v>#REF!</v>
      </c>
      <c r="M55" s="23" t="e">
        <f t="shared" si="18"/>
        <v>#REF!</v>
      </c>
      <c r="N55" s="45" t="e">
        <f>SUMIFS(#REF!,#REF!,C55)</f>
        <v>#REF!</v>
      </c>
      <c r="O55" s="23" t="e">
        <f t="shared" si="19"/>
        <v>#REF!</v>
      </c>
      <c r="P55" s="45" t="e" cm="1">
        <f t="array" ref="P55">SUMPRODUCT((P$5:P$46)*($M$5:$M$46)*($A$5:$A$46=$C55))/SUMPRODUCT(($M$5:$M$46)*($A$5:$A$46=$C55))</f>
        <v>#REF!</v>
      </c>
      <c r="Q55" s="23" t="e">
        <f t="shared" si="20"/>
        <v>#REF!</v>
      </c>
      <c r="R55" s="23" t="e">
        <f t="shared" si="20"/>
        <v>#REF!</v>
      </c>
      <c r="S55" s="23" t="e">
        <f t="shared" si="20"/>
        <v>#REF!</v>
      </c>
      <c r="T55" s="23" t="e">
        <f t="shared" si="20"/>
        <v>#REF!</v>
      </c>
      <c r="U55" s="23" t="e">
        <f t="shared" si="21"/>
        <v>#REF!</v>
      </c>
      <c r="V55" s="23" t="e">
        <f t="shared" si="20"/>
        <v>#REF!</v>
      </c>
      <c r="W55" s="45" t="e">
        <f t="shared" si="22"/>
        <v>#REF!</v>
      </c>
      <c r="X55" s="45" t="e">
        <f t="shared" si="23"/>
        <v>#REF!</v>
      </c>
      <c r="Y55" s="23" t="e">
        <f t="shared" si="20"/>
        <v>#REF!</v>
      </c>
      <c r="Z55" s="23" t="e">
        <f t="shared" si="20"/>
        <v>#REF!</v>
      </c>
      <c r="AA55" s="66"/>
      <c r="AB55" s="23" t="e">
        <f t="shared" si="20"/>
        <v>#REF!</v>
      </c>
      <c r="AC55" s="23" t="e">
        <f t="shared" si="20"/>
        <v>#REF!</v>
      </c>
      <c r="AD55" s="23" t="e">
        <f t="shared" si="20"/>
        <v>#REF!</v>
      </c>
      <c r="AE55" s="23" t="e">
        <f t="shared" si="20"/>
        <v>#REF!</v>
      </c>
      <c r="AF55" s="23" t="e">
        <f t="shared" si="20"/>
        <v>#REF!</v>
      </c>
    </row>
    <row r="56" spans="1:32" x14ac:dyDescent="0.25">
      <c r="A56" s="4"/>
      <c r="B56" s="21">
        <v>7</v>
      </c>
      <c r="C56" s="22" t="s">
        <v>98</v>
      </c>
      <c r="D56" s="22" t="s">
        <v>99</v>
      </c>
      <c r="E56" s="23">
        <f t="shared" si="24"/>
        <v>10165711.523301041</v>
      </c>
      <c r="F56" s="23" t="e">
        <f t="shared" si="24"/>
        <v>#REF!</v>
      </c>
      <c r="G56" s="45" t="e">
        <f t="shared" si="17"/>
        <v>#REF!</v>
      </c>
      <c r="I56" s="45" t="e" cm="1">
        <f t="array" ref="I56">SUMPRODUCT((I$5:I$46)*($E$5:$E$46)*($A$5:$A$46=$C56))/SUMPRODUCT(($E$5:$E$46)*($A$5:$A$46=$C56))</f>
        <v>#REF!</v>
      </c>
      <c r="J56" s="45" t="e" cm="1">
        <f t="array" ref="J56">SUMPRODUCT((J$5:J$46)*($E$5:$E$46)*($A$5:$A$46=$C56))/SUMPRODUCT(($E$5:$E$46)*($A$5:$A$46=$C56))</f>
        <v>#REF!</v>
      </c>
      <c r="K56" s="45" t="e" cm="1">
        <f t="array" ref="K56">SUMPRODUCT((K$5:K$46)*($E$5:$E$46)*($A$5:$A$46=$C56))/SUMPRODUCT(($E$5:$E$46)*($A$5:$A$46=$C56))</f>
        <v>#REF!</v>
      </c>
      <c r="L56" s="23" t="e">
        <f t="shared" si="18"/>
        <v>#REF!</v>
      </c>
      <c r="M56" s="23" t="e">
        <f t="shared" si="18"/>
        <v>#REF!</v>
      </c>
      <c r="N56" s="45" t="e">
        <f>SUMIFS(#REF!,#REF!,C56)</f>
        <v>#REF!</v>
      </c>
      <c r="O56" s="23" t="e">
        <f t="shared" si="19"/>
        <v>#REF!</v>
      </c>
      <c r="P56" s="45" t="e" cm="1">
        <f t="array" ref="P56">SUMPRODUCT((P$5:P$46)*($M$5:$M$46)*($A$5:$A$46=$C56))/SUMPRODUCT(($M$5:$M$46)*($A$5:$A$46=$C56))</f>
        <v>#REF!</v>
      </c>
      <c r="Q56" s="23" t="e">
        <f t="shared" si="20"/>
        <v>#REF!</v>
      </c>
      <c r="R56" s="23" t="e">
        <f t="shared" si="20"/>
        <v>#REF!</v>
      </c>
      <c r="S56" s="23" t="e">
        <f t="shared" si="20"/>
        <v>#REF!</v>
      </c>
      <c r="T56" s="23" t="e">
        <f t="shared" si="20"/>
        <v>#REF!</v>
      </c>
      <c r="U56" s="23" t="e">
        <f t="shared" si="21"/>
        <v>#REF!</v>
      </c>
      <c r="V56" s="23" t="e">
        <f t="shared" si="20"/>
        <v>#REF!</v>
      </c>
      <c r="W56" s="45" t="e">
        <f t="shared" si="22"/>
        <v>#REF!</v>
      </c>
      <c r="X56" s="45" t="e">
        <f t="shared" si="23"/>
        <v>#REF!</v>
      </c>
      <c r="Y56" s="23" t="e">
        <f t="shared" si="20"/>
        <v>#REF!</v>
      </c>
      <c r="Z56" s="23" t="e">
        <f t="shared" si="20"/>
        <v>#REF!</v>
      </c>
      <c r="AA56" s="66"/>
      <c r="AB56" s="23" t="e">
        <f t="shared" si="20"/>
        <v>#REF!</v>
      </c>
      <c r="AC56" s="23" t="e">
        <f t="shared" si="20"/>
        <v>#REF!</v>
      </c>
      <c r="AD56" s="23" t="e">
        <f t="shared" si="20"/>
        <v>#REF!</v>
      </c>
      <c r="AE56" s="23" t="e">
        <f t="shared" si="20"/>
        <v>#REF!</v>
      </c>
      <c r="AF56" s="23" t="e">
        <f t="shared" si="20"/>
        <v>#REF!</v>
      </c>
    </row>
    <row r="57" spans="1:32" x14ac:dyDescent="0.25">
      <c r="A57" s="22"/>
      <c r="B57" s="37"/>
      <c r="C57" s="38" t="s">
        <v>115</v>
      </c>
      <c r="D57" s="38" t="s">
        <v>116</v>
      </c>
      <c r="E57" s="33">
        <f>SUM(E50:E56)</f>
        <v>104194073.50962898</v>
      </c>
      <c r="F57" s="33" t="e">
        <f t="shared" ref="F57" si="25">SUM(F50:F56)</f>
        <v>#REF!</v>
      </c>
      <c r="G57" s="46" t="e">
        <f t="shared" si="17"/>
        <v>#REF!</v>
      </c>
      <c r="I57" s="46" t="e">
        <f>SUMPRODUCT(I5:I46,E5:E46)/E57</f>
        <v>#REF!</v>
      </c>
      <c r="J57" s="46" t="e">
        <f t="shared" ref="J57" si="26">I57-$I$57</f>
        <v>#REF!</v>
      </c>
      <c r="K57" s="46" t="e">
        <f>$K$2+J57</f>
        <v>#REF!</v>
      </c>
      <c r="L57" s="33" t="e">
        <f>SUM(L50:L56)</f>
        <v>#REF!</v>
      </c>
      <c r="M57" s="33" t="e">
        <f>SUM(M50:M56)</f>
        <v>#REF!</v>
      </c>
      <c r="N57" s="46" t="e">
        <f>SUMIFS(#REF!,#REF!,C57)</f>
        <v>#REF!</v>
      </c>
      <c r="O57" s="33" t="e">
        <f t="shared" ref="O57:R57" si="27">SUM(O50:O56)</f>
        <v>#REF!</v>
      </c>
      <c r="P57" s="46" t="e">
        <f>Q57/M57</f>
        <v>#REF!</v>
      </c>
      <c r="Q57" s="33" t="e">
        <f t="shared" si="27"/>
        <v>#REF!</v>
      </c>
      <c r="R57" s="33" t="e">
        <f t="shared" si="27"/>
        <v>#REF!</v>
      </c>
      <c r="S57" s="33" t="e">
        <f t="shared" ref="S57:V57" si="28">SUM(S50:S56)</f>
        <v>#REF!</v>
      </c>
      <c r="T57" s="33" t="e">
        <f t="shared" si="28"/>
        <v>#REF!</v>
      </c>
      <c r="U57" s="33" t="e">
        <f t="shared" si="21"/>
        <v>#REF!</v>
      </c>
      <c r="V57" s="33" t="e">
        <f t="shared" si="28"/>
        <v>#REF!</v>
      </c>
      <c r="W57" s="46" t="e">
        <f t="shared" si="22"/>
        <v>#REF!</v>
      </c>
      <c r="X57" s="46" t="e">
        <f t="shared" si="23"/>
        <v>#REF!</v>
      </c>
      <c r="Y57" s="33" t="e">
        <f t="shared" ref="Y57:Z57" si="29">SUM(Y50:Y56)</f>
        <v>#REF!</v>
      </c>
      <c r="Z57" s="33" t="e">
        <f t="shared" si="29"/>
        <v>#REF!</v>
      </c>
      <c r="AA57" s="67"/>
      <c r="AB57" s="33" t="e">
        <f t="shared" ref="AB57:AF57" si="30">SUM(AB50:AB56)</f>
        <v>#REF!</v>
      </c>
      <c r="AC57" s="33" t="e">
        <f t="shared" si="30"/>
        <v>#REF!</v>
      </c>
      <c r="AD57" s="33" t="e">
        <f t="shared" si="30"/>
        <v>#REF!</v>
      </c>
      <c r="AE57" s="33" t="e">
        <f t="shared" si="30"/>
        <v>#REF!</v>
      </c>
      <c r="AF57" s="33" t="e">
        <f t="shared" si="30"/>
        <v>#REF!</v>
      </c>
    </row>
    <row r="59" spans="1:32" x14ac:dyDescent="0.25">
      <c r="E59" s="58" t="e">
        <f>E57-#REF!</f>
        <v>#REF!</v>
      </c>
      <c r="O59" s="60"/>
      <c r="Y59" s="58" t="e">
        <f>Y57-#REF!</f>
        <v>#REF!</v>
      </c>
      <c r="AB59" s="58" t="e">
        <f>AB57-#REF!</f>
        <v>#REF!</v>
      </c>
      <c r="AD59" s="58" t="e">
        <f>AD57-#REF!</f>
        <v>#REF!</v>
      </c>
      <c r="AE59" s="58"/>
    </row>
    <row r="60" spans="1:32" x14ac:dyDescent="0.25">
      <c r="I60" s="48"/>
      <c r="O60" s="60"/>
      <c r="S60" s="58" t="e">
        <f>S57-#REF!</f>
        <v>#REF!</v>
      </c>
      <c r="T60" s="58"/>
      <c r="U60" s="58"/>
    </row>
    <row r="61" spans="1:32" x14ac:dyDescent="0.25">
      <c r="I61" s="48"/>
      <c r="O61" s="60"/>
      <c r="S61" s="58"/>
      <c r="T61" s="58"/>
      <c r="U61" s="58"/>
      <c r="X61" s="41" t="s">
        <v>385</v>
      </c>
      <c r="Y61">
        <v>38.700000000000003</v>
      </c>
      <c r="AB61">
        <v>4.7</v>
      </c>
    </row>
    <row r="62" spans="1:32" x14ac:dyDescent="0.25">
      <c r="O62" s="60"/>
      <c r="S62" s="58">
        <v>106918749.96637797</v>
      </c>
      <c r="T62" s="58"/>
      <c r="U62" s="58"/>
      <c r="X62" s="41" t="s">
        <v>386</v>
      </c>
      <c r="Y62">
        <v>16.899999999999999</v>
      </c>
      <c r="AB62">
        <v>2.1</v>
      </c>
    </row>
    <row r="63" spans="1:32" x14ac:dyDescent="0.25">
      <c r="O63" s="60"/>
      <c r="S63" s="58" t="e">
        <f>S57-S62</f>
        <v>#REF!</v>
      </c>
      <c r="T63" s="58"/>
      <c r="U63" s="58"/>
      <c r="X63" s="41" t="s">
        <v>115</v>
      </c>
      <c r="Y63">
        <f>SUM(Y61:Y62)</f>
        <v>55.6</v>
      </c>
      <c r="AB63">
        <f>SUM(AB61:AB62)</f>
        <v>6.8000000000000007</v>
      </c>
    </row>
    <row r="64" spans="1:32" x14ac:dyDescent="0.25">
      <c r="O64" s="60"/>
      <c r="X64" s="41" t="s">
        <v>387</v>
      </c>
      <c r="Y64" s="41" t="e">
        <f>(Y59/1000)/Y63-1</f>
        <v>#REF!</v>
      </c>
      <c r="AB64" s="41" t="e">
        <f>(AB59/1000)/AB63-1</f>
        <v>#REF!</v>
      </c>
    </row>
    <row r="65" spans="15:28" x14ac:dyDescent="0.25">
      <c r="O65" s="60"/>
      <c r="AB65" t="s">
        <v>388</v>
      </c>
    </row>
    <row r="66" spans="15:28" x14ac:dyDescent="0.25">
      <c r="O66" s="60"/>
    </row>
    <row r="67" spans="15:28" x14ac:dyDescent="0.25">
      <c r="AB67">
        <f>300/(1+1.8%)*2.3%</f>
        <v>6.7779960707269149</v>
      </c>
    </row>
    <row r="68" spans="15:28" x14ac:dyDescent="0.25">
      <c r="AB68">
        <f>500/(1+1.8%)*2.3%</f>
        <v>11.296660117878192</v>
      </c>
    </row>
    <row r="69" spans="15:28" x14ac:dyDescent="0.25">
      <c r="AB69">
        <f>AB68/AB67-1</f>
        <v>0.66666666666666674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3995B-1CF5-4F55-98B4-5BFDD29DB4DA}">
  <sheetPr codeName="Sheet16">
    <tabColor theme="5" tint="0.39997558519241921"/>
  </sheetPr>
  <dimension ref="B2:G6"/>
  <sheetViews>
    <sheetView workbookViewId="0">
      <selection activeCell="D4" sqref="D4"/>
    </sheetView>
  </sheetViews>
  <sheetFormatPr defaultRowHeight="15" x14ac:dyDescent="0.25"/>
  <cols>
    <col min="3" max="3" width="34.28515625" customWidth="1"/>
    <col min="7" max="7" width="18.28515625" bestFit="1" customWidth="1"/>
  </cols>
  <sheetData>
    <row r="2" spans="2:7" x14ac:dyDescent="0.25">
      <c r="B2" t="s">
        <v>1015</v>
      </c>
      <c r="C2" t="s">
        <v>1016</v>
      </c>
      <c r="D2" t="s">
        <v>1017</v>
      </c>
      <c r="E2" t="s">
        <v>1018</v>
      </c>
      <c r="F2" t="s">
        <v>2</v>
      </c>
      <c r="G2" t="s">
        <v>1019</v>
      </c>
    </row>
    <row r="3" spans="2:7" x14ac:dyDescent="0.25">
      <c r="B3">
        <v>1</v>
      </c>
      <c r="C3" t="s">
        <v>1020</v>
      </c>
    </row>
    <row r="4" spans="2:7" x14ac:dyDescent="0.25">
      <c r="B4" t="s">
        <v>1021</v>
      </c>
      <c r="C4" t="s">
        <v>1022</v>
      </c>
    </row>
    <row r="5" spans="2:7" x14ac:dyDescent="0.25">
      <c r="B5" t="s">
        <v>1023</v>
      </c>
    </row>
    <row r="6" spans="2:7" x14ac:dyDescent="0.25">
      <c r="B6">
        <v>3</v>
      </c>
      <c r="C6" t="s">
        <v>1024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D0C5-C806-453A-AD24-90E9AB5D4E43}">
  <sheetPr codeName="Sheet17">
    <tabColor theme="5" tint="0.39997558519241921"/>
  </sheetPr>
  <dimension ref="B2:CA60"/>
  <sheetViews>
    <sheetView topLeftCell="AN1" workbookViewId="0">
      <selection activeCell="BD8" sqref="BD8"/>
    </sheetView>
  </sheetViews>
  <sheetFormatPr defaultRowHeight="15" x14ac:dyDescent="0.25"/>
  <cols>
    <col min="3" max="3" width="21.7109375" bestFit="1" customWidth="1"/>
    <col min="5" max="5" width="54" bestFit="1" customWidth="1"/>
    <col min="6" max="12" width="13.28515625" customWidth="1"/>
    <col min="15" max="16" width="12.7109375" customWidth="1"/>
    <col min="17" max="17" width="11.42578125" customWidth="1"/>
    <col min="18" max="19" width="11.7109375" customWidth="1"/>
    <col min="21" max="22" width="12.7109375" customWidth="1"/>
    <col min="24" max="24" width="11.28515625" customWidth="1"/>
    <col min="25" max="25" width="11.7109375" customWidth="1"/>
    <col min="26" max="26" width="12" bestFit="1" customWidth="1"/>
    <col min="27" max="29" width="12.42578125" customWidth="1"/>
    <col min="31" max="35" width="13.28515625" customWidth="1"/>
    <col min="37" max="37" width="12.28515625" customWidth="1"/>
    <col min="39" max="39" width="12.28515625" customWidth="1"/>
    <col min="41" max="41" width="11.7109375" customWidth="1"/>
    <col min="42" max="42" width="12.28515625" customWidth="1"/>
    <col min="44" max="44" width="12.28515625" customWidth="1"/>
    <col min="46" max="51" width="12.28515625" customWidth="1"/>
    <col min="53" max="53" width="10.7109375" customWidth="1"/>
    <col min="55" max="55" width="12.28515625" customWidth="1"/>
    <col min="57" max="57" width="11.7109375" customWidth="1"/>
    <col min="58" max="58" width="12" customWidth="1"/>
    <col min="62" max="67" width="12.28515625" customWidth="1"/>
    <col min="69" max="69" width="10.7109375" customWidth="1"/>
    <col min="71" max="71" width="12.28515625" customWidth="1"/>
    <col min="73" max="73" width="11.7109375" customWidth="1"/>
    <col min="74" max="74" width="12" customWidth="1"/>
    <col min="78" max="78" width="12" customWidth="1"/>
  </cols>
  <sheetData>
    <row r="2" spans="2:79" x14ac:dyDescent="0.25">
      <c r="N2" t="s">
        <v>1025</v>
      </c>
      <c r="AE2" t="s">
        <v>1026</v>
      </c>
      <c r="AT2" t="s">
        <v>1027</v>
      </c>
      <c r="BJ2" t="s">
        <v>1028</v>
      </c>
    </row>
    <row r="3" spans="2:79" x14ac:dyDescent="0.25">
      <c r="AL3" s="41"/>
      <c r="AN3" s="41"/>
    </row>
    <row r="4" spans="2:79" ht="63.75" x14ac:dyDescent="0.25">
      <c r="B4" s="25" t="s">
        <v>13</v>
      </c>
      <c r="C4" s="26" t="s">
        <v>14</v>
      </c>
      <c r="D4" s="26" t="s">
        <v>15</v>
      </c>
      <c r="E4" s="26" t="s">
        <v>16</v>
      </c>
      <c r="F4" s="73" t="s">
        <v>0</v>
      </c>
      <c r="G4" s="47" t="s">
        <v>9</v>
      </c>
      <c r="H4" s="47" t="s">
        <v>10</v>
      </c>
      <c r="I4" s="47" t="s">
        <v>11</v>
      </c>
      <c r="J4" s="47" t="s">
        <v>1029</v>
      </c>
      <c r="K4" s="47" t="s">
        <v>1030</v>
      </c>
      <c r="L4" s="74" t="s">
        <v>1031</v>
      </c>
      <c r="N4" s="42" t="s">
        <v>127</v>
      </c>
      <c r="O4" s="74" t="s">
        <v>1032</v>
      </c>
      <c r="P4" s="74" t="s">
        <v>1033</v>
      </c>
      <c r="Q4" s="74" t="s">
        <v>1034</v>
      </c>
      <c r="R4" s="74" t="s">
        <v>1035</v>
      </c>
      <c r="S4" s="74" t="s">
        <v>1036</v>
      </c>
      <c r="T4" s="74" t="s">
        <v>1037</v>
      </c>
      <c r="U4" s="74" t="s">
        <v>1038</v>
      </c>
      <c r="V4" s="74" t="s">
        <v>1039</v>
      </c>
      <c r="W4" s="74" t="s">
        <v>1040</v>
      </c>
      <c r="X4" s="74" t="s">
        <v>1041</v>
      </c>
      <c r="Y4" s="74" t="s">
        <v>1042</v>
      </c>
      <c r="Z4" s="74" t="s">
        <v>1043</v>
      </c>
      <c r="AA4" s="74" t="s">
        <v>1038</v>
      </c>
      <c r="AB4" s="74" t="s">
        <v>1044</v>
      </c>
      <c r="AC4" s="74" t="s">
        <v>1044</v>
      </c>
      <c r="AE4" s="76" t="s">
        <v>1045</v>
      </c>
      <c r="AF4" s="76" t="s">
        <v>1046</v>
      </c>
      <c r="AG4" s="76" t="s">
        <v>1047</v>
      </c>
      <c r="AH4" s="76" t="s">
        <v>1048</v>
      </c>
      <c r="AI4" s="76" t="s">
        <v>1049</v>
      </c>
      <c r="AJ4" s="76" t="s">
        <v>1050</v>
      </c>
      <c r="AK4" s="76" t="s">
        <v>1051</v>
      </c>
      <c r="AL4" s="76" t="s">
        <v>1052</v>
      </c>
      <c r="AM4" s="76" t="s">
        <v>1052</v>
      </c>
      <c r="AN4" s="76" t="s">
        <v>1053</v>
      </c>
      <c r="AO4" s="76" t="s">
        <v>1054</v>
      </c>
      <c r="AP4" s="76" t="s">
        <v>1042</v>
      </c>
      <c r="AQ4" s="76" t="s">
        <v>1055</v>
      </c>
      <c r="AR4" s="76" t="s">
        <v>343</v>
      </c>
      <c r="AT4" s="76" t="s">
        <v>1045</v>
      </c>
      <c r="AU4" s="76" t="s">
        <v>1046</v>
      </c>
      <c r="AV4" s="76" t="s">
        <v>1056</v>
      </c>
      <c r="AW4" s="76" t="s">
        <v>1047</v>
      </c>
      <c r="AX4" s="76" t="s">
        <v>1048</v>
      </c>
      <c r="AY4" s="76" t="s">
        <v>1049</v>
      </c>
      <c r="AZ4" s="76" t="s">
        <v>1050</v>
      </c>
      <c r="BA4" s="76" t="s">
        <v>1051</v>
      </c>
      <c r="BB4" s="76" t="s">
        <v>1052</v>
      </c>
      <c r="BC4" s="76" t="s">
        <v>1052</v>
      </c>
      <c r="BD4" s="76" t="s">
        <v>1053</v>
      </c>
      <c r="BE4" s="76" t="s">
        <v>1054</v>
      </c>
      <c r="BF4" s="76" t="s">
        <v>1042</v>
      </c>
      <c r="BG4" s="76" t="s">
        <v>1055</v>
      </c>
      <c r="BH4" s="76" t="s">
        <v>343</v>
      </c>
      <c r="BJ4" s="76" t="s">
        <v>1045</v>
      </c>
      <c r="BK4" s="76" t="s">
        <v>1046</v>
      </c>
      <c r="BL4" s="76" t="s">
        <v>1056</v>
      </c>
      <c r="BM4" s="76" t="s">
        <v>1047</v>
      </c>
      <c r="BN4" s="76" t="s">
        <v>1048</v>
      </c>
      <c r="BO4" s="76" t="s">
        <v>1049</v>
      </c>
      <c r="BP4" s="76" t="s">
        <v>1050</v>
      </c>
      <c r="BQ4" s="76" t="s">
        <v>1051</v>
      </c>
      <c r="BR4" s="76" t="s">
        <v>1052</v>
      </c>
      <c r="BS4" s="76" t="s">
        <v>1052</v>
      </c>
      <c r="BT4" s="76" t="s">
        <v>1053</v>
      </c>
      <c r="BU4" s="76" t="s">
        <v>1054</v>
      </c>
      <c r="BV4" s="76" t="s">
        <v>1042</v>
      </c>
      <c r="BW4" s="76" t="s">
        <v>1055</v>
      </c>
      <c r="BX4" s="76" t="s">
        <v>343</v>
      </c>
      <c r="BZ4" s="76"/>
    </row>
    <row r="5" spans="2:79" x14ac:dyDescent="0.25">
      <c r="B5" s="10" t="s">
        <v>34</v>
      </c>
      <c r="C5" s="4" t="s">
        <v>35</v>
      </c>
      <c r="D5" s="4" t="s">
        <v>36</v>
      </c>
      <c r="E5" s="4" t="s">
        <v>37</v>
      </c>
      <c r="F5" s="11" t="e">
        <f>SUMIFS(#REF!,#REF!,$D5)</f>
        <v>#REF!</v>
      </c>
      <c r="G5" s="11" t="e">
        <f>SUMIFS(#REF!,#REF!,$D5)</f>
        <v>#REF!</v>
      </c>
      <c r="H5" s="11" t="e">
        <f>SUMIFS(#REF!,#REF!,$D5)</f>
        <v>#REF!</v>
      </c>
      <c r="I5" s="11" t="e">
        <f>SUMIFS(#REF!,#REF!,$D5)</f>
        <v>#REF!</v>
      </c>
      <c r="J5" s="11" t="e">
        <f>SUMIFS(#REF!,#REF!,$D5)</f>
        <v>#REF!</v>
      </c>
      <c r="K5" s="11" t="e">
        <f>SUMIFS(#REF!,#REF!,$D5)</f>
        <v>#REF!</v>
      </c>
      <c r="L5" s="11" t="e">
        <f t="shared" ref="L5:L46" si="0">SUM(F5:K5)</f>
        <v>#REF!</v>
      </c>
      <c r="N5" s="43" t="e">
        <f>SUMIFS(#REF!,#REF!,$D5)</f>
        <v>#REF!</v>
      </c>
      <c r="O5" s="11" t="e">
        <f t="shared" ref="O5:O46" si="1">L5*(1+N5)</f>
        <v>#REF!</v>
      </c>
      <c r="P5" s="11" t="e">
        <f>SUMIFS(#REF!,#REF!,$D5)</f>
        <v>#REF!</v>
      </c>
      <c r="Q5" s="11" t="e">
        <f>SUMIFS(#REF!,#REF!,$D5)</f>
        <v>#REF!</v>
      </c>
      <c r="R5" s="11" t="e">
        <f t="shared" ref="R5:R46" si="2">P5*(1+$N5)</f>
        <v>#REF!</v>
      </c>
      <c r="S5" s="11" t="e">
        <f t="shared" ref="S5:S46" si="3">Q5*(1+$N5)</f>
        <v>#REF!</v>
      </c>
      <c r="T5" s="43" t="e">
        <f t="shared" ref="T5:T46" si="4">R5/S5-1</f>
        <v>#REF!</v>
      </c>
      <c r="U5" s="11" t="e">
        <f t="shared" ref="U5:U46" si="5">O5/(1+T5)</f>
        <v>#REF!</v>
      </c>
      <c r="V5" s="11" t="e">
        <f t="shared" ref="V5:V46" si="6">O5-U5</f>
        <v>#REF!</v>
      </c>
      <c r="W5" s="43" t="e">
        <f>SUMIFS(#REF!,#REF!,D5)</f>
        <v>#REF!</v>
      </c>
      <c r="X5" s="11" t="e">
        <f t="shared" ref="X5:X46" si="7">O5*W5</f>
        <v>#REF!</v>
      </c>
      <c r="Y5" s="11" t="e">
        <f t="shared" ref="Y5:Y46" si="8">X5+O5</f>
        <v>#REF!</v>
      </c>
      <c r="Z5" s="43" t="e">
        <f>SUMIFS(#REF!,#REF!,D5)</f>
        <v>#REF!</v>
      </c>
      <c r="AA5" s="11" t="e">
        <f t="shared" ref="AA5:AA46" si="9">Y5/(1+Z5)</f>
        <v>#REF!</v>
      </c>
      <c r="AB5" s="11" t="e">
        <f t="shared" ref="AB5:AB46" si="10">AA5/(1+N5)</f>
        <v>#REF!</v>
      </c>
      <c r="AC5" s="11" t="e">
        <f t="shared" ref="AC5:AC46" si="11">AB5-Q5</f>
        <v>#REF!</v>
      </c>
      <c r="AE5" s="11" t="e">
        <f t="shared" ref="AE5:AE46" si="12">Q5</f>
        <v>#REF!</v>
      </c>
      <c r="AF5" s="11" t="e">
        <f t="shared" ref="AF5:AF46" si="13">SUM(G5:K5)</f>
        <v>#REF!</v>
      </c>
      <c r="AG5" s="11" t="e">
        <f t="shared" ref="AG5:AG46" si="14">SUM(AE5:AF5)</f>
        <v>#REF!</v>
      </c>
      <c r="AH5" s="11" t="e">
        <f t="shared" ref="AH5:AH46" si="15">AG5*(1+N5)</f>
        <v>#REF!</v>
      </c>
      <c r="AI5" s="11" t="e">
        <f t="shared" ref="AI5:AI46" si="16">L5*(1+N5)</f>
        <v>#REF!</v>
      </c>
      <c r="AJ5" s="43" t="e">
        <f t="shared" ref="AJ5:AJ46" si="17">AI5/AH5-1</f>
        <v>#REF!</v>
      </c>
      <c r="AK5" s="11" t="e">
        <f t="shared" ref="AK5:AK46" si="18">AI5-AH5</f>
        <v>#REF!</v>
      </c>
      <c r="AL5" s="43" t="e">
        <f t="shared" ref="AL5:AL46" si="19">AJ5-$T5</f>
        <v>#REF!</v>
      </c>
      <c r="AM5" s="11" t="e">
        <f t="shared" ref="AM5:AM46" si="20">AK5-$V5</f>
        <v>#REF!</v>
      </c>
      <c r="AN5" s="43" t="e">
        <f t="shared" ref="AN5:AN46" si="21">IF(AJ5&lt;-3%,0.2%,IF(AJ5&lt;0%,0.2%*AJ5/-3%,IF(AH5/AI5-1&gt;MIN($W$5:$W$46),AH5/AI5-1,MIN($W$5:$W$46))))</f>
        <v>#REF!</v>
      </c>
      <c r="AO5" s="11" t="e">
        <f t="shared" ref="AO5:AO46" si="22">AN5*AI5</f>
        <v>#REF!</v>
      </c>
      <c r="AP5" s="11" t="e">
        <f t="shared" ref="AP5:AP46" si="23">AO5+AI5</f>
        <v>#REF!</v>
      </c>
      <c r="AQ5" s="43" t="e">
        <f t="shared" ref="AQ5:AQ46" si="24">AP5/AH5-1</f>
        <v>#REF!</v>
      </c>
      <c r="AR5" s="11" t="e">
        <f t="shared" ref="AR5:AR46" si="25">AP5-$Y5</f>
        <v>#REF!</v>
      </c>
      <c r="AT5" s="11" t="e">
        <f t="shared" ref="AT5:AT46" si="26">AE5</f>
        <v>#REF!</v>
      </c>
      <c r="AU5" s="11" t="e">
        <f t="shared" ref="AU5:AU46" si="27">AF5</f>
        <v>#REF!</v>
      </c>
      <c r="AV5" s="11" t="e">
        <f t="shared" ref="AV5:AV46" si="28">AW5-AT5</f>
        <v>#REF!</v>
      </c>
      <c r="AW5" s="11" t="e">
        <f t="shared" ref="AW5:AW46" si="29">($AT$57+$AU$57)*AT5/$AT$57</f>
        <v>#REF!</v>
      </c>
      <c r="AX5" s="11" t="e">
        <f t="shared" ref="AX5:AX46" si="30">AW5*(1+$N5)</f>
        <v>#REF!</v>
      </c>
      <c r="AY5" s="11" t="e">
        <f t="shared" ref="AY5:AY46" si="31">AI5</f>
        <v>#REF!</v>
      </c>
      <c r="AZ5" s="43" t="e">
        <f t="shared" ref="AZ5:AZ46" si="32">AY5/AX5-1</f>
        <v>#REF!</v>
      </c>
      <c r="BA5" s="11" t="e">
        <f t="shared" ref="BA5:BA46" si="33">AY5-AX5</f>
        <v>#REF!</v>
      </c>
      <c r="BB5" s="43" t="e">
        <f t="shared" ref="BB5:BB46" si="34">AZ5-$T5</f>
        <v>#REF!</v>
      </c>
      <c r="BC5" s="11" t="e">
        <f t="shared" ref="BC5:BC46" si="35">BA5-$V5</f>
        <v>#REF!</v>
      </c>
      <c r="BD5" s="43" t="e">
        <f t="shared" ref="BD5:BD46" si="36">IF(AZ5&lt;-3%,0.2%,IF(AZ5&lt;0%,0.2%*AZ5/-3%,IF(AX5/AY5-1&gt;MIN($W$5:$W$46),AX5/AY5-1,MIN($W$5:$W$46))))</f>
        <v>#REF!</v>
      </c>
      <c r="BE5" s="11" t="e">
        <f t="shared" ref="BE5:BE46" si="37">BD5*AY5</f>
        <v>#REF!</v>
      </c>
      <c r="BF5" s="11" t="e">
        <f t="shared" ref="BF5:BF46" si="38">BE5+AY5</f>
        <v>#REF!</v>
      </c>
      <c r="BG5" s="43" t="e">
        <f t="shared" ref="BG5:BG46" si="39">BF5/AX5-1</f>
        <v>#REF!</v>
      </c>
      <c r="BH5" s="11" t="e">
        <f t="shared" ref="BH5:BH46" si="40">BF5-$Y5</f>
        <v>#REF!</v>
      </c>
      <c r="BJ5" s="11" t="e">
        <f t="shared" ref="BJ5:BJ46" si="41">AT5</f>
        <v>#REF!</v>
      </c>
      <c r="BK5" s="11" t="e">
        <f t="shared" ref="BK5:BK46" si="42">AU5</f>
        <v>#REF!</v>
      </c>
      <c r="BL5" s="11" t="e">
        <f t="shared" ref="BL5:BL46" si="43">BM5-BJ5</f>
        <v>#REF!</v>
      </c>
      <c r="BM5" s="11" t="e">
        <f t="shared" ref="BM5:BM46" si="44">($BJ$57+($BK$57*$Q$57/$P$57))*BJ5/$BJ$57</f>
        <v>#REF!</v>
      </c>
      <c r="BN5" s="11" t="e">
        <f t="shared" ref="BN5:BN46" si="45">BM5*(1+N5)</f>
        <v>#REF!</v>
      </c>
      <c r="BO5" s="11" t="e">
        <f t="shared" ref="BO5:BO46" si="46">AY5</f>
        <v>#REF!</v>
      </c>
      <c r="BP5" s="43" t="e">
        <f t="shared" ref="BP5:BP46" si="47">BO5/BN5-1</f>
        <v>#REF!</v>
      </c>
      <c r="BQ5" s="11" t="e">
        <f t="shared" ref="BQ5:BQ46" si="48">BO5-BN5</f>
        <v>#REF!</v>
      </c>
      <c r="BR5" s="43" t="e">
        <f t="shared" ref="BR5:BR46" si="49">BP5-$T5</f>
        <v>#REF!</v>
      </c>
      <c r="BS5" s="11" t="e">
        <f t="shared" ref="BS5:BS46" si="50">BQ5-$V5</f>
        <v>#REF!</v>
      </c>
      <c r="BT5" s="43" t="e">
        <f t="shared" ref="BT5:BT46" si="51">IF(BP5&lt;-3%,0.2%,IF(BP5&lt;0%,0.2%*BP5/-3%,IF(BN5/BO5-1&gt;MIN($W$5:$W$46),BN5/BO5-1,MIN($W$5:$W$46))))</f>
        <v>#REF!</v>
      </c>
      <c r="BU5" s="11" t="e">
        <f t="shared" ref="BU5:BU46" si="52">BT5*BO5</f>
        <v>#REF!</v>
      </c>
      <c r="BV5" s="11" t="e">
        <f t="shared" ref="BV5:BV46" si="53">BU5+BO5</f>
        <v>#REF!</v>
      </c>
      <c r="BW5" s="43" t="e">
        <f t="shared" ref="BW5:BW46" si="54">BV5/BN5-1</f>
        <v>#REF!</v>
      </c>
      <c r="BX5" s="11" t="e">
        <f t="shared" ref="BX5:BX46" si="55">BV5-$Y5</f>
        <v>#REF!</v>
      </c>
      <c r="BZ5" s="11" t="e">
        <f>SUMIFS('ICB Core Allocation 2024-25 (2)'!S:S,'ICB Core Allocation 2024-25 (2)'!C:C,D5)</f>
        <v>#REF!</v>
      </c>
      <c r="CA5" s="58" t="e">
        <f>BZ5-Y5</f>
        <v>#REF!</v>
      </c>
    </row>
    <row r="6" spans="2:79" x14ac:dyDescent="0.25">
      <c r="B6" s="10" t="s">
        <v>84</v>
      </c>
      <c r="C6" s="4" t="s">
        <v>85</v>
      </c>
      <c r="D6" s="4" t="s">
        <v>86</v>
      </c>
      <c r="E6" s="4" t="s">
        <v>87</v>
      </c>
      <c r="F6" s="11" t="e">
        <f>SUMIFS(#REF!,#REF!,$D6)</f>
        <v>#REF!</v>
      </c>
      <c r="G6" s="11" t="e">
        <f>SUMIFS(#REF!,#REF!,$D6)</f>
        <v>#REF!</v>
      </c>
      <c r="H6" s="11" t="e">
        <f>SUMIFS(#REF!,#REF!,$D6)</f>
        <v>#REF!</v>
      </c>
      <c r="I6" s="11" t="e">
        <f>SUMIFS(#REF!,#REF!,$D6)</f>
        <v>#REF!</v>
      </c>
      <c r="J6" s="11" t="e">
        <f>SUMIFS(#REF!,#REF!,$D6)</f>
        <v>#REF!</v>
      </c>
      <c r="K6" s="11" t="e">
        <f>SUMIFS(#REF!,#REF!,$D6)</f>
        <v>#REF!</v>
      </c>
      <c r="L6" s="11" t="e">
        <f t="shared" si="0"/>
        <v>#REF!</v>
      </c>
      <c r="N6" s="43" t="e">
        <f>SUMIFS(#REF!,#REF!,$D6)</f>
        <v>#REF!</v>
      </c>
      <c r="O6" s="11" t="e">
        <f t="shared" si="1"/>
        <v>#REF!</v>
      </c>
      <c r="P6" s="11" t="e">
        <f>SUMIFS(#REF!,#REF!,$D6)</f>
        <v>#REF!</v>
      </c>
      <c r="Q6" s="11" t="e">
        <f>SUMIFS(#REF!,#REF!,$D6)</f>
        <v>#REF!</v>
      </c>
      <c r="R6" s="11" t="e">
        <f t="shared" si="2"/>
        <v>#REF!</v>
      </c>
      <c r="S6" s="11" t="e">
        <f t="shared" si="3"/>
        <v>#REF!</v>
      </c>
      <c r="T6" s="43" t="e">
        <f t="shared" si="4"/>
        <v>#REF!</v>
      </c>
      <c r="U6" s="11" t="e">
        <f t="shared" si="5"/>
        <v>#REF!</v>
      </c>
      <c r="V6" s="11" t="e">
        <f t="shared" si="6"/>
        <v>#REF!</v>
      </c>
      <c r="W6" s="43" t="e">
        <f>SUMIFS(#REF!,#REF!,D6)</f>
        <v>#REF!</v>
      </c>
      <c r="X6" s="11" t="e">
        <f t="shared" si="7"/>
        <v>#REF!</v>
      </c>
      <c r="Y6" s="11" t="e">
        <f t="shared" si="8"/>
        <v>#REF!</v>
      </c>
      <c r="Z6" s="43" t="e">
        <f>SUMIFS(#REF!,#REF!,D6)</f>
        <v>#REF!</v>
      </c>
      <c r="AA6" s="11" t="e">
        <f t="shared" si="9"/>
        <v>#REF!</v>
      </c>
      <c r="AB6" s="11" t="e">
        <f t="shared" si="10"/>
        <v>#REF!</v>
      </c>
      <c r="AC6" s="11" t="e">
        <f t="shared" si="11"/>
        <v>#REF!</v>
      </c>
      <c r="AE6" s="11" t="e">
        <f t="shared" si="12"/>
        <v>#REF!</v>
      </c>
      <c r="AF6" s="11" t="e">
        <f t="shared" si="13"/>
        <v>#REF!</v>
      </c>
      <c r="AG6" s="11" t="e">
        <f t="shared" si="14"/>
        <v>#REF!</v>
      </c>
      <c r="AH6" s="11" t="e">
        <f t="shared" si="15"/>
        <v>#REF!</v>
      </c>
      <c r="AI6" s="11" t="e">
        <f t="shared" si="16"/>
        <v>#REF!</v>
      </c>
      <c r="AJ6" s="43" t="e">
        <f t="shared" si="17"/>
        <v>#REF!</v>
      </c>
      <c r="AK6" s="11" t="e">
        <f t="shared" si="18"/>
        <v>#REF!</v>
      </c>
      <c r="AL6" s="43" t="e">
        <f t="shared" si="19"/>
        <v>#REF!</v>
      </c>
      <c r="AM6" s="11" t="e">
        <f t="shared" si="20"/>
        <v>#REF!</v>
      </c>
      <c r="AN6" s="43" t="e">
        <f t="shared" si="21"/>
        <v>#REF!</v>
      </c>
      <c r="AO6" s="11" t="e">
        <f t="shared" si="22"/>
        <v>#REF!</v>
      </c>
      <c r="AP6" s="11" t="e">
        <f t="shared" si="23"/>
        <v>#REF!</v>
      </c>
      <c r="AQ6" s="43" t="e">
        <f t="shared" si="24"/>
        <v>#REF!</v>
      </c>
      <c r="AR6" s="11" t="e">
        <f t="shared" si="25"/>
        <v>#REF!</v>
      </c>
      <c r="AT6" s="11" t="e">
        <f t="shared" si="26"/>
        <v>#REF!</v>
      </c>
      <c r="AU6" s="11" t="e">
        <f t="shared" si="27"/>
        <v>#REF!</v>
      </c>
      <c r="AV6" s="11" t="e">
        <f t="shared" si="28"/>
        <v>#REF!</v>
      </c>
      <c r="AW6" s="11" t="e">
        <f t="shared" si="29"/>
        <v>#REF!</v>
      </c>
      <c r="AX6" s="11" t="e">
        <f t="shared" si="30"/>
        <v>#REF!</v>
      </c>
      <c r="AY6" s="11" t="e">
        <f t="shared" si="31"/>
        <v>#REF!</v>
      </c>
      <c r="AZ6" s="43" t="e">
        <f t="shared" si="32"/>
        <v>#REF!</v>
      </c>
      <c r="BA6" s="11" t="e">
        <f t="shared" si="33"/>
        <v>#REF!</v>
      </c>
      <c r="BB6" s="43" t="e">
        <f t="shared" si="34"/>
        <v>#REF!</v>
      </c>
      <c r="BC6" s="11" t="e">
        <f t="shared" si="35"/>
        <v>#REF!</v>
      </c>
      <c r="BD6" s="43" t="e">
        <f t="shared" si="36"/>
        <v>#REF!</v>
      </c>
      <c r="BE6" s="11" t="e">
        <f t="shared" si="37"/>
        <v>#REF!</v>
      </c>
      <c r="BF6" s="11" t="e">
        <f t="shared" si="38"/>
        <v>#REF!</v>
      </c>
      <c r="BG6" s="43" t="e">
        <f t="shared" si="39"/>
        <v>#REF!</v>
      </c>
      <c r="BH6" s="11" t="e">
        <f t="shared" si="40"/>
        <v>#REF!</v>
      </c>
      <c r="BJ6" s="11" t="e">
        <f t="shared" si="41"/>
        <v>#REF!</v>
      </c>
      <c r="BK6" s="11" t="e">
        <f t="shared" si="42"/>
        <v>#REF!</v>
      </c>
      <c r="BL6" s="11" t="e">
        <f t="shared" si="43"/>
        <v>#REF!</v>
      </c>
      <c r="BM6" s="11" t="e">
        <f t="shared" si="44"/>
        <v>#REF!</v>
      </c>
      <c r="BN6" s="11" t="e">
        <f t="shared" si="45"/>
        <v>#REF!</v>
      </c>
      <c r="BO6" s="11" t="e">
        <f t="shared" si="46"/>
        <v>#REF!</v>
      </c>
      <c r="BP6" s="43" t="e">
        <f t="shared" si="47"/>
        <v>#REF!</v>
      </c>
      <c r="BQ6" s="11" t="e">
        <f t="shared" si="48"/>
        <v>#REF!</v>
      </c>
      <c r="BR6" s="43" t="e">
        <f t="shared" si="49"/>
        <v>#REF!</v>
      </c>
      <c r="BS6" s="11" t="e">
        <f t="shared" si="50"/>
        <v>#REF!</v>
      </c>
      <c r="BT6" s="43" t="e">
        <f t="shared" si="51"/>
        <v>#REF!</v>
      </c>
      <c r="BU6" s="11" t="e">
        <f t="shared" si="52"/>
        <v>#REF!</v>
      </c>
      <c r="BV6" s="11" t="e">
        <f t="shared" si="53"/>
        <v>#REF!</v>
      </c>
      <c r="BW6" s="43" t="e">
        <f t="shared" si="54"/>
        <v>#REF!</v>
      </c>
      <c r="BX6" s="11" t="e">
        <f t="shared" si="55"/>
        <v>#REF!</v>
      </c>
      <c r="BZ6" s="11" t="e">
        <f>SUMIFS('ICB Core Allocation 2024-25 (2)'!S:S,'ICB Core Allocation 2024-25 (2)'!C:C,D6)</f>
        <v>#REF!</v>
      </c>
      <c r="CA6" s="58" t="e">
        <f t="shared" ref="CA6:CA46" si="56">BZ6-Y6</f>
        <v>#REF!</v>
      </c>
    </row>
    <row r="7" spans="2:79" x14ac:dyDescent="0.25">
      <c r="B7" s="13" t="s">
        <v>98</v>
      </c>
      <c r="C7" s="14" t="s">
        <v>99</v>
      </c>
      <c r="D7" s="4" t="s">
        <v>102</v>
      </c>
      <c r="E7" s="4" t="s">
        <v>103</v>
      </c>
      <c r="F7" s="11" t="e">
        <f>SUMIFS(#REF!,#REF!,$D7)</f>
        <v>#REF!</v>
      </c>
      <c r="G7" s="11" t="e">
        <f>SUMIFS(#REF!,#REF!,$D7)</f>
        <v>#REF!</v>
      </c>
      <c r="H7" s="11" t="e">
        <f>SUMIFS(#REF!,#REF!,$D7)</f>
        <v>#REF!</v>
      </c>
      <c r="I7" s="11" t="e">
        <f>SUMIFS(#REF!,#REF!,$D7)</f>
        <v>#REF!</v>
      </c>
      <c r="J7" s="11" t="e">
        <f>SUMIFS(#REF!,#REF!,$D7)</f>
        <v>#REF!</v>
      </c>
      <c r="K7" s="11" t="e">
        <f>SUMIFS(#REF!,#REF!,$D7)</f>
        <v>#REF!</v>
      </c>
      <c r="L7" s="11" t="e">
        <f t="shared" si="0"/>
        <v>#REF!</v>
      </c>
      <c r="N7" s="43" t="e">
        <f>SUMIFS(#REF!,#REF!,$D7)</f>
        <v>#REF!</v>
      </c>
      <c r="O7" s="11" t="e">
        <f t="shared" si="1"/>
        <v>#REF!</v>
      </c>
      <c r="P7" s="11" t="e">
        <f>SUMIFS(#REF!,#REF!,$D7)</f>
        <v>#REF!</v>
      </c>
      <c r="Q7" s="11" t="e">
        <f>SUMIFS(#REF!,#REF!,$D7)</f>
        <v>#REF!</v>
      </c>
      <c r="R7" s="11" t="e">
        <f t="shared" si="2"/>
        <v>#REF!</v>
      </c>
      <c r="S7" s="11" t="e">
        <f t="shared" si="3"/>
        <v>#REF!</v>
      </c>
      <c r="T7" s="43" t="e">
        <f t="shared" si="4"/>
        <v>#REF!</v>
      </c>
      <c r="U7" s="11" t="e">
        <f t="shared" si="5"/>
        <v>#REF!</v>
      </c>
      <c r="V7" s="11" t="e">
        <f t="shared" si="6"/>
        <v>#REF!</v>
      </c>
      <c r="W7" s="43" t="e">
        <f>SUMIFS(#REF!,#REF!,D7)</f>
        <v>#REF!</v>
      </c>
      <c r="X7" s="11" t="e">
        <f t="shared" si="7"/>
        <v>#REF!</v>
      </c>
      <c r="Y7" s="11" t="e">
        <f t="shared" si="8"/>
        <v>#REF!</v>
      </c>
      <c r="Z7" s="43" t="e">
        <f>SUMIFS(#REF!,#REF!,D7)</f>
        <v>#REF!</v>
      </c>
      <c r="AA7" s="11" t="e">
        <f t="shared" si="9"/>
        <v>#REF!</v>
      </c>
      <c r="AB7" s="11" t="e">
        <f t="shared" si="10"/>
        <v>#REF!</v>
      </c>
      <c r="AC7" s="11" t="e">
        <f t="shared" si="11"/>
        <v>#REF!</v>
      </c>
      <c r="AE7" s="11" t="e">
        <f t="shared" si="12"/>
        <v>#REF!</v>
      </c>
      <c r="AF7" s="11" t="e">
        <f t="shared" si="13"/>
        <v>#REF!</v>
      </c>
      <c r="AG7" s="11" t="e">
        <f t="shared" si="14"/>
        <v>#REF!</v>
      </c>
      <c r="AH7" s="11" t="e">
        <f t="shared" si="15"/>
        <v>#REF!</v>
      </c>
      <c r="AI7" s="11" t="e">
        <f t="shared" si="16"/>
        <v>#REF!</v>
      </c>
      <c r="AJ7" s="43" t="e">
        <f t="shared" si="17"/>
        <v>#REF!</v>
      </c>
      <c r="AK7" s="11" t="e">
        <f t="shared" si="18"/>
        <v>#REF!</v>
      </c>
      <c r="AL7" s="43" t="e">
        <f t="shared" si="19"/>
        <v>#REF!</v>
      </c>
      <c r="AM7" s="11" t="e">
        <f t="shared" si="20"/>
        <v>#REF!</v>
      </c>
      <c r="AN7" s="43" t="e">
        <f t="shared" si="21"/>
        <v>#REF!</v>
      </c>
      <c r="AO7" s="11" t="e">
        <f t="shared" si="22"/>
        <v>#REF!</v>
      </c>
      <c r="AP7" s="11" t="e">
        <f t="shared" si="23"/>
        <v>#REF!</v>
      </c>
      <c r="AQ7" s="43" t="e">
        <f t="shared" si="24"/>
        <v>#REF!</v>
      </c>
      <c r="AR7" s="11" t="e">
        <f t="shared" si="25"/>
        <v>#REF!</v>
      </c>
      <c r="AT7" s="11" t="e">
        <f t="shared" si="26"/>
        <v>#REF!</v>
      </c>
      <c r="AU7" s="11" t="e">
        <f t="shared" si="27"/>
        <v>#REF!</v>
      </c>
      <c r="AV7" s="11" t="e">
        <f t="shared" si="28"/>
        <v>#REF!</v>
      </c>
      <c r="AW7" s="11" t="e">
        <f t="shared" si="29"/>
        <v>#REF!</v>
      </c>
      <c r="AX7" s="11" t="e">
        <f t="shared" si="30"/>
        <v>#REF!</v>
      </c>
      <c r="AY7" s="11" t="e">
        <f t="shared" si="31"/>
        <v>#REF!</v>
      </c>
      <c r="AZ7" s="43" t="e">
        <f t="shared" si="32"/>
        <v>#REF!</v>
      </c>
      <c r="BA7" s="11" t="e">
        <f t="shared" si="33"/>
        <v>#REF!</v>
      </c>
      <c r="BB7" s="43" t="e">
        <f t="shared" si="34"/>
        <v>#REF!</v>
      </c>
      <c r="BC7" s="11" t="e">
        <f t="shared" si="35"/>
        <v>#REF!</v>
      </c>
      <c r="BD7" s="43" t="e">
        <f t="shared" si="36"/>
        <v>#REF!</v>
      </c>
      <c r="BE7" s="11" t="e">
        <f t="shared" si="37"/>
        <v>#REF!</v>
      </c>
      <c r="BF7" s="11" t="e">
        <f t="shared" si="38"/>
        <v>#REF!</v>
      </c>
      <c r="BG7" s="43" t="e">
        <f t="shared" si="39"/>
        <v>#REF!</v>
      </c>
      <c r="BH7" s="11" t="e">
        <f t="shared" si="40"/>
        <v>#REF!</v>
      </c>
      <c r="BJ7" s="11" t="e">
        <f t="shared" si="41"/>
        <v>#REF!</v>
      </c>
      <c r="BK7" s="11" t="e">
        <f t="shared" si="42"/>
        <v>#REF!</v>
      </c>
      <c r="BL7" s="11" t="e">
        <f t="shared" si="43"/>
        <v>#REF!</v>
      </c>
      <c r="BM7" s="11" t="e">
        <f t="shared" si="44"/>
        <v>#REF!</v>
      </c>
      <c r="BN7" s="11" t="e">
        <f t="shared" si="45"/>
        <v>#REF!</v>
      </c>
      <c r="BO7" s="11" t="e">
        <f t="shared" si="46"/>
        <v>#REF!</v>
      </c>
      <c r="BP7" s="43" t="e">
        <f t="shared" si="47"/>
        <v>#REF!</v>
      </c>
      <c r="BQ7" s="11" t="e">
        <f t="shared" si="48"/>
        <v>#REF!</v>
      </c>
      <c r="BR7" s="43" t="e">
        <f t="shared" si="49"/>
        <v>#REF!</v>
      </c>
      <c r="BS7" s="11" t="e">
        <f t="shared" si="50"/>
        <v>#REF!</v>
      </c>
      <c r="BT7" s="43" t="e">
        <f t="shared" si="51"/>
        <v>#REF!</v>
      </c>
      <c r="BU7" s="11" t="e">
        <f t="shared" si="52"/>
        <v>#REF!</v>
      </c>
      <c r="BV7" s="11" t="e">
        <f t="shared" si="53"/>
        <v>#REF!</v>
      </c>
      <c r="BW7" s="43" t="e">
        <f t="shared" si="54"/>
        <v>#REF!</v>
      </c>
      <c r="BX7" s="11" t="e">
        <f t="shared" si="55"/>
        <v>#REF!</v>
      </c>
      <c r="BZ7" s="11" t="e">
        <f>SUMIFS('ICB Core Allocation 2024-25 (2)'!S:S,'ICB Core Allocation 2024-25 (2)'!C:C,D7)</f>
        <v>#REF!</v>
      </c>
      <c r="CA7" s="58" t="e">
        <f t="shared" si="56"/>
        <v>#REF!</v>
      </c>
    </row>
    <row r="8" spans="2:79" x14ac:dyDescent="0.25">
      <c r="B8" s="78" t="s">
        <v>98</v>
      </c>
      <c r="C8" s="17" t="s">
        <v>99</v>
      </c>
      <c r="D8" s="17" t="s">
        <v>100</v>
      </c>
      <c r="E8" s="17" t="s">
        <v>101</v>
      </c>
      <c r="F8" s="18" t="e">
        <f>SUMIFS(#REF!,#REF!,$D8)</f>
        <v>#REF!</v>
      </c>
      <c r="G8" s="18" t="e">
        <f>SUMIFS(#REF!,#REF!,$D8)</f>
        <v>#REF!</v>
      </c>
      <c r="H8" s="18" t="e">
        <f>SUMIFS(#REF!,#REF!,$D8)</f>
        <v>#REF!</v>
      </c>
      <c r="I8" s="18" t="e">
        <f>SUMIFS(#REF!,#REF!,$D8)</f>
        <v>#REF!</v>
      </c>
      <c r="J8" s="18" t="e">
        <f>SUMIFS(#REF!,#REF!,$D8)</f>
        <v>#REF!</v>
      </c>
      <c r="K8" s="18" t="e">
        <f>SUMIFS(#REF!,#REF!,$D8)</f>
        <v>#REF!</v>
      </c>
      <c r="L8" s="18" t="e">
        <f t="shared" si="0"/>
        <v>#REF!</v>
      </c>
      <c r="N8" s="44" t="e">
        <f>SUMIFS(#REF!,#REF!,$D8)</f>
        <v>#REF!</v>
      </c>
      <c r="O8" s="18" t="e">
        <f t="shared" si="1"/>
        <v>#REF!</v>
      </c>
      <c r="P8" s="18" t="e">
        <f>SUMIFS(#REF!,#REF!,$D8)</f>
        <v>#REF!</v>
      </c>
      <c r="Q8" s="18" t="e">
        <f>SUMIFS(#REF!,#REF!,$D8)</f>
        <v>#REF!</v>
      </c>
      <c r="R8" s="18" t="e">
        <f t="shared" si="2"/>
        <v>#REF!</v>
      </c>
      <c r="S8" s="18" t="e">
        <f t="shared" si="3"/>
        <v>#REF!</v>
      </c>
      <c r="T8" s="44" t="e">
        <f t="shared" si="4"/>
        <v>#REF!</v>
      </c>
      <c r="U8" s="18" t="e">
        <f t="shared" si="5"/>
        <v>#REF!</v>
      </c>
      <c r="V8" s="18" t="e">
        <f t="shared" si="6"/>
        <v>#REF!</v>
      </c>
      <c r="W8" s="44" t="e">
        <f>SUMIFS(#REF!,#REF!,D8)</f>
        <v>#REF!</v>
      </c>
      <c r="X8" s="18" t="e">
        <f t="shared" si="7"/>
        <v>#REF!</v>
      </c>
      <c r="Y8" s="18" t="e">
        <f t="shared" si="8"/>
        <v>#REF!</v>
      </c>
      <c r="Z8" s="44" t="e">
        <f>SUMIFS(#REF!,#REF!,D8)</f>
        <v>#REF!</v>
      </c>
      <c r="AA8" s="18" t="e">
        <f t="shared" si="9"/>
        <v>#REF!</v>
      </c>
      <c r="AB8" s="18" t="e">
        <f t="shared" si="10"/>
        <v>#REF!</v>
      </c>
      <c r="AC8" s="18" t="e">
        <f t="shared" si="11"/>
        <v>#REF!</v>
      </c>
      <c r="AE8" s="18" t="e">
        <f t="shared" si="12"/>
        <v>#REF!</v>
      </c>
      <c r="AF8" s="18" t="e">
        <f t="shared" si="13"/>
        <v>#REF!</v>
      </c>
      <c r="AG8" s="18" t="e">
        <f t="shared" si="14"/>
        <v>#REF!</v>
      </c>
      <c r="AH8" s="18" t="e">
        <f t="shared" si="15"/>
        <v>#REF!</v>
      </c>
      <c r="AI8" s="18" t="e">
        <f t="shared" si="16"/>
        <v>#REF!</v>
      </c>
      <c r="AJ8" s="44" t="e">
        <f t="shared" si="17"/>
        <v>#REF!</v>
      </c>
      <c r="AK8" s="18" t="e">
        <f t="shared" si="18"/>
        <v>#REF!</v>
      </c>
      <c r="AL8" s="44" t="e">
        <f t="shared" si="19"/>
        <v>#REF!</v>
      </c>
      <c r="AM8" s="18" t="e">
        <f t="shared" si="20"/>
        <v>#REF!</v>
      </c>
      <c r="AN8" s="44" t="e">
        <f t="shared" si="21"/>
        <v>#REF!</v>
      </c>
      <c r="AO8" s="18" t="e">
        <f t="shared" si="22"/>
        <v>#REF!</v>
      </c>
      <c r="AP8" s="18" t="e">
        <f t="shared" si="23"/>
        <v>#REF!</v>
      </c>
      <c r="AQ8" s="44" t="e">
        <f t="shared" si="24"/>
        <v>#REF!</v>
      </c>
      <c r="AR8" s="18" t="e">
        <f t="shared" si="25"/>
        <v>#REF!</v>
      </c>
      <c r="AT8" s="18" t="e">
        <f t="shared" si="26"/>
        <v>#REF!</v>
      </c>
      <c r="AU8" s="18" t="e">
        <f t="shared" si="27"/>
        <v>#REF!</v>
      </c>
      <c r="AV8" s="18" t="e">
        <f t="shared" si="28"/>
        <v>#REF!</v>
      </c>
      <c r="AW8" s="18" t="e">
        <f t="shared" si="29"/>
        <v>#REF!</v>
      </c>
      <c r="AX8" s="18" t="e">
        <f t="shared" si="30"/>
        <v>#REF!</v>
      </c>
      <c r="AY8" s="18" t="e">
        <f t="shared" si="31"/>
        <v>#REF!</v>
      </c>
      <c r="AZ8" s="44" t="e">
        <f t="shared" si="32"/>
        <v>#REF!</v>
      </c>
      <c r="BA8" s="18" t="e">
        <f t="shared" si="33"/>
        <v>#REF!</v>
      </c>
      <c r="BB8" s="44" t="e">
        <f t="shared" si="34"/>
        <v>#REF!</v>
      </c>
      <c r="BC8" s="18" t="e">
        <f t="shared" si="35"/>
        <v>#REF!</v>
      </c>
      <c r="BD8" s="44" t="e">
        <f t="shared" si="36"/>
        <v>#REF!</v>
      </c>
      <c r="BE8" s="18" t="e">
        <f t="shared" si="37"/>
        <v>#REF!</v>
      </c>
      <c r="BF8" s="18" t="e">
        <f t="shared" si="38"/>
        <v>#REF!</v>
      </c>
      <c r="BG8" s="44" t="e">
        <f t="shared" si="39"/>
        <v>#REF!</v>
      </c>
      <c r="BH8" s="18" t="e">
        <f t="shared" si="40"/>
        <v>#REF!</v>
      </c>
      <c r="BJ8" s="18" t="e">
        <f t="shared" si="41"/>
        <v>#REF!</v>
      </c>
      <c r="BK8" s="18" t="e">
        <f t="shared" si="42"/>
        <v>#REF!</v>
      </c>
      <c r="BL8" s="18" t="e">
        <f t="shared" si="43"/>
        <v>#REF!</v>
      </c>
      <c r="BM8" s="18" t="e">
        <f t="shared" si="44"/>
        <v>#REF!</v>
      </c>
      <c r="BN8" s="18" t="e">
        <f t="shared" si="45"/>
        <v>#REF!</v>
      </c>
      <c r="BO8" s="18" t="e">
        <f t="shared" si="46"/>
        <v>#REF!</v>
      </c>
      <c r="BP8" s="44" t="e">
        <f t="shared" si="47"/>
        <v>#REF!</v>
      </c>
      <c r="BQ8" s="18" t="e">
        <f t="shared" si="48"/>
        <v>#REF!</v>
      </c>
      <c r="BR8" s="44" t="e">
        <f t="shared" si="49"/>
        <v>#REF!</v>
      </c>
      <c r="BS8" s="18" t="e">
        <f t="shared" si="50"/>
        <v>#REF!</v>
      </c>
      <c r="BT8" s="44" t="e">
        <f t="shared" si="51"/>
        <v>#REF!</v>
      </c>
      <c r="BU8" s="18" t="e">
        <f t="shared" si="52"/>
        <v>#REF!</v>
      </c>
      <c r="BV8" s="18" t="e">
        <f t="shared" si="53"/>
        <v>#REF!</v>
      </c>
      <c r="BW8" s="44" t="e">
        <f t="shared" si="54"/>
        <v>#REF!</v>
      </c>
      <c r="BX8" s="18" t="e">
        <f t="shared" si="55"/>
        <v>#REF!</v>
      </c>
      <c r="BZ8" s="18" t="e">
        <f>SUMIFS('ICB Core Allocation 2024-25 (2)'!S:S,'ICB Core Allocation 2024-25 (2)'!C:C,D8)</f>
        <v>#REF!</v>
      </c>
      <c r="CA8" s="58" t="e">
        <f t="shared" si="56"/>
        <v>#REF!</v>
      </c>
    </row>
    <row r="9" spans="2:79" x14ac:dyDescent="0.25">
      <c r="B9" s="13" t="s">
        <v>58</v>
      </c>
      <c r="C9" s="14" t="s">
        <v>59</v>
      </c>
      <c r="D9" s="4" t="s">
        <v>70</v>
      </c>
      <c r="E9" s="4" t="s">
        <v>71</v>
      </c>
      <c r="F9" s="11" t="e">
        <f>SUMIFS(#REF!,#REF!,$D9)</f>
        <v>#REF!</v>
      </c>
      <c r="G9" s="11" t="e">
        <f>SUMIFS(#REF!,#REF!,$D9)</f>
        <v>#REF!</v>
      </c>
      <c r="H9" s="11" t="e">
        <f>SUMIFS(#REF!,#REF!,$D9)</f>
        <v>#REF!</v>
      </c>
      <c r="I9" s="11" t="e">
        <f>SUMIFS(#REF!,#REF!,$D9)</f>
        <v>#REF!</v>
      </c>
      <c r="J9" s="11" t="e">
        <f>SUMIFS(#REF!,#REF!,$D9)</f>
        <v>#REF!</v>
      </c>
      <c r="K9" s="11" t="e">
        <f>SUMIFS(#REF!,#REF!,$D9)</f>
        <v>#REF!</v>
      </c>
      <c r="L9" s="11" t="e">
        <f t="shared" si="0"/>
        <v>#REF!</v>
      </c>
      <c r="N9" s="43" t="e">
        <f>SUMIFS(#REF!,#REF!,$D9)</f>
        <v>#REF!</v>
      </c>
      <c r="O9" s="11" t="e">
        <f t="shared" si="1"/>
        <v>#REF!</v>
      </c>
      <c r="P9" s="11" t="e">
        <f>SUMIFS(#REF!,#REF!,$D9)</f>
        <v>#REF!</v>
      </c>
      <c r="Q9" s="11" t="e">
        <f>SUMIFS(#REF!,#REF!,$D9)</f>
        <v>#REF!</v>
      </c>
      <c r="R9" s="11" t="e">
        <f t="shared" si="2"/>
        <v>#REF!</v>
      </c>
      <c r="S9" s="11" t="e">
        <f t="shared" si="3"/>
        <v>#REF!</v>
      </c>
      <c r="T9" s="43" t="e">
        <f t="shared" si="4"/>
        <v>#REF!</v>
      </c>
      <c r="U9" s="11" t="e">
        <f t="shared" si="5"/>
        <v>#REF!</v>
      </c>
      <c r="V9" s="11" t="e">
        <f t="shared" si="6"/>
        <v>#REF!</v>
      </c>
      <c r="W9" s="43" t="e">
        <f>SUMIFS(#REF!,#REF!,D9)</f>
        <v>#REF!</v>
      </c>
      <c r="X9" s="11" t="e">
        <f t="shared" si="7"/>
        <v>#REF!</v>
      </c>
      <c r="Y9" s="11" t="e">
        <f t="shared" si="8"/>
        <v>#REF!</v>
      </c>
      <c r="Z9" s="43" t="e">
        <f>SUMIFS(#REF!,#REF!,D9)</f>
        <v>#REF!</v>
      </c>
      <c r="AA9" s="11" t="e">
        <f t="shared" si="9"/>
        <v>#REF!</v>
      </c>
      <c r="AB9" s="11" t="e">
        <f t="shared" si="10"/>
        <v>#REF!</v>
      </c>
      <c r="AC9" s="11" t="e">
        <f t="shared" si="11"/>
        <v>#REF!</v>
      </c>
      <c r="AE9" s="11" t="e">
        <f t="shared" si="12"/>
        <v>#REF!</v>
      </c>
      <c r="AF9" s="11" t="e">
        <f t="shared" si="13"/>
        <v>#REF!</v>
      </c>
      <c r="AG9" s="11" t="e">
        <f t="shared" si="14"/>
        <v>#REF!</v>
      </c>
      <c r="AH9" s="11" t="e">
        <f t="shared" si="15"/>
        <v>#REF!</v>
      </c>
      <c r="AI9" s="11" t="e">
        <f t="shared" si="16"/>
        <v>#REF!</v>
      </c>
      <c r="AJ9" s="43" t="e">
        <f t="shared" si="17"/>
        <v>#REF!</v>
      </c>
      <c r="AK9" s="11" t="e">
        <f t="shared" si="18"/>
        <v>#REF!</v>
      </c>
      <c r="AL9" s="43" t="e">
        <f t="shared" si="19"/>
        <v>#REF!</v>
      </c>
      <c r="AM9" s="11" t="e">
        <f t="shared" si="20"/>
        <v>#REF!</v>
      </c>
      <c r="AN9" s="43" t="e">
        <f t="shared" si="21"/>
        <v>#REF!</v>
      </c>
      <c r="AO9" s="11" t="e">
        <f t="shared" si="22"/>
        <v>#REF!</v>
      </c>
      <c r="AP9" s="11" t="e">
        <f t="shared" si="23"/>
        <v>#REF!</v>
      </c>
      <c r="AQ9" s="43" t="e">
        <f t="shared" si="24"/>
        <v>#REF!</v>
      </c>
      <c r="AR9" s="11" t="e">
        <f t="shared" si="25"/>
        <v>#REF!</v>
      </c>
      <c r="AT9" s="11" t="e">
        <f t="shared" si="26"/>
        <v>#REF!</v>
      </c>
      <c r="AU9" s="11" t="e">
        <f t="shared" si="27"/>
        <v>#REF!</v>
      </c>
      <c r="AV9" s="11" t="e">
        <f t="shared" si="28"/>
        <v>#REF!</v>
      </c>
      <c r="AW9" s="11" t="e">
        <f t="shared" si="29"/>
        <v>#REF!</v>
      </c>
      <c r="AX9" s="11" t="e">
        <f t="shared" si="30"/>
        <v>#REF!</v>
      </c>
      <c r="AY9" s="11" t="e">
        <f t="shared" si="31"/>
        <v>#REF!</v>
      </c>
      <c r="AZ9" s="43" t="e">
        <f t="shared" si="32"/>
        <v>#REF!</v>
      </c>
      <c r="BA9" s="11" t="e">
        <f t="shared" si="33"/>
        <v>#REF!</v>
      </c>
      <c r="BB9" s="43" t="e">
        <f t="shared" si="34"/>
        <v>#REF!</v>
      </c>
      <c r="BC9" s="11" t="e">
        <f t="shared" si="35"/>
        <v>#REF!</v>
      </c>
      <c r="BD9" s="43" t="e">
        <f t="shared" si="36"/>
        <v>#REF!</v>
      </c>
      <c r="BE9" s="11" t="e">
        <f t="shared" si="37"/>
        <v>#REF!</v>
      </c>
      <c r="BF9" s="11" t="e">
        <f t="shared" si="38"/>
        <v>#REF!</v>
      </c>
      <c r="BG9" s="43" t="e">
        <f t="shared" si="39"/>
        <v>#REF!</v>
      </c>
      <c r="BH9" s="11" t="e">
        <f t="shared" si="40"/>
        <v>#REF!</v>
      </c>
      <c r="BJ9" s="11" t="e">
        <f t="shared" si="41"/>
        <v>#REF!</v>
      </c>
      <c r="BK9" s="11" t="e">
        <f t="shared" si="42"/>
        <v>#REF!</v>
      </c>
      <c r="BL9" s="11" t="e">
        <f t="shared" si="43"/>
        <v>#REF!</v>
      </c>
      <c r="BM9" s="11" t="e">
        <f t="shared" si="44"/>
        <v>#REF!</v>
      </c>
      <c r="BN9" s="11" t="e">
        <f t="shared" si="45"/>
        <v>#REF!</v>
      </c>
      <c r="BO9" s="11" t="e">
        <f t="shared" si="46"/>
        <v>#REF!</v>
      </c>
      <c r="BP9" s="43" t="e">
        <f t="shared" si="47"/>
        <v>#REF!</v>
      </c>
      <c r="BQ9" s="11" t="e">
        <f t="shared" si="48"/>
        <v>#REF!</v>
      </c>
      <c r="BR9" s="43" t="e">
        <f t="shared" si="49"/>
        <v>#REF!</v>
      </c>
      <c r="BS9" s="11" t="e">
        <f t="shared" si="50"/>
        <v>#REF!</v>
      </c>
      <c r="BT9" s="43" t="e">
        <f t="shared" si="51"/>
        <v>#REF!</v>
      </c>
      <c r="BU9" s="11" t="e">
        <f t="shared" si="52"/>
        <v>#REF!</v>
      </c>
      <c r="BV9" s="11" t="e">
        <f t="shared" si="53"/>
        <v>#REF!</v>
      </c>
      <c r="BW9" s="43" t="e">
        <f t="shared" si="54"/>
        <v>#REF!</v>
      </c>
      <c r="BX9" s="11" t="e">
        <f t="shared" si="55"/>
        <v>#REF!</v>
      </c>
      <c r="BZ9" s="11" t="e">
        <f>SUMIFS('ICB Core Allocation 2024-25 (2)'!S:S,'ICB Core Allocation 2024-25 (2)'!C:C,D9)</f>
        <v>#REF!</v>
      </c>
      <c r="CA9" s="58" t="e">
        <f t="shared" si="56"/>
        <v>#REF!</v>
      </c>
    </row>
    <row r="10" spans="2:79" x14ac:dyDescent="0.25">
      <c r="B10" s="13" t="s">
        <v>72</v>
      </c>
      <c r="C10" s="14" t="s">
        <v>73</v>
      </c>
      <c r="D10" s="4" t="s">
        <v>78</v>
      </c>
      <c r="E10" s="4" t="s">
        <v>79</v>
      </c>
      <c r="F10" s="11" t="e">
        <f>SUMIFS(#REF!,#REF!,$D10)</f>
        <v>#REF!</v>
      </c>
      <c r="G10" s="11" t="e">
        <f>SUMIFS(#REF!,#REF!,$D10)</f>
        <v>#REF!</v>
      </c>
      <c r="H10" s="11" t="e">
        <f>SUMIFS(#REF!,#REF!,$D10)</f>
        <v>#REF!</v>
      </c>
      <c r="I10" s="11" t="e">
        <f>SUMIFS(#REF!,#REF!,$D10)</f>
        <v>#REF!</v>
      </c>
      <c r="J10" s="11" t="e">
        <f>SUMIFS(#REF!,#REF!,$D10)</f>
        <v>#REF!</v>
      </c>
      <c r="K10" s="11" t="e">
        <f>SUMIFS(#REF!,#REF!,$D10)</f>
        <v>#REF!</v>
      </c>
      <c r="L10" s="11" t="e">
        <f t="shared" si="0"/>
        <v>#REF!</v>
      </c>
      <c r="N10" s="43" t="e">
        <f>SUMIFS(#REF!,#REF!,$D10)</f>
        <v>#REF!</v>
      </c>
      <c r="O10" s="11" t="e">
        <f t="shared" si="1"/>
        <v>#REF!</v>
      </c>
      <c r="P10" s="11" t="e">
        <f>SUMIFS(#REF!,#REF!,$D10)</f>
        <v>#REF!</v>
      </c>
      <c r="Q10" s="11" t="e">
        <f>SUMIFS(#REF!,#REF!,$D10)</f>
        <v>#REF!</v>
      </c>
      <c r="R10" s="11" t="e">
        <f t="shared" si="2"/>
        <v>#REF!</v>
      </c>
      <c r="S10" s="11" t="e">
        <f t="shared" si="3"/>
        <v>#REF!</v>
      </c>
      <c r="T10" s="43" t="e">
        <f t="shared" si="4"/>
        <v>#REF!</v>
      </c>
      <c r="U10" s="11" t="e">
        <f t="shared" si="5"/>
        <v>#REF!</v>
      </c>
      <c r="V10" s="11" t="e">
        <f t="shared" si="6"/>
        <v>#REF!</v>
      </c>
      <c r="W10" s="43" t="e">
        <f>SUMIFS(#REF!,#REF!,D10)</f>
        <v>#REF!</v>
      </c>
      <c r="X10" s="11" t="e">
        <f t="shared" si="7"/>
        <v>#REF!</v>
      </c>
      <c r="Y10" s="11" t="e">
        <f t="shared" si="8"/>
        <v>#REF!</v>
      </c>
      <c r="Z10" s="43" t="e">
        <f>SUMIFS(#REF!,#REF!,D10)</f>
        <v>#REF!</v>
      </c>
      <c r="AA10" s="11" t="e">
        <f t="shared" si="9"/>
        <v>#REF!</v>
      </c>
      <c r="AB10" s="11" t="e">
        <f t="shared" si="10"/>
        <v>#REF!</v>
      </c>
      <c r="AC10" s="11" t="e">
        <f t="shared" si="11"/>
        <v>#REF!</v>
      </c>
      <c r="AE10" s="11" t="e">
        <f t="shared" si="12"/>
        <v>#REF!</v>
      </c>
      <c r="AF10" s="11" t="e">
        <f t="shared" si="13"/>
        <v>#REF!</v>
      </c>
      <c r="AG10" s="11" t="e">
        <f t="shared" si="14"/>
        <v>#REF!</v>
      </c>
      <c r="AH10" s="11" t="e">
        <f t="shared" si="15"/>
        <v>#REF!</v>
      </c>
      <c r="AI10" s="11" t="e">
        <f t="shared" si="16"/>
        <v>#REF!</v>
      </c>
      <c r="AJ10" s="43" t="e">
        <f t="shared" si="17"/>
        <v>#REF!</v>
      </c>
      <c r="AK10" s="11" t="e">
        <f t="shared" si="18"/>
        <v>#REF!</v>
      </c>
      <c r="AL10" s="43" t="e">
        <f t="shared" si="19"/>
        <v>#REF!</v>
      </c>
      <c r="AM10" s="11" t="e">
        <f t="shared" si="20"/>
        <v>#REF!</v>
      </c>
      <c r="AN10" s="43" t="e">
        <f t="shared" si="21"/>
        <v>#REF!</v>
      </c>
      <c r="AO10" s="11" t="e">
        <f t="shared" si="22"/>
        <v>#REF!</v>
      </c>
      <c r="AP10" s="11" t="e">
        <f t="shared" si="23"/>
        <v>#REF!</v>
      </c>
      <c r="AQ10" s="43" t="e">
        <f t="shared" si="24"/>
        <v>#REF!</v>
      </c>
      <c r="AR10" s="11" t="e">
        <f t="shared" si="25"/>
        <v>#REF!</v>
      </c>
      <c r="AT10" s="11" t="e">
        <f t="shared" si="26"/>
        <v>#REF!</v>
      </c>
      <c r="AU10" s="11" t="e">
        <f t="shared" si="27"/>
        <v>#REF!</v>
      </c>
      <c r="AV10" s="11" t="e">
        <f t="shared" si="28"/>
        <v>#REF!</v>
      </c>
      <c r="AW10" s="11" t="e">
        <f t="shared" si="29"/>
        <v>#REF!</v>
      </c>
      <c r="AX10" s="11" t="e">
        <f t="shared" si="30"/>
        <v>#REF!</v>
      </c>
      <c r="AY10" s="11" t="e">
        <f t="shared" si="31"/>
        <v>#REF!</v>
      </c>
      <c r="AZ10" s="43" t="e">
        <f t="shared" si="32"/>
        <v>#REF!</v>
      </c>
      <c r="BA10" s="11" t="e">
        <f t="shared" si="33"/>
        <v>#REF!</v>
      </c>
      <c r="BB10" s="43" t="e">
        <f t="shared" si="34"/>
        <v>#REF!</v>
      </c>
      <c r="BC10" s="11" t="e">
        <f t="shared" si="35"/>
        <v>#REF!</v>
      </c>
      <c r="BD10" s="43" t="e">
        <f t="shared" si="36"/>
        <v>#REF!</v>
      </c>
      <c r="BE10" s="11" t="e">
        <f t="shared" si="37"/>
        <v>#REF!</v>
      </c>
      <c r="BF10" s="11" t="e">
        <f t="shared" si="38"/>
        <v>#REF!</v>
      </c>
      <c r="BG10" s="43" t="e">
        <f t="shared" si="39"/>
        <v>#REF!</v>
      </c>
      <c r="BH10" s="11" t="e">
        <f t="shared" si="40"/>
        <v>#REF!</v>
      </c>
      <c r="BJ10" s="11" t="e">
        <f t="shared" si="41"/>
        <v>#REF!</v>
      </c>
      <c r="BK10" s="11" t="e">
        <f t="shared" si="42"/>
        <v>#REF!</v>
      </c>
      <c r="BL10" s="11" t="e">
        <f t="shared" si="43"/>
        <v>#REF!</v>
      </c>
      <c r="BM10" s="11" t="e">
        <f t="shared" si="44"/>
        <v>#REF!</v>
      </c>
      <c r="BN10" s="11" t="e">
        <f t="shared" si="45"/>
        <v>#REF!</v>
      </c>
      <c r="BO10" s="11" t="e">
        <f t="shared" si="46"/>
        <v>#REF!</v>
      </c>
      <c r="BP10" s="43" t="e">
        <f t="shared" si="47"/>
        <v>#REF!</v>
      </c>
      <c r="BQ10" s="11" t="e">
        <f t="shared" si="48"/>
        <v>#REF!</v>
      </c>
      <c r="BR10" s="43" t="e">
        <f t="shared" si="49"/>
        <v>#REF!</v>
      </c>
      <c r="BS10" s="11" t="e">
        <f t="shared" si="50"/>
        <v>#REF!</v>
      </c>
      <c r="BT10" s="43" t="e">
        <f t="shared" si="51"/>
        <v>#REF!</v>
      </c>
      <c r="BU10" s="11" t="e">
        <f t="shared" si="52"/>
        <v>#REF!</v>
      </c>
      <c r="BV10" s="11" t="e">
        <f t="shared" si="53"/>
        <v>#REF!</v>
      </c>
      <c r="BW10" s="43" t="e">
        <f t="shared" si="54"/>
        <v>#REF!</v>
      </c>
      <c r="BX10" s="11" t="e">
        <f t="shared" si="55"/>
        <v>#REF!</v>
      </c>
      <c r="BZ10" s="11" t="e">
        <f>SUMIFS('ICB Core Allocation 2024-25 (2)'!S:S,'ICB Core Allocation 2024-25 (2)'!C:C,D10)</f>
        <v>#REF!</v>
      </c>
      <c r="CA10" s="58" t="e">
        <f t="shared" si="56"/>
        <v>#REF!</v>
      </c>
    </row>
    <row r="11" spans="2:79" x14ac:dyDescent="0.25">
      <c r="B11" s="78" t="s">
        <v>58</v>
      </c>
      <c r="C11" s="17" t="s">
        <v>59</v>
      </c>
      <c r="D11" s="17" t="s">
        <v>60</v>
      </c>
      <c r="E11" s="17" t="s">
        <v>61</v>
      </c>
      <c r="F11" s="18" t="e">
        <f>SUMIFS(#REF!,#REF!,$D11)</f>
        <v>#REF!</v>
      </c>
      <c r="G11" s="18" t="e">
        <f>SUMIFS(#REF!,#REF!,$D11)</f>
        <v>#REF!</v>
      </c>
      <c r="H11" s="18" t="e">
        <f>SUMIFS(#REF!,#REF!,$D11)</f>
        <v>#REF!</v>
      </c>
      <c r="I11" s="18" t="e">
        <f>SUMIFS(#REF!,#REF!,$D11)</f>
        <v>#REF!</v>
      </c>
      <c r="J11" s="18" t="e">
        <f>SUMIFS(#REF!,#REF!,$D11)</f>
        <v>#REF!</v>
      </c>
      <c r="K11" s="18" t="e">
        <f>SUMIFS(#REF!,#REF!,$D11)</f>
        <v>#REF!</v>
      </c>
      <c r="L11" s="18" t="e">
        <f t="shared" si="0"/>
        <v>#REF!</v>
      </c>
      <c r="N11" s="44" t="e">
        <f>SUMIFS(#REF!,#REF!,$D11)</f>
        <v>#REF!</v>
      </c>
      <c r="O11" s="18" t="e">
        <f t="shared" si="1"/>
        <v>#REF!</v>
      </c>
      <c r="P11" s="18" t="e">
        <f>SUMIFS(#REF!,#REF!,$D11)</f>
        <v>#REF!</v>
      </c>
      <c r="Q11" s="18" t="e">
        <f>SUMIFS(#REF!,#REF!,$D11)</f>
        <v>#REF!</v>
      </c>
      <c r="R11" s="18" t="e">
        <f t="shared" si="2"/>
        <v>#REF!</v>
      </c>
      <c r="S11" s="18" t="e">
        <f t="shared" si="3"/>
        <v>#REF!</v>
      </c>
      <c r="T11" s="44" t="e">
        <f t="shared" si="4"/>
        <v>#REF!</v>
      </c>
      <c r="U11" s="18" t="e">
        <f t="shared" si="5"/>
        <v>#REF!</v>
      </c>
      <c r="V11" s="18" t="e">
        <f t="shared" si="6"/>
        <v>#REF!</v>
      </c>
      <c r="W11" s="44" t="e">
        <f>SUMIFS(#REF!,#REF!,D11)</f>
        <v>#REF!</v>
      </c>
      <c r="X11" s="18" t="e">
        <f t="shared" si="7"/>
        <v>#REF!</v>
      </c>
      <c r="Y11" s="18" t="e">
        <f t="shared" si="8"/>
        <v>#REF!</v>
      </c>
      <c r="Z11" s="44" t="e">
        <f>SUMIFS(#REF!,#REF!,D11)</f>
        <v>#REF!</v>
      </c>
      <c r="AA11" s="18" t="e">
        <f t="shared" si="9"/>
        <v>#REF!</v>
      </c>
      <c r="AB11" s="18" t="e">
        <f t="shared" si="10"/>
        <v>#REF!</v>
      </c>
      <c r="AC11" s="18" t="e">
        <f t="shared" si="11"/>
        <v>#REF!</v>
      </c>
      <c r="AE11" s="18" t="e">
        <f t="shared" si="12"/>
        <v>#REF!</v>
      </c>
      <c r="AF11" s="18" t="e">
        <f t="shared" si="13"/>
        <v>#REF!</v>
      </c>
      <c r="AG11" s="18" t="e">
        <f t="shared" si="14"/>
        <v>#REF!</v>
      </c>
      <c r="AH11" s="18" t="e">
        <f t="shared" si="15"/>
        <v>#REF!</v>
      </c>
      <c r="AI11" s="18" t="e">
        <f t="shared" si="16"/>
        <v>#REF!</v>
      </c>
      <c r="AJ11" s="44" t="e">
        <f t="shared" si="17"/>
        <v>#REF!</v>
      </c>
      <c r="AK11" s="18" t="e">
        <f t="shared" si="18"/>
        <v>#REF!</v>
      </c>
      <c r="AL11" s="44" t="e">
        <f t="shared" si="19"/>
        <v>#REF!</v>
      </c>
      <c r="AM11" s="18" t="e">
        <f t="shared" si="20"/>
        <v>#REF!</v>
      </c>
      <c r="AN11" s="44" t="e">
        <f t="shared" si="21"/>
        <v>#REF!</v>
      </c>
      <c r="AO11" s="18" t="e">
        <f t="shared" si="22"/>
        <v>#REF!</v>
      </c>
      <c r="AP11" s="18" t="e">
        <f t="shared" si="23"/>
        <v>#REF!</v>
      </c>
      <c r="AQ11" s="44" t="e">
        <f t="shared" si="24"/>
        <v>#REF!</v>
      </c>
      <c r="AR11" s="18" t="e">
        <f t="shared" si="25"/>
        <v>#REF!</v>
      </c>
      <c r="AS11" s="79" t="e">
        <f t="shared" ref="AS11:AS17" si="57">AR11/AP11</f>
        <v>#REF!</v>
      </c>
      <c r="AT11" s="18" t="e">
        <f t="shared" si="26"/>
        <v>#REF!</v>
      </c>
      <c r="AU11" s="18" t="e">
        <f t="shared" si="27"/>
        <v>#REF!</v>
      </c>
      <c r="AV11" s="18" t="e">
        <f t="shared" si="28"/>
        <v>#REF!</v>
      </c>
      <c r="AW11" s="18" t="e">
        <f t="shared" si="29"/>
        <v>#REF!</v>
      </c>
      <c r="AX11" s="18" t="e">
        <f t="shared" si="30"/>
        <v>#REF!</v>
      </c>
      <c r="AY11" s="18" t="e">
        <f t="shared" si="31"/>
        <v>#REF!</v>
      </c>
      <c r="AZ11" s="44" t="e">
        <f t="shared" si="32"/>
        <v>#REF!</v>
      </c>
      <c r="BA11" s="18" t="e">
        <f t="shared" si="33"/>
        <v>#REF!</v>
      </c>
      <c r="BB11" s="44" t="e">
        <f t="shared" si="34"/>
        <v>#REF!</v>
      </c>
      <c r="BC11" s="18" t="e">
        <f t="shared" si="35"/>
        <v>#REF!</v>
      </c>
      <c r="BD11" s="44" t="e">
        <f t="shared" si="36"/>
        <v>#REF!</v>
      </c>
      <c r="BE11" s="18" t="e">
        <f t="shared" si="37"/>
        <v>#REF!</v>
      </c>
      <c r="BF11" s="18" t="e">
        <f t="shared" si="38"/>
        <v>#REF!</v>
      </c>
      <c r="BG11" s="44" t="e">
        <f t="shared" si="39"/>
        <v>#REF!</v>
      </c>
      <c r="BH11" s="18" t="e">
        <f t="shared" si="40"/>
        <v>#REF!</v>
      </c>
      <c r="BJ11" s="18" t="e">
        <f t="shared" si="41"/>
        <v>#REF!</v>
      </c>
      <c r="BK11" s="18" t="e">
        <f t="shared" si="42"/>
        <v>#REF!</v>
      </c>
      <c r="BL11" s="18" t="e">
        <f t="shared" si="43"/>
        <v>#REF!</v>
      </c>
      <c r="BM11" s="18" t="e">
        <f t="shared" si="44"/>
        <v>#REF!</v>
      </c>
      <c r="BN11" s="18" t="e">
        <f t="shared" si="45"/>
        <v>#REF!</v>
      </c>
      <c r="BO11" s="18" t="e">
        <f t="shared" si="46"/>
        <v>#REF!</v>
      </c>
      <c r="BP11" s="44" t="e">
        <f t="shared" si="47"/>
        <v>#REF!</v>
      </c>
      <c r="BQ11" s="18" t="e">
        <f t="shared" si="48"/>
        <v>#REF!</v>
      </c>
      <c r="BR11" s="44" t="e">
        <f t="shared" si="49"/>
        <v>#REF!</v>
      </c>
      <c r="BS11" s="18" t="e">
        <f t="shared" si="50"/>
        <v>#REF!</v>
      </c>
      <c r="BT11" s="44" t="e">
        <f t="shared" si="51"/>
        <v>#REF!</v>
      </c>
      <c r="BU11" s="18" t="e">
        <f t="shared" si="52"/>
        <v>#REF!</v>
      </c>
      <c r="BV11" s="18" t="e">
        <f t="shared" si="53"/>
        <v>#REF!</v>
      </c>
      <c r="BW11" s="44" t="e">
        <f t="shared" si="54"/>
        <v>#REF!</v>
      </c>
      <c r="BX11" s="18" t="e">
        <f t="shared" si="55"/>
        <v>#REF!</v>
      </c>
      <c r="BZ11" s="18" t="e">
        <f>SUMIFS('ICB Core Allocation 2024-25 (2)'!S:S,'ICB Core Allocation 2024-25 (2)'!C:C,D11)</f>
        <v>#REF!</v>
      </c>
      <c r="CA11" s="58" t="e">
        <f t="shared" si="56"/>
        <v>#REF!</v>
      </c>
    </row>
    <row r="12" spans="2:79" x14ac:dyDescent="0.25">
      <c r="B12" s="13" t="s">
        <v>34</v>
      </c>
      <c r="C12" s="14" t="s">
        <v>35</v>
      </c>
      <c r="D12" s="4" t="s">
        <v>40</v>
      </c>
      <c r="E12" s="4" t="s">
        <v>41</v>
      </c>
      <c r="F12" s="11" t="e">
        <f>SUMIFS(#REF!,#REF!,$D12)</f>
        <v>#REF!</v>
      </c>
      <c r="G12" s="11" t="e">
        <f>SUMIFS(#REF!,#REF!,$D12)</f>
        <v>#REF!</v>
      </c>
      <c r="H12" s="11" t="e">
        <f>SUMIFS(#REF!,#REF!,$D12)</f>
        <v>#REF!</v>
      </c>
      <c r="I12" s="11" t="e">
        <f>SUMIFS(#REF!,#REF!,$D12)</f>
        <v>#REF!</v>
      </c>
      <c r="J12" s="11" t="e">
        <f>SUMIFS(#REF!,#REF!,$D12)</f>
        <v>#REF!</v>
      </c>
      <c r="K12" s="11" t="e">
        <f>SUMIFS(#REF!,#REF!,$D12)</f>
        <v>#REF!</v>
      </c>
      <c r="L12" s="11" t="e">
        <f t="shared" si="0"/>
        <v>#REF!</v>
      </c>
      <c r="N12" s="43" t="e">
        <f>SUMIFS(#REF!,#REF!,$D12)</f>
        <v>#REF!</v>
      </c>
      <c r="O12" s="11" t="e">
        <f t="shared" si="1"/>
        <v>#REF!</v>
      </c>
      <c r="P12" s="11" t="e">
        <f>SUMIFS(#REF!,#REF!,$D12)</f>
        <v>#REF!</v>
      </c>
      <c r="Q12" s="11" t="e">
        <f>SUMIFS(#REF!,#REF!,$D12)</f>
        <v>#REF!</v>
      </c>
      <c r="R12" s="11" t="e">
        <f t="shared" si="2"/>
        <v>#REF!</v>
      </c>
      <c r="S12" s="11" t="e">
        <f t="shared" si="3"/>
        <v>#REF!</v>
      </c>
      <c r="T12" s="43" t="e">
        <f t="shared" si="4"/>
        <v>#REF!</v>
      </c>
      <c r="U12" s="11" t="e">
        <f t="shared" si="5"/>
        <v>#REF!</v>
      </c>
      <c r="V12" s="11" t="e">
        <f t="shared" si="6"/>
        <v>#REF!</v>
      </c>
      <c r="W12" s="43" t="e">
        <f>SUMIFS(#REF!,#REF!,D12)</f>
        <v>#REF!</v>
      </c>
      <c r="X12" s="11" t="e">
        <f t="shared" si="7"/>
        <v>#REF!</v>
      </c>
      <c r="Y12" s="11" t="e">
        <f t="shared" si="8"/>
        <v>#REF!</v>
      </c>
      <c r="Z12" s="43" t="e">
        <f>SUMIFS(#REF!,#REF!,D12)</f>
        <v>#REF!</v>
      </c>
      <c r="AA12" s="11" t="e">
        <f t="shared" si="9"/>
        <v>#REF!</v>
      </c>
      <c r="AB12" s="11" t="e">
        <f t="shared" si="10"/>
        <v>#REF!</v>
      </c>
      <c r="AC12" s="11" t="e">
        <f t="shared" si="11"/>
        <v>#REF!</v>
      </c>
      <c r="AE12" s="11" t="e">
        <f t="shared" si="12"/>
        <v>#REF!</v>
      </c>
      <c r="AF12" s="11" t="e">
        <f t="shared" si="13"/>
        <v>#REF!</v>
      </c>
      <c r="AG12" s="11" t="e">
        <f t="shared" si="14"/>
        <v>#REF!</v>
      </c>
      <c r="AH12" s="11" t="e">
        <f t="shared" si="15"/>
        <v>#REF!</v>
      </c>
      <c r="AI12" s="11" t="e">
        <f t="shared" si="16"/>
        <v>#REF!</v>
      </c>
      <c r="AJ12" s="43" t="e">
        <f t="shared" si="17"/>
        <v>#REF!</v>
      </c>
      <c r="AK12" s="11" t="e">
        <f t="shared" si="18"/>
        <v>#REF!</v>
      </c>
      <c r="AL12" s="43" t="e">
        <f t="shared" si="19"/>
        <v>#REF!</v>
      </c>
      <c r="AM12" s="11" t="e">
        <f t="shared" si="20"/>
        <v>#REF!</v>
      </c>
      <c r="AN12" s="43" t="e">
        <f t="shared" si="21"/>
        <v>#REF!</v>
      </c>
      <c r="AO12" s="11" t="e">
        <f t="shared" si="22"/>
        <v>#REF!</v>
      </c>
      <c r="AP12" s="11" t="e">
        <f t="shared" si="23"/>
        <v>#REF!</v>
      </c>
      <c r="AQ12" s="43" t="e">
        <f t="shared" si="24"/>
        <v>#REF!</v>
      </c>
      <c r="AR12" s="11" t="e">
        <f t="shared" si="25"/>
        <v>#REF!</v>
      </c>
      <c r="AS12" s="79" t="e">
        <f t="shared" si="57"/>
        <v>#REF!</v>
      </c>
      <c r="AT12" s="11" t="e">
        <f t="shared" si="26"/>
        <v>#REF!</v>
      </c>
      <c r="AU12" s="11" t="e">
        <f t="shared" si="27"/>
        <v>#REF!</v>
      </c>
      <c r="AV12" s="11" t="e">
        <f t="shared" si="28"/>
        <v>#REF!</v>
      </c>
      <c r="AW12" s="11" t="e">
        <f t="shared" si="29"/>
        <v>#REF!</v>
      </c>
      <c r="AX12" s="11" t="e">
        <f t="shared" si="30"/>
        <v>#REF!</v>
      </c>
      <c r="AY12" s="11" t="e">
        <f t="shared" si="31"/>
        <v>#REF!</v>
      </c>
      <c r="AZ12" s="43" t="e">
        <f t="shared" si="32"/>
        <v>#REF!</v>
      </c>
      <c r="BA12" s="11" t="e">
        <f t="shared" si="33"/>
        <v>#REF!</v>
      </c>
      <c r="BB12" s="43" t="e">
        <f t="shared" si="34"/>
        <v>#REF!</v>
      </c>
      <c r="BC12" s="11" t="e">
        <f t="shared" si="35"/>
        <v>#REF!</v>
      </c>
      <c r="BD12" s="43" t="e">
        <f t="shared" si="36"/>
        <v>#REF!</v>
      </c>
      <c r="BE12" s="11" t="e">
        <f t="shared" si="37"/>
        <v>#REF!</v>
      </c>
      <c r="BF12" s="11" t="e">
        <f t="shared" si="38"/>
        <v>#REF!</v>
      </c>
      <c r="BG12" s="43" t="e">
        <f t="shared" si="39"/>
        <v>#REF!</v>
      </c>
      <c r="BH12" s="11" t="e">
        <f t="shared" si="40"/>
        <v>#REF!</v>
      </c>
      <c r="BJ12" s="11" t="e">
        <f t="shared" si="41"/>
        <v>#REF!</v>
      </c>
      <c r="BK12" s="11" t="e">
        <f t="shared" si="42"/>
        <v>#REF!</v>
      </c>
      <c r="BL12" s="11" t="e">
        <f t="shared" si="43"/>
        <v>#REF!</v>
      </c>
      <c r="BM12" s="11" t="e">
        <f t="shared" si="44"/>
        <v>#REF!</v>
      </c>
      <c r="BN12" s="11" t="e">
        <f t="shared" si="45"/>
        <v>#REF!</v>
      </c>
      <c r="BO12" s="11" t="e">
        <f t="shared" si="46"/>
        <v>#REF!</v>
      </c>
      <c r="BP12" s="43" t="e">
        <f t="shared" si="47"/>
        <v>#REF!</v>
      </c>
      <c r="BQ12" s="11" t="e">
        <f t="shared" si="48"/>
        <v>#REF!</v>
      </c>
      <c r="BR12" s="43" t="e">
        <f t="shared" si="49"/>
        <v>#REF!</v>
      </c>
      <c r="BS12" s="11" t="e">
        <f t="shared" si="50"/>
        <v>#REF!</v>
      </c>
      <c r="BT12" s="43" t="e">
        <f t="shared" si="51"/>
        <v>#REF!</v>
      </c>
      <c r="BU12" s="11" t="e">
        <f t="shared" si="52"/>
        <v>#REF!</v>
      </c>
      <c r="BV12" s="11" t="e">
        <f t="shared" si="53"/>
        <v>#REF!</v>
      </c>
      <c r="BW12" s="43" t="e">
        <f t="shared" si="54"/>
        <v>#REF!</v>
      </c>
      <c r="BX12" s="11" t="e">
        <f t="shared" si="55"/>
        <v>#REF!</v>
      </c>
      <c r="BZ12" s="11" t="e">
        <f>SUMIFS('ICB Core Allocation 2024-25 (2)'!S:S,'ICB Core Allocation 2024-25 (2)'!C:C,D12)</f>
        <v>#REF!</v>
      </c>
      <c r="CA12" s="58" t="e">
        <f t="shared" si="56"/>
        <v>#REF!</v>
      </c>
    </row>
    <row r="13" spans="2:79" x14ac:dyDescent="0.25">
      <c r="B13" s="13" t="s">
        <v>34</v>
      </c>
      <c r="C13" s="14" t="s">
        <v>35</v>
      </c>
      <c r="D13" s="4" t="s">
        <v>46</v>
      </c>
      <c r="E13" s="4" t="s">
        <v>47</v>
      </c>
      <c r="F13" s="11" t="e">
        <f>SUMIFS(#REF!,#REF!,$D13)</f>
        <v>#REF!</v>
      </c>
      <c r="G13" s="11" t="e">
        <f>SUMIFS(#REF!,#REF!,$D13)</f>
        <v>#REF!</v>
      </c>
      <c r="H13" s="11" t="e">
        <f>SUMIFS(#REF!,#REF!,$D13)</f>
        <v>#REF!</v>
      </c>
      <c r="I13" s="11" t="e">
        <f>SUMIFS(#REF!,#REF!,$D13)</f>
        <v>#REF!</v>
      </c>
      <c r="J13" s="11" t="e">
        <f>SUMIFS(#REF!,#REF!,$D13)</f>
        <v>#REF!</v>
      </c>
      <c r="K13" s="11" t="e">
        <f>SUMIFS(#REF!,#REF!,$D13)</f>
        <v>#REF!</v>
      </c>
      <c r="L13" s="11" t="e">
        <f t="shared" si="0"/>
        <v>#REF!</v>
      </c>
      <c r="N13" s="43" t="e">
        <f>SUMIFS(#REF!,#REF!,$D13)</f>
        <v>#REF!</v>
      </c>
      <c r="O13" s="11" t="e">
        <f t="shared" si="1"/>
        <v>#REF!</v>
      </c>
      <c r="P13" s="11" t="e">
        <f>SUMIFS(#REF!,#REF!,$D13)</f>
        <v>#REF!</v>
      </c>
      <c r="Q13" s="11" t="e">
        <f>SUMIFS(#REF!,#REF!,$D13)</f>
        <v>#REF!</v>
      </c>
      <c r="R13" s="11" t="e">
        <f t="shared" si="2"/>
        <v>#REF!</v>
      </c>
      <c r="S13" s="11" t="e">
        <f t="shared" si="3"/>
        <v>#REF!</v>
      </c>
      <c r="T13" s="43" t="e">
        <f t="shared" si="4"/>
        <v>#REF!</v>
      </c>
      <c r="U13" s="11" t="e">
        <f t="shared" si="5"/>
        <v>#REF!</v>
      </c>
      <c r="V13" s="11" t="e">
        <f t="shared" si="6"/>
        <v>#REF!</v>
      </c>
      <c r="W13" s="43" t="e">
        <f>SUMIFS(#REF!,#REF!,D13)</f>
        <v>#REF!</v>
      </c>
      <c r="X13" s="11" t="e">
        <f t="shared" si="7"/>
        <v>#REF!</v>
      </c>
      <c r="Y13" s="11" t="e">
        <f t="shared" si="8"/>
        <v>#REF!</v>
      </c>
      <c r="Z13" s="43" t="e">
        <f>SUMIFS(#REF!,#REF!,D13)</f>
        <v>#REF!</v>
      </c>
      <c r="AA13" s="11" t="e">
        <f t="shared" si="9"/>
        <v>#REF!</v>
      </c>
      <c r="AB13" s="11" t="e">
        <f t="shared" si="10"/>
        <v>#REF!</v>
      </c>
      <c r="AC13" s="11" t="e">
        <f t="shared" si="11"/>
        <v>#REF!</v>
      </c>
      <c r="AE13" s="11" t="e">
        <f t="shared" si="12"/>
        <v>#REF!</v>
      </c>
      <c r="AF13" s="11" t="e">
        <f t="shared" si="13"/>
        <v>#REF!</v>
      </c>
      <c r="AG13" s="11" t="e">
        <f t="shared" si="14"/>
        <v>#REF!</v>
      </c>
      <c r="AH13" s="11" t="e">
        <f t="shared" si="15"/>
        <v>#REF!</v>
      </c>
      <c r="AI13" s="11" t="e">
        <f t="shared" si="16"/>
        <v>#REF!</v>
      </c>
      <c r="AJ13" s="43" t="e">
        <f t="shared" si="17"/>
        <v>#REF!</v>
      </c>
      <c r="AK13" s="11" t="e">
        <f t="shared" si="18"/>
        <v>#REF!</v>
      </c>
      <c r="AL13" s="43" t="e">
        <f t="shared" si="19"/>
        <v>#REF!</v>
      </c>
      <c r="AM13" s="11" t="e">
        <f t="shared" si="20"/>
        <v>#REF!</v>
      </c>
      <c r="AN13" s="43" t="e">
        <f t="shared" si="21"/>
        <v>#REF!</v>
      </c>
      <c r="AO13" s="11" t="e">
        <f t="shared" si="22"/>
        <v>#REF!</v>
      </c>
      <c r="AP13" s="11" t="e">
        <f t="shared" si="23"/>
        <v>#REF!</v>
      </c>
      <c r="AQ13" s="43" t="e">
        <f t="shared" si="24"/>
        <v>#REF!</v>
      </c>
      <c r="AR13" s="11" t="e">
        <f t="shared" si="25"/>
        <v>#REF!</v>
      </c>
      <c r="AS13" s="79" t="e">
        <f t="shared" si="57"/>
        <v>#REF!</v>
      </c>
      <c r="AT13" s="11" t="e">
        <f t="shared" si="26"/>
        <v>#REF!</v>
      </c>
      <c r="AU13" s="11" t="e">
        <f t="shared" si="27"/>
        <v>#REF!</v>
      </c>
      <c r="AV13" s="11" t="e">
        <f t="shared" si="28"/>
        <v>#REF!</v>
      </c>
      <c r="AW13" s="11" t="e">
        <f t="shared" si="29"/>
        <v>#REF!</v>
      </c>
      <c r="AX13" s="11" t="e">
        <f t="shared" si="30"/>
        <v>#REF!</v>
      </c>
      <c r="AY13" s="11" t="e">
        <f t="shared" si="31"/>
        <v>#REF!</v>
      </c>
      <c r="AZ13" s="43" t="e">
        <f t="shared" si="32"/>
        <v>#REF!</v>
      </c>
      <c r="BA13" s="11" t="e">
        <f t="shared" si="33"/>
        <v>#REF!</v>
      </c>
      <c r="BB13" s="43" t="e">
        <f t="shared" si="34"/>
        <v>#REF!</v>
      </c>
      <c r="BC13" s="11" t="e">
        <f t="shared" si="35"/>
        <v>#REF!</v>
      </c>
      <c r="BD13" s="43" t="e">
        <f t="shared" si="36"/>
        <v>#REF!</v>
      </c>
      <c r="BE13" s="11" t="e">
        <f t="shared" si="37"/>
        <v>#REF!</v>
      </c>
      <c r="BF13" s="11" t="e">
        <f t="shared" si="38"/>
        <v>#REF!</v>
      </c>
      <c r="BG13" s="43" t="e">
        <f t="shared" si="39"/>
        <v>#REF!</v>
      </c>
      <c r="BH13" s="11" t="e">
        <f t="shared" si="40"/>
        <v>#REF!</v>
      </c>
      <c r="BJ13" s="11" t="e">
        <f t="shared" si="41"/>
        <v>#REF!</v>
      </c>
      <c r="BK13" s="11" t="e">
        <f t="shared" si="42"/>
        <v>#REF!</v>
      </c>
      <c r="BL13" s="11" t="e">
        <f t="shared" si="43"/>
        <v>#REF!</v>
      </c>
      <c r="BM13" s="11" t="e">
        <f t="shared" si="44"/>
        <v>#REF!</v>
      </c>
      <c r="BN13" s="11" t="e">
        <f t="shared" si="45"/>
        <v>#REF!</v>
      </c>
      <c r="BO13" s="11" t="e">
        <f t="shared" si="46"/>
        <v>#REF!</v>
      </c>
      <c r="BP13" s="43" t="e">
        <f t="shared" si="47"/>
        <v>#REF!</v>
      </c>
      <c r="BQ13" s="11" t="e">
        <f t="shared" si="48"/>
        <v>#REF!</v>
      </c>
      <c r="BR13" s="43" t="e">
        <f t="shared" si="49"/>
        <v>#REF!</v>
      </c>
      <c r="BS13" s="11" t="e">
        <f t="shared" si="50"/>
        <v>#REF!</v>
      </c>
      <c r="BT13" s="43" t="e">
        <f t="shared" si="51"/>
        <v>#REF!</v>
      </c>
      <c r="BU13" s="11" t="e">
        <f t="shared" si="52"/>
        <v>#REF!</v>
      </c>
      <c r="BV13" s="11" t="e">
        <f t="shared" si="53"/>
        <v>#REF!</v>
      </c>
      <c r="BW13" s="43" t="e">
        <f t="shared" si="54"/>
        <v>#REF!</v>
      </c>
      <c r="BX13" s="11" t="e">
        <f t="shared" si="55"/>
        <v>#REF!</v>
      </c>
      <c r="BZ13" s="11" t="e">
        <f>SUMIFS('ICB Core Allocation 2024-25 (2)'!S:S,'ICB Core Allocation 2024-25 (2)'!C:C,D13)</f>
        <v>#REF!</v>
      </c>
      <c r="CA13" s="58" t="e">
        <f t="shared" si="56"/>
        <v>#REF!</v>
      </c>
    </row>
    <row r="14" spans="2:79" x14ac:dyDescent="0.25">
      <c r="B14" s="13" t="s">
        <v>98</v>
      </c>
      <c r="C14" s="14" t="s">
        <v>99</v>
      </c>
      <c r="D14" s="4" t="s">
        <v>110</v>
      </c>
      <c r="E14" s="4" t="s">
        <v>111</v>
      </c>
      <c r="F14" s="11" t="e">
        <f>SUMIFS(#REF!,#REF!,$D14)</f>
        <v>#REF!</v>
      </c>
      <c r="G14" s="11" t="e">
        <f>SUMIFS(#REF!,#REF!,$D14)</f>
        <v>#REF!</v>
      </c>
      <c r="H14" s="11" t="e">
        <f>SUMIFS(#REF!,#REF!,$D14)</f>
        <v>#REF!</v>
      </c>
      <c r="I14" s="11" t="e">
        <f>SUMIFS(#REF!,#REF!,$D14)</f>
        <v>#REF!</v>
      </c>
      <c r="J14" s="11" t="e">
        <f>SUMIFS(#REF!,#REF!,$D14)</f>
        <v>#REF!</v>
      </c>
      <c r="K14" s="11" t="e">
        <f>SUMIFS(#REF!,#REF!,$D14)</f>
        <v>#REF!</v>
      </c>
      <c r="L14" s="11" t="e">
        <f t="shared" si="0"/>
        <v>#REF!</v>
      </c>
      <c r="N14" s="43" t="e">
        <f>SUMIFS(#REF!,#REF!,$D14)</f>
        <v>#REF!</v>
      </c>
      <c r="O14" s="11" t="e">
        <f t="shared" si="1"/>
        <v>#REF!</v>
      </c>
      <c r="P14" s="11" t="e">
        <f>SUMIFS(#REF!,#REF!,$D14)</f>
        <v>#REF!</v>
      </c>
      <c r="Q14" s="11" t="e">
        <f>SUMIFS(#REF!,#REF!,$D14)</f>
        <v>#REF!</v>
      </c>
      <c r="R14" s="11" t="e">
        <f t="shared" si="2"/>
        <v>#REF!</v>
      </c>
      <c r="S14" s="11" t="e">
        <f t="shared" si="3"/>
        <v>#REF!</v>
      </c>
      <c r="T14" s="43" t="e">
        <f t="shared" si="4"/>
        <v>#REF!</v>
      </c>
      <c r="U14" s="11" t="e">
        <f t="shared" si="5"/>
        <v>#REF!</v>
      </c>
      <c r="V14" s="11" t="e">
        <f t="shared" si="6"/>
        <v>#REF!</v>
      </c>
      <c r="W14" s="43" t="e">
        <f>SUMIFS(#REF!,#REF!,D14)</f>
        <v>#REF!</v>
      </c>
      <c r="X14" s="11" t="e">
        <f t="shared" si="7"/>
        <v>#REF!</v>
      </c>
      <c r="Y14" s="11" t="e">
        <f t="shared" si="8"/>
        <v>#REF!</v>
      </c>
      <c r="Z14" s="43" t="e">
        <f>SUMIFS(#REF!,#REF!,D14)</f>
        <v>#REF!</v>
      </c>
      <c r="AA14" s="11" t="e">
        <f t="shared" si="9"/>
        <v>#REF!</v>
      </c>
      <c r="AB14" s="11" t="e">
        <f t="shared" si="10"/>
        <v>#REF!</v>
      </c>
      <c r="AC14" s="11" t="e">
        <f t="shared" si="11"/>
        <v>#REF!</v>
      </c>
      <c r="AE14" s="11" t="e">
        <f t="shared" si="12"/>
        <v>#REF!</v>
      </c>
      <c r="AF14" s="11" t="e">
        <f t="shared" si="13"/>
        <v>#REF!</v>
      </c>
      <c r="AG14" s="11" t="e">
        <f t="shared" si="14"/>
        <v>#REF!</v>
      </c>
      <c r="AH14" s="11" t="e">
        <f t="shared" si="15"/>
        <v>#REF!</v>
      </c>
      <c r="AI14" s="11" t="e">
        <f t="shared" si="16"/>
        <v>#REF!</v>
      </c>
      <c r="AJ14" s="43" t="e">
        <f t="shared" si="17"/>
        <v>#REF!</v>
      </c>
      <c r="AK14" s="11" t="e">
        <f t="shared" si="18"/>
        <v>#REF!</v>
      </c>
      <c r="AL14" s="43" t="e">
        <f t="shared" si="19"/>
        <v>#REF!</v>
      </c>
      <c r="AM14" s="11" t="e">
        <f t="shared" si="20"/>
        <v>#REF!</v>
      </c>
      <c r="AN14" s="43" t="e">
        <f t="shared" si="21"/>
        <v>#REF!</v>
      </c>
      <c r="AO14" s="11" t="e">
        <f t="shared" si="22"/>
        <v>#REF!</v>
      </c>
      <c r="AP14" s="11" t="e">
        <f t="shared" si="23"/>
        <v>#REF!</v>
      </c>
      <c r="AQ14" s="43" t="e">
        <f t="shared" si="24"/>
        <v>#REF!</v>
      </c>
      <c r="AR14" s="11" t="e">
        <f t="shared" si="25"/>
        <v>#REF!</v>
      </c>
      <c r="AS14" s="79" t="e">
        <f t="shared" si="57"/>
        <v>#REF!</v>
      </c>
      <c r="AT14" s="11" t="e">
        <f t="shared" si="26"/>
        <v>#REF!</v>
      </c>
      <c r="AU14" s="11" t="e">
        <f t="shared" si="27"/>
        <v>#REF!</v>
      </c>
      <c r="AV14" s="11" t="e">
        <f t="shared" si="28"/>
        <v>#REF!</v>
      </c>
      <c r="AW14" s="11" t="e">
        <f t="shared" si="29"/>
        <v>#REF!</v>
      </c>
      <c r="AX14" s="11" t="e">
        <f t="shared" si="30"/>
        <v>#REF!</v>
      </c>
      <c r="AY14" s="11" t="e">
        <f t="shared" si="31"/>
        <v>#REF!</v>
      </c>
      <c r="AZ14" s="43" t="e">
        <f t="shared" si="32"/>
        <v>#REF!</v>
      </c>
      <c r="BA14" s="11" t="e">
        <f t="shared" si="33"/>
        <v>#REF!</v>
      </c>
      <c r="BB14" s="43" t="e">
        <f t="shared" si="34"/>
        <v>#REF!</v>
      </c>
      <c r="BC14" s="11" t="e">
        <f t="shared" si="35"/>
        <v>#REF!</v>
      </c>
      <c r="BD14" s="43" t="e">
        <f t="shared" si="36"/>
        <v>#REF!</v>
      </c>
      <c r="BE14" s="11" t="e">
        <f t="shared" si="37"/>
        <v>#REF!</v>
      </c>
      <c r="BF14" s="11" t="e">
        <f t="shared" si="38"/>
        <v>#REF!</v>
      </c>
      <c r="BG14" s="43" t="e">
        <f t="shared" si="39"/>
        <v>#REF!</v>
      </c>
      <c r="BH14" s="11" t="e">
        <f t="shared" si="40"/>
        <v>#REF!</v>
      </c>
      <c r="BJ14" s="11" t="e">
        <f t="shared" si="41"/>
        <v>#REF!</v>
      </c>
      <c r="BK14" s="11" t="e">
        <f t="shared" si="42"/>
        <v>#REF!</v>
      </c>
      <c r="BL14" s="11" t="e">
        <f t="shared" si="43"/>
        <v>#REF!</v>
      </c>
      <c r="BM14" s="11" t="e">
        <f t="shared" si="44"/>
        <v>#REF!</v>
      </c>
      <c r="BN14" s="11" t="e">
        <f t="shared" si="45"/>
        <v>#REF!</v>
      </c>
      <c r="BO14" s="11" t="e">
        <f t="shared" si="46"/>
        <v>#REF!</v>
      </c>
      <c r="BP14" s="43" t="e">
        <f t="shared" si="47"/>
        <v>#REF!</v>
      </c>
      <c r="BQ14" s="11" t="e">
        <f t="shared" si="48"/>
        <v>#REF!</v>
      </c>
      <c r="BR14" s="43" t="e">
        <f t="shared" si="49"/>
        <v>#REF!</v>
      </c>
      <c r="BS14" s="11" t="e">
        <f t="shared" si="50"/>
        <v>#REF!</v>
      </c>
      <c r="BT14" s="43" t="e">
        <f t="shared" si="51"/>
        <v>#REF!</v>
      </c>
      <c r="BU14" s="11" t="e">
        <f t="shared" si="52"/>
        <v>#REF!</v>
      </c>
      <c r="BV14" s="11" t="e">
        <f t="shared" si="53"/>
        <v>#REF!</v>
      </c>
      <c r="BW14" s="43" t="e">
        <f t="shared" si="54"/>
        <v>#REF!</v>
      </c>
      <c r="BX14" s="11" t="e">
        <f t="shared" si="55"/>
        <v>#REF!</v>
      </c>
      <c r="BZ14" s="11" t="e">
        <f>SUMIFS('ICB Core Allocation 2024-25 (2)'!S:S,'ICB Core Allocation 2024-25 (2)'!C:C,D14)</f>
        <v>#REF!</v>
      </c>
      <c r="CA14" s="58" t="e">
        <f t="shared" si="56"/>
        <v>#REF!</v>
      </c>
    </row>
    <row r="15" spans="2:79" x14ac:dyDescent="0.25">
      <c r="B15" s="13" t="s">
        <v>34</v>
      </c>
      <c r="C15" s="14" t="s">
        <v>35</v>
      </c>
      <c r="D15" s="4" t="s">
        <v>52</v>
      </c>
      <c r="E15" s="4" t="s">
        <v>53</v>
      </c>
      <c r="F15" s="11" t="e">
        <f>SUMIFS(#REF!,#REF!,$D15)</f>
        <v>#REF!</v>
      </c>
      <c r="G15" s="11" t="e">
        <f>SUMIFS(#REF!,#REF!,$D15)</f>
        <v>#REF!</v>
      </c>
      <c r="H15" s="11" t="e">
        <f>SUMIFS(#REF!,#REF!,$D15)</f>
        <v>#REF!</v>
      </c>
      <c r="I15" s="11" t="e">
        <f>SUMIFS(#REF!,#REF!,$D15)</f>
        <v>#REF!</v>
      </c>
      <c r="J15" s="11" t="e">
        <f>SUMIFS(#REF!,#REF!,$D15)</f>
        <v>#REF!</v>
      </c>
      <c r="K15" s="11" t="e">
        <f>SUMIFS(#REF!,#REF!,$D15)</f>
        <v>#REF!</v>
      </c>
      <c r="L15" s="11" t="e">
        <f t="shared" si="0"/>
        <v>#REF!</v>
      </c>
      <c r="N15" s="43" t="e">
        <f>SUMIFS(#REF!,#REF!,$D15)</f>
        <v>#REF!</v>
      </c>
      <c r="O15" s="11" t="e">
        <f t="shared" si="1"/>
        <v>#REF!</v>
      </c>
      <c r="P15" s="11" t="e">
        <f>SUMIFS(#REF!,#REF!,$D15)</f>
        <v>#REF!</v>
      </c>
      <c r="Q15" s="11" t="e">
        <f>SUMIFS(#REF!,#REF!,$D15)</f>
        <v>#REF!</v>
      </c>
      <c r="R15" s="11" t="e">
        <f t="shared" si="2"/>
        <v>#REF!</v>
      </c>
      <c r="S15" s="11" t="e">
        <f t="shared" si="3"/>
        <v>#REF!</v>
      </c>
      <c r="T15" s="43" t="e">
        <f t="shared" si="4"/>
        <v>#REF!</v>
      </c>
      <c r="U15" s="11" t="e">
        <f t="shared" si="5"/>
        <v>#REF!</v>
      </c>
      <c r="V15" s="11" t="e">
        <f t="shared" si="6"/>
        <v>#REF!</v>
      </c>
      <c r="W15" s="43" t="e">
        <f>SUMIFS(#REF!,#REF!,D15)</f>
        <v>#REF!</v>
      </c>
      <c r="X15" s="11" t="e">
        <f t="shared" si="7"/>
        <v>#REF!</v>
      </c>
      <c r="Y15" s="11" t="e">
        <f t="shared" si="8"/>
        <v>#REF!</v>
      </c>
      <c r="Z15" s="43" t="e">
        <f>SUMIFS(#REF!,#REF!,D15)</f>
        <v>#REF!</v>
      </c>
      <c r="AA15" s="11" t="e">
        <f t="shared" si="9"/>
        <v>#REF!</v>
      </c>
      <c r="AB15" s="11" t="e">
        <f t="shared" si="10"/>
        <v>#REF!</v>
      </c>
      <c r="AC15" s="11" t="e">
        <f t="shared" si="11"/>
        <v>#REF!</v>
      </c>
      <c r="AE15" s="11" t="e">
        <f t="shared" si="12"/>
        <v>#REF!</v>
      </c>
      <c r="AF15" s="11" t="e">
        <f t="shared" si="13"/>
        <v>#REF!</v>
      </c>
      <c r="AG15" s="11" t="e">
        <f t="shared" si="14"/>
        <v>#REF!</v>
      </c>
      <c r="AH15" s="11" t="e">
        <f t="shared" si="15"/>
        <v>#REF!</v>
      </c>
      <c r="AI15" s="11" t="e">
        <f t="shared" si="16"/>
        <v>#REF!</v>
      </c>
      <c r="AJ15" s="43" t="e">
        <f t="shared" si="17"/>
        <v>#REF!</v>
      </c>
      <c r="AK15" s="11" t="e">
        <f t="shared" si="18"/>
        <v>#REF!</v>
      </c>
      <c r="AL15" s="43" t="e">
        <f t="shared" si="19"/>
        <v>#REF!</v>
      </c>
      <c r="AM15" s="11" t="e">
        <f t="shared" si="20"/>
        <v>#REF!</v>
      </c>
      <c r="AN15" s="43" t="e">
        <f t="shared" si="21"/>
        <v>#REF!</v>
      </c>
      <c r="AO15" s="11" t="e">
        <f t="shared" si="22"/>
        <v>#REF!</v>
      </c>
      <c r="AP15" s="11" t="e">
        <f t="shared" si="23"/>
        <v>#REF!</v>
      </c>
      <c r="AQ15" s="43" t="e">
        <f t="shared" si="24"/>
        <v>#REF!</v>
      </c>
      <c r="AR15" s="11" t="e">
        <f t="shared" si="25"/>
        <v>#REF!</v>
      </c>
      <c r="AS15" s="79" t="e">
        <f t="shared" si="57"/>
        <v>#REF!</v>
      </c>
      <c r="AT15" s="11" t="e">
        <f t="shared" si="26"/>
        <v>#REF!</v>
      </c>
      <c r="AU15" s="11" t="e">
        <f t="shared" si="27"/>
        <v>#REF!</v>
      </c>
      <c r="AV15" s="11" t="e">
        <f t="shared" si="28"/>
        <v>#REF!</v>
      </c>
      <c r="AW15" s="11" t="e">
        <f t="shared" si="29"/>
        <v>#REF!</v>
      </c>
      <c r="AX15" s="11" t="e">
        <f t="shared" si="30"/>
        <v>#REF!</v>
      </c>
      <c r="AY15" s="11" t="e">
        <f t="shared" si="31"/>
        <v>#REF!</v>
      </c>
      <c r="AZ15" s="43" t="e">
        <f t="shared" si="32"/>
        <v>#REF!</v>
      </c>
      <c r="BA15" s="11" t="e">
        <f t="shared" si="33"/>
        <v>#REF!</v>
      </c>
      <c r="BB15" s="43" t="e">
        <f t="shared" si="34"/>
        <v>#REF!</v>
      </c>
      <c r="BC15" s="11" t="e">
        <f t="shared" si="35"/>
        <v>#REF!</v>
      </c>
      <c r="BD15" s="43" t="e">
        <f t="shared" si="36"/>
        <v>#REF!</v>
      </c>
      <c r="BE15" s="11" t="e">
        <f t="shared" si="37"/>
        <v>#REF!</v>
      </c>
      <c r="BF15" s="11" t="e">
        <f t="shared" si="38"/>
        <v>#REF!</v>
      </c>
      <c r="BG15" s="43" t="e">
        <f t="shared" si="39"/>
        <v>#REF!</v>
      </c>
      <c r="BH15" s="11" t="e">
        <f t="shared" si="40"/>
        <v>#REF!</v>
      </c>
      <c r="BJ15" s="11" t="e">
        <f t="shared" si="41"/>
        <v>#REF!</v>
      </c>
      <c r="BK15" s="11" t="e">
        <f t="shared" si="42"/>
        <v>#REF!</v>
      </c>
      <c r="BL15" s="11" t="e">
        <f t="shared" si="43"/>
        <v>#REF!</v>
      </c>
      <c r="BM15" s="11" t="e">
        <f t="shared" si="44"/>
        <v>#REF!</v>
      </c>
      <c r="BN15" s="11" t="e">
        <f t="shared" si="45"/>
        <v>#REF!</v>
      </c>
      <c r="BO15" s="11" t="e">
        <f t="shared" si="46"/>
        <v>#REF!</v>
      </c>
      <c r="BP15" s="43" t="e">
        <f t="shared" si="47"/>
        <v>#REF!</v>
      </c>
      <c r="BQ15" s="11" t="e">
        <f t="shared" si="48"/>
        <v>#REF!</v>
      </c>
      <c r="BR15" s="43" t="e">
        <f t="shared" si="49"/>
        <v>#REF!</v>
      </c>
      <c r="BS15" s="11" t="e">
        <f t="shared" si="50"/>
        <v>#REF!</v>
      </c>
      <c r="BT15" s="43" t="e">
        <f t="shared" si="51"/>
        <v>#REF!</v>
      </c>
      <c r="BU15" s="11" t="e">
        <f t="shared" si="52"/>
        <v>#REF!</v>
      </c>
      <c r="BV15" s="11" t="e">
        <f t="shared" si="53"/>
        <v>#REF!</v>
      </c>
      <c r="BW15" s="43" t="e">
        <f t="shared" si="54"/>
        <v>#REF!</v>
      </c>
      <c r="BX15" s="11" t="e">
        <f t="shared" si="55"/>
        <v>#REF!</v>
      </c>
      <c r="BZ15" s="11" t="e">
        <f>SUMIFS('ICB Core Allocation 2024-25 (2)'!S:S,'ICB Core Allocation 2024-25 (2)'!C:C,D15)</f>
        <v>#REF!</v>
      </c>
      <c r="CA15" s="58" t="e">
        <f t="shared" si="56"/>
        <v>#REF!</v>
      </c>
    </row>
    <row r="16" spans="2:79" x14ac:dyDescent="0.25">
      <c r="B16" s="13" t="s">
        <v>72</v>
      </c>
      <c r="C16" s="14" t="s">
        <v>73</v>
      </c>
      <c r="D16" s="4" t="s">
        <v>76</v>
      </c>
      <c r="E16" s="4" t="s">
        <v>77</v>
      </c>
      <c r="F16" s="11" t="e">
        <f>SUMIFS(#REF!,#REF!,$D16)</f>
        <v>#REF!</v>
      </c>
      <c r="G16" s="11" t="e">
        <f>SUMIFS(#REF!,#REF!,$D16)</f>
        <v>#REF!</v>
      </c>
      <c r="H16" s="11" t="e">
        <f>SUMIFS(#REF!,#REF!,$D16)</f>
        <v>#REF!</v>
      </c>
      <c r="I16" s="11" t="e">
        <f>SUMIFS(#REF!,#REF!,$D16)</f>
        <v>#REF!</v>
      </c>
      <c r="J16" s="11" t="e">
        <f>SUMIFS(#REF!,#REF!,$D16)</f>
        <v>#REF!</v>
      </c>
      <c r="K16" s="11" t="e">
        <f>SUMIFS(#REF!,#REF!,$D16)</f>
        <v>#REF!</v>
      </c>
      <c r="L16" s="11" t="e">
        <f t="shared" si="0"/>
        <v>#REF!</v>
      </c>
      <c r="N16" s="43" t="e">
        <f>SUMIFS(#REF!,#REF!,$D16)</f>
        <v>#REF!</v>
      </c>
      <c r="O16" s="11" t="e">
        <f t="shared" si="1"/>
        <v>#REF!</v>
      </c>
      <c r="P16" s="11" t="e">
        <f>SUMIFS(#REF!,#REF!,$D16)</f>
        <v>#REF!</v>
      </c>
      <c r="Q16" s="11" t="e">
        <f>SUMIFS(#REF!,#REF!,$D16)</f>
        <v>#REF!</v>
      </c>
      <c r="R16" s="11" t="e">
        <f t="shared" si="2"/>
        <v>#REF!</v>
      </c>
      <c r="S16" s="11" t="e">
        <f t="shared" si="3"/>
        <v>#REF!</v>
      </c>
      <c r="T16" s="43" t="e">
        <f t="shared" si="4"/>
        <v>#REF!</v>
      </c>
      <c r="U16" s="11" t="e">
        <f t="shared" si="5"/>
        <v>#REF!</v>
      </c>
      <c r="V16" s="11" t="e">
        <f t="shared" si="6"/>
        <v>#REF!</v>
      </c>
      <c r="W16" s="43" t="e">
        <f>SUMIFS(#REF!,#REF!,D16)</f>
        <v>#REF!</v>
      </c>
      <c r="X16" s="11" t="e">
        <f t="shared" si="7"/>
        <v>#REF!</v>
      </c>
      <c r="Y16" s="11" t="e">
        <f t="shared" si="8"/>
        <v>#REF!</v>
      </c>
      <c r="Z16" s="43" t="e">
        <f>SUMIFS(#REF!,#REF!,D16)</f>
        <v>#REF!</v>
      </c>
      <c r="AA16" s="11" t="e">
        <f t="shared" si="9"/>
        <v>#REF!</v>
      </c>
      <c r="AB16" s="11" t="e">
        <f t="shared" si="10"/>
        <v>#REF!</v>
      </c>
      <c r="AC16" s="11" t="e">
        <f t="shared" si="11"/>
        <v>#REF!</v>
      </c>
      <c r="AE16" s="11" t="e">
        <f t="shared" si="12"/>
        <v>#REF!</v>
      </c>
      <c r="AF16" s="11" t="e">
        <f t="shared" si="13"/>
        <v>#REF!</v>
      </c>
      <c r="AG16" s="11" t="e">
        <f t="shared" si="14"/>
        <v>#REF!</v>
      </c>
      <c r="AH16" s="11" t="e">
        <f t="shared" si="15"/>
        <v>#REF!</v>
      </c>
      <c r="AI16" s="11" t="e">
        <f t="shared" si="16"/>
        <v>#REF!</v>
      </c>
      <c r="AJ16" s="43" t="e">
        <f t="shared" si="17"/>
        <v>#REF!</v>
      </c>
      <c r="AK16" s="11" t="e">
        <f t="shared" si="18"/>
        <v>#REF!</v>
      </c>
      <c r="AL16" s="43" t="e">
        <f t="shared" si="19"/>
        <v>#REF!</v>
      </c>
      <c r="AM16" s="11" t="e">
        <f t="shared" si="20"/>
        <v>#REF!</v>
      </c>
      <c r="AN16" s="43" t="e">
        <f t="shared" si="21"/>
        <v>#REF!</v>
      </c>
      <c r="AO16" s="11" t="e">
        <f t="shared" si="22"/>
        <v>#REF!</v>
      </c>
      <c r="AP16" s="11" t="e">
        <f t="shared" si="23"/>
        <v>#REF!</v>
      </c>
      <c r="AQ16" s="43" t="e">
        <f t="shared" si="24"/>
        <v>#REF!</v>
      </c>
      <c r="AR16" s="11" t="e">
        <f t="shared" si="25"/>
        <v>#REF!</v>
      </c>
      <c r="AS16" s="79" t="e">
        <f t="shared" si="57"/>
        <v>#REF!</v>
      </c>
      <c r="AT16" s="11" t="e">
        <f t="shared" si="26"/>
        <v>#REF!</v>
      </c>
      <c r="AU16" s="11" t="e">
        <f t="shared" si="27"/>
        <v>#REF!</v>
      </c>
      <c r="AV16" s="11" t="e">
        <f t="shared" si="28"/>
        <v>#REF!</v>
      </c>
      <c r="AW16" s="11" t="e">
        <f t="shared" si="29"/>
        <v>#REF!</v>
      </c>
      <c r="AX16" s="11" t="e">
        <f t="shared" si="30"/>
        <v>#REF!</v>
      </c>
      <c r="AY16" s="11" t="e">
        <f t="shared" si="31"/>
        <v>#REF!</v>
      </c>
      <c r="AZ16" s="43" t="e">
        <f t="shared" si="32"/>
        <v>#REF!</v>
      </c>
      <c r="BA16" s="11" t="e">
        <f t="shared" si="33"/>
        <v>#REF!</v>
      </c>
      <c r="BB16" s="43" t="e">
        <f t="shared" si="34"/>
        <v>#REF!</v>
      </c>
      <c r="BC16" s="11" t="e">
        <f t="shared" si="35"/>
        <v>#REF!</v>
      </c>
      <c r="BD16" s="43" t="e">
        <f t="shared" si="36"/>
        <v>#REF!</v>
      </c>
      <c r="BE16" s="11" t="e">
        <f t="shared" si="37"/>
        <v>#REF!</v>
      </c>
      <c r="BF16" s="11" t="e">
        <f t="shared" si="38"/>
        <v>#REF!</v>
      </c>
      <c r="BG16" s="43" t="e">
        <f t="shared" si="39"/>
        <v>#REF!</v>
      </c>
      <c r="BH16" s="11" t="e">
        <f t="shared" si="40"/>
        <v>#REF!</v>
      </c>
      <c r="BJ16" s="11" t="e">
        <f t="shared" si="41"/>
        <v>#REF!</v>
      </c>
      <c r="BK16" s="11" t="e">
        <f t="shared" si="42"/>
        <v>#REF!</v>
      </c>
      <c r="BL16" s="11" t="e">
        <f t="shared" si="43"/>
        <v>#REF!</v>
      </c>
      <c r="BM16" s="11" t="e">
        <f t="shared" si="44"/>
        <v>#REF!</v>
      </c>
      <c r="BN16" s="11" t="e">
        <f t="shared" si="45"/>
        <v>#REF!</v>
      </c>
      <c r="BO16" s="11" t="e">
        <f t="shared" si="46"/>
        <v>#REF!</v>
      </c>
      <c r="BP16" s="43" t="e">
        <f t="shared" si="47"/>
        <v>#REF!</v>
      </c>
      <c r="BQ16" s="11" t="e">
        <f t="shared" si="48"/>
        <v>#REF!</v>
      </c>
      <c r="BR16" s="43" t="e">
        <f t="shared" si="49"/>
        <v>#REF!</v>
      </c>
      <c r="BS16" s="11" t="e">
        <f t="shared" si="50"/>
        <v>#REF!</v>
      </c>
      <c r="BT16" s="43" t="e">
        <f t="shared" si="51"/>
        <v>#REF!</v>
      </c>
      <c r="BU16" s="11" t="e">
        <f t="shared" si="52"/>
        <v>#REF!</v>
      </c>
      <c r="BV16" s="11" t="e">
        <f t="shared" si="53"/>
        <v>#REF!</v>
      </c>
      <c r="BW16" s="43" t="e">
        <f t="shared" si="54"/>
        <v>#REF!</v>
      </c>
      <c r="BX16" s="11" t="e">
        <f t="shared" si="55"/>
        <v>#REF!</v>
      </c>
      <c r="BZ16" s="11" t="e">
        <f>SUMIFS('ICB Core Allocation 2024-25 (2)'!S:S,'ICB Core Allocation 2024-25 (2)'!C:C,D16)</f>
        <v>#REF!</v>
      </c>
      <c r="CA16" s="58" t="e">
        <f t="shared" si="56"/>
        <v>#REF!</v>
      </c>
    </row>
    <row r="17" spans="2:79" x14ac:dyDescent="0.25">
      <c r="B17" s="10" t="s">
        <v>17</v>
      </c>
      <c r="C17" s="4" t="s">
        <v>18</v>
      </c>
      <c r="D17" s="4" t="s">
        <v>19</v>
      </c>
      <c r="E17" s="4" t="s">
        <v>20</v>
      </c>
      <c r="F17" s="11" t="e">
        <f>SUMIFS(#REF!,#REF!,$D17)</f>
        <v>#REF!</v>
      </c>
      <c r="G17" s="11" t="e">
        <f>SUMIFS(#REF!,#REF!,$D17)</f>
        <v>#REF!</v>
      </c>
      <c r="H17" s="11" t="e">
        <f>SUMIFS(#REF!,#REF!,$D17)</f>
        <v>#REF!</v>
      </c>
      <c r="I17" s="11" t="e">
        <f>SUMIFS(#REF!,#REF!,$D17)</f>
        <v>#REF!</v>
      </c>
      <c r="J17" s="11" t="e">
        <f>SUMIFS(#REF!,#REF!,$D17)</f>
        <v>#REF!</v>
      </c>
      <c r="K17" s="11" t="e">
        <f>SUMIFS(#REF!,#REF!,$D17)</f>
        <v>#REF!</v>
      </c>
      <c r="L17" s="11" t="e">
        <f t="shared" si="0"/>
        <v>#REF!</v>
      </c>
      <c r="N17" s="43" t="e">
        <f>SUMIFS(#REF!,#REF!,$D17)</f>
        <v>#REF!</v>
      </c>
      <c r="O17" s="11" t="e">
        <f t="shared" si="1"/>
        <v>#REF!</v>
      </c>
      <c r="P17" s="11" t="e">
        <f>SUMIFS(#REF!,#REF!,$D17)</f>
        <v>#REF!</v>
      </c>
      <c r="Q17" s="11" t="e">
        <f>SUMIFS(#REF!,#REF!,$D17)</f>
        <v>#REF!</v>
      </c>
      <c r="R17" s="11" t="e">
        <f t="shared" si="2"/>
        <v>#REF!</v>
      </c>
      <c r="S17" s="11" t="e">
        <f t="shared" si="3"/>
        <v>#REF!</v>
      </c>
      <c r="T17" s="43" t="e">
        <f t="shared" si="4"/>
        <v>#REF!</v>
      </c>
      <c r="U17" s="11" t="e">
        <f t="shared" si="5"/>
        <v>#REF!</v>
      </c>
      <c r="V17" s="11" t="e">
        <f t="shared" si="6"/>
        <v>#REF!</v>
      </c>
      <c r="W17" s="43" t="e">
        <f>SUMIFS(#REF!,#REF!,D17)</f>
        <v>#REF!</v>
      </c>
      <c r="X17" s="11" t="e">
        <f t="shared" si="7"/>
        <v>#REF!</v>
      </c>
      <c r="Y17" s="11" t="e">
        <f t="shared" si="8"/>
        <v>#REF!</v>
      </c>
      <c r="Z17" s="43" t="e">
        <f>SUMIFS(#REF!,#REF!,D17)</f>
        <v>#REF!</v>
      </c>
      <c r="AA17" s="11" t="e">
        <f t="shared" si="9"/>
        <v>#REF!</v>
      </c>
      <c r="AB17" s="11" t="e">
        <f t="shared" si="10"/>
        <v>#REF!</v>
      </c>
      <c r="AC17" s="11" t="e">
        <f t="shared" si="11"/>
        <v>#REF!</v>
      </c>
      <c r="AE17" s="11" t="e">
        <f t="shared" si="12"/>
        <v>#REF!</v>
      </c>
      <c r="AF17" s="11" t="e">
        <f t="shared" si="13"/>
        <v>#REF!</v>
      </c>
      <c r="AG17" s="11" t="e">
        <f t="shared" si="14"/>
        <v>#REF!</v>
      </c>
      <c r="AH17" s="11" t="e">
        <f t="shared" si="15"/>
        <v>#REF!</v>
      </c>
      <c r="AI17" s="11" t="e">
        <f t="shared" si="16"/>
        <v>#REF!</v>
      </c>
      <c r="AJ17" s="43" t="e">
        <f t="shared" si="17"/>
        <v>#REF!</v>
      </c>
      <c r="AK17" s="11" t="e">
        <f t="shared" si="18"/>
        <v>#REF!</v>
      </c>
      <c r="AL17" s="43" t="e">
        <f t="shared" si="19"/>
        <v>#REF!</v>
      </c>
      <c r="AM17" s="11" t="e">
        <f t="shared" si="20"/>
        <v>#REF!</v>
      </c>
      <c r="AN17" s="43" t="e">
        <f t="shared" si="21"/>
        <v>#REF!</v>
      </c>
      <c r="AO17" s="11" t="e">
        <f t="shared" si="22"/>
        <v>#REF!</v>
      </c>
      <c r="AP17" s="11" t="e">
        <f t="shared" si="23"/>
        <v>#REF!</v>
      </c>
      <c r="AQ17" s="43" t="e">
        <f t="shared" si="24"/>
        <v>#REF!</v>
      </c>
      <c r="AR17" s="11" t="e">
        <f t="shared" si="25"/>
        <v>#REF!</v>
      </c>
      <c r="AS17" s="79" t="e">
        <f t="shared" si="57"/>
        <v>#REF!</v>
      </c>
      <c r="AT17" s="11" t="e">
        <f t="shared" si="26"/>
        <v>#REF!</v>
      </c>
      <c r="AU17" s="11" t="e">
        <f t="shared" si="27"/>
        <v>#REF!</v>
      </c>
      <c r="AV17" s="11" t="e">
        <f t="shared" si="28"/>
        <v>#REF!</v>
      </c>
      <c r="AW17" s="11" t="e">
        <f t="shared" si="29"/>
        <v>#REF!</v>
      </c>
      <c r="AX17" s="11" t="e">
        <f t="shared" si="30"/>
        <v>#REF!</v>
      </c>
      <c r="AY17" s="11" t="e">
        <f t="shared" si="31"/>
        <v>#REF!</v>
      </c>
      <c r="AZ17" s="43" t="e">
        <f t="shared" si="32"/>
        <v>#REF!</v>
      </c>
      <c r="BA17" s="11" t="e">
        <f t="shared" si="33"/>
        <v>#REF!</v>
      </c>
      <c r="BB17" s="43" t="e">
        <f t="shared" si="34"/>
        <v>#REF!</v>
      </c>
      <c r="BC17" s="11" t="e">
        <f t="shared" si="35"/>
        <v>#REF!</v>
      </c>
      <c r="BD17" s="43" t="e">
        <f t="shared" si="36"/>
        <v>#REF!</v>
      </c>
      <c r="BE17" s="11" t="e">
        <f t="shared" si="37"/>
        <v>#REF!</v>
      </c>
      <c r="BF17" s="11" t="e">
        <f t="shared" si="38"/>
        <v>#REF!</v>
      </c>
      <c r="BG17" s="43" t="e">
        <f t="shared" si="39"/>
        <v>#REF!</v>
      </c>
      <c r="BH17" s="11" t="e">
        <f t="shared" si="40"/>
        <v>#REF!</v>
      </c>
      <c r="BJ17" s="11" t="e">
        <f t="shared" si="41"/>
        <v>#REF!</v>
      </c>
      <c r="BK17" s="11" t="e">
        <f t="shared" si="42"/>
        <v>#REF!</v>
      </c>
      <c r="BL17" s="11" t="e">
        <f t="shared" si="43"/>
        <v>#REF!</v>
      </c>
      <c r="BM17" s="11" t="e">
        <f t="shared" si="44"/>
        <v>#REF!</v>
      </c>
      <c r="BN17" s="11" t="e">
        <f t="shared" si="45"/>
        <v>#REF!</v>
      </c>
      <c r="BO17" s="11" t="e">
        <f t="shared" si="46"/>
        <v>#REF!</v>
      </c>
      <c r="BP17" s="43" t="e">
        <f t="shared" si="47"/>
        <v>#REF!</v>
      </c>
      <c r="BQ17" s="11" t="e">
        <f t="shared" si="48"/>
        <v>#REF!</v>
      </c>
      <c r="BR17" s="43" t="e">
        <f t="shared" si="49"/>
        <v>#REF!</v>
      </c>
      <c r="BS17" s="11" t="e">
        <f t="shared" si="50"/>
        <v>#REF!</v>
      </c>
      <c r="BT17" s="43" t="e">
        <f t="shared" si="51"/>
        <v>#REF!</v>
      </c>
      <c r="BU17" s="11" t="e">
        <f t="shared" si="52"/>
        <v>#REF!</v>
      </c>
      <c r="BV17" s="11" t="e">
        <f t="shared" si="53"/>
        <v>#REF!</v>
      </c>
      <c r="BW17" s="43" t="e">
        <f t="shared" si="54"/>
        <v>#REF!</v>
      </c>
      <c r="BX17" s="11" t="e">
        <f t="shared" si="55"/>
        <v>#REF!</v>
      </c>
      <c r="BZ17" s="11" t="e">
        <f>SUMIFS('ICB Core Allocation 2024-25 (2)'!S:S,'ICB Core Allocation 2024-25 (2)'!C:C,D17)</f>
        <v>#REF!</v>
      </c>
      <c r="CA17" s="58" t="e">
        <f t="shared" si="56"/>
        <v>#REF!</v>
      </c>
    </row>
    <row r="18" spans="2:79" x14ac:dyDescent="0.25">
      <c r="B18" s="13" t="s">
        <v>17</v>
      </c>
      <c r="C18" s="14" t="s">
        <v>18</v>
      </c>
      <c r="D18" s="4" t="s">
        <v>25</v>
      </c>
      <c r="E18" s="4" t="s">
        <v>26</v>
      </c>
      <c r="F18" s="11" t="e">
        <f>SUMIFS(#REF!,#REF!,$D18)</f>
        <v>#REF!</v>
      </c>
      <c r="G18" s="11" t="e">
        <f>SUMIFS(#REF!,#REF!,$D18)</f>
        <v>#REF!</v>
      </c>
      <c r="H18" s="11" t="e">
        <f>SUMIFS(#REF!,#REF!,$D18)</f>
        <v>#REF!</v>
      </c>
      <c r="I18" s="11" t="e">
        <f>SUMIFS(#REF!,#REF!,$D18)</f>
        <v>#REF!</v>
      </c>
      <c r="J18" s="11" t="e">
        <f>SUMIFS(#REF!,#REF!,$D18)</f>
        <v>#REF!</v>
      </c>
      <c r="K18" s="11" t="e">
        <f>SUMIFS(#REF!,#REF!,$D18)</f>
        <v>#REF!</v>
      </c>
      <c r="L18" s="11" t="e">
        <f t="shared" si="0"/>
        <v>#REF!</v>
      </c>
      <c r="N18" s="43" t="e">
        <f>SUMIFS(#REF!,#REF!,$D18)</f>
        <v>#REF!</v>
      </c>
      <c r="O18" s="11" t="e">
        <f t="shared" si="1"/>
        <v>#REF!</v>
      </c>
      <c r="P18" s="11" t="e">
        <f>SUMIFS(#REF!,#REF!,$D18)</f>
        <v>#REF!</v>
      </c>
      <c r="Q18" s="11" t="e">
        <f>SUMIFS(#REF!,#REF!,$D18)</f>
        <v>#REF!</v>
      </c>
      <c r="R18" s="11" t="e">
        <f t="shared" si="2"/>
        <v>#REF!</v>
      </c>
      <c r="S18" s="11" t="e">
        <f t="shared" si="3"/>
        <v>#REF!</v>
      </c>
      <c r="T18" s="43" t="e">
        <f t="shared" si="4"/>
        <v>#REF!</v>
      </c>
      <c r="U18" s="11" t="e">
        <f t="shared" si="5"/>
        <v>#REF!</v>
      </c>
      <c r="V18" s="11" t="e">
        <f t="shared" si="6"/>
        <v>#REF!</v>
      </c>
      <c r="W18" s="43" t="e">
        <f>SUMIFS(#REF!,#REF!,D18)</f>
        <v>#REF!</v>
      </c>
      <c r="X18" s="11" t="e">
        <f t="shared" si="7"/>
        <v>#REF!</v>
      </c>
      <c r="Y18" s="11" t="e">
        <f t="shared" si="8"/>
        <v>#REF!</v>
      </c>
      <c r="Z18" s="43" t="e">
        <f>SUMIFS(#REF!,#REF!,D18)</f>
        <v>#REF!</v>
      </c>
      <c r="AA18" s="11" t="e">
        <f t="shared" si="9"/>
        <v>#REF!</v>
      </c>
      <c r="AB18" s="11" t="e">
        <f t="shared" si="10"/>
        <v>#REF!</v>
      </c>
      <c r="AC18" s="11" t="e">
        <f t="shared" si="11"/>
        <v>#REF!</v>
      </c>
      <c r="AE18" s="11" t="e">
        <f t="shared" si="12"/>
        <v>#REF!</v>
      </c>
      <c r="AF18" s="11" t="e">
        <f t="shared" si="13"/>
        <v>#REF!</v>
      </c>
      <c r="AG18" s="11" t="e">
        <f t="shared" si="14"/>
        <v>#REF!</v>
      </c>
      <c r="AH18" s="11" t="e">
        <f t="shared" si="15"/>
        <v>#REF!</v>
      </c>
      <c r="AI18" s="11" t="e">
        <f t="shared" si="16"/>
        <v>#REF!</v>
      </c>
      <c r="AJ18" s="43" t="e">
        <f t="shared" si="17"/>
        <v>#REF!</v>
      </c>
      <c r="AK18" s="11" t="e">
        <f t="shared" si="18"/>
        <v>#REF!</v>
      </c>
      <c r="AL18" s="43" t="e">
        <f t="shared" si="19"/>
        <v>#REF!</v>
      </c>
      <c r="AM18" s="11" t="e">
        <f t="shared" si="20"/>
        <v>#REF!</v>
      </c>
      <c r="AN18" s="43" t="e">
        <f t="shared" si="21"/>
        <v>#REF!</v>
      </c>
      <c r="AO18" s="11" t="e">
        <f t="shared" si="22"/>
        <v>#REF!</v>
      </c>
      <c r="AP18" s="11" t="e">
        <f t="shared" si="23"/>
        <v>#REF!</v>
      </c>
      <c r="AQ18" s="43" t="e">
        <f t="shared" si="24"/>
        <v>#REF!</v>
      </c>
      <c r="AR18" s="11" t="e">
        <f t="shared" si="25"/>
        <v>#REF!</v>
      </c>
      <c r="AS18" s="79" t="e">
        <f>AR18/AP18</f>
        <v>#REF!</v>
      </c>
      <c r="AT18" s="11" t="e">
        <f t="shared" si="26"/>
        <v>#REF!</v>
      </c>
      <c r="AU18" s="11" t="e">
        <f t="shared" si="27"/>
        <v>#REF!</v>
      </c>
      <c r="AV18" s="11" t="e">
        <f t="shared" si="28"/>
        <v>#REF!</v>
      </c>
      <c r="AW18" s="11" t="e">
        <f t="shared" si="29"/>
        <v>#REF!</v>
      </c>
      <c r="AX18" s="11" t="e">
        <f t="shared" si="30"/>
        <v>#REF!</v>
      </c>
      <c r="AY18" s="11" t="e">
        <f t="shared" si="31"/>
        <v>#REF!</v>
      </c>
      <c r="AZ18" s="43" t="e">
        <f t="shared" si="32"/>
        <v>#REF!</v>
      </c>
      <c r="BA18" s="11" t="e">
        <f t="shared" si="33"/>
        <v>#REF!</v>
      </c>
      <c r="BB18" s="43" t="e">
        <f t="shared" si="34"/>
        <v>#REF!</v>
      </c>
      <c r="BC18" s="11" t="e">
        <f t="shared" si="35"/>
        <v>#REF!</v>
      </c>
      <c r="BD18" s="43" t="e">
        <f t="shared" si="36"/>
        <v>#REF!</v>
      </c>
      <c r="BE18" s="11" t="e">
        <f t="shared" si="37"/>
        <v>#REF!</v>
      </c>
      <c r="BF18" s="11" t="e">
        <f t="shared" si="38"/>
        <v>#REF!</v>
      </c>
      <c r="BG18" s="43" t="e">
        <f t="shared" si="39"/>
        <v>#REF!</v>
      </c>
      <c r="BH18" s="11" t="e">
        <f t="shared" si="40"/>
        <v>#REF!</v>
      </c>
      <c r="BJ18" s="11" t="e">
        <f t="shared" si="41"/>
        <v>#REF!</v>
      </c>
      <c r="BK18" s="11" t="e">
        <f t="shared" si="42"/>
        <v>#REF!</v>
      </c>
      <c r="BL18" s="11" t="e">
        <f t="shared" si="43"/>
        <v>#REF!</v>
      </c>
      <c r="BM18" s="11" t="e">
        <f t="shared" si="44"/>
        <v>#REF!</v>
      </c>
      <c r="BN18" s="11" t="e">
        <f t="shared" si="45"/>
        <v>#REF!</v>
      </c>
      <c r="BO18" s="11" t="e">
        <f t="shared" si="46"/>
        <v>#REF!</v>
      </c>
      <c r="BP18" s="43" t="e">
        <f t="shared" si="47"/>
        <v>#REF!</v>
      </c>
      <c r="BQ18" s="11" t="e">
        <f t="shared" si="48"/>
        <v>#REF!</v>
      </c>
      <c r="BR18" s="43" t="e">
        <f t="shared" si="49"/>
        <v>#REF!</v>
      </c>
      <c r="BS18" s="11" t="e">
        <f t="shared" si="50"/>
        <v>#REF!</v>
      </c>
      <c r="BT18" s="43" t="e">
        <f t="shared" si="51"/>
        <v>#REF!</v>
      </c>
      <c r="BU18" s="11" t="e">
        <f t="shared" si="52"/>
        <v>#REF!</v>
      </c>
      <c r="BV18" s="11" t="e">
        <f t="shared" si="53"/>
        <v>#REF!</v>
      </c>
      <c r="BW18" s="43" t="e">
        <f t="shared" si="54"/>
        <v>#REF!</v>
      </c>
      <c r="BX18" s="11" t="e">
        <f t="shared" si="55"/>
        <v>#REF!</v>
      </c>
      <c r="BZ18" s="11" t="e">
        <f>SUMIFS('ICB Core Allocation 2024-25 (2)'!S:S,'ICB Core Allocation 2024-25 (2)'!C:C,D18)</f>
        <v>#REF!</v>
      </c>
      <c r="CA18" s="58" t="e">
        <f t="shared" si="56"/>
        <v>#REF!</v>
      </c>
    </row>
    <row r="19" spans="2:79" x14ac:dyDescent="0.25">
      <c r="B19" s="13" t="s">
        <v>58</v>
      </c>
      <c r="C19" s="14" t="s">
        <v>59</v>
      </c>
      <c r="D19" s="4" t="s">
        <v>68</v>
      </c>
      <c r="E19" s="4" t="s">
        <v>69</v>
      </c>
      <c r="F19" s="11" t="e">
        <f>SUMIFS(#REF!,#REF!,$D19)</f>
        <v>#REF!</v>
      </c>
      <c r="G19" s="11" t="e">
        <f>SUMIFS(#REF!,#REF!,$D19)</f>
        <v>#REF!</v>
      </c>
      <c r="H19" s="11" t="e">
        <f>SUMIFS(#REF!,#REF!,$D19)</f>
        <v>#REF!</v>
      </c>
      <c r="I19" s="11" t="e">
        <f>SUMIFS(#REF!,#REF!,$D19)</f>
        <v>#REF!</v>
      </c>
      <c r="J19" s="11" t="e">
        <f>SUMIFS(#REF!,#REF!,$D19)</f>
        <v>#REF!</v>
      </c>
      <c r="K19" s="11" t="e">
        <f>SUMIFS(#REF!,#REF!,$D19)</f>
        <v>#REF!</v>
      </c>
      <c r="L19" s="11" t="e">
        <f t="shared" si="0"/>
        <v>#REF!</v>
      </c>
      <c r="N19" s="43" t="e">
        <f>SUMIFS(#REF!,#REF!,$D19)</f>
        <v>#REF!</v>
      </c>
      <c r="O19" s="11" t="e">
        <f t="shared" si="1"/>
        <v>#REF!</v>
      </c>
      <c r="P19" s="11" t="e">
        <f>SUMIFS(#REF!,#REF!,$D19)</f>
        <v>#REF!</v>
      </c>
      <c r="Q19" s="11" t="e">
        <f>SUMIFS(#REF!,#REF!,$D19)</f>
        <v>#REF!</v>
      </c>
      <c r="R19" s="11" t="e">
        <f t="shared" si="2"/>
        <v>#REF!</v>
      </c>
      <c r="S19" s="11" t="e">
        <f t="shared" si="3"/>
        <v>#REF!</v>
      </c>
      <c r="T19" s="43" t="e">
        <f t="shared" si="4"/>
        <v>#REF!</v>
      </c>
      <c r="U19" s="11" t="e">
        <f t="shared" si="5"/>
        <v>#REF!</v>
      </c>
      <c r="V19" s="11" t="e">
        <f t="shared" si="6"/>
        <v>#REF!</v>
      </c>
      <c r="W19" s="43" t="e">
        <f>SUMIFS(#REF!,#REF!,D19)</f>
        <v>#REF!</v>
      </c>
      <c r="X19" s="11" t="e">
        <f t="shared" si="7"/>
        <v>#REF!</v>
      </c>
      <c r="Y19" s="11" t="e">
        <f t="shared" si="8"/>
        <v>#REF!</v>
      </c>
      <c r="Z19" s="43" t="e">
        <f>SUMIFS(#REF!,#REF!,D19)</f>
        <v>#REF!</v>
      </c>
      <c r="AA19" s="11" t="e">
        <f t="shared" si="9"/>
        <v>#REF!</v>
      </c>
      <c r="AB19" s="11" t="e">
        <f t="shared" si="10"/>
        <v>#REF!</v>
      </c>
      <c r="AC19" s="11" t="e">
        <f t="shared" si="11"/>
        <v>#REF!</v>
      </c>
      <c r="AE19" s="11" t="e">
        <f t="shared" si="12"/>
        <v>#REF!</v>
      </c>
      <c r="AF19" s="11" t="e">
        <f t="shared" si="13"/>
        <v>#REF!</v>
      </c>
      <c r="AG19" s="11" t="e">
        <f t="shared" si="14"/>
        <v>#REF!</v>
      </c>
      <c r="AH19" s="11" t="e">
        <f t="shared" si="15"/>
        <v>#REF!</v>
      </c>
      <c r="AI19" s="11" t="e">
        <f t="shared" si="16"/>
        <v>#REF!</v>
      </c>
      <c r="AJ19" s="43" t="e">
        <f t="shared" si="17"/>
        <v>#REF!</v>
      </c>
      <c r="AK19" s="11" t="e">
        <f t="shared" si="18"/>
        <v>#REF!</v>
      </c>
      <c r="AL19" s="43" t="e">
        <f t="shared" si="19"/>
        <v>#REF!</v>
      </c>
      <c r="AM19" s="11" t="e">
        <f t="shared" si="20"/>
        <v>#REF!</v>
      </c>
      <c r="AN19" s="43" t="e">
        <f t="shared" si="21"/>
        <v>#REF!</v>
      </c>
      <c r="AO19" s="11" t="e">
        <f t="shared" si="22"/>
        <v>#REF!</v>
      </c>
      <c r="AP19" s="11" t="e">
        <f t="shared" si="23"/>
        <v>#REF!</v>
      </c>
      <c r="AQ19" s="43" t="e">
        <f t="shared" si="24"/>
        <v>#REF!</v>
      </c>
      <c r="AR19" s="11" t="e">
        <f t="shared" si="25"/>
        <v>#REF!</v>
      </c>
      <c r="AT19" s="11" t="e">
        <f t="shared" si="26"/>
        <v>#REF!</v>
      </c>
      <c r="AU19" s="11" t="e">
        <f t="shared" si="27"/>
        <v>#REF!</v>
      </c>
      <c r="AV19" s="11" t="e">
        <f t="shared" si="28"/>
        <v>#REF!</v>
      </c>
      <c r="AW19" s="11" t="e">
        <f t="shared" si="29"/>
        <v>#REF!</v>
      </c>
      <c r="AX19" s="11" t="e">
        <f t="shared" si="30"/>
        <v>#REF!</v>
      </c>
      <c r="AY19" s="11" t="e">
        <f t="shared" si="31"/>
        <v>#REF!</v>
      </c>
      <c r="AZ19" s="43" t="e">
        <f t="shared" si="32"/>
        <v>#REF!</v>
      </c>
      <c r="BA19" s="11" t="e">
        <f t="shared" si="33"/>
        <v>#REF!</v>
      </c>
      <c r="BB19" s="43" t="e">
        <f t="shared" si="34"/>
        <v>#REF!</v>
      </c>
      <c r="BC19" s="11" t="e">
        <f t="shared" si="35"/>
        <v>#REF!</v>
      </c>
      <c r="BD19" s="43" t="e">
        <f t="shared" si="36"/>
        <v>#REF!</v>
      </c>
      <c r="BE19" s="11" t="e">
        <f t="shared" si="37"/>
        <v>#REF!</v>
      </c>
      <c r="BF19" s="11" t="e">
        <f t="shared" si="38"/>
        <v>#REF!</v>
      </c>
      <c r="BG19" s="43" t="e">
        <f t="shared" si="39"/>
        <v>#REF!</v>
      </c>
      <c r="BH19" s="11" t="e">
        <f t="shared" si="40"/>
        <v>#REF!</v>
      </c>
      <c r="BJ19" s="11" t="e">
        <f t="shared" si="41"/>
        <v>#REF!</v>
      </c>
      <c r="BK19" s="11" t="e">
        <f t="shared" si="42"/>
        <v>#REF!</v>
      </c>
      <c r="BL19" s="11" t="e">
        <f t="shared" si="43"/>
        <v>#REF!</v>
      </c>
      <c r="BM19" s="11" t="e">
        <f t="shared" si="44"/>
        <v>#REF!</v>
      </c>
      <c r="BN19" s="11" t="e">
        <f t="shared" si="45"/>
        <v>#REF!</v>
      </c>
      <c r="BO19" s="11" t="e">
        <f t="shared" si="46"/>
        <v>#REF!</v>
      </c>
      <c r="BP19" s="43" t="e">
        <f t="shared" si="47"/>
        <v>#REF!</v>
      </c>
      <c r="BQ19" s="11" t="e">
        <f t="shared" si="48"/>
        <v>#REF!</v>
      </c>
      <c r="BR19" s="43" t="e">
        <f t="shared" si="49"/>
        <v>#REF!</v>
      </c>
      <c r="BS19" s="11" t="e">
        <f t="shared" si="50"/>
        <v>#REF!</v>
      </c>
      <c r="BT19" s="43" t="e">
        <f t="shared" si="51"/>
        <v>#REF!</v>
      </c>
      <c r="BU19" s="11" t="e">
        <f t="shared" si="52"/>
        <v>#REF!</v>
      </c>
      <c r="BV19" s="11" t="e">
        <f t="shared" si="53"/>
        <v>#REF!</v>
      </c>
      <c r="BW19" s="43" t="e">
        <f t="shared" si="54"/>
        <v>#REF!</v>
      </c>
      <c r="BX19" s="11" t="e">
        <f t="shared" si="55"/>
        <v>#REF!</v>
      </c>
      <c r="BZ19" s="11" t="e">
        <f>SUMIFS('ICB Core Allocation 2024-25 (2)'!S:S,'ICB Core Allocation 2024-25 (2)'!C:C,D19)</f>
        <v>#REF!</v>
      </c>
      <c r="CA19" s="58" t="e">
        <f t="shared" si="56"/>
        <v>#REF!</v>
      </c>
    </row>
    <row r="20" spans="2:79" x14ac:dyDescent="0.25">
      <c r="B20" s="13" t="s">
        <v>34</v>
      </c>
      <c r="C20" s="14" t="s">
        <v>35</v>
      </c>
      <c r="D20" s="4" t="s">
        <v>38</v>
      </c>
      <c r="E20" s="4" t="s">
        <v>39</v>
      </c>
      <c r="F20" s="11" t="e">
        <f>SUMIFS(#REF!,#REF!,$D20)</f>
        <v>#REF!</v>
      </c>
      <c r="G20" s="11" t="e">
        <f>SUMIFS(#REF!,#REF!,$D20)</f>
        <v>#REF!</v>
      </c>
      <c r="H20" s="11" t="e">
        <f>SUMIFS(#REF!,#REF!,$D20)</f>
        <v>#REF!</v>
      </c>
      <c r="I20" s="11" t="e">
        <f>SUMIFS(#REF!,#REF!,$D20)</f>
        <v>#REF!</v>
      </c>
      <c r="J20" s="11" t="e">
        <f>SUMIFS(#REF!,#REF!,$D20)</f>
        <v>#REF!</v>
      </c>
      <c r="K20" s="11" t="e">
        <f>SUMIFS(#REF!,#REF!,$D20)</f>
        <v>#REF!</v>
      </c>
      <c r="L20" s="11" t="e">
        <f t="shared" si="0"/>
        <v>#REF!</v>
      </c>
      <c r="N20" s="43" t="e">
        <f>SUMIFS(#REF!,#REF!,$D20)</f>
        <v>#REF!</v>
      </c>
      <c r="O20" s="11" t="e">
        <f t="shared" si="1"/>
        <v>#REF!</v>
      </c>
      <c r="P20" s="11" t="e">
        <f>SUMIFS(#REF!,#REF!,$D20)</f>
        <v>#REF!</v>
      </c>
      <c r="Q20" s="11" t="e">
        <f>SUMIFS(#REF!,#REF!,$D20)</f>
        <v>#REF!</v>
      </c>
      <c r="R20" s="11" t="e">
        <f t="shared" si="2"/>
        <v>#REF!</v>
      </c>
      <c r="S20" s="11" t="e">
        <f t="shared" si="3"/>
        <v>#REF!</v>
      </c>
      <c r="T20" s="43" t="e">
        <f t="shared" si="4"/>
        <v>#REF!</v>
      </c>
      <c r="U20" s="11" t="e">
        <f t="shared" si="5"/>
        <v>#REF!</v>
      </c>
      <c r="V20" s="11" t="e">
        <f t="shared" si="6"/>
        <v>#REF!</v>
      </c>
      <c r="W20" s="43" t="e">
        <f>SUMIFS(#REF!,#REF!,D20)</f>
        <v>#REF!</v>
      </c>
      <c r="X20" s="11" t="e">
        <f t="shared" si="7"/>
        <v>#REF!</v>
      </c>
      <c r="Y20" s="11" t="e">
        <f t="shared" si="8"/>
        <v>#REF!</v>
      </c>
      <c r="Z20" s="43" t="e">
        <f>SUMIFS(#REF!,#REF!,D20)</f>
        <v>#REF!</v>
      </c>
      <c r="AA20" s="11" t="e">
        <f t="shared" si="9"/>
        <v>#REF!</v>
      </c>
      <c r="AB20" s="11" t="e">
        <f t="shared" si="10"/>
        <v>#REF!</v>
      </c>
      <c r="AC20" s="11" t="e">
        <f t="shared" si="11"/>
        <v>#REF!</v>
      </c>
      <c r="AE20" s="11" t="e">
        <f t="shared" si="12"/>
        <v>#REF!</v>
      </c>
      <c r="AF20" s="11" t="e">
        <f t="shared" si="13"/>
        <v>#REF!</v>
      </c>
      <c r="AG20" s="11" t="e">
        <f t="shared" si="14"/>
        <v>#REF!</v>
      </c>
      <c r="AH20" s="11" t="e">
        <f t="shared" si="15"/>
        <v>#REF!</v>
      </c>
      <c r="AI20" s="11" t="e">
        <f t="shared" si="16"/>
        <v>#REF!</v>
      </c>
      <c r="AJ20" s="43" t="e">
        <f t="shared" si="17"/>
        <v>#REF!</v>
      </c>
      <c r="AK20" s="11" t="e">
        <f t="shared" si="18"/>
        <v>#REF!</v>
      </c>
      <c r="AL20" s="43" t="e">
        <f t="shared" si="19"/>
        <v>#REF!</v>
      </c>
      <c r="AM20" s="11" t="e">
        <f t="shared" si="20"/>
        <v>#REF!</v>
      </c>
      <c r="AN20" s="43" t="e">
        <f t="shared" si="21"/>
        <v>#REF!</v>
      </c>
      <c r="AO20" s="11" t="e">
        <f t="shared" si="22"/>
        <v>#REF!</v>
      </c>
      <c r="AP20" s="11" t="e">
        <f t="shared" si="23"/>
        <v>#REF!</v>
      </c>
      <c r="AQ20" s="43" t="e">
        <f t="shared" si="24"/>
        <v>#REF!</v>
      </c>
      <c r="AR20" s="11" t="e">
        <f t="shared" si="25"/>
        <v>#REF!</v>
      </c>
      <c r="AT20" s="11" t="e">
        <f t="shared" si="26"/>
        <v>#REF!</v>
      </c>
      <c r="AU20" s="11" t="e">
        <f t="shared" si="27"/>
        <v>#REF!</v>
      </c>
      <c r="AV20" s="11" t="e">
        <f t="shared" si="28"/>
        <v>#REF!</v>
      </c>
      <c r="AW20" s="11" t="e">
        <f t="shared" si="29"/>
        <v>#REF!</v>
      </c>
      <c r="AX20" s="11" t="e">
        <f t="shared" si="30"/>
        <v>#REF!</v>
      </c>
      <c r="AY20" s="11" t="e">
        <f t="shared" si="31"/>
        <v>#REF!</v>
      </c>
      <c r="AZ20" s="43" t="e">
        <f t="shared" si="32"/>
        <v>#REF!</v>
      </c>
      <c r="BA20" s="11" t="e">
        <f t="shared" si="33"/>
        <v>#REF!</v>
      </c>
      <c r="BB20" s="43" t="e">
        <f t="shared" si="34"/>
        <v>#REF!</v>
      </c>
      <c r="BC20" s="11" t="e">
        <f t="shared" si="35"/>
        <v>#REF!</v>
      </c>
      <c r="BD20" s="43" t="e">
        <f t="shared" si="36"/>
        <v>#REF!</v>
      </c>
      <c r="BE20" s="11" t="e">
        <f t="shared" si="37"/>
        <v>#REF!</v>
      </c>
      <c r="BF20" s="11" t="e">
        <f t="shared" si="38"/>
        <v>#REF!</v>
      </c>
      <c r="BG20" s="43" t="e">
        <f t="shared" si="39"/>
        <v>#REF!</v>
      </c>
      <c r="BH20" s="11" t="e">
        <f t="shared" si="40"/>
        <v>#REF!</v>
      </c>
      <c r="BJ20" s="11" t="e">
        <f t="shared" si="41"/>
        <v>#REF!</v>
      </c>
      <c r="BK20" s="11" t="e">
        <f t="shared" si="42"/>
        <v>#REF!</v>
      </c>
      <c r="BL20" s="11" t="e">
        <f t="shared" si="43"/>
        <v>#REF!</v>
      </c>
      <c r="BM20" s="11" t="e">
        <f t="shared" si="44"/>
        <v>#REF!</v>
      </c>
      <c r="BN20" s="11" t="e">
        <f t="shared" si="45"/>
        <v>#REF!</v>
      </c>
      <c r="BO20" s="11" t="e">
        <f t="shared" si="46"/>
        <v>#REF!</v>
      </c>
      <c r="BP20" s="43" t="e">
        <f t="shared" si="47"/>
        <v>#REF!</v>
      </c>
      <c r="BQ20" s="11" t="e">
        <f t="shared" si="48"/>
        <v>#REF!</v>
      </c>
      <c r="BR20" s="43" t="e">
        <f t="shared" si="49"/>
        <v>#REF!</v>
      </c>
      <c r="BS20" s="11" t="e">
        <f t="shared" si="50"/>
        <v>#REF!</v>
      </c>
      <c r="BT20" s="43" t="e">
        <f t="shared" si="51"/>
        <v>#REF!</v>
      </c>
      <c r="BU20" s="11" t="e">
        <f t="shared" si="52"/>
        <v>#REF!</v>
      </c>
      <c r="BV20" s="11" t="e">
        <f t="shared" si="53"/>
        <v>#REF!</v>
      </c>
      <c r="BW20" s="43" t="e">
        <f t="shared" si="54"/>
        <v>#REF!</v>
      </c>
      <c r="BX20" s="11" t="e">
        <f t="shared" si="55"/>
        <v>#REF!</v>
      </c>
      <c r="BZ20" s="11" t="e">
        <f>SUMIFS('ICB Core Allocation 2024-25 (2)'!S:S,'ICB Core Allocation 2024-25 (2)'!C:C,D20)</f>
        <v>#REF!</v>
      </c>
      <c r="CA20" s="58" t="e">
        <f t="shared" si="56"/>
        <v>#REF!</v>
      </c>
    </row>
    <row r="21" spans="2:79" x14ac:dyDescent="0.25">
      <c r="B21" s="13" t="s">
        <v>98</v>
      </c>
      <c r="C21" s="14" t="s">
        <v>99</v>
      </c>
      <c r="D21" s="4" t="s">
        <v>104</v>
      </c>
      <c r="E21" s="4" t="s">
        <v>105</v>
      </c>
      <c r="F21" s="11" t="e">
        <f>SUMIFS(#REF!,#REF!,$D21)</f>
        <v>#REF!</v>
      </c>
      <c r="G21" s="11" t="e">
        <f>SUMIFS(#REF!,#REF!,$D21)</f>
        <v>#REF!</v>
      </c>
      <c r="H21" s="11" t="e">
        <f>SUMIFS(#REF!,#REF!,$D21)</f>
        <v>#REF!</v>
      </c>
      <c r="I21" s="11" t="e">
        <f>SUMIFS(#REF!,#REF!,$D21)</f>
        <v>#REF!</v>
      </c>
      <c r="J21" s="11" t="e">
        <f>SUMIFS(#REF!,#REF!,$D21)</f>
        <v>#REF!</v>
      </c>
      <c r="K21" s="11" t="e">
        <f>SUMIFS(#REF!,#REF!,$D21)</f>
        <v>#REF!</v>
      </c>
      <c r="L21" s="11" t="e">
        <f t="shared" si="0"/>
        <v>#REF!</v>
      </c>
      <c r="N21" s="43" t="e">
        <f>SUMIFS(#REF!,#REF!,$D21)</f>
        <v>#REF!</v>
      </c>
      <c r="O21" s="11" t="e">
        <f t="shared" si="1"/>
        <v>#REF!</v>
      </c>
      <c r="P21" s="11" t="e">
        <f>SUMIFS(#REF!,#REF!,$D21)</f>
        <v>#REF!</v>
      </c>
      <c r="Q21" s="11" t="e">
        <f>SUMIFS(#REF!,#REF!,$D21)</f>
        <v>#REF!</v>
      </c>
      <c r="R21" s="11" t="e">
        <f t="shared" si="2"/>
        <v>#REF!</v>
      </c>
      <c r="S21" s="11" t="e">
        <f t="shared" si="3"/>
        <v>#REF!</v>
      </c>
      <c r="T21" s="43" t="e">
        <f t="shared" si="4"/>
        <v>#REF!</v>
      </c>
      <c r="U21" s="11" t="e">
        <f t="shared" si="5"/>
        <v>#REF!</v>
      </c>
      <c r="V21" s="11" t="e">
        <f t="shared" si="6"/>
        <v>#REF!</v>
      </c>
      <c r="W21" s="43" t="e">
        <f>SUMIFS(#REF!,#REF!,D21)</f>
        <v>#REF!</v>
      </c>
      <c r="X21" s="11" t="e">
        <f t="shared" si="7"/>
        <v>#REF!</v>
      </c>
      <c r="Y21" s="11" t="e">
        <f t="shared" si="8"/>
        <v>#REF!</v>
      </c>
      <c r="Z21" s="43" t="e">
        <f>SUMIFS(#REF!,#REF!,D21)</f>
        <v>#REF!</v>
      </c>
      <c r="AA21" s="11" t="e">
        <f t="shared" si="9"/>
        <v>#REF!</v>
      </c>
      <c r="AB21" s="11" t="e">
        <f t="shared" si="10"/>
        <v>#REF!</v>
      </c>
      <c r="AC21" s="11" t="e">
        <f t="shared" si="11"/>
        <v>#REF!</v>
      </c>
      <c r="AE21" s="11" t="e">
        <f t="shared" si="12"/>
        <v>#REF!</v>
      </c>
      <c r="AF21" s="11" t="e">
        <f t="shared" si="13"/>
        <v>#REF!</v>
      </c>
      <c r="AG21" s="11" t="e">
        <f t="shared" si="14"/>
        <v>#REF!</v>
      </c>
      <c r="AH21" s="11" t="e">
        <f t="shared" si="15"/>
        <v>#REF!</v>
      </c>
      <c r="AI21" s="11" t="e">
        <f t="shared" si="16"/>
        <v>#REF!</v>
      </c>
      <c r="AJ21" s="43" t="e">
        <f t="shared" si="17"/>
        <v>#REF!</v>
      </c>
      <c r="AK21" s="11" t="e">
        <f t="shared" si="18"/>
        <v>#REF!</v>
      </c>
      <c r="AL21" s="43" t="e">
        <f t="shared" si="19"/>
        <v>#REF!</v>
      </c>
      <c r="AM21" s="11" t="e">
        <f t="shared" si="20"/>
        <v>#REF!</v>
      </c>
      <c r="AN21" s="43" t="e">
        <f t="shared" si="21"/>
        <v>#REF!</v>
      </c>
      <c r="AO21" s="11" t="e">
        <f t="shared" si="22"/>
        <v>#REF!</v>
      </c>
      <c r="AP21" s="11" t="e">
        <f t="shared" si="23"/>
        <v>#REF!</v>
      </c>
      <c r="AQ21" s="43" t="e">
        <f t="shared" si="24"/>
        <v>#REF!</v>
      </c>
      <c r="AR21" s="11" t="e">
        <f t="shared" si="25"/>
        <v>#REF!</v>
      </c>
      <c r="AT21" s="11" t="e">
        <f t="shared" si="26"/>
        <v>#REF!</v>
      </c>
      <c r="AU21" s="11" t="e">
        <f t="shared" si="27"/>
        <v>#REF!</v>
      </c>
      <c r="AV21" s="11" t="e">
        <f t="shared" si="28"/>
        <v>#REF!</v>
      </c>
      <c r="AW21" s="11" t="e">
        <f t="shared" si="29"/>
        <v>#REF!</v>
      </c>
      <c r="AX21" s="11" t="e">
        <f t="shared" si="30"/>
        <v>#REF!</v>
      </c>
      <c r="AY21" s="11" t="e">
        <f t="shared" si="31"/>
        <v>#REF!</v>
      </c>
      <c r="AZ21" s="43" t="e">
        <f t="shared" si="32"/>
        <v>#REF!</v>
      </c>
      <c r="BA21" s="11" t="e">
        <f t="shared" si="33"/>
        <v>#REF!</v>
      </c>
      <c r="BB21" s="43" t="e">
        <f t="shared" si="34"/>
        <v>#REF!</v>
      </c>
      <c r="BC21" s="11" t="e">
        <f t="shared" si="35"/>
        <v>#REF!</v>
      </c>
      <c r="BD21" s="43" t="e">
        <f t="shared" si="36"/>
        <v>#REF!</v>
      </c>
      <c r="BE21" s="11" t="e">
        <f t="shared" si="37"/>
        <v>#REF!</v>
      </c>
      <c r="BF21" s="11" t="e">
        <f t="shared" si="38"/>
        <v>#REF!</v>
      </c>
      <c r="BG21" s="43" t="e">
        <f t="shared" si="39"/>
        <v>#REF!</v>
      </c>
      <c r="BH21" s="11" t="e">
        <f t="shared" si="40"/>
        <v>#REF!</v>
      </c>
      <c r="BJ21" s="11" t="e">
        <f t="shared" si="41"/>
        <v>#REF!</v>
      </c>
      <c r="BK21" s="11" t="e">
        <f t="shared" si="42"/>
        <v>#REF!</v>
      </c>
      <c r="BL21" s="11" t="e">
        <f t="shared" si="43"/>
        <v>#REF!</v>
      </c>
      <c r="BM21" s="11" t="e">
        <f t="shared" si="44"/>
        <v>#REF!</v>
      </c>
      <c r="BN21" s="11" t="e">
        <f t="shared" si="45"/>
        <v>#REF!</v>
      </c>
      <c r="BO21" s="11" t="e">
        <f t="shared" si="46"/>
        <v>#REF!</v>
      </c>
      <c r="BP21" s="43" t="e">
        <f t="shared" si="47"/>
        <v>#REF!</v>
      </c>
      <c r="BQ21" s="11" t="e">
        <f t="shared" si="48"/>
        <v>#REF!</v>
      </c>
      <c r="BR21" s="43" t="e">
        <f t="shared" si="49"/>
        <v>#REF!</v>
      </c>
      <c r="BS21" s="11" t="e">
        <f t="shared" si="50"/>
        <v>#REF!</v>
      </c>
      <c r="BT21" s="43" t="e">
        <f t="shared" si="51"/>
        <v>#REF!</v>
      </c>
      <c r="BU21" s="11" t="e">
        <f t="shared" si="52"/>
        <v>#REF!</v>
      </c>
      <c r="BV21" s="11" t="e">
        <f t="shared" si="53"/>
        <v>#REF!</v>
      </c>
      <c r="BW21" s="43" t="e">
        <f t="shared" si="54"/>
        <v>#REF!</v>
      </c>
      <c r="BX21" s="11" t="e">
        <f t="shared" si="55"/>
        <v>#REF!</v>
      </c>
      <c r="BZ21" s="11" t="e">
        <f>SUMIFS('ICB Core Allocation 2024-25 (2)'!S:S,'ICB Core Allocation 2024-25 (2)'!C:C,D21)</f>
        <v>#REF!</v>
      </c>
      <c r="CA21" s="58" t="e">
        <f t="shared" si="56"/>
        <v>#REF!</v>
      </c>
    </row>
    <row r="22" spans="2:79" x14ac:dyDescent="0.25">
      <c r="B22" s="15" t="s">
        <v>34</v>
      </c>
      <c r="C22" s="16" t="s">
        <v>35</v>
      </c>
      <c r="D22" s="17" t="s">
        <v>50</v>
      </c>
      <c r="E22" s="17" t="s">
        <v>51</v>
      </c>
      <c r="F22" s="18" t="e">
        <f>SUMIFS(#REF!,#REF!,$D22)</f>
        <v>#REF!</v>
      </c>
      <c r="G22" s="18" t="e">
        <f>SUMIFS(#REF!,#REF!,$D22)</f>
        <v>#REF!</v>
      </c>
      <c r="H22" s="18" t="e">
        <f>SUMIFS(#REF!,#REF!,$D22)</f>
        <v>#REF!</v>
      </c>
      <c r="I22" s="18" t="e">
        <f>SUMIFS(#REF!,#REF!,$D22)</f>
        <v>#REF!</v>
      </c>
      <c r="J22" s="18" t="e">
        <f>SUMIFS(#REF!,#REF!,$D22)</f>
        <v>#REF!</v>
      </c>
      <c r="K22" s="18" t="e">
        <f>SUMIFS(#REF!,#REF!,$D22)</f>
        <v>#REF!</v>
      </c>
      <c r="L22" s="18" t="e">
        <f t="shared" si="0"/>
        <v>#REF!</v>
      </c>
      <c r="N22" s="44" t="e">
        <f>SUMIFS(#REF!,#REF!,$D22)</f>
        <v>#REF!</v>
      </c>
      <c r="O22" s="18" t="e">
        <f t="shared" si="1"/>
        <v>#REF!</v>
      </c>
      <c r="P22" s="18" t="e">
        <f>SUMIFS(#REF!,#REF!,$D22)</f>
        <v>#REF!</v>
      </c>
      <c r="Q22" s="18" t="e">
        <f>SUMIFS(#REF!,#REF!,$D22)</f>
        <v>#REF!</v>
      </c>
      <c r="R22" s="18" t="e">
        <f t="shared" si="2"/>
        <v>#REF!</v>
      </c>
      <c r="S22" s="18" t="e">
        <f t="shared" si="3"/>
        <v>#REF!</v>
      </c>
      <c r="T22" s="44" t="e">
        <f t="shared" si="4"/>
        <v>#REF!</v>
      </c>
      <c r="U22" s="18" t="e">
        <f t="shared" si="5"/>
        <v>#REF!</v>
      </c>
      <c r="V22" s="18" t="e">
        <f t="shared" si="6"/>
        <v>#REF!</v>
      </c>
      <c r="W22" s="44" t="e">
        <f>SUMIFS(#REF!,#REF!,D22)</f>
        <v>#REF!</v>
      </c>
      <c r="X22" s="18" t="e">
        <f t="shared" si="7"/>
        <v>#REF!</v>
      </c>
      <c r="Y22" s="18" t="e">
        <f t="shared" si="8"/>
        <v>#REF!</v>
      </c>
      <c r="Z22" s="44" t="e">
        <f>SUMIFS(#REF!,#REF!,D22)</f>
        <v>#REF!</v>
      </c>
      <c r="AA22" s="18" t="e">
        <f t="shared" si="9"/>
        <v>#REF!</v>
      </c>
      <c r="AB22" s="18" t="e">
        <f t="shared" si="10"/>
        <v>#REF!</v>
      </c>
      <c r="AC22" s="18" t="e">
        <f t="shared" si="11"/>
        <v>#REF!</v>
      </c>
      <c r="AE22" s="18" t="e">
        <f t="shared" si="12"/>
        <v>#REF!</v>
      </c>
      <c r="AF22" s="18" t="e">
        <f t="shared" si="13"/>
        <v>#REF!</v>
      </c>
      <c r="AG22" s="18" t="e">
        <f t="shared" si="14"/>
        <v>#REF!</v>
      </c>
      <c r="AH22" s="18" t="e">
        <f t="shared" si="15"/>
        <v>#REF!</v>
      </c>
      <c r="AI22" s="18" t="e">
        <f t="shared" si="16"/>
        <v>#REF!</v>
      </c>
      <c r="AJ22" s="44" t="e">
        <f t="shared" si="17"/>
        <v>#REF!</v>
      </c>
      <c r="AK22" s="18" t="e">
        <f t="shared" si="18"/>
        <v>#REF!</v>
      </c>
      <c r="AL22" s="44" t="e">
        <f t="shared" si="19"/>
        <v>#REF!</v>
      </c>
      <c r="AM22" s="18" t="e">
        <f t="shared" si="20"/>
        <v>#REF!</v>
      </c>
      <c r="AN22" s="44" t="e">
        <f t="shared" si="21"/>
        <v>#REF!</v>
      </c>
      <c r="AO22" s="18" t="e">
        <f t="shared" si="22"/>
        <v>#REF!</v>
      </c>
      <c r="AP22" s="18" t="e">
        <f t="shared" si="23"/>
        <v>#REF!</v>
      </c>
      <c r="AQ22" s="44" t="e">
        <f t="shared" si="24"/>
        <v>#REF!</v>
      </c>
      <c r="AR22" s="18" t="e">
        <f t="shared" si="25"/>
        <v>#REF!</v>
      </c>
      <c r="AT22" s="18" t="e">
        <f t="shared" si="26"/>
        <v>#REF!</v>
      </c>
      <c r="AU22" s="18" t="e">
        <f t="shared" si="27"/>
        <v>#REF!</v>
      </c>
      <c r="AV22" s="18" t="e">
        <f t="shared" si="28"/>
        <v>#REF!</v>
      </c>
      <c r="AW22" s="18" t="e">
        <f t="shared" si="29"/>
        <v>#REF!</v>
      </c>
      <c r="AX22" s="18" t="e">
        <f t="shared" si="30"/>
        <v>#REF!</v>
      </c>
      <c r="AY22" s="18" t="e">
        <f t="shared" si="31"/>
        <v>#REF!</v>
      </c>
      <c r="AZ22" s="44" t="e">
        <f t="shared" si="32"/>
        <v>#REF!</v>
      </c>
      <c r="BA22" s="18" t="e">
        <f t="shared" si="33"/>
        <v>#REF!</v>
      </c>
      <c r="BB22" s="44" t="e">
        <f t="shared" si="34"/>
        <v>#REF!</v>
      </c>
      <c r="BC22" s="18" t="e">
        <f t="shared" si="35"/>
        <v>#REF!</v>
      </c>
      <c r="BD22" s="44" t="e">
        <f t="shared" si="36"/>
        <v>#REF!</v>
      </c>
      <c r="BE22" s="18" t="e">
        <f t="shared" si="37"/>
        <v>#REF!</v>
      </c>
      <c r="BF22" s="18" t="e">
        <f t="shared" si="38"/>
        <v>#REF!</v>
      </c>
      <c r="BG22" s="44" t="e">
        <f t="shared" si="39"/>
        <v>#REF!</v>
      </c>
      <c r="BH22" s="18" t="e">
        <f t="shared" si="40"/>
        <v>#REF!</v>
      </c>
      <c r="BJ22" s="18" t="e">
        <f t="shared" si="41"/>
        <v>#REF!</v>
      </c>
      <c r="BK22" s="18" t="e">
        <f t="shared" si="42"/>
        <v>#REF!</v>
      </c>
      <c r="BL22" s="18" t="e">
        <f t="shared" si="43"/>
        <v>#REF!</v>
      </c>
      <c r="BM22" s="18" t="e">
        <f t="shared" si="44"/>
        <v>#REF!</v>
      </c>
      <c r="BN22" s="18" t="e">
        <f t="shared" si="45"/>
        <v>#REF!</v>
      </c>
      <c r="BO22" s="18" t="e">
        <f t="shared" si="46"/>
        <v>#REF!</v>
      </c>
      <c r="BP22" s="44" t="e">
        <f t="shared" si="47"/>
        <v>#REF!</v>
      </c>
      <c r="BQ22" s="18" t="e">
        <f t="shared" si="48"/>
        <v>#REF!</v>
      </c>
      <c r="BR22" s="44" t="e">
        <f t="shared" si="49"/>
        <v>#REF!</v>
      </c>
      <c r="BS22" s="18" t="e">
        <f t="shared" si="50"/>
        <v>#REF!</v>
      </c>
      <c r="BT22" s="44" t="e">
        <f t="shared" si="51"/>
        <v>#REF!</v>
      </c>
      <c r="BU22" s="18" t="e">
        <f t="shared" si="52"/>
        <v>#REF!</v>
      </c>
      <c r="BV22" s="18" t="e">
        <f t="shared" si="53"/>
        <v>#REF!</v>
      </c>
      <c r="BW22" s="44" t="e">
        <f t="shared" si="54"/>
        <v>#REF!</v>
      </c>
      <c r="BX22" s="18" t="e">
        <f t="shared" si="55"/>
        <v>#REF!</v>
      </c>
      <c r="BZ22" s="18" t="e">
        <f>SUMIFS('ICB Core Allocation 2024-25 (2)'!S:S,'ICB Core Allocation 2024-25 (2)'!C:C,D22)</f>
        <v>#REF!</v>
      </c>
      <c r="CA22" s="58" t="e">
        <f t="shared" si="56"/>
        <v>#REF!</v>
      </c>
    </row>
    <row r="23" spans="2:79" x14ac:dyDescent="0.25">
      <c r="B23" s="13" t="s">
        <v>98</v>
      </c>
      <c r="C23" s="14" t="s">
        <v>99</v>
      </c>
      <c r="D23" s="4" t="s">
        <v>112</v>
      </c>
      <c r="E23" s="4" t="s">
        <v>113</v>
      </c>
      <c r="F23" s="11" t="e">
        <f>SUMIFS(#REF!,#REF!,$D23)</f>
        <v>#REF!</v>
      </c>
      <c r="G23" s="11" t="e">
        <f>SUMIFS(#REF!,#REF!,$D23)</f>
        <v>#REF!</v>
      </c>
      <c r="H23" s="11" t="e">
        <f>SUMIFS(#REF!,#REF!,$D23)</f>
        <v>#REF!</v>
      </c>
      <c r="I23" s="11" t="e">
        <f>SUMIFS(#REF!,#REF!,$D23)</f>
        <v>#REF!</v>
      </c>
      <c r="J23" s="11" t="e">
        <f>SUMIFS(#REF!,#REF!,$D23)</f>
        <v>#REF!</v>
      </c>
      <c r="K23" s="11" t="e">
        <f>SUMIFS(#REF!,#REF!,$D23)</f>
        <v>#REF!</v>
      </c>
      <c r="L23" s="11" t="e">
        <f t="shared" si="0"/>
        <v>#REF!</v>
      </c>
      <c r="N23" s="43" t="e">
        <f>SUMIFS(#REF!,#REF!,$D23)</f>
        <v>#REF!</v>
      </c>
      <c r="O23" s="11" t="e">
        <f t="shared" si="1"/>
        <v>#REF!</v>
      </c>
      <c r="P23" s="11" t="e">
        <f>SUMIFS(#REF!,#REF!,$D23)</f>
        <v>#REF!</v>
      </c>
      <c r="Q23" s="11" t="e">
        <f>SUMIFS(#REF!,#REF!,$D23)</f>
        <v>#REF!</v>
      </c>
      <c r="R23" s="11" t="e">
        <f t="shared" si="2"/>
        <v>#REF!</v>
      </c>
      <c r="S23" s="11" t="e">
        <f t="shared" si="3"/>
        <v>#REF!</v>
      </c>
      <c r="T23" s="43" t="e">
        <f t="shared" si="4"/>
        <v>#REF!</v>
      </c>
      <c r="U23" s="11" t="e">
        <f t="shared" si="5"/>
        <v>#REF!</v>
      </c>
      <c r="V23" s="11" t="e">
        <f t="shared" si="6"/>
        <v>#REF!</v>
      </c>
      <c r="W23" s="43" t="e">
        <f>SUMIFS(#REF!,#REF!,D23)</f>
        <v>#REF!</v>
      </c>
      <c r="X23" s="11" t="e">
        <f t="shared" si="7"/>
        <v>#REF!</v>
      </c>
      <c r="Y23" s="11" t="e">
        <f t="shared" si="8"/>
        <v>#REF!</v>
      </c>
      <c r="Z23" s="43" t="e">
        <f>SUMIFS(#REF!,#REF!,D23)</f>
        <v>#REF!</v>
      </c>
      <c r="AA23" s="11" t="e">
        <f t="shared" si="9"/>
        <v>#REF!</v>
      </c>
      <c r="AB23" s="11" t="e">
        <f t="shared" si="10"/>
        <v>#REF!</v>
      </c>
      <c r="AC23" s="11" t="e">
        <f t="shared" si="11"/>
        <v>#REF!</v>
      </c>
      <c r="AE23" s="11" t="e">
        <f t="shared" si="12"/>
        <v>#REF!</v>
      </c>
      <c r="AF23" s="11" t="e">
        <f t="shared" si="13"/>
        <v>#REF!</v>
      </c>
      <c r="AG23" s="11" t="e">
        <f t="shared" si="14"/>
        <v>#REF!</v>
      </c>
      <c r="AH23" s="11" t="e">
        <f t="shared" si="15"/>
        <v>#REF!</v>
      </c>
      <c r="AI23" s="11" t="e">
        <f t="shared" si="16"/>
        <v>#REF!</v>
      </c>
      <c r="AJ23" s="43" t="e">
        <f t="shared" si="17"/>
        <v>#REF!</v>
      </c>
      <c r="AK23" s="11" t="e">
        <f t="shared" si="18"/>
        <v>#REF!</v>
      </c>
      <c r="AL23" s="43" t="e">
        <f t="shared" si="19"/>
        <v>#REF!</v>
      </c>
      <c r="AM23" s="11" t="e">
        <f t="shared" si="20"/>
        <v>#REF!</v>
      </c>
      <c r="AN23" s="43" t="e">
        <f t="shared" si="21"/>
        <v>#REF!</v>
      </c>
      <c r="AO23" s="11" t="e">
        <f t="shared" si="22"/>
        <v>#REF!</v>
      </c>
      <c r="AP23" s="11" t="e">
        <f t="shared" si="23"/>
        <v>#REF!</v>
      </c>
      <c r="AQ23" s="43" t="e">
        <f t="shared" si="24"/>
        <v>#REF!</v>
      </c>
      <c r="AR23" s="11" t="e">
        <f t="shared" si="25"/>
        <v>#REF!</v>
      </c>
      <c r="AT23" s="11" t="e">
        <f t="shared" si="26"/>
        <v>#REF!</v>
      </c>
      <c r="AU23" s="11" t="e">
        <f t="shared" si="27"/>
        <v>#REF!</v>
      </c>
      <c r="AV23" s="11" t="e">
        <f t="shared" si="28"/>
        <v>#REF!</v>
      </c>
      <c r="AW23" s="11" t="e">
        <f t="shared" si="29"/>
        <v>#REF!</v>
      </c>
      <c r="AX23" s="11" t="e">
        <f t="shared" si="30"/>
        <v>#REF!</v>
      </c>
      <c r="AY23" s="11" t="e">
        <f t="shared" si="31"/>
        <v>#REF!</v>
      </c>
      <c r="AZ23" s="43" t="e">
        <f t="shared" si="32"/>
        <v>#REF!</v>
      </c>
      <c r="BA23" s="11" t="e">
        <f t="shared" si="33"/>
        <v>#REF!</v>
      </c>
      <c r="BB23" s="43" t="e">
        <f t="shared" si="34"/>
        <v>#REF!</v>
      </c>
      <c r="BC23" s="11" t="e">
        <f t="shared" si="35"/>
        <v>#REF!</v>
      </c>
      <c r="BD23" s="43" t="e">
        <f t="shared" si="36"/>
        <v>#REF!</v>
      </c>
      <c r="BE23" s="11" t="e">
        <f t="shared" si="37"/>
        <v>#REF!</v>
      </c>
      <c r="BF23" s="11" t="e">
        <f t="shared" si="38"/>
        <v>#REF!</v>
      </c>
      <c r="BG23" s="43" t="e">
        <f t="shared" si="39"/>
        <v>#REF!</v>
      </c>
      <c r="BH23" s="11" t="e">
        <f t="shared" si="40"/>
        <v>#REF!</v>
      </c>
      <c r="BJ23" s="11" t="e">
        <f t="shared" si="41"/>
        <v>#REF!</v>
      </c>
      <c r="BK23" s="11" t="e">
        <f t="shared" si="42"/>
        <v>#REF!</v>
      </c>
      <c r="BL23" s="11" t="e">
        <f t="shared" si="43"/>
        <v>#REF!</v>
      </c>
      <c r="BM23" s="11" t="e">
        <f t="shared" si="44"/>
        <v>#REF!</v>
      </c>
      <c r="BN23" s="11" t="e">
        <f t="shared" si="45"/>
        <v>#REF!</v>
      </c>
      <c r="BO23" s="11" t="e">
        <f t="shared" si="46"/>
        <v>#REF!</v>
      </c>
      <c r="BP23" s="43" t="e">
        <f t="shared" si="47"/>
        <v>#REF!</v>
      </c>
      <c r="BQ23" s="11" t="e">
        <f t="shared" si="48"/>
        <v>#REF!</v>
      </c>
      <c r="BR23" s="43" t="e">
        <f t="shared" si="49"/>
        <v>#REF!</v>
      </c>
      <c r="BS23" s="11" t="e">
        <f t="shared" si="50"/>
        <v>#REF!</v>
      </c>
      <c r="BT23" s="43" t="e">
        <f t="shared" si="51"/>
        <v>#REF!</v>
      </c>
      <c r="BU23" s="11" t="e">
        <f t="shared" si="52"/>
        <v>#REF!</v>
      </c>
      <c r="BV23" s="11" t="e">
        <f t="shared" si="53"/>
        <v>#REF!</v>
      </c>
      <c r="BW23" s="43" t="e">
        <f t="shared" si="54"/>
        <v>#REF!</v>
      </c>
      <c r="BX23" s="11" t="e">
        <f t="shared" si="55"/>
        <v>#REF!</v>
      </c>
      <c r="BZ23" s="11" t="e">
        <f>SUMIFS('ICB Core Allocation 2024-25 (2)'!S:S,'ICB Core Allocation 2024-25 (2)'!C:C,D23)</f>
        <v>#REF!</v>
      </c>
      <c r="CA23" s="58" t="e">
        <f t="shared" si="56"/>
        <v>#REF!</v>
      </c>
    </row>
    <row r="24" spans="2:79" x14ac:dyDescent="0.25">
      <c r="B24" s="13" t="s">
        <v>98</v>
      </c>
      <c r="C24" s="14" t="s">
        <v>99</v>
      </c>
      <c r="D24" s="4" t="s">
        <v>108</v>
      </c>
      <c r="E24" s="4" t="s">
        <v>109</v>
      </c>
      <c r="F24" s="11" t="e">
        <f>SUMIFS(#REF!,#REF!,$D24)</f>
        <v>#REF!</v>
      </c>
      <c r="G24" s="11" t="e">
        <f>SUMIFS(#REF!,#REF!,$D24)</f>
        <v>#REF!</v>
      </c>
      <c r="H24" s="11" t="e">
        <f>SUMIFS(#REF!,#REF!,$D24)</f>
        <v>#REF!</v>
      </c>
      <c r="I24" s="11" t="e">
        <f>SUMIFS(#REF!,#REF!,$D24)</f>
        <v>#REF!</v>
      </c>
      <c r="J24" s="11" t="e">
        <f>SUMIFS(#REF!,#REF!,$D24)</f>
        <v>#REF!</v>
      </c>
      <c r="K24" s="11" t="e">
        <f>SUMIFS(#REF!,#REF!,$D24)</f>
        <v>#REF!</v>
      </c>
      <c r="L24" s="11" t="e">
        <f t="shared" si="0"/>
        <v>#REF!</v>
      </c>
      <c r="N24" s="43" t="e">
        <f>SUMIFS(#REF!,#REF!,$D24)</f>
        <v>#REF!</v>
      </c>
      <c r="O24" s="11" t="e">
        <f t="shared" si="1"/>
        <v>#REF!</v>
      </c>
      <c r="P24" s="11" t="e">
        <f>SUMIFS(#REF!,#REF!,$D24)</f>
        <v>#REF!</v>
      </c>
      <c r="Q24" s="11" t="e">
        <f>SUMIFS(#REF!,#REF!,$D24)</f>
        <v>#REF!</v>
      </c>
      <c r="R24" s="11" t="e">
        <f t="shared" si="2"/>
        <v>#REF!</v>
      </c>
      <c r="S24" s="11" t="e">
        <f t="shared" si="3"/>
        <v>#REF!</v>
      </c>
      <c r="T24" s="43" t="e">
        <f t="shared" si="4"/>
        <v>#REF!</v>
      </c>
      <c r="U24" s="11" t="e">
        <f t="shared" si="5"/>
        <v>#REF!</v>
      </c>
      <c r="V24" s="11" t="e">
        <f t="shared" si="6"/>
        <v>#REF!</v>
      </c>
      <c r="W24" s="43" t="e">
        <f>SUMIFS(#REF!,#REF!,D24)</f>
        <v>#REF!</v>
      </c>
      <c r="X24" s="11" t="e">
        <f t="shared" si="7"/>
        <v>#REF!</v>
      </c>
      <c r="Y24" s="11" t="e">
        <f t="shared" si="8"/>
        <v>#REF!</v>
      </c>
      <c r="Z24" s="43" t="e">
        <f>SUMIFS(#REF!,#REF!,D24)</f>
        <v>#REF!</v>
      </c>
      <c r="AA24" s="11" t="e">
        <f t="shared" si="9"/>
        <v>#REF!</v>
      </c>
      <c r="AB24" s="11" t="e">
        <f t="shared" si="10"/>
        <v>#REF!</v>
      </c>
      <c r="AC24" s="11" t="e">
        <f t="shared" si="11"/>
        <v>#REF!</v>
      </c>
      <c r="AE24" s="11" t="e">
        <f t="shared" si="12"/>
        <v>#REF!</v>
      </c>
      <c r="AF24" s="11" t="e">
        <f t="shared" si="13"/>
        <v>#REF!</v>
      </c>
      <c r="AG24" s="11" t="e">
        <f t="shared" si="14"/>
        <v>#REF!</v>
      </c>
      <c r="AH24" s="11" t="e">
        <f t="shared" si="15"/>
        <v>#REF!</v>
      </c>
      <c r="AI24" s="11" t="e">
        <f t="shared" si="16"/>
        <v>#REF!</v>
      </c>
      <c r="AJ24" s="43" t="e">
        <f t="shared" si="17"/>
        <v>#REF!</v>
      </c>
      <c r="AK24" s="11" t="e">
        <f t="shared" si="18"/>
        <v>#REF!</v>
      </c>
      <c r="AL24" s="43" t="e">
        <f t="shared" si="19"/>
        <v>#REF!</v>
      </c>
      <c r="AM24" s="11" t="e">
        <f t="shared" si="20"/>
        <v>#REF!</v>
      </c>
      <c r="AN24" s="43" t="e">
        <f t="shared" si="21"/>
        <v>#REF!</v>
      </c>
      <c r="AO24" s="11" t="e">
        <f t="shared" si="22"/>
        <v>#REF!</v>
      </c>
      <c r="AP24" s="11" t="e">
        <f t="shared" si="23"/>
        <v>#REF!</v>
      </c>
      <c r="AQ24" s="43" t="e">
        <f t="shared" si="24"/>
        <v>#REF!</v>
      </c>
      <c r="AR24" s="11" t="e">
        <f t="shared" si="25"/>
        <v>#REF!</v>
      </c>
      <c r="AT24" s="11" t="e">
        <f t="shared" si="26"/>
        <v>#REF!</v>
      </c>
      <c r="AU24" s="11" t="e">
        <f t="shared" si="27"/>
        <v>#REF!</v>
      </c>
      <c r="AV24" s="11" t="e">
        <f t="shared" si="28"/>
        <v>#REF!</v>
      </c>
      <c r="AW24" s="11" t="e">
        <f t="shared" si="29"/>
        <v>#REF!</v>
      </c>
      <c r="AX24" s="11" t="e">
        <f t="shared" si="30"/>
        <v>#REF!</v>
      </c>
      <c r="AY24" s="11" t="e">
        <f t="shared" si="31"/>
        <v>#REF!</v>
      </c>
      <c r="AZ24" s="43" t="e">
        <f t="shared" si="32"/>
        <v>#REF!</v>
      </c>
      <c r="BA24" s="11" t="e">
        <f t="shared" si="33"/>
        <v>#REF!</v>
      </c>
      <c r="BB24" s="43" t="e">
        <f t="shared" si="34"/>
        <v>#REF!</v>
      </c>
      <c r="BC24" s="11" t="e">
        <f t="shared" si="35"/>
        <v>#REF!</v>
      </c>
      <c r="BD24" s="43" t="e">
        <f t="shared" si="36"/>
        <v>#REF!</v>
      </c>
      <c r="BE24" s="11" t="e">
        <f t="shared" si="37"/>
        <v>#REF!</v>
      </c>
      <c r="BF24" s="11" t="e">
        <f t="shared" si="38"/>
        <v>#REF!</v>
      </c>
      <c r="BG24" s="43" t="e">
        <f t="shared" si="39"/>
        <v>#REF!</v>
      </c>
      <c r="BH24" s="11" t="e">
        <f t="shared" si="40"/>
        <v>#REF!</v>
      </c>
      <c r="BJ24" s="11" t="e">
        <f t="shared" si="41"/>
        <v>#REF!</v>
      </c>
      <c r="BK24" s="11" t="e">
        <f t="shared" si="42"/>
        <v>#REF!</v>
      </c>
      <c r="BL24" s="11" t="e">
        <f t="shared" si="43"/>
        <v>#REF!</v>
      </c>
      <c r="BM24" s="11" t="e">
        <f t="shared" si="44"/>
        <v>#REF!</v>
      </c>
      <c r="BN24" s="11" t="e">
        <f t="shared" si="45"/>
        <v>#REF!</v>
      </c>
      <c r="BO24" s="11" t="e">
        <f t="shared" si="46"/>
        <v>#REF!</v>
      </c>
      <c r="BP24" s="43" t="e">
        <f t="shared" si="47"/>
        <v>#REF!</v>
      </c>
      <c r="BQ24" s="11" t="e">
        <f t="shared" si="48"/>
        <v>#REF!</v>
      </c>
      <c r="BR24" s="43" t="e">
        <f t="shared" si="49"/>
        <v>#REF!</v>
      </c>
      <c r="BS24" s="11" t="e">
        <f t="shared" si="50"/>
        <v>#REF!</v>
      </c>
      <c r="BT24" s="43" t="e">
        <f t="shared" si="51"/>
        <v>#REF!</v>
      </c>
      <c r="BU24" s="11" t="e">
        <f t="shared" si="52"/>
        <v>#REF!</v>
      </c>
      <c r="BV24" s="11" t="e">
        <f t="shared" si="53"/>
        <v>#REF!</v>
      </c>
      <c r="BW24" s="43" t="e">
        <f t="shared" si="54"/>
        <v>#REF!</v>
      </c>
      <c r="BX24" s="11" t="e">
        <f t="shared" si="55"/>
        <v>#REF!</v>
      </c>
      <c r="BZ24" s="11" t="e">
        <f>SUMIFS('ICB Core Allocation 2024-25 (2)'!S:S,'ICB Core Allocation 2024-25 (2)'!C:C,D24)</f>
        <v>#REF!</v>
      </c>
      <c r="CA24" s="58" t="e">
        <f t="shared" si="56"/>
        <v>#REF!</v>
      </c>
    </row>
    <row r="25" spans="2:79" x14ac:dyDescent="0.25">
      <c r="B25" s="13" t="s">
        <v>34</v>
      </c>
      <c r="C25" s="14" t="s">
        <v>35</v>
      </c>
      <c r="D25" s="4" t="s">
        <v>54</v>
      </c>
      <c r="E25" s="4" t="s">
        <v>55</v>
      </c>
      <c r="F25" s="11" t="e">
        <f>SUMIFS(#REF!,#REF!,$D25)</f>
        <v>#REF!</v>
      </c>
      <c r="G25" s="11" t="e">
        <f>SUMIFS(#REF!,#REF!,$D25)</f>
        <v>#REF!</v>
      </c>
      <c r="H25" s="11" t="e">
        <f>SUMIFS(#REF!,#REF!,$D25)</f>
        <v>#REF!</v>
      </c>
      <c r="I25" s="11" t="e">
        <f>SUMIFS(#REF!,#REF!,$D25)</f>
        <v>#REF!</v>
      </c>
      <c r="J25" s="11" t="e">
        <f>SUMIFS(#REF!,#REF!,$D25)</f>
        <v>#REF!</v>
      </c>
      <c r="K25" s="11" t="e">
        <f>SUMIFS(#REF!,#REF!,$D25)</f>
        <v>#REF!</v>
      </c>
      <c r="L25" s="11" t="e">
        <f t="shared" si="0"/>
        <v>#REF!</v>
      </c>
      <c r="N25" s="43" t="e">
        <f>SUMIFS(#REF!,#REF!,$D25)</f>
        <v>#REF!</v>
      </c>
      <c r="O25" s="11" t="e">
        <f t="shared" si="1"/>
        <v>#REF!</v>
      </c>
      <c r="P25" s="11" t="e">
        <f>SUMIFS(#REF!,#REF!,$D25)</f>
        <v>#REF!</v>
      </c>
      <c r="Q25" s="11" t="e">
        <f>SUMIFS(#REF!,#REF!,$D25)</f>
        <v>#REF!</v>
      </c>
      <c r="R25" s="11" t="e">
        <f t="shared" si="2"/>
        <v>#REF!</v>
      </c>
      <c r="S25" s="11" t="e">
        <f t="shared" si="3"/>
        <v>#REF!</v>
      </c>
      <c r="T25" s="43" t="e">
        <f t="shared" si="4"/>
        <v>#REF!</v>
      </c>
      <c r="U25" s="11" t="e">
        <f t="shared" si="5"/>
        <v>#REF!</v>
      </c>
      <c r="V25" s="11" t="e">
        <f t="shared" si="6"/>
        <v>#REF!</v>
      </c>
      <c r="W25" s="43" t="e">
        <f>SUMIFS(#REF!,#REF!,D25)</f>
        <v>#REF!</v>
      </c>
      <c r="X25" s="11" t="e">
        <f t="shared" si="7"/>
        <v>#REF!</v>
      </c>
      <c r="Y25" s="11" t="e">
        <f t="shared" si="8"/>
        <v>#REF!</v>
      </c>
      <c r="Z25" s="43" t="e">
        <f>SUMIFS(#REF!,#REF!,D25)</f>
        <v>#REF!</v>
      </c>
      <c r="AA25" s="11" t="e">
        <f t="shared" si="9"/>
        <v>#REF!</v>
      </c>
      <c r="AB25" s="11" t="e">
        <f t="shared" si="10"/>
        <v>#REF!</v>
      </c>
      <c r="AC25" s="11" t="e">
        <f t="shared" si="11"/>
        <v>#REF!</v>
      </c>
      <c r="AE25" s="11" t="e">
        <f t="shared" si="12"/>
        <v>#REF!</v>
      </c>
      <c r="AF25" s="11" t="e">
        <f t="shared" si="13"/>
        <v>#REF!</v>
      </c>
      <c r="AG25" s="11" t="e">
        <f t="shared" si="14"/>
        <v>#REF!</v>
      </c>
      <c r="AH25" s="11" t="e">
        <f t="shared" si="15"/>
        <v>#REF!</v>
      </c>
      <c r="AI25" s="11" t="e">
        <f t="shared" si="16"/>
        <v>#REF!</v>
      </c>
      <c r="AJ25" s="43" t="e">
        <f t="shared" si="17"/>
        <v>#REF!</v>
      </c>
      <c r="AK25" s="11" t="e">
        <f t="shared" si="18"/>
        <v>#REF!</v>
      </c>
      <c r="AL25" s="43" t="e">
        <f t="shared" si="19"/>
        <v>#REF!</v>
      </c>
      <c r="AM25" s="11" t="e">
        <f t="shared" si="20"/>
        <v>#REF!</v>
      </c>
      <c r="AN25" s="43" t="e">
        <f t="shared" si="21"/>
        <v>#REF!</v>
      </c>
      <c r="AO25" s="11" t="e">
        <f t="shared" si="22"/>
        <v>#REF!</v>
      </c>
      <c r="AP25" s="11" t="e">
        <f t="shared" si="23"/>
        <v>#REF!</v>
      </c>
      <c r="AQ25" s="43" t="e">
        <f t="shared" si="24"/>
        <v>#REF!</v>
      </c>
      <c r="AR25" s="11" t="e">
        <f t="shared" si="25"/>
        <v>#REF!</v>
      </c>
      <c r="AT25" s="11" t="e">
        <f t="shared" si="26"/>
        <v>#REF!</v>
      </c>
      <c r="AU25" s="11" t="e">
        <f t="shared" si="27"/>
        <v>#REF!</v>
      </c>
      <c r="AV25" s="11" t="e">
        <f t="shared" si="28"/>
        <v>#REF!</v>
      </c>
      <c r="AW25" s="11" t="e">
        <f t="shared" si="29"/>
        <v>#REF!</v>
      </c>
      <c r="AX25" s="11" t="e">
        <f t="shared" si="30"/>
        <v>#REF!</v>
      </c>
      <c r="AY25" s="11" t="e">
        <f t="shared" si="31"/>
        <v>#REF!</v>
      </c>
      <c r="AZ25" s="43" t="e">
        <f t="shared" si="32"/>
        <v>#REF!</v>
      </c>
      <c r="BA25" s="11" t="e">
        <f t="shared" si="33"/>
        <v>#REF!</v>
      </c>
      <c r="BB25" s="43" t="e">
        <f t="shared" si="34"/>
        <v>#REF!</v>
      </c>
      <c r="BC25" s="11" t="e">
        <f t="shared" si="35"/>
        <v>#REF!</v>
      </c>
      <c r="BD25" s="43" t="e">
        <f t="shared" si="36"/>
        <v>#REF!</v>
      </c>
      <c r="BE25" s="11" t="e">
        <f t="shared" si="37"/>
        <v>#REF!</v>
      </c>
      <c r="BF25" s="11" t="e">
        <f t="shared" si="38"/>
        <v>#REF!</v>
      </c>
      <c r="BG25" s="43" t="e">
        <f t="shared" si="39"/>
        <v>#REF!</v>
      </c>
      <c r="BH25" s="11" t="e">
        <f t="shared" si="40"/>
        <v>#REF!</v>
      </c>
      <c r="BJ25" s="11" t="e">
        <f t="shared" si="41"/>
        <v>#REF!</v>
      </c>
      <c r="BK25" s="11" t="e">
        <f t="shared" si="42"/>
        <v>#REF!</v>
      </c>
      <c r="BL25" s="11" t="e">
        <f t="shared" si="43"/>
        <v>#REF!</v>
      </c>
      <c r="BM25" s="11" t="e">
        <f t="shared" si="44"/>
        <v>#REF!</v>
      </c>
      <c r="BN25" s="11" t="e">
        <f t="shared" si="45"/>
        <v>#REF!</v>
      </c>
      <c r="BO25" s="11" t="e">
        <f t="shared" si="46"/>
        <v>#REF!</v>
      </c>
      <c r="BP25" s="43" t="e">
        <f t="shared" si="47"/>
        <v>#REF!</v>
      </c>
      <c r="BQ25" s="11" t="e">
        <f t="shared" si="48"/>
        <v>#REF!</v>
      </c>
      <c r="BR25" s="43" t="e">
        <f t="shared" si="49"/>
        <v>#REF!</v>
      </c>
      <c r="BS25" s="11" t="e">
        <f t="shared" si="50"/>
        <v>#REF!</v>
      </c>
      <c r="BT25" s="43" t="e">
        <f t="shared" si="51"/>
        <v>#REF!</v>
      </c>
      <c r="BU25" s="11" t="e">
        <f t="shared" si="52"/>
        <v>#REF!</v>
      </c>
      <c r="BV25" s="11" t="e">
        <f t="shared" si="53"/>
        <v>#REF!</v>
      </c>
      <c r="BW25" s="43" t="e">
        <f t="shared" si="54"/>
        <v>#REF!</v>
      </c>
      <c r="BX25" s="11" t="e">
        <f t="shared" si="55"/>
        <v>#REF!</v>
      </c>
      <c r="BZ25" s="11" t="e">
        <f>SUMIFS('ICB Core Allocation 2024-25 (2)'!S:S,'ICB Core Allocation 2024-25 (2)'!C:C,D25)</f>
        <v>#REF!</v>
      </c>
      <c r="CA25" s="58" t="e">
        <f t="shared" si="56"/>
        <v>#REF!</v>
      </c>
    </row>
    <row r="26" spans="2:79" x14ac:dyDescent="0.25">
      <c r="B26" s="13" t="s">
        <v>27</v>
      </c>
      <c r="C26" s="14" t="s">
        <v>28</v>
      </c>
      <c r="D26" s="4" t="s">
        <v>31</v>
      </c>
      <c r="E26" s="4" t="s">
        <v>8</v>
      </c>
      <c r="F26" s="11" t="e">
        <f>SUMIFS(#REF!,#REF!,$D26)</f>
        <v>#REF!</v>
      </c>
      <c r="G26" s="11" t="e">
        <f>SUMIFS(#REF!,#REF!,$D26)</f>
        <v>#REF!</v>
      </c>
      <c r="H26" s="11" t="e">
        <f>SUMIFS(#REF!,#REF!,$D26)</f>
        <v>#REF!</v>
      </c>
      <c r="I26" s="11" t="e">
        <f>SUMIFS(#REF!,#REF!,$D26)</f>
        <v>#REF!</v>
      </c>
      <c r="J26" s="11" t="e">
        <f>SUMIFS(#REF!,#REF!,$D26)</f>
        <v>#REF!</v>
      </c>
      <c r="K26" s="11" t="e">
        <f>SUMIFS(#REF!,#REF!,$D26)</f>
        <v>#REF!</v>
      </c>
      <c r="L26" s="11" t="e">
        <f t="shared" si="0"/>
        <v>#REF!</v>
      </c>
      <c r="N26" s="43" t="e">
        <f>SUMIFS(#REF!,#REF!,$D26)</f>
        <v>#REF!</v>
      </c>
      <c r="O26" s="11" t="e">
        <f t="shared" si="1"/>
        <v>#REF!</v>
      </c>
      <c r="P26" s="11" t="e">
        <f>SUMIFS(#REF!,#REF!,$D26)</f>
        <v>#REF!</v>
      </c>
      <c r="Q26" s="11" t="e">
        <f>SUMIFS(#REF!,#REF!,$D26)</f>
        <v>#REF!</v>
      </c>
      <c r="R26" s="11" t="e">
        <f t="shared" si="2"/>
        <v>#REF!</v>
      </c>
      <c r="S26" s="11" t="e">
        <f t="shared" si="3"/>
        <v>#REF!</v>
      </c>
      <c r="T26" s="43" t="e">
        <f t="shared" si="4"/>
        <v>#REF!</v>
      </c>
      <c r="U26" s="11" t="e">
        <f t="shared" si="5"/>
        <v>#REF!</v>
      </c>
      <c r="V26" s="11" t="e">
        <f t="shared" si="6"/>
        <v>#REF!</v>
      </c>
      <c r="W26" s="43" t="e">
        <f>SUMIFS(#REF!,#REF!,D26)</f>
        <v>#REF!</v>
      </c>
      <c r="X26" s="11" t="e">
        <f t="shared" si="7"/>
        <v>#REF!</v>
      </c>
      <c r="Y26" s="11" t="e">
        <f t="shared" si="8"/>
        <v>#REF!</v>
      </c>
      <c r="Z26" s="43" t="e">
        <f>SUMIFS(#REF!,#REF!,D26)</f>
        <v>#REF!</v>
      </c>
      <c r="AA26" s="11" t="e">
        <f t="shared" si="9"/>
        <v>#REF!</v>
      </c>
      <c r="AB26" s="11" t="e">
        <f t="shared" si="10"/>
        <v>#REF!</v>
      </c>
      <c r="AC26" s="11" t="e">
        <f t="shared" si="11"/>
        <v>#REF!</v>
      </c>
      <c r="AE26" s="11" t="e">
        <f t="shared" si="12"/>
        <v>#REF!</v>
      </c>
      <c r="AF26" s="11" t="e">
        <f t="shared" si="13"/>
        <v>#REF!</v>
      </c>
      <c r="AG26" s="11" t="e">
        <f t="shared" si="14"/>
        <v>#REF!</v>
      </c>
      <c r="AH26" s="11" t="e">
        <f t="shared" si="15"/>
        <v>#REF!</v>
      </c>
      <c r="AI26" s="11" t="e">
        <f t="shared" si="16"/>
        <v>#REF!</v>
      </c>
      <c r="AJ26" s="43" t="e">
        <f t="shared" si="17"/>
        <v>#REF!</v>
      </c>
      <c r="AK26" s="11" t="e">
        <f t="shared" si="18"/>
        <v>#REF!</v>
      </c>
      <c r="AL26" s="43" t="e">
        <f t="shared" si="19"/>
        <v>#REF!</v>
      </c>
      <c r="AM26" s="11" t="e">
        <f t="shared" si="20"/>
        <v>#REF!</v>
      </c>
      <c r="AN26" s="43" t="e">
        <f t="shared" si="21"/>
        <v>#REF!</v>
      </c>
      <c r="AO26" s="11" t="e">
        <f t="shared" si="22"/>
        <v>#REF!</v>
      </c>
      <c r="AP26" s="11" t="e">
        <f t="shared" si="23"/>
        <v>#REF!</v>
      </c>
      <c r="AQ26" s="43" t="e">
        <f t="shared" si="24"/>
        <v>#REF!</v>
      </c>
      <c r="AR26" s="11" t="e">
        <f t="shared" si="25"/>
        <v>#REF!</v>
      </c>
      <c r="AT26" s="11" t="e">
        <f t="shared" si="26"/>
        <v>#REF!</v>
      </c>
      <c r="AU26" s="11" t="e">
        <f t="shared" si="27"/>
        <v>#REF!</v>
      </c>
      <c r="AV26" s="11" t="e">
        <f t="shared" si="28"/>
        <v>#REF!</v>
      </c>
      <c r="AW26" s="11" t="e">
        <f t="shared" si="29"/>
        <v>#REF!</v>
      </c>
      <c r="AX26" s="11" t="e">
        <f t="shared" si="30"/>
        <v>#REF!</v>
      </c>
      <c r="AY26" s="11" t="e">
        <f t="shared" si="31"/>
        <v>#REF!</v>
      </c>
      <c r="AZ26" s="43" t="e">
        <f t="shared" si="32"/>
        <v>#REF!</v>
      </c>
      <c r="BA26" s="11" t="e">
        <f t="shared" si="33"/>
        <v>#REF!</v>
      </c>
      <c r="BB26" s="43" t="e">
        <f t="shared" si="34"/>
        <v>#REF!</v>
      </c>
      <c r="BC26" s="11" t="e">
        <f t="shared" si="35"/>
        <v>#REF!</v>
      </c>
      <c r="BD26" s="43" t="e">
        <f t="shared" si="36"/>
        <v>#REF!</v>
      </c>
      <c r="BE26" s="11" t="e">
        <f t="shared" si="37"/>
        <v>#REF!</v>
      </c>
      <c r="BF26" s="11" t="e">
        <f t="shared" si="38"/>
        <v>#REF!</v>
      </c>
      <c r="BG26" s="43" t="e">
        <f t="shared" si="39"/>
        <v>#REF!</v>
      </c>
      <c r="BH26" s="11" t="e">
        <f t="shared" si="40"/>
        <v>#REF!</v>
      </c>
      <c r="BJ26" s="11" t="e">
        <f t="shared" si="41"/>
        <v>#REF!</v>
      </c>
      <c r="BK26" s="11" t="e">
        <f t="shared" si="42"/>
        <v>#REF!</v>
      </c>
      <c r="BL26" s="11" t="e">
        <f t="shared" si="43"/>
        <v>#REF!</v>
      </c>
      <c r="BM26" s="11" t="e">
        <f t="shared" si="44"/>
        <v>#REF!</v>
      </c>
      <c r="BN26" s="11" t="e">
        <f t="shared" si="45"/>
        <v>#REF!</v>
      </c>
      <c r="BO26" s="11" t="e">
        <f t="shared" si="46"/>
        <v>#REF!</v>
      </c>
      <c r="BP26" s="43" t="e">
        <f t="shared" si="47"/>
        <v>#REF!</v>
      </c>
      <c r="BQ26" s="11" t="e">
        <f t="shared" si="48"/>
        <v>#REF!</v>
      </c>
      <c r="BR26" s="43" t="e">
        <f t="shared" si="49"/>
        <v>#REF!</v>
      </c>
      <c r="BS26" s="11" t="e">
        <f t="shared" si="50"/>
        <v>#REF!</v>
      </c>
      <c r="BT26" s="43" t="e">
        <f t="shared" si="51"/>
        <v>#REF!</v>
      </c>
      <c r="BU26" s="11" t="e">
        <f t="shared" si="52"/>
        <v>#REF!</v>
      </c>
      <c r="BV26" s="11" t="e">
        <f t="shared" si="53"/>
        <v>#REF!</v>
      </c>
      <c r="BW26" s="43" t="e">
        <f t="shared" si="54"/>
        <v>#REF!</v>
      </c>
      <c r="BX26" s="11" t="e">
        <f t="shared" si="55"/>
        <v>#REF!</v>
      </c>
      <c r="BZ26" s="11" t="e">
        <f>SUMIFS('ICB Core Allocation 2024-25 (2)'!S:S,'ICB Core Allocation 2024-25 (2)'!C:C,D26)</f>
        <v>#REF!</v>
      </c>
      <c r="CA26" s="58" t="e">
        <f t="shared" si="56"/>
        <v>#REF!</v>
      </c>
    </row>
    <row r="27" spans="2:79" x14ac:dyDescent="0.25">
      <c r="B27" s="13" t="s">
        <v>84</v>
      </c>
      <c r="C27" s="14" t="s">
        <v>85</v>
      </c>
      <c r="D27" s="4" t="s">
        <v>88</v>
      </c>
      <c r="E27" s="4" t="s">
        <v>89</v>
      </c>
      <c r="F27" s="11" t="e">
        <f>SUMIFS(#REF!,#REF!,$D27)</f>
        <v>#REF!</v>
      </c>
      <c r="G27" s="11" t="e">
        <f>SUMIFS(#REF!,#REF!,$D27)</f>
        <v>#REF!</v>
      </c>
      <c r="H27" s="11" t="e">
        <f>SUMIFS(#REF!,#REF!,$D27)</f>
        <v>#REF!</v>
      </c>
      <c r="I27" s="11" t="e">
        <f>SUMIFS(#REF!,#REF!,$D27)</f>
        <v>#REF!</v>
      </c>
      <c r="J27" s="11" t="e">
        <f>SUMIFS(#REF!,#REF!,$D27)</f>
        <v>#REF!</v>
      </c>
      <c r="K27" s="11" t="e">
        <f>SUMIFS(#REF!,#REF!,$D27)</f>
        <v>#REF!</v>
      </c>
      <c r="L27" s="11" t="e">
        <f t="shared" si="0"/>
        <v>#REF!</v>
      </c>
      <c r="N27" s="43" t="e">
        <f>SUMIFS(#REF!,#REF!,$D27)</f>
        <v>#REF!</v>
      </c>
      <c r="O27" s="11" t="e">
        <f t="shared" si="1"/>
        <v>#REF!</v>
      </c>
      <c r="P27" s="11" t="e">
        <f>SUMIFS(#REF!,#REF!,$D27)</f>
        <v>#REF!</v>
      </c>
      <c r="Q27" s="11" t="e">
        <f>SUMIFS(#REF!,#REF!,$D27)</f>
        <v>#REF!</v>
      </c>
      <c r="R27" s="11" t="e">
        <f t="shared" si="2"/>
        <v>#REF!</v>
      </c>
      <c r="S27" s="11" t="e">
        <f t="shared" si="3"/>
        <v>#REF!</v>
      </c>
      <c r="T27" s="43" t="e">
        <f t="shared" si="4"/>
        <v>#REF!</v>
      </c>
      <c r="U27" s="11" t="e">
        <f t="shared" si="5"/>
        <v>#REF!</v>
      </c>
      <c r="V27" s="11" t="e">
        <f t="shared" si="6"/>
        <v>#REF!</v>
      </c>
      <c r="W27" s="43" t="e">
        <f>SUMIFS(#REF!,#REF!,D27)</f>
        <v>#REF!</v>
      </c>
      <c r="X27" s="11" t="e">
        <f t="shared" si="7"/>
        <v>#REF!</v>
      </c>
      <c r="Y27" s="11" t="e">
        <f t="shared" si="8"/>
        <v>#REF!</v>
      </c>
      <c r="Z27" s="43" t="e">
        <f>SUMIFS(#REF!,#REF!,D27)</f>
        <v>#REF!</v>
      </c>
      <c r="AA27" s="11" t="e">
        <f t="shared" si="9"/>
        <v>#REF!</v>
      </c>
      <c r="AB27" s="11" t="e">
        <f t="shared" si="10"/>
        <v>#REF!</v>
      </c>
      <c r="AC27" s="11" t="e">
        <f t="shared" si="11"/>
        <v>#REF!</v>
      </c>
      <c r="AE27" s="11" t="e">
        <f t="shared" si="12"/>
        <v>#REF!</v>
      </c>
      <c r="AF27" s="11" t="e">
        <f t="shared" si="13"/>
        <v>#REF!</v>
      </c>
      <c r="AG27" s="11" t="e">
        <f t="shared" si="14"/>
        <v>#REF!</v>
      </c>
      <c r="AH27" s="11" t="e">
        <f t="shared" si="15"/>
        <v>#REF!</v>
      </c>
      <c r="AI27" s="11" t="e">
        <f t="shared" si="16"/>
        <v>#REF!</v>
      </c>
      <c r="AJ27" s="43" t="e">
        <f t="shared" si="17"/>
        <v>#REF!</v>
      </c>
      <c r="AK27" s="11" t="e">
        <f t="shared" si="18"/>
        <v>#REF!</v>
      </c>
      <c r="AL27" s="43" t="e">
        <f t="shared" si="19"/>
        <v>#REF!</v>
      </c>
      <c r="AM27" s="11" t="e">
        <f t="shared" si="20"/>
        <v>#REF!</v>
      </c>
      <c r="AN27" s="43" t="e">
        <f t="shared" si="21"/>
        <v>#REF!</v>
      </c>
      <c r="AO27" s="11" t="e">
        <f t="shared" si="22"/>
        <v>#REF!</v>
      </c>
      <c r="AP27" s="11" t="e">
        <f t="shared" si="23"/>
        <v>#REF!</v>
      </c>
      <c r="AQ27" s="43" t="e">
        <f t="shared" si="24"/>
        <v>#REF!</v>
      </c>
      <c r="AR27" s="11" t="e">
        <f t="shared" si="25"/>
        <v>#REF!</v>
      </c>
      <c r="AT27" s="11" t="e">
        <f t="shared" si="26"/>
        <v>#REF!</v>
      </c>
      <c r="AU27" s="11" t="e">
        <f t="shared" si="27"/>
        <v>#REF!</v>
      </c>
      <c r="AV27" s="11" t="e">
        <f t="shared" si="28"/>
        <v>#REF!</v>
      </c>
      <c r="AW27" s="11" t="e">
        <f t="shared" si="29"/>
        <v>#REF!</v>
      </c>
      <c r="AX27" s="11" t="e">
        <f t="shared" si="30"/>
        <v>#REF!</v>
      </c>
      <c r="AY27" s="11" t="e">
        <f t="shared" si="31"/>
        <v>#REF!</v>
      </c>
      <c r="AZ27" s="43" t="e">
        <f t="shared" si="32"/>
        <v>#REF!</v>
      </c>
      <c r="BA27" s="11" t="e">
        <f t="shared" si="33"/>
        <v>#REF!</v>
      </c>
      <c r="BB27" s="43" t="e">
        <f t="shared" si="34"/>
        <v>#REF!</v>
      </c>
      <c r="BC27" s="11" t="e">
        <f t="shared" si="35"/>
        <v>#REF!</v>
      </c>
      <c r="BD27" s="43" t="e">
        <f t="shared" si="36"/>
        <v>#REF!</v>
      </c>
      <c r="BE27" s="11" t="e">
        <f t="shared" si="37"/>
        <v>#REF!</v>
      </c>
      <c r="BF27" s="11" t="e">
        <f t="shared" si="38"/>
        <v>#REF!</v>
      </c>
      <c r="BG27" s="43" t="e">
        <f t="shared" si="39"/>
        <v>#REF!</v>
      </c>
      <c r="BH27" s="11" t="e">
        <f t="shared" si="40"/>
        <v>#REF!</v>
      </c>
      <c r="BJ27" s="11" t="e">
        <f t="shared" si="41"/>
        <v>#REF!</v>
      </c>
      <c r="BK27" s="11" t="e">
        <f t="shared" si="42"/>
        <v>#REF!</v>
      </c>
      <c r="BL27" s="11" t="e">
        <f t="shared" si="43"/>
        <v>#REF!</v>
      </c>
      <c r="BM27" s="11" t="e">
        <f t="shared" si="44"/>
        <v>#REF!</v>
      </c>
      <c r="BN27" s="11" t="e">
        <f t="shared" si="45"/>
        <v>#REF!</v>
      </c>
      <c r="BO27" s="11" t="e">
        <f t="shared" si="46"/>
        <v>#REF!</v>
      </c>
      <c r="BP27" s="43" t="e">
        <f t="shared" si="47"/>
        <v>#REF!</v>
      </c>
      <c r="BQ27" s="11" t="e">
        <f t="shared" si="48"/>
        <v>#REF!</v>
      </c>
      <c r="BR27" s="43" t="e">
        <f t="shared" si="49"/>
        <v>#REF!</v>
      </c>
      <c r="BS27" s="11" t="e">
        <f t="shared" si="50"/>
        <v>#REF!</v>
      </c>
      <c r="BT27" s="43" t="e">
        <f t="shared" si="51"/>
        <v>#REF!</v>
      </c>
      <c r="BU27" s="11" t="e">
        <f t="shared" si="52"/>
        <v>#REF!</v>
      </c>
      <c r="BV27" s="11" t="e">
        <f t="shared" si="53"/>
        <v>#REF!</v>
      </c>
      <c r="BW27" s="43" t="e">
        <f t="shared" si="54"/>
        <v>#REF!</v>
      </c>
      <c r="BX27" s="11" t="e">
        <f t="shared" si="55"/>
        <v>#REF!</v>
      </c>
      <c r="BZ27" s="11" t="e">
        <f>SUMIFS('ICB Core Allocation 2024-25 (2)'!S:S,'ICB Core Allocation 2024-25 (2)'!C:C,D27)</f>
        <v>#REF!</v>
      </c>
      <c r="CA27" s="58" t="e">
        <f t="shared" si="56"/>
        <v>#REF!</v>
      </c>
    </row>
    <row r="28" spans="2:79" x14ac:dyDescent="0.25">
      <c r="B28" s="15" t="s">
        <v>84</v>
      </c>
      <c r="C28" s="16" t="s">
        <v>85</v>
      </c>
      <c r="D28" s="17" t="s">
        <v>90</v>
      </c>
      <c r="E28" s="17" t="s">
        <v>91</v>
      </c>
      <c r="F28" s="18" t="e">
        <f>SUMIFS(#REF!,#REF!,$D28)</f>
        <v>#REF!</v>
      </c>
      <c r="G28" s="18" t="e">
        <f>SUMIFS(#REF!,#REF!,$D28)</f>
        <v>#REF!</v>
      </c>
      <c r="H28" s="18" t="e">
        <f>SUMIFS(#REF!,#REF!,$D28)</f>
        <v>#REF!</v>
      </c>
      <c r="I28" s="18" t="e">
        <f>SUMIFS(#REF!,#REF!,$D28)</f>
        <v>#REF!</v>
      </c>
      <c r="J28" s="18" t="e">
        <f>SUMIFS(#REF!,#REF!,$D28)</f>
        <v>#REF!</v>
      </c>
      <c r="K28" s="18" t="e">
        <f>SUMIFS(#REF!,#REF!,$D28)</f>
        <v>#REF!</v>
      </c>
      <c r="L28" s="18" t="e">
        <f t="shared" si="0"/>
        <v>#REF!</v>
      </c>
      <c r="N28" s="44" t="e">
        <f>SUMIFS(#REF!,#REF!,$D28)</f>
        <v>#REF!</v>
      </c>
      <c r="O28" s="18" t="e">
        <f t="shared" si="1"/>
        <v>#REF!</v>
      </c>
      <c r="P28" s="18" t="e">
        <f>SUMIFS(#REF!,#REF!,$D28)</f>
        <v>#REF!</v>
      </c>
      <c r="Q28" s="18" t="e">
        <f>SUMIFS(#REF!,#REF!,$D28)</f>
        <v>#REF!</v>
      </c>
      <c r="R28" s="18" t="e">
        <f t="shared" si="2"/>
        <v>#REF!</v>
      </c>
      <c r="S28" s="18" t="e">
        <f t="shared" si="3"/>
        <v>#REF!</v>
      </c>
      <c r="T28" s="44" t="e">
        <f t="shared" si="4"/>
        <v>#REF!</v>
      </c>
      <c r="U28" s="18" t="e">
        <f t="shared" si="5"/>
        <v>#REF!</v>
      </c>
      <c r="V28" s="18" t="e">
        <f t="shared" si="6"/>
        <v>#REF!</v>
      </c>
      <c r="W28" s="44" t="e">
        <f>SUMIFS(#REF!,#REF!,D28)</f>
        <v>#REF!</v>
      </c>
      <c r="X28" s="18" t="e">
        <f t="shared" si="7"/>
        <v>#REF!</v>
      </c>
      <c r="Y28" s="18" t="e">
        <f t="shared" si="8"/>
        <v>#REF!</v>
      </c>
      <c r="Z28" s="44" t="e">
        <f>SUMIFS(#REF!,#REF!,D28)</f>
        <v>#REF!</v>
      </c>
      <c r="AA28" s="18" t="e">
        <f t="shared" si="9"/>
        <v>#REF!</v>
      </c>
      <c r="AB28" s="18" t="e">
        <f t="shared" si="10"/>
        <v>#REF!</v>
      </c>
      <c r="AC28" s="18" t="e">
        <f t="shared" si="11"/>
        <v>#REF!</v>
      </c>
      <c r="AE28" s="18" t="e">
        <f t="shared" si="12"/>
        <v>#REF!</v>
      </c>
      <c r="AF28" s="18" t="e">
        <f t="shared" si="13"/>
        <v>#REF!</v>
      </c>
      <c r="AG28" s="18" t="e">
        <f t="shared" si="14"/>
        <v>#REF!</v>
      </c>
      <c r="AH28" s="18" t="e">
        <f t="shared" si="15"/>
        <v>#REF!</v>
      </c>
      <c r="AI28" s="18" t="e">
        <f t="shared" si="16"/>
        <v>#REF!</v>
      </c>
      <c r="AJ28" s="44" t="e">
        <f t="shared" si="17"/>
        <v>#REF!</v>
      </c>
      <c r="AK28" s="18" t="e">
        <f t="shared" si="18"/>
        <v>#REF!</v>
      </c>
      <c r="AL28" s="44" t="e">
        <f t="shared" si="19"/>
        <v>#REF!</v>
      </c>
      <c r="AM28" s="18" t="e">
        <f t="shared" si="20"/>
        <v>#REF!</v>
      </c>
      <c r="AN28" s="44" t="e">
        <f t="shared" si="21"/>
        <v>#REF!</v>
      </c>
      <c r="AO28" s="18" t="e">
        <f t="shared" si="22"/>
        <v>#REF!</v>
      </c>
      <c r="AP28" s="18" t="e">
        <f t="shared" si="23"/>
        <v>#REF!</v>
      </c>
      <c r="AQ28" s="44" t="e">
        <f t="shared" si="24"/>
        <v>#REF!</v>
      </c>
      <c r="AR28" s="18" t="e">
        <f t="shared" si="25"/>
        <v>#REF!</v>
      </c>
      <c r="AT28" s="18" t="e">
        <f t="shared" si="26"/>
        <v>#REF!</v>
      </c>
      <c r="AU28" s="18" t="e">
        <f t="shared" si="27"/>
        <v>#REF!</v>
      </c>
      <c r="AV28" s="18" t="e">
        <f t="shared" si="28"/>
        <v>#REF!</v>
      </c>
      <c r="AW28" s="18" t="e">
        <f t="shared" si="29"/>
        <v>#REF!</v>
      </c>
      <c r="AX28" s="18" t="e">
        <f t="shared" si="30"/>
        <v>#REF!</v>
      </c>
      <c r="AY28" s="18" t="e">
        <f t="shared" si="31"/>
        <v>#REF!</v>
      </c>
      <c r="AZ28" s="44" t="e">
        <f t="shared" si="32"/>
        <v>#REF!</v>
      </c>
      <c r="BA28" s="18" t="e">
        <f t="shared" si="33"/>
        <v>#REF!</v>
      </c>
      <c r="BB28" s="44" t="e">
        <f t="shared" si="34"/>
        <v>#REF!</v>
      </c>
      <c r="BC28" s="18" t="e">
        <f t="shared" si="35"/>
        <v>#REF!</v>
      </c>
      <c r="BD28" s="44" t="e">
        <f t="shared" si="36"/>
        <v>#REF!</v>
      </c>
      <c r="BE28" s="18" t="e">
        <f t="shared" si="37"/>
        <v>#REF!</v>
      </c>
      <c r="BF28" s="18" t="e">
        <f t="shared" si="38"/>
        <v>#REF!</v>
      </c>
      <c r="BG28" s="44" t="e">
        <f t="shared" si="39"/>
        <v>#REF!</v>
      </c>
      <c r="BH28" s="18" t="e">
        <f t="shared" si="40"/>
        <v>#REF!</v>
      </c>
      <c r="BJ28" s="18" t="e">
        <f t="shared" si="41"/>
        <v>#REF!</v>
      </c>
      <c r="BK28" s="18" t="e">
        <f t="shared" si="42"/>
        <v>#REF!</v>
      </c>
      <c r="BL28" s="18" t="e">
        <f t="shared" si="43"/>
        <v>#REF!</v>
      </c>
      <c r="BM28" s="18" t="e">
        <f t="shared" si="44"/>
        <v>#REF!</v>
      </c>
      <c r="BN28" s="18" t="e">
        <f t="shared" si="45"/>
        <v>#REF!</v>
      </c>
      <c r="BO28" s="18" t="e">
        <f t="shared" si="46"/>
        <v>#REF!</v>
      </c>
      <c r="BP28" s="44" t="e">
        <f t="shared" si="47"/>
        <v>#REF!</v>
      </c>
      <c r="BQ28" s="18" t="e">
        <f t="shared" si="48"/>
        <v>#REF!</v>
      </c>
      <c r="BR28" s="44" t="e">
        <f t="shared" si="49"/>
        <v>#REF!</v>
      </c>
      <c r="BS28" s="18" t="e">
        <f t="shared" si="50"/>
        <v>#REF!</v>
      </c>
      <c r="BT28" s="44" t="e">
        <f t="shared" si="51"/>
        <v>#REF!</v>
      </c>
      <c r="BU28" s="18" t="e">
        <f t="shared" si="52"/>
        <v>#REF!</v>
      </c>
      <c r="BV28" s="18" t="e">
        <f t="shared" si="53"/>
        <v>#REF!</v>
      </c>
      <c r="BW28" s="44" t="e">
        <f t="shared" si="54"/>
        <v>#REF!</v>
      </c>
      <c r="BX28" s="18" t="e">
        <f t="shared" si="55"/>
        <v>#REF!</v>
      </c>
      <c r="BZ28" s="18" t="e">
        <f>SUMIFS('ICB Core Allocation 2024-25 (2)'!S:S,'ICB Core Allocation 2024-25 (2)'!C:C,D28)</f>
        <v>#REF!</v>
      </c>
      <c r="CA28" s="58" t="e">
        <f t="shared" si="56"/>
        <v>#REF!</v>
      </c>
    </row>
    <row r="29" spans="2:79" x14ac:dyDescent="0.25">
      <c r="B29" s="13" t="s">
        <v>58</v>
      </c>
      <c r="C29" s="14" t="s">
        <v>59</v>
      </c>
      <c r="D29" s="4" t="s">
        <v>62</v>
      </c>
      <c r="E29" s="4" t="s">
        <v>63</v>
      </c>
      <c r="F29" s="11" t="e">
        <f>SUMIFS(#REF!,#REF!,$D29)</f>
        <v>#REF!</v>
      </c>
      <c r="G29" s="11" t="e">
        <f>SUMIFS(#REF!,#REF!,$D29)</f>
        <v>#REF!</v>
      </c>
      <c r="H29" s="11" t="e">
        <f>SUMIFS(#REF!,#REF!,$D29)</f>
        <v>#REF!</v>
      </c>
      <c r="I29" s="11" t="e">
        <f>SUMIFS(#REF!,#REF!,$D29)</f>
        <v>#REF!</v>
      </c>
      <c r="J29" s="11" t="e">
        <f>SUMIFS(#REF!,#REF!,$D29)</f>
        <v>#REF!</v>
      </c>
      <c r="K29" s="11" t="e">
        <f>SUMIFS(#REF!,#REF!,$D29)</f>
        <v>#REF!</v>
      </c>
      <c r="L29" s="11" t="e">
        <f t="shared" si="0"/>
        <v>#REF!</v>
      </c>
      <c r="N29" s="43" t="e">
        <f>SUMIFS(#REF!,#REF!,$D29)</f>
        <v>#REF!</v>
      </c>
      <c r="O29" s="11" t="e">
        <f t="shared" si="1"/>
        <v>#REF!</v>
      </c>
      <c r="P29" s="11" t="e">
        <f>SUMIFS(#REF!,#REF!,$D29)</f>
        <v>#REF!</v>
      </c>
      <c r="Q29" s="11" t="e">
        <f>SUMIFS(#REF!,#REF!,$D29)</f>
        <v>#REF!</v>
      </c>
      <c r="R29" s="11" t="e">
        <f t="shared" si="2"/>
        <v>#REF!</v>
      </c>
      <c r="S29" s="11" t="e">
        <f t="shared" si="3"/>
        <v>#REF!</v>
      </c>
      <c r="T29" s="43" t="e">
        <f t="shared" si="4"/>
        <v>#REF!</v>
      </c>
      <c r="U29" s="11" t="e">
        <f t="shared" si="5"/>
        <v>#REF!</v>
      </c>
      <c r="V29" s="11" t="e">
        <f t="shared" si="6"/>
        <v>#REF!</v>
      </c>
      <c r="W29" s="43" t="e">
        <f>SUMIFS(#REF!,#REF!,D29)</f>
        <v>#REF!</v>
      </c>
      <c r="X29" s="11" t="e">
        <f t="shared" si="7"/>
        <v>#REF!</v>
      </c>
      <c r="Y29" s="11" t="e">
        <f t="shared" si="8"/>
        <v>#REF!</v>
      </c>
      <c r="Z29" s="43" t="e">
        <f>SUMIFS(#REF!,#REF!,D29)</f>
        <v>#REF!</v>
      </c>
      <c r="AA29" s="11" t="e">
        <f t="shared" si="9"/>
        <v>#REF!</v>
      </c>
      <c r="AB29" s="11" t="e">
        <f t="shared" si="10"/>
        <v>#REF!</v>
      </c>
      <c r="AC29" s="11" t="e">
        <f t="shared" si="11"/>
        <v>#REF!</v>
      </c>
      <c r="AE29" s="11" t="e">
        <f t="shared" si="12"/>
        <v>#REF!</v>
      </c>
      <c r="AF29" s="11" t="e">
        <f t="shared" si="13"/>
        <v>#REF!</v>
      </c>
      <c r="AG29" s="11" t="e">
        <f t="shared" si="14"/>
        <v>#REF!</v>
      </c>
      <c r="AH29" s="11" t="e">
        <f t="shared" si="15"/>
        <v>#REF!</v>
      </c>
      <c r="AI29" s="11" t="e">
        <f t="shared" si="16"/>
        <v>#REF!</v>
      </c>
      <c r="AJ29" s="43" t="e">
        <f t="shared" si="17"/>
        <v>#REF!</v>
      </c>
      <c r="AK29" s="11" t="e">
        <f t="shared" si="18"/>
        <v>#REF!</v>
      </c>
      <c r="AL29" s="43" t="e">
        <f t="shared" si="19"/>
        <v>#REF!</v>
      </c>
      <c r="AM29" s="11" t="e">
        <f t="shared" si="20"/>
        <v>#REF!</v>
      </c>
      <c r="AN29" s="43" t="e">
        <f t="shared" si="21"/>
        <v>#REF!</v>
      </c>
      <c r="AO29" s="11" t="e">
        <f t="shared" si="22"/>
        <v>#REF!</v>
      </c>
      <c r="AP29" s="11" t="e">
        <f t="shared" si="23"/>
        <v>#REF!</v>
      </c>
      <c r="AQ29" s="43" t="e">
        <f t="shared" si="24"/>
        <v>#REF!</v>
      </c>
      <c r="AR29" s="11" t="e">
        <f t="shared" si="25"/>
        <v>#REF!</v>
      </c>
      <c r="AT29" s="11" t="e">
        <f t="shared" si="26"/>
        <v>#REF!</v>
      </c>
      <c r="AU29" s="11" t="e">
        <f t="shared" si="27"/>
        <v>#REF!</v>
      </c>
      <c r="AV29" s="11" t="e">
        <f t="shared" si="28"/>
        <v>#REF!</v>
      </c>
      <c r="AW29" s="11" t="e">
        <f t="shared" si="29"/>
        <v>#REF!</v>
      </c>
      <c r="AX29" s="11" t="e">
        <f t="shared" si="30"/>
        <v>#REF!</v>
      </c>
      <c r="AY29" s="11" t="e">
        <f t="shared" si="31"/>
        <v>#REF!</v>
      </c>
      <c r="AZ29" s="43" t="e">
        <f t="shared" si="32"/>
        <v>#REF!</v>
      </c>
      <c r="BA29" s="11" t="e">
        <f t="shared" si="33"/>
        <v>#REF!</v>
      </c>
      <c r="BB29" s="43" t="e">
        <f t="shared" si="34"/>
        <v>#REF!</v>
      </c>
      <c r="BC29" s="11" t="e">
        <f t="shared" si="35"/>
        <v>#REF!</v>
      </c>
      <c r="BD29" s="43" t="e">
        <f t="shared" si="36"/>
        <v>#REF!</v>
      </c>
      <c r="BE29" s="11" t="e">
        <f t="shared" si="37"/>
        <v>#REF!</v>
      </c>
      <c r="BF29" s="11" t="e">
        <f t="shared" si="38"/>
        <v>#REF!</v>
      </c>
      <c r="BG29" s="43" t="e">
        <f t="shared" si="39"/>
        <v>#REF!</v>
      </c>
      <c r="BH29" s="11" t="e">
        <f t="shared" si="40"/>
        <v>#REF!</v>
      </c>
      <c r="BJ29" s="11" t="e">
        <f t="shared" si="41"/>
        <v>#REF!</v>
      </c>
      <c r="BK29" s="11" t="e">
        <f t="shared" si="42"/>
        <v>#REF!</v>
      </c>
      <c r="BL29" s="11" t="e">
        <f t="shared" si="43"/>
        <v>#REF!</v>
      </c>
      <c r="BM29" s="11" t="e">
        <f t="shared" si="44"/>
        <v>#REF!</v>
      </c>
      <c r="BN29" s="11" t="e">
        <f t="shared" si="45"/>
        <v>#REF!</v>
      </c>
      <c r="BO29" s="11" t="e">
        <f t="shared" si="46"/>
        <v>#REF!</v>
      </c>
      <c r="BP29" s="43" t="e">
        <f t="shared" si="47"/>
        <v>#REF!</v>
      </c>
      <c r="BQ29" s="11" t="e">
        <f t="shared" si="48"/>
        <v>#REF!</v>
      </c>
      <c r="BR29" s="43" t="e">
        <f t="shared" si="49"/>
        <v>#REF!</v>
      </c>
      <c r="BS29" s="11" t="e">
        <f t="shared" si="50"/>
        <v>#REF!</v>
      </c>
      <c r="BT29" s="43" t="e">
        <f t="shared" si="51"/>
        <v>#REF!</v>
      </c>
      <c r="BU29" s="11" t="e">
        <f t="shared" si="52"/>
        <v>#REF!</v>
      </c>
      <c r="BV29" s="11" t="e">
        <f t="shared" si="53"/>
        <v>#REF!</v>
      </c>
      <c r="BW29" s="43" t="e">
        <f t="shared" si="54"/>
        <v>#REF!</v>
      </c>
      <c r="BX29" s="11" t="e">
        <f t="shared" si="55"/>
        <v>#REF!</v>
      </c>
      <c r="BZ29" s="11" t="e">
        <f>SUMIFS('ICB Core Allocation 2024-25 (2)'!S:S,'ICB Core Allocation 2024-25 (2)'!C:C,D29)</f>
        <v>#REF!</v>
      </c>
      <c r="CA29" s="58" t="e">
        <f t="shared" si="56"/>
        <v>#REF!</v>
      </c>
    </row>
    <row r="30" spans="2:79" x14ac:dyDescent="0.25">
      <c r="B30" s="13" t="s">
        <v>84</v>
      </c>
      <c r="C30" s="14" t="s">
        <v>85</v>
      </c>
      <c r="D30" s="4" t="s">
        <v>92</v>
      </c>
      <c r="E30" s="4" t="s">
        <v>93</v>
      </c>
      <c r="F30" s="11" t="e">
        <f>SUMIFS(#REF!,#REF!,$D30)</f>
        <v>#REF!</v>
      </c>
      <c r="G30" s="11" t="e">
        <f>SUMIFS(#REF!,#REF!,$D30)</f>
        <v>#REF!</v>
      </c>
      <c r="H30" s="11" t="e">
        <f>SUMIFS(#REF!,#REF!,$D30)</f>
        <v>#REF!</v>
      </c>
      <c r="I30" s="11" t="e">
        <f>SUMIFS(#REF!,#REF!,$D30)</f>
        <v>#REF!</v>
      </c>
      <c r="J30" s="11" t="e">
        <f>SUMIFS(#REF!,#REF!,$D30)</f>
        <v>#REF!</v>
      </c>
      <c r="K30" s="11" t="e">
        <f>SUMIFS(#REF!,#REF!,$D30)</f>
        <v>#REF!</v>
      </c>
      <c r="L30" s="11" t="e">
        <f t="shared" si="0"/>
        <v>#REF!</v>
      </c>
      <c r="N30" s="43" t="e">
        <f>SUMIFS(#REF!,#REF!,$D30)</f>
        <v>#REF!</v>
      </c>
      <c r="O30" s="11" t="e">
        <f t="shared" si="1"/>
        <v>#REF!</v>
      </c>
      <c r="P30" s="11" t="e">
        <f>SUMIFS(#REF!,#REF!,$D30)</f>
        <v>#REF!</v>
      </c>
      <c r="Q30" s="11" t="e">
        <f>SUMIFS(#REF!,#REF!,$D30)</f>
        <v>#REF!</v>
      </c>
      <c r="R30" s="11" t="e">
        <f t="shared" si="2"/>
        <v>#REF!</v>
      </c>
      <c r="S30" s="11" t="e">
        <f t="shared" si="3"/>
        <v>#REF!</v>
      </c>
      <c r="T30" s="43" t="e">
        <f t="shared" si="4"/>
        <v>#REF!</v>
      </c>
      <c r="U30" s="11" t="e">
        <f t="shared" si="5"/>
        <v>#REF!</v>
      </c>
      <c r="V30" s="11" t="e">
        <f t="shared" si="6"/>
        <v>#REF!</v>
      </c>
      <c r="W30" s="43" t="e">
        <f>SUMIFS(#REF!,#REF!,D30)</f>
        <v>#REF!</v>
      </c>
      <c r="X30" s="11" t="e">
        <f t="shared" si="7"/>
        <v>#REF!</v>
      </c>
      <c r="Y30" s="11" t="e">
        <f t="shared" si="8"/>
        <v>#REF!</v>
      </c>
      <c r="Z30" s="43" t="e">
        <f>SUMIFS(#REF!,#REF!,D30)</f>
        <v>#REF!</v>
      </c>
      <c r="AA30" s="11" t="e">
        <f t="shared" si="9"/>
        <v>#REF!</v>
      </c>
      <c r="AB30" s="11" t="e">
        <f t="shared" si="10"/>
        <v>#REF!</v>
      </c>
      <c r="AC30" s="11" t="e">
        <f t="shared" si="11"/>
        <v>#REF!</v>
      </c>
      <c r="AE30" s="11" t="e">
        <f t="shared" si="12"/>
        <v>#REF!</v>
      </c>
      <c r="AF30" s="11" t="e">
        <f t="shared" si="13"/>
        <v>#REF!</v>
      </c>
      <c r="AG30" s="11" t="e">
        <f t="shared" si="14"/>
        <v>#REF!</v>
      </c>
      <c r="AH30" s="11" t="e">
        <f t="shared" si="15"/>
        <v>#REF!</v>
      </c>
      <c r="AI30" s="11" t="e">
        <f t="shared" si="16"/>
        <v>#REF!</v>
      </c>
      <c r="AJ30" s="43" t="e">
        <f t="shared" si="17"/>
        <v>#REF!</v>
      </c>
      <c r="AK30" s="11" t="e">
        <f t="shared" si="18"/>
        <v>#REF!</v>
      </c>
      <c r="AL30" s="43" t="e">
        <f t="shared" si="19"/>
        <v>#REF!</v>
      </c>
      <c r="AM30" s="11" t="e">
        <f t="shared" si="20"/>
        <v>#REF!</v>
      </c>
      <c r="AN30" s="43" t="e">
        <f t="shared" si="21"/>
        <v>#REF!</v>
      </c>
      <c r="AO30" s="11" t="e">
        <f t="shared" si="22"/>
        <v>#REF!</v>
      </c>
      <c r="AP30" s="11" t="e">
        <f t="shared" si="23"/>
        <v>#REF!</v>
      </c>
      <c r="AQ30" s="43" t="e">
        <f t="shared" si="24"/>
        <v>#REF!</v>
      </c>
      <c r="AR30" s="11" t="e">
        <f t="shared" si="25"/>
        <v>#REF!</v>
      </c>
      <c r="AT30" s="11" t="e">
        <f t="shared" si="26"/>
        <v>#REF!</v>
      </c>
      <c r="AU30" s="11" t="e">
        <f t="shared" si="27"/>
        <v>#REF!</v>
      </c>
      <c r="AV30" s="11" t="e">
        <f t="shared" si="28"/>
        <v>#REF!</v>
      </c>
      <c r="AW30" s="11" t="e">
        <f t="shared" si="29"/>
        <v>#REF!</v>
      </c>
      <c r="AX30" s="11" t="e">
        <f t="shared" si="30"/>
        <v>#REF!</v>
      </c>
      <c r="AY30" s="11" t="e">
        <f t="shared" si="31"/>
        <v>#REF!</v>
      </c>
      <c r="AZ30" s="43" t="e">
        <f t="shared" si="32"/>
        <v>#REF!</v>
      </c>
      <c r="BA30" s="11" t="e">
        <f t="shared" si="33"/>
        <v>#REF!</v>
      </c>
      <c r="BB30" s="43" t="e">
        <f t="shared" si="34"/>
        <v>#REF!</v>
      </c>
      <c r="BC30" s="11" t="e">
        <f t="shared" si="35"/>
        <v>#REF!</v>
      </c>
      <c r="BD30" s="43" t="e">
        <f t="shared" si="36"/>
        <v>#REF!</v>
      </c>
      <c r="BE30" s="11" t="e">
        <f t="shared" si="37"/>
        <v>#REF!</v>
      </c>
      <c r="BF30" s="11" t="e">
        <f t="shared" si="38"/>
        <v>#REF!</v>
      </c>
      <c r="BG30" s="43" t="e">
        <f t="shared" si="39"/>
        <v>#REF!</v>
      </c>
      <c r="BH30" s="11" t="e">
        <f t="shared" si="40"/>
        <v>#REF!</v>
      </c>
      <c r="BJ30" s="11" t="e">
        <f t="shared" si="41"/>
        <v>#REF!</v>
      </c>
      <c r="BK30" s="11" t="e">
        <f t="shared" si="42"/>
        <v>#REF!</v>
      </c>
      <c r="BL30" s="11" t="e">
        <f t="shared" si="43"/>
        <v>#REF!</v>
      </c>
      <c r="BM30" s="11" t="e">
        <f t="shared" si="44"/>
        <v>#REF!</v>
      </c>
      <c r="BN30" s="11" t="e">
        <f t="shared" si="45"/>
        <v>#REF!</v>
      </c>
      <c r="BO30" s="11" t="e">
        <f t="shared" si="46"/>
        <v>#REF!</v>
      </c>
      <c r="BP30" s="43" t="e">
        <f t="shared" si="47"/>
        <v>#REF!</v>
      </c>
      <c r="BQ30" s="11" t="e">
        <f t="shared" si="48"/>
        <v>#REF!</v>
      </c>
      <c r="BR30" s="43" t="e">
        <f t="shared" si="49"/>
        <v>#REF!</v>
      </c>
      <c r="BS30" s="11" t="e">
        <f t="shared" si="50"/>
        <v>#REF!</v>
      </c>
      <c r="BT30" s="43" t="e">
        <f t="shared" si="51"/>
        <v>#REF!</v>
      </c>
      <c r="BU30" s="11" t="e">
        <f t="shared" si="52"/>
        <v>#REF!</v>
      </c>
      <c r="BV30" s="11" t="e">
        <f t="shared" si="53"/>
        <v>#REF!</v>
      </c>
      <c r="BW30" s="43" t="e">
        <f t="shared" si="54"/>
        <v>#REF!</v>
      </c>
      <c r="BX30" s="11" t="e">
        <f t="shared" si="55"/>
        <v>#REF!</v>
      </c>
      <c r="BZ30" s="11" t="e">
        <f>SUMIFS('ICB Core Allocation 2024-25 (2)'!S:S,'ICB Core Allocation 2024-25 (2)'!C:C,D30)</f>
        <v>#REF!</v>
      </c>
      <c r="CA30" s="58" t="e">
        <f t="shared" si="56"/>
        <v>#REF!</v>
      </c>
    </row>
    <row r="31" spans="2:79" x14ac:dyDescent="0.25">
      <c r="B31" s="10" t="s">
        <v>72</v>
      </c>
      <c r="C31" s="4" t="s">
        <v>73</v>
      </c>
      <c r="D31" s="4" t="s">
        <v>74</v>
      </c>
      <c r="E31" s="4" t="s">
        <v>75</v>
      </c>
      <c r="F31" s="11" t="e">
        <f>SUMIFS(#REF!,#REF!,$D31)</f>
        <v>#REF!</v>
      </c>
      <c r="G31" s="11" t="e">
        <f>SUMIFS(#REF!,#REF!,$D31)</f>
        <v>#REF!</v>
      </c>
      <c r="H31" s="11" t="e">
        <f>SUMIFS(#REF!,#REF!,$D31)</f>
        <v>#REF!</v>
      </c>
      <c r="I31" s="11" t="e">
        <f>SUMIFS(#REF!,#REF!,$D31)</f>
        <v>#REF!</v>
      </c>
      <c r="J31" s="11" t="e">
        <f>SUMIFS(#REF!,#REF!,$D31)</f>
        <v>#REF!</v>
      </c>
      <c r="K31" s="11" t="e">
        <f>SUMIFS(#REF!,#REF!,$D31)</f>
        <v>#REF!</v>
      </c>
      <c r="L31" s="11" t="e">
        <f t="shared" si="0"/>
        <v>#REF!</v>
      </c>
      <c r="N31" s="43" t="e">
        <f>SUMIFS(#REF!,#REF!,$D31)</f>
        <v>#REF!</v>
      </c>
      <c r="O31" s="11" t="e">
        <f t="shared" si="1"/>
        <v>#REF!</v>
      </c>
      <c r="P31" s="11" t="e">
        <f>SUMIFS(#REF!,#REF!,$D31)</f>
        <v>#REF!</v>
      </c>
      <c r="Q31" s="11" t="e">
        <f>SUMIFS(#REF!,#REF!,$D31)</f>
        <v>#REF!</v>
      </c>
      <c r="R31" s="11" t="e">
        <f t="shared" si="2"/>
        <v>#REF!</v>
      </c>
      <c r="S31" s="11" t="e">
        <f t="shared" si="3"/>
        <v>#REF!</v>
      </c>
      <c r="T31" s="43" t="e">
        <f t="shared" si="4"/>
        <v>#REF!</v>
      </c>
      <c r="U31" s="11" t="e">
        <f t="shared" si="5"/>
        <v>#REF!</v>
      </c>
      <c r="V31" s="11" t="e">
        <f t="shared" si="6"/>
        <v>#REF!</v>
      </c>
      <c r="W31" s="43" t="e">
        <f>SUMIFS(#REF!,#REF!,D31)</f>
        <v>#REF!</v>
      </c>
      <c r="X31" s="11" t="e">
        <f t="shared" si="7"/>
        <v>#REF!</v>
      </c>
      <c r="Y31" s="11" t="e">
        <f t="shared" si="8"/>
        <v>#REF!</v>
      </c>
      <c r="Z31" s="43" t="e">
        <f>SUMIFS(#REF!,#REF!,D31)</f>
        <v>#REF!</v>
      </c>
      <c r="AA31" s="11" t="e">
        <f t="shared" si="9"/>
        <v>#REF!</v>
      </c>
      <c r="AB31" s="11" t="e">
        <f t="shared" si="10"/>
        <v>#REF!</v>
      </c>
      <c r="AC31" s="11" t="e">
        <f t="shared" si="11"/>
        <v>#REF!</v>
      </c>
      <c r="AE31" s="11" t="e">
        <f t="shared" si="12"/>
        <v>#REF!</v>
      </c>
      <c r="AF31" s="11" t="e">
        <f t="shared" si="13"/>
        <v>#REF!</v>
      </c>
      <c r="AG31" s="11" t="e">
        <f t="shared" si="14"/>
        <v>#REF!</v>
      </c>
      <c r="AH31" s="11" t="e">
        <f t="shared" si="15"/>
        <v>#REF!</v>
      </c>
      <c r="AI31" s="11" t="e">
        <f t="shared" si="16"/>
        <v>#REF!</v>
      </c>
      <c r="AJ31" s="43" t="e">
        <f t="shared" si="17"/>
        <v>#REF!</v>
      </c>
      <c r="AK31" s="11" t="e">
        <f t="shared" si="18"/>
        <v>#REF!</v>
      </c>
      <c r="AL31" s="43" t="e">
        <f t="shared" si="19"/>
        <v>#REF!</v>
      </c>
      <c r="AM31" s="11" t="e">
        <f t="shared" si="20"/>
        <v>#REF!</v>
      </c>
      <c r="AN31" s="43" t="e">
        <f t="shared" si="21"/>
        <v>#REF!</v>
      </c>
      <c r="AO31" s="11" t="e">
        <f t="shared" si="22"/>
        <v>#REF!</v>
      </c>
      <c r="AP31" s="11" t="e">
        <f t="shared" si="23"/>
        <v>#REF!</v>
      </c>
      <c r="AQ31" s="43" t="e">
        <f t="shared" si="24"/>
        <v>#REF!</v>
      </c>
      <c r="AR31" s="11" t="e">
        <f t="shared" si="25"/>
        <v>#REF!</v>
      </c>
      <c r="AT31" s="11" t="e">
        <f t="shared" si="26"/>
        <v>#REF!</v>
      </c>
      <c r="AU31" s="11" t="e">
        <f t="shared" si="27"/>
        <v>#REF!</v>
      </c>
      <c r="AV31" s="11" t="e">
        <f t="shared" si="28"/>
        <v>#REF!</v>
      </c>
      <c r="AW31" s="11" t="e">
        <f t="shared" si="29"/>
        <v>#REF!</v>
      </c>
      <c r="AX31" s="11" t="e">
        <f t="shared" si="30"/>
        <v>#REF!</v>
      </c>
      <c r="AY31" s="11" t="e">
        <f t="shared" si="31"/>
        <v>#REF!</v>
      </c>
      <c r="AZ31" s="43" t="e">
        <f t="shared" si="32"/>
        <v>#REF!</v>
      </c>
      <c r="BA31" s="11" t="e">
        <f t="shared" si="33"/>
        <v>#REF!</v>
      </c>
      <c r="BB31" s="43" t="e">
        <f t="shared" si="34"/>
        <v>#REF!</v>
      </c>
      <c r="BC31" s="11" t="e">
        <f t="shared" si="35"/>
        <v>#REF!</v>
      </c>
      <c r="BD31" s="43" t="e">
        <f t="shared" si="36"/>
        <v>#REF!</v>
      </c>
      <c r="BE31" s="11" t="e">
        <f t="shared" si="37"/>
        <v>#REF!</v>
      </c>
      <c r="BF31" s="11" t="e">
        <f t="shared" si="38"/>
        <v>#REF!</v>
      </c>
      <c r="BG31" s="43" t="e">
        <f t="shared" si="39"/>
        <v>#REF!</v>
      </c>
      <c r="BH31" s="11" t="e">
        <f t="shared" si="40"/>
        <v>#REF!</v>
      </c>
      <c r="BJ31" s="11" t="e">
        <f t="shared" si="41"/>
        <v>#REF!</v>
      </c>
      <c r="BK31" s="11" t="e">
        <f t="shared" si="42"/>
        <v>#REF!</v>
      </c>
      <c r="BL31" s="11" t="e">
        <f t="shared" si="43"/>
        <v>#REF!</v>
      </c>
      <c r="BM31" s="11" t="e">
        <f t="shared" si="44"/>
        <v>#REF!</v>
      </c>
      <c r="BN31" s="11" t="e">
        <f t="shared" si="45"/>
        <v>#REF!</v>
      </c>
      <c r="BO31" s="11" t="e">
        <f t="shared" si="46"/>
        <v>#REF!</v>
      </c>
      <c r="BP31" s="43" t="e">
        <f t="shared" si="47"/>
        <v>#REF!</v>
      </c>
      <c r="BQ31" s="11" t="e">
        <f t="shared" si="48"/>
        <v>#REF!</v>
      </c>
      <c r="BR31" s="43" t="e">
        <f t="shared" si="49"/>
        <v>#REF!</v>
      </c>
      <c r="BS31" s="11" t="e">
        <f t="shared" si="50"/>
        <v>#REF!</v>
      </c>
      <c r="BT31" s="43" t="e">
        <f t="shared" si="51"/>
        <v>#REF!</v>
      </c>
      <c r="BU31" s="11" t="e">
        <f t="shared" si="52"/>
        <v>#REF!</v>
      </c>
      <c r="BV31" s="11" t="e">
        <f t="shared" si="53"/>
        <v>#REF!</v>
      </c>
      <c r="BW31" s="43" t="e">
        <f t="shared" si="54"/>
        <v>#REF!</v>
      </c>
      <c r="BX31" s="11" t="e">
        <f t="shared" si="55"/>
        <v>#REF!</v>
      </c>
      <c r="BZ31" s="11" t="e">
        <f>SUMIFS('ICB Core Allocation 2024-25 (2)'!S:S,'ICB Core Allocation 2024-25 (2)'!C:C,D31)</f>
        <v>#REF!</v>
      </c>
      <c r="CA31" s="58" t="e">
        <f t="shared" si="56"/>
        <v>#REF!</v>
      </c>
    </row>
    <row r="32" spans="2:79" x14ac:dyDescent="0.25">
      <c r="B32" s="13" t="s">
        <v>17</v>
      </c>
      <c r="C32" s="14" t="s">
        <v>18</v>
      </c>
      <c r="D32" s="4" t="s">
        <v>23</v>
      </c>
      <c r="E32" s="4" t="s">
        <v>24</v>
      </c>
      <c r="F32" s="11" t="e">
        <f>SUMIFS(#REF!,#REF!,$D32)</f>
        <v>#REF!</v>
      </c>
      <c r="G32" s="11" t="e">
        <f>SUMIFS(#REF!,#REF!,$D32)</f>
        <v>#REF!</v>
      </c>
      <c r="H32" s="11" t="e">
        <f>SUMIFS(#REF!,#REF!,$D32)</f>
        <v>#REF!</v>
      </c>
      <c r="I32" s="11" t="e">
        <f>SUMIFS(#REF!,#REF!,$D32)</f>
        <v>#REF!</v>
      </c>
      <c r="J32" s="11" t="e">
        <f>SUMIFS(#REF!,#REF!,$D32)</f>
        <v>#REF!</v>
      </c>
      <c r="K32" s="11" t="e">
        <f>SUMIFS(#REF!,#REF!,$D32)</f>
        <v>#REF!</v>
      </c>
      <c r="L32" s="11" t="e">
        <f t="shared" si="0"/>
        <v>#REF!</v>
      </c>
      <c r="N32" s="43" t="e">
        <f>SUMIFS(#REF!,#REF!,$D32)</f>
        <v>#REF!</v>
      </c>
      <c r="O32" s="11" t="e">
        <f t="shared" si="1"/>
        <v>#REF!</v>
      </c>
      <c r="P32" s="11" t="e">
        <f>SUMIFS(#REF!,#REF!,$D32)</f>
        <v>#REF!</v>
      </c>
      <c r="Q32" s="11" t="e">
        <f>SUMIFS(#REF!,#REF!,$D32)</f>
        <v>#REF!</v>
      </c>
      <c r="R32" s="11" t="e">
        <f t="shared" si="2"/>
        <v>#REF!</v>
      </c>
      <c r="S32" s="11" t="e">
        <f t="shared" si="3"/>
        <v>#REF!</v>
      </c>
      <c r="T32" s="43" t="e">
        <f t="shared" si="4"/>
        <v>#REF!</v>
      </c>
      <c r="U32" s="11" t="e">
        <f t="shared" si="5"/>
        <v>#REF!</v>
      </c>
      <c r="V32" s="11" t="e">
        <f t="shared" si="6"/>
        <v>#REF!</v>
      </c>
      <c r="W32" s="43" t="e">
        <f>SUMIFS(#REF!,#REF!,D32)</f>
        <v>#REF!</v>
      </c>
      <c r="X32" s="11" t="e">
        <f t="shared" si="7"/>
        <v>#REF!</v>
      </c>
      <c r="Y32" s="11" t="e">
        <f t="shared" si="8"/>
        <v>#REF!</v>
      </c>
      <c r="Z32" s="43" t="e">
        <f>SUMIFS(#REF!,#REF!,D32)</f>
        <v>#REF!</v>
      </c>
      <c r="AA32" s="11" t="e">
        <f t="shared" si="9"/>
        <v>#REF!</v>
      </c>
      <c r="AB32" s="11" t="e">
        <f t="shared" si="10"/>
        <v>#REF!</v>
      </c>
      <c r="AC32" s="11" t="e">
        <f t="shared" si="11"/>
        <v>#REF!</v>
      </c>
      <c r="AE32" s="11" t="e">
        <f t="shared" si="12"/>
        <v>#REF!</v>
      </c>
      <c r="AF32" s="11" t="e">
        <f t="shared" si="13"/>
        <v>#REF!</v>
      </c>
      <c r="AG32" s="11" t="e">
        <f t="shared" si="14"/>
        <v>#REF!</v>
      </c>
      <c r="AH32" s="11" t="e">
        <f t="shared" si="15"/>
        <v>#REF!</v>
      </c>
      <c r="AI32" s="11" t="e">
        <f t="shared" si="16"/>
        <v>#REF!</v>
      </c>
      <c r="AJ32" s="43" t="e">
        <f t="shared" si="17"/>
        <v>#REF!</v>
      </c>
      <c r="AK32" s="11" t="e">
        <f t="shared" si="18"/>
        <v>#REF!</v>
      </c>
      <c r="AL32" s="43" t="e">
        <f t="shared" si="19"/>
        <v>#REF!</v>
      </c>
      <c r="AM32" s="11" t="e">
        <f t="shared" si="20"/>
        <v>#REF!</v>
      </c>
      <c r="AN32" s="43" t="e">
        <f t="shared" si="21"/>
        <v>#REF!</v>
      </c>
      <c r="AO32" s="11" t="e">
        <f t="shared" si="22"/>
        <v>#REF!</v>
      </c>
      <c r="AP32" s="11" t="e">
        <f t="shared" si="23"/>
        <v>#REF!</v>
      </c>
      <c r="AQ32" s="43" t="e">
        <f t="shared" si="24"/>
        <v>#REF!</v>
      </c>
      <c r="AR32" s="11" t="e">
        <f t="shared" si="25"/>
        <v>#REF!</v>
      </c>
      <c r="AT32" s="11" t="e">
        <f t="shared" si="26"/>
        <v>#REF!</v>
      </c>
      <c r="AU32" s="11" t="e">
        <f t="shared" si="27"/>
        <v>#REF!</v>
      </c>
      <c r="AV32" s="11" t="e">
        <f t="shared" si="28"/>
        <v>#REF!</v>
      </c>
      <c r="AW32" s="11" t="e">
        <f t="shared" si="29"/>
        <v>#REF!</v>
      </c>
      <c r="AX32" s="11" t="e">
        <f t="shared" si="30"/>
        <v>#REF!</v>
      </c>
      <c r="AY32" s="11" t="e">
        <f t="shared" si="31"/>
        <v>#REF!</v>
      </c>
      <c r="AZ32" s="43" t="e">
        <f t="shared" si="32"/>
        <v>#REF!</v>
      </c>
      <c r="BA32" s="11" t="e">
        <f t="shared" si="33"/>
        <v>#REF!</v>
      </c>
      <c r="BB32" s="43" t="e">
        <f t="shared" si="34"/>
        <v>#REF!</v>
      </c>
      <c r="BC32" s="11" t="e">
        <f t="shared" si="35"/>
        <v>#REF!</v>
      </c>
      <c r="BD32" s="43" t="e">
        <f t="shared" si="36"/>
        <v>#REF!</v>
      </c>
      <c r="BE32" s="11" t="e">
        <f t="shared" si="37"/>
        <v>#REF!</v>
      </c>
      <c r="BF32" s="11" t="e">
        <f t="shared" si="38"/>
        <v>#REF!</v>
      </c>
      <c r="BG32" s="43" t="e">
        <f t="shared" si="39"/>
        <v>#REF!</v>
      </c>
      <c r="BH32" s="11" t="e">
        <f t="shared" si="40"/>
        <v>#REF!</v>
      </c>
      <c r="BJ32" s="11" t="e">
        <f t="shared" si="41"/>
        <v>#REF!</v>
      </c>
      <c r="BK32" s="11" t="e">
        <f t="shared" si="42"/>
        <v>#REF!</v>
      </c>
      <c r="BL32" s="11" t="e">
        <f t="shared" si="43"/>
        <v>#REF!</v>
      </c>
      <c r="BM32" s="11" t="e">
        <f t="shared" si="44"/>
        <v>#REF!</v>
      </c>
      <c r="BN32" s="11" t="e">
        <f t="shared" si="45"/>
        <v>#REF!</v>
      </c>
      <c r="BO32" s="11" t="e">
        <f t="shared" si="46"/>
        <v>#REF!</v>
      </c>
      <c r="BP32" s="43" t="e">
        <f t="shared" si="47"/>
        <v>#REF!</v>
      </c>
      <c r="BQ32" s="11" t="e">
        <f t="shared" si="48"/>
        <v>#REF!</v>
      </c>
      <c r="BR32" s="43" t="e">
        <f t="shared" si="49"/>
        <v>#REF!</v>
      </c>
      <c r="BS32" s="11" t="e">
        <f t="shared" si="50"/>
        <v>#REF!</v>
      </c>
      <c r="BT32" s="43" t="e">
        <f t="shared" si="51"/>
        <v>#REF!</v>
      </c>
      <c r="BU32" s="11" t="e">
        <f t="shared" si="52"/>
        <v>#REF!</v>
      </c>
      <c r="BV32" s="11" t="e">
        <f t="shared" si="53"/>
        <v>#REF!</v>
      </c>
      <c r="BW32" s="43" t="e">
        <f t="shared" si="54"/>
        <v>#REF!</v>
      </c>
      <c r="BX32" s="11" t="e">
        <f t="shared" si="55"/>
        <v>#REF!</v>
      </c>
      <c r="BZ32" s="11" t="e">
        <f>SUMIFS('ICB Core Allocation 2024-25 (2)'!S:S,'ICB Core Allocation 2024-25 (2)'!C:C,D32)</f>
        <v>#REF!</v>
      </c>
      <c r="CA32" s="58" t="e">
        <f t="shared" si="56"/>
        <v>#REF!</v>
      </c>
    </row>
    <row r="33" spans="2:79" x14ac:dyDescent="0.25">
      <c r="B33" s="15" t="s">
        <v>34</v>
      </c>
      <c r="C33" s="16" t="s">
        <v>35</v>
      </c>
      <c r="D33" s="17" t="s">
        <v>42</v>
      </c>
      <c r="E33" s="17" t="s">
        <v>43</v>
      </c>
      <c r="F33" s="18" t="e">
        <f>SUMIFS(#REF!,#REF!,$D33)</f>
        <v>#REF!</v>
      </c>
      <c r="G33" s="18" t="e">
        <f>SUMIFS(#REF!,#REF!,$D33)</f>
        <v>#REF!</v>
      </c>
      <c r="H33" s="18" t="e">
        <f>SUMIFS(#REF!,#REF!,$D33)</f>
        <v>#REF!</v>
      </c>
      <c r="I33" s="18" t="e">
        <f>SUMIFS(#REF!,#REF!,$D33)</f>
        <v>#REF!</v>
      </c>
      <c r="J33" s="18" t="e">
        <f>SUMIFS(#REF!,#REF!,$D33)</f>
        <v>#REF!</v>
      </c>
      <c r="K33" s="18" t="e">
        <f>SUMIFS(#REF!,#REF!,$D33)</f>
        <v>#REF!</v>
      </c>
      <c r="L33" s="18" t="e">
        <f t="shared" si="0"/>
        <v>#REF!</v>
      </c>
      <c r="N33" s="44" t="e">
        <f>SUMIFS(#REF!,#REF!,$D33)</f>
        <v>#REF!</v>
      </c>
      <c r="O33" s="18" t="e">
        <f t="shared" si="1"/>
        <v>#REF!</v>
      </c>
      <c r="P33" s="18" t="e">
        <f>SUMIFS(#REF!,#REF!,$D33)</f>
        <v>#REF!</v>
      </c>
      <c r="Q33" s="18" t="e">
        <f>SUMIFS(#REF!,#REF!,$D33)</f>
        <v>#REF!</v>
      </c>
      <c r="R33" s="18" t="e">
        <f t="shared" si="2"/>
        <v>#REF!</v>
      </c>
      <c r="S33" s="18" t="e">
        <f t="shared" si="3"/>
        <v>#REF!</v>
      </c>
      <c r="T33" s="44" t="e">
        <f t="shared" si="4"/>
        <v>#REF!</v>
      </c>
      <c r="U33" s="18" t="e">
        <f t="shared" si="5"/>
        <v>#REF!</v>
      </c>
      <c r="V33" s="18" t="e">
        <f t="shared" si="6"/>
        <v>#REF!</v>
      </c>
      <c r="W33" s="44" t="e">
        <f>SUMIFS(#REF!,#REF!,D33)</f>
        <v>#REF!</v>
      </c>
      <c r="X33" s="18" t="e">
        <f t="shared" si="7"/>
        <v>#REF!</v>
      </c>
      <c r="Y33" s="18" t="e">
        <f t="shared" si="8"/>
        <v>#REF!</v>
      </c>
      <c r="Z33" s="44" t="e">
        <f>SUMIFS(#REF!,#REF!,D33)</f>
        <v>#REF!</v>
      </c>
      <c r="AA33" s="18" t="e">
        <f t="shared" si="9"/>
        <v>#REF!</v>
      </c>
      <c r="AB33" s="18" t="e">
        <f t="shared" si="10"/>
        <v>#REF!</v>
      </c>
      <c r="AC33" s="18" t="e">
        <f t="shared" si="11"/>
        <v>#REF!</v>
      </c>
      <c r="AE33" s="18" t="e">
        <f t="shared" si="12"/>
        <v>#REF!</v>
      </c>
      <c r="AF33" s="18" t="e">
        <f t="shared" si="13"/>
        <v>#REF!</v>
      </c>
      <c r="AG33" s="18" t="e">
        <f t="shared" si="14"/>
        <v>#REF!</v>
      </c>
      <c r="AH33" s="18" t="e">
        <f t="shared" si="15"/>
        <v>#REF!</v>
      </c>
      <c r="AI33" s="18" t="e">
        <f t="shared" si="16"/>
        <v>#REF!</v>
      </c>
      <c r="AJ33" s="44" t="e">
        <f t="shared" si="17"/>
        <v>#REF!</v>
      </c>
      <c r="AK33" s="18" t="e">
        <f t="shared" si="18"/>
        <v>#REF!</v>
      </c>
      <c r="AL33" s="44" t="e">
        <f t="shared" si="19"/>
        <v>#REF!</v>
      </c>
      <c r="AM33" s="18" t="e">
        <f t="shared" si="20"/>
        <v>#REF!</v>
      </c>
      <c r="AN33" s="44" t="e">
        <f t="shared" si="21"/>
        <v>#REF!</v>
      </c>
      <c r="AO33" s="18" t="e">
        <f t="shared" si="22"/>
        <v>#REF!</v>
      </c>
      <c r="AP33" s="18" t="e">
        <f t="shared" si="23"/>
        <v>#REF!</v>
      </c>
      <c r="AQ33" s="44" t="e">
        <f t="shared" si="24"/>
        <v>#REF!</v>
      </c>
      <c r="AR33" s="18" t="e">
        <f t="shared" si="25"/>
        <v>#REF!</v>
      </c>
      <c r="AT33" s="18" t="e">
        <f t="shared" si="26"/>
        <v>#REF!</v>
      </c>
      <c r="AU33" s="18" t="e">
        <f t="shared" si="27"/>
        <v>#REF!</v>
      </c>
      <c r="AV33" s="18" t="e">
        <f t="shared" si="28"/>
        <v>#REF!</v>
      </c>
      <c r="AW33" s="18" t="e">
        <f t="shared" si="29"/>
        <v>#REF!</v>
      </c>
      <c r="AX33" s="18" t="e">
        <f t="shared" si="30"/>
        <v>#REF!</v>
      </c>
      <c r="AY33" s="18" t="e">
        <f t="shared" si="31"/>
        <v>#REF!</v>
      </c>
      <c r="AZ33" s="44" t="e">
        <f t="shared" si="32"/>
        <v>#REF!</v>
      </c>
      <c r="BA33" s="18" t="e">
        <f t="shared" si="33"/>
        <v>#REF!</v>
      </c>
      <c r="BB33" s="44" t="e">
        <f t="shared" si="34"/>
        <v>#REF!</v>
      </c>
      <c r="BC33" s="18" t="e">
        <f t="shared" si="35"/>
        <v>#REF!</v>
      </c>
      <c r="BD33" s="44" t="e">
        <f t="shared" si="36"/>
        <v>#REF!</v>
      </c>
      <c r="BE33" s="18" t="e">
        <f t="shared" si="37"/>
        <v>#REF!</v>
      </c>
      <c r="BF33" s="18" t="e">
        <f t="shared" si="38"/>
        <v>#REF!</v>
      </c>
      <c r="BG33" s="44" t="e">
        <f t="shared" si="39"/>
        <v>#REF!</v>
      </c>
      <c r="BH33" s="18" t="e">
        <f t="shared" si="40"/>
        <v>#REF!</v>
      </c>
      <c r="BJ33" s="18" t="e">
        <f t="shared" si="41"/>
        <v>#REF!</v>
      </c>
      <c r="BK33" s="18" t="e">
        <f t="shared" si="42"/>
        <v>#REF!</v>
      </c>
      <c r="BL33" s="18" t="e">
        <f t="shared" si="43"/>
        <v>#REF!</v>
      </c>
      <c r="BM33" s="18" t="e">
        <f t="shared" si="44"/>
        <v>#REF!</v>
      </c>
      <c r="BN33" s="18" t="e">
        <f t="shared" si="45"/>
        <v>#REF!</v>
      </c>
      <c r="BO33" s="18" t="e">
        <f t="shared" si="46"/>
        <v>#REF!</v>
      </c>
      <c r="BP33" s="44" t="e">
        <f t="shared" si="47"/>
        <v>#REF!</v>
      </c>
      <c r="BQ33" s="18" t="e">
        <f t="shared" si="48"/>
        <v>#REF!</v>
      </c>
      <c r="BR33" s="44" t="e">
        <f t="shared" si="49"/>
        <v>#REF!</v>
      </c>
      <c r="BS33" s="18" t="e">
        <f t="shared" si="50"/>
        <v>#REF!</v>
      </c>
      <c r="BT33" s="44" t="e">
        <f t="shared" si="51"/>
        <v>#REF!</v>
      </c>
      <c r="BU33" s="18" t="e">
        <f t="shared" si="52"/>
        <v>#REF!</v>
      </c>
      <c r="BV33" s="18" t="e">
        <f t="shared" si="53"/>
        <v>#REF!</v>
      </c>
      <c r="BW33" s="44" t="e">
        <f t="shared" si="54"/>
        <v>#REF!</v>
      </c>
      <c r="BX33" s="18" t="e">
        <f t="shared" si="55"/>
        <v>#REF!</v>
      </c>
      <c r="BZ33" s="18" t="e">
        <f>SUMIFS('ICB Core Allocation 2024-25 (2)'!S:S,'ICB Core Allocation 2024-25 (2)'!C:C,D33)</f>
        <v>#REF!</v>
      </c>
      <c r="CA33" s="58" t="e">
        <f t="shared" si="56"/>
        <v>#REF!</v>
      </c>
    </row>
    <row r="34" spans="2:79" x14ac:dyDescent="0.25">
      <c r="B34" s="13" t="s">
        <v>34</v>
      </c>
      <c r="C34" s="14" t="s">
        <v>35</v>
      </c>
      <c r="D34" s="4" t="s">
        <v>44</v>
      </c>
      <c r="E34" s="4" t="s">
        <v>45</v>
      </c>
      <c r="F34" s="11" t="e">
        <f>SUMIFS(#REF!,#REF!,$D34)</f>
        <v>#REF!</v>
      </c>
      <c r="G34" s="11" t="e">
        <f>SUMIFS(#REF!,#REF!,$D34)</f>
        <v>#REF!</v>
      </c>
      <c r="H34" s="11" t="e">
        <f>SUMIFS(#REF!,#REF!,$D34)</f>
        <v>#REF!</v>
      </c>
      <c r="I34" s="11" t="e">
        <f>SUMIFS(#REF!,#REF!,$D34)</f>
        <v>#REF!</v>
      </c>
      <c r="J34" s="11" t="e">
        <f>SUMIFS(#REF!,#REF!,$D34)</f>
        <v>#REF!</v>
      </c>
      <c r="K34" s="11" t="e">
        <f>SUMIFS(#REF!,#REF!,$D34)</f>
        <v>#REF!</v>
      </c>
      <c r="L34" s="11" t="e">
        <f t="shared" si="0"/>
        <v>#REF!</v>
      </c>
      <c r="N34" s="43" t="e">
        <f>SUMIFS(#REF!,#REF!,$D34)</f>
        <v>#REF!</v>
      </c>
      <c r="O34" s="11" t="e">
        <f t="shared" si="1"/>
        <v>#REF!</v>
      </c>
      <c r="P34" s="11" t="e">
        <f>SUMIFS(#REF!,#REF!,$D34)</f>
        <v>#REF!</v>
      </c>
      <c r="Q34" s="11" t="e">
        <f>SUMIFS(#REF!,#REF!,$D34)</f>
        <v>#REF!</v>
      </c>
      <c r="R34" s="11" t="e">
        <f t="shared" si="2"/>
        <v>#REF!</v>
      </c>
      <c r="S34" s="11" t="e">
        <f t="shared" si="3"/>
        <v>#REF!</v>
      </c>
      <c r="T34" s="43" t="e">
        <f t="shared" si="4"/>
        <v>#REF!</v>
      </c>
      <c r="U34" s="11" t="e">
        <f t="shared" si="5"/>
        <v>#REF!</v>
      </c>
      <c r="V34" s="11" t="e">
        <f t="shared" si="6"/>
        <v>#REF!</v>
      </c>
      <c r="W34" s="43" t="e">
        <f>SUMIFS(#REF!,#REF!,D34)</f>
        <v>#REF!</v>
      </c>
      <c r="X34" s="11" t="e">
        <f t="shared" si="7"/>
        <v>#REF!</v>
      </c>
      <c r="Y34" s="11" t="e">
        <f t="shared" si="8"/>
        <v>#REF!</v>
      </c>
      <c r="Z34" s="43" t="e">
        <f>SUMIFS(#REF!,#REF!,D34)</f>
        <v>#REF!</v>
      </c>
      <c r="AA34" s="11" t="e">
        <f t="shared" si="9"/>
        <v>#REF!</v>
      </c>
      <c r="AB34" s="11" t="e">
        <f t="shared" si="10"/>
        <v>#REF!</v>
      </c>
      <c r="AC34" s="11" t="e">
        <f t="shared" si="11"/>
        <v>#REF!</v>
      </c>
      <c r="AE34" s="11" t="e">
        <f t="shared" si="12"/>
        <v>#REF!</v>
      </c>
      <c r="AF34" s="11" t="e">
        <f t="shared" si="13"/>
        <v>#REF!</v>
      </c>
      <c r="AG34" s="11" t="e">
        <f t="shared" si="14"/>
        <v>#REF!</v>
      </c>
      <c r="AH34" s="11" t="e">
        <f t="shared" si="15"/>
        <v>#REF!</v>
      </c>
      <c r="AI34" s="11" t="e">
        <f t="shared" si="16"/>
        <v>#REF!</v>
      </c>
      <c r="AJ34" s="43" t="e">
        <f t="shared" si="17"/>
        <v>#REF!</v>
      </c>
      <c r="AK34" s="11" t="e">
        <f t="shared" si="18"/>
        <v>#REF!</v>
      </c>
      <c r="AL34" s="43" t="e">
        <f t="shared" si="19"/>
        <v>#REF!</v>
      </c>
      <c r="AM34" s="11" t="e">
        <f t="shared" si="20"/>
        <v>#REF!</v>
      </c>
      <c r="AN34" s="43" t="e">
        <f t="shared" si="21"/>
        <v>#REF!</v>
      </c>
      <c r="AO34" s="11" t="e">
        <f t="shared" si="22"/>
        <v>#REF!</v>
      </c>
      <c r="AP34" s="11" t="e">
        <f t="shared" si="23"/>
        <v>#REF!</v>
      </c>
      <c r="AQ34" s="43" t="e">
        <f t="shared" si="24"/>
        <v>#REF!</v>
      </c>
      <c r="AR34" s="11" t="e">
        <f t="shared" si="25"/>
        <v>#REF!</v>
      </c>
      <c r="AT34" s="11" t="e">
        <f t="shared" si="26"/>
        <v>#REF!</v>
      </c>
      <c r="AU34" s="11" t="e">
        <f t="shared" si="27"/>
        <v>#REF!</v>
      </c>
      <c r="AV34" s="11" t="e">
        <f t="shared" si="28"/>
        <v>#REF!</v>
      </c>
      <c r="AW34" s="11" t="e">
        <f t="shared" si="29"/>
        <v>#REF!</v>
      </c>
      <c r="AX34" s="11" t="e">
        <f t="shared" si="30"/>
        <v>#REF!</v>
      </c>
      <c r="AY34" s="11" t="e">
        <f t="shared" si="31"/>
        <v>#REF!</v>
      </c>
      <c r="AZ34" s="43" t="e">
        <f t="shared" si="32"/>
        <v>#REF!</v>
      </c>
      <c r="BA34" s="11" t="e">
        <f t="shared" si="33"/>
        <v>#REF!</v>
      </c>
      <c r="BB34" s="43" t="e">
        <f t="shared" si="34"/>
        <v>#REF!</v>
      </c>
      <c r="BC34" s="11" t="e">
        <f t="shared" si="35"/>
        <v>#REF!</v>
      </c>
      <c r="BD34" s="43" t="e">
        <f t="shared" si="36"/>
        <v>#REF!</v>
      </c>
      <c r="BE34" s="11" t="e">
        <f t="shared" si="37"/>
        <v>#REF!</v>
      </c>
      <c r="BF34" s="11" t="e">
        <f t="shared" si="38"/>
        <v>#REF!</v>
      </c>
      <c r="BG34" s="43" t="e">
        <f t="shared" si="39"/>
        <v>#REF!</v>
      </c>
      <c r="BH34" s="11" t="e">
        <f t="shared" si="40"/>
        <v>#REF!</v>
      </c>
      <c r="BJ34" s="11" t="e">
        <f t="shared" si="41"/>
        <v>#REF!</v>
      </c>
      <c r="BK34" s="11" t="e">
        <f t="shared" si="42"/>
        <v>#REF!</v>
      </c>
      <c r="BL34" s="11" t="e">
        <f t="shared" si="43"/>
        <v>#REF!</v>
      </c>
      <c r="BM34" s="11" t="e">
        <f t="shared" si="44"/>
        <v>#REF!</v>
      </c>
      <c r="BN34" s="11" t="e">
        <f t="shared" si="45"/>
        <v>#REF!</v>
      </c>
      <c r="BO34" s="11" t="e">
        <f t="shared" si="46"/>
        <v>#REF!</v>
      </c>
      <c r="BP34" s="43" t="e">
        <f t="shared" si="47"/>
        <v>#REF!</v>
      </c>
      <c r="BQ34" s="11" t="e">
        <f t="shared" si="48"/>
        <v>#REF!</v>
      </c>
      <c r="BR34" s="43" t="e">
        <f t="shared" si="49"/>
        <v>#REF!</v>
      </c>
      <c r="BS34" s="11" t="e">
        <f t="shared" si="50"/>
        <v>#REF!</v>
      </c>
      <c r="BT34" s="43" t="e">
        <f t="shared" si="51"/>
        <v>#REF!</v>
      </c>
      <c r="BU34" s="11" t="e">
        <f t="shared" si="52"/>
        <v>#REF!</v>
      </c>
      <c r="BV34" s="11" t="e">
        <f t="shared" si="53"/>
        <v>#REF!</v>
      </c>
      <c r="BW34" s="43" t="e">
        <f t="shared" si="54"/>
        <v>#REF!</v>
      </c>
      <c r="BX34" s="11" t="e">
        <f t="shared" si="55"/>
        <v>#REF!</v>
      </c>
      <c r="BZ34" s="11" t="e">
        <f>SUMIFS('ICB Core Allocation 2024-25 (2)'!S:S,'ICB Core Allocation 2024-25 (2)'!C:C,D34)</f>
        <v>#REF!</v>
      </c>
      <c r="CA34" s="58" t="e">
        <f t="shared" si="56"/>
        <v>#REF!</v>
      </c>
    </row>
    <row r="35" spans="2:79" x14ac:dyDescent="0.25">
      <c r="B35" s="13" t="s">
        <v>17</v>
      </c>
      <c r="C35" s="14" t="s">
        <v>18</v>
      </c>
      <c r="D35" s="4" t="s">
        <v>21</v>
      </c>
      <c r="E35" s="4" t="s">
        <v>22</v>
      </c>
      <c r="F35" s="11" t="e">
        <f>SUMIFS(#REF!,#REF!,$D35)</f>
        <v>#REF!</v>
      </c>
      <c r="G35" s="11" t="e">
        <f>SUMIFS(#REF!,#REF!,$D35)</f>
        <v>#REF!</v>
      </c>
      <c r="H35" s="11" t="e">
        <f>SUMIFS(#REF!,#REF!,$D35)</f>
        <v>#REF!</v>
      </c>
      <c r="I35" s="11" t="e">
        <f>SUMIFS(#REF!,#REF!,$D35)</f>
        <v>#REF!</v>
      </c>
      <c r="J35" s="11" t="e">
        <f>SUMIFS(#REF!,#REF!,$D35)</f>
        <v>#REF!</v>
      </c>
      <c r="K35" s="11" t="e">
        <f>SUMIFS(#REF!,#REF!,$D35)</f>
        <v>#REF!</v>
      </c>
      <c r="L35" s="11" t="e">
        <f t="shared" si="0"/>
        <v>#REF!</v>
      </c>
      <c r="N35" s="43" t="e">
        <f>SUMIFS(#REF!,#REF!,$D35)</f>
        <v>#REF!</v>
      </c>
      <c r="O35" s="11" t="e">
        <f t="shared" si="1"/>
        <v>#REF!</v>
      </c>
      <c r="P35" s="11" t="e">
        <f>SUMIFS(#REF!,#REF!,$D35)</f>
        <v>#REF!</v>
      </c>
      <c r="Q35" s="11" t="e">
        <f>SUMIFS(#REF!,#REF!,$D35)</f>
        <v>#REF!</v>
      </c>
      <c r="R35" s="11" t="e">
        <f t="shared" si="2"/>
        <v>#REF!</v>
      </c>
      <c r="S35" s="11" t="e">
        <f t="shared" si="3"/>
        <v>#REF!</v>
      </c>
      <c r="T35" s="43" t="e">
        <f t="shared" si="4"/>
        <v>#REF!</v>
      </c>
      <c r="U35" s="11" t="e">
        <f t="shared" si="5"/>
        <v>#REF!</v>
      </c>
      <c r="V35" s="11" t="e">
        <f t="shared" si="6"/>
        <v>#REF!</v>
      </c>
      <c r="W35" s="43" t="e">
        <f>SUMIFS(#REF!,#REF!,D35)</f>
        <v>#REF!</v>
      </c>
      <c r="X35" s="11" t="e">
        <f t="shared" si="7"/>
        <v>#REF!</v>
      </c>
      <c r="Y35" s="11" t="e">
        <f t="shared" si="8"/>
        <v>#REF!</v>
      </c>
      <c r="Z35" s="43" t="e">
        <f>SUMIFS(#REF!,#REF!,D35)</f>
        <v>#REF!</v>
      </c>
      <c r="AA35" s="11" t="e">
        <f t="shared" si="9"/>
        <v>#REF!</v>
      </c>
      <c r="AB35" s="11" t="e">
        <f t="shared" si="10"/>
        <v>#REF!</v>
      </c>
      <c r="AC35" s="11" t="e">
        <f t="shared" si="11"/>
        <v>#REF!</v>
      </c>
      <c r="AE35" s="11" t="e">
        <f t="shared" si="12"/>
        <v>#REF!</v>
      </c>
      <c r="AF35" s="11" t="e">
        <f t="shared" si="13"/>
        <v>#REF!</v>
      </c>
      <c r="AG35" s="11" t="e">
        <f t="shared" si="14"/>
        <v>#REF!</v>
      </c>
      <c r="AH35" s="11" t="e">
        <f t="shared" si="15"/>
        <v>#REF!</v>
      </c>
      <c r="AI35" s="11" t="e">
        <f t="shared" si="16"/>
        <v>#REF!</v>
      </c>
      <c r="AJ35" s="43" t="e">
        <f t="shared" si="17"/>
        <v>#REF!</v>
      </c>
      <c r="AK35" s="11" t="e">
        <f t="shared" si="18"/>
        <v>#REF!</v>
      </c>
      <c r="AL35" s="43" t="e">
        <f t="shared" si="19"/>
        <v>#REF!</v>
      </c>
      <c r="AM35" s="11" t="e">
        <f t="shared" si="20"/>
        <v>#REF!</v>
      </c>
      <c r="AN35" s="43" t="e">
        <f t="shared" si="21"/>
        <v>#REF!</v>
      </c>
      <c r="AO35" s="11" t="e">
        <f t="shared" si="22"/>
        <v>#REF!</v>
      </c>
      <c r="AP35" s="11" t="e">
        <f t="shared" si="23"/>
        <v>#REF!</v>
      </c>
      <c r="AQ35" s="43" t="e">
        <f t="shared" si="24"/>
        <v>#REF!</v>
      </c>
      <c r="AR35" s="11" t="e">
        <f t="shared" si="25"/>
        <v>#REF!</v>
      </c>
      <c r="AT35" s="11" t="e">
        <f t="shared" si="26"/>
        <v>#REF!</v>
      </c>
      <c r="AU35" s="11" t="e">
        <f t="shared" si="27"/>
        <v>#REF!</v>
      </c>
      <c r="AV35" s="11" t="e">
        <f t="shared" si="28"/>
        <v>#REF!</v>
      </c>
      <c r="AW35" s="11" t="e">
        <f t="shared" si="29"/>
        <v>#REF!</v>
      </c>
      <c r="AX35" s="11" t="e">
        <f t="shared" si="30"/>
        <v>#REF!</v>
      </c>
      <c r="AY35" s="11" t="e">
        <f t="shared" si="31"/>
        <v>#REF!</v>
      </c>
      <c r="AZ35" s="43" t="e">
        <f t="shared" si="32"/>
        <v>#REF!</v>
      </c>
      <c r="BA35" s="11" t="e">
        <f t="shared" si="33"/>
        <v>#REF!</v>
      </c>
      <c r="BB35" s="43" t="e">
        <f t="shared" si="34"/>
        <v>#REF!</v>
      </c>
      <c r="BC35" s="11" t="e">
        <f t="shared" si="35"/>
        <v>#REF!</v>
      </c>
      <c r="BD35" s="43" t="e">
        <f t="shared" si="36"/>
        <v>#REF!</v>
      </c>
      <c r="BE35" s="11" t="e">
        <f t="shared" si="37"/>
        <v>#REF!</v>
      </c>
      <c r="BF35" s="11" t="e">
        <f t="shared" si="38"/>
        <v>#REF!</v>
      </c>
      <c r="BG35" s="43" t="e">
        <f t="shared" si="39"/>
        <v>#REF!</v>
      </c>
      <c r="BH35" s="11" t="e">
        <f t="shared" si="40"/>
        <v>#REF!</v>
      </c>
      <c r="BJ35" s="11" t="e">
        <f t="shared" si="41"/>
        <v>#REF!</v>
      </c>
      <c r="BK35" s="11" t="e">
        <f t="shared" si="42"/>
        <v>#REF!</v>
      </c>
      <c r="BL35" s="11" t="e">
        <f t="shared" si="43"/>
        <v>#REF!</v>
      </c>
      <c r="BM35" s="11" t="e">
        <f t="shared" si="44"/>
        <v>#REF!</v>
      </c>
      <c r="BN35" s="11" t="e">
        <f t="shared" si="45"/>
        <v>#REF!</v>
      </c>
      <c r="BO35" s="11" t="e">
        <f t="shared" si="46"/>
        <v>#REF!</v>
      </c>
      <c r="BP35" s="43" t="e">
        <f t="shared" si="47"/>
        <v>#REF!</v>
      </c>
      <c r="BQ35" s="11" t="e">
        <f t="shared" si="48"/>
        <v>#REF!</v>
      </c>
      <c r="BR35" s="43" t="e">
        <f t="shared" si="49"/>
        <v>#REF!</v>
      </c>
      <c r="BS35" s="11" t="e">
        <f t="shared" si="50"/>
        <v>#REF!</v>
      </c>
      <c r="BT35" s="43" t="e">
        <f t="shared" si="51"/>
        <v>#REF!</v>
      </c>
      <c r="BU35" s="11" t="e">
        <f t="shared" si="52"/>
        <v>#REF!</v>
      </c>
      <c r="BV35" s="11" t="e">
        <f t="shared" si="53"/>
        <v>#REF!</v>
      </c>
      <c r="BW35" s="43" t="e">
        <f t="shared" si="54"/>
        <v>#REF!</v>
      </c>
      <c r="BX35" s="11" t="e">
        <f t="shared" si="55"/>
        <v>#REF!</v>
      </c>
      <c r="BZ35" s="11" t="e">
        <f>SUMIFS('ICB Core Allocation 2024-25 (2)'!S:S,'ICB Core Allocation 2024-25 (2)'!C:C,D35)</f>
        <v>#REF!</v>
      </c>
      <c r="CA35" s="58" t="e">
        <f t="shared" si="56"/>
        <v>#REF!</v>
      </c>
    </row>
    <row r="36" spans="2:79" x14ac:dyDescent="0.25">
      <c r="B36" s="13" t="s">
        <v>58</v>
      </c>
      <c r="C36" s="14" t="s">
        <v>59</v>
      </c>
      <c r="D36" s="4" t="s">
        <v>66</v>
      </c>
      <c r="E36" s="4" t="s">
        <v>67</v>
      </c>
      <c r="F36" s="11" t="e">
        <f>SUMIFS(#REF!,#REF!,$D36)</f>
        <v>#REF!</v>
      </c>
      <c r="G36" s="11" t="e">
        <f>SUMIFS(#REF!,#REF!,$D36)</f>
        <v>#REF!</v>
      </c>
      <c r="H36" s="11" t="e">
        <f>SUMIFS(#REF!,#REF!,$D36)</f>
        <v>#REF!</v>
      </c>
      <c r="I36" s="11" t="e">
        <f>SUMIFS(#REF!,#REF!,$D36)</f>
        <v>#REF!</v>
      </c>
      <c r="J36" s="11" t="e">
        <f>SUMIFS(#REF!,#REF!,$D36)</f>
        <v>#REF!</v>
      </c>
      <c r="K36" s="11" t="e">
        <f>SUMIFS(#REF!,#REF!,$D36)</f>
        <v>#REF!</v>
      </c>
      <c r="L36" s="11" t="e">
        <f t="shared" si="0"/>
        <v>#REF!</v>
      </c>
      <c r="N36" s="43" t="e">
        <f>SUMIFS(#REF!,#REF!,$D36)</f>
        <v>#REF!</v>
      </c>
      <c r="O36" s="11" t="e">
        <f t="shared" si="1"/>
        <v>#REF!</v>
      </c>
      <c r="P36" s="11" t="e">
        <f>SUMIFS(#REF!,#REF!,$D36)</f>
        <v>#REF!</v>
      </c>
      <c r="Q36" s="11" t="e">
        <f>SUMIFS(#REF!,#REF!,$D36)</f>
        <v>#REF!</v>
      </c>
      <c r="R36" s="11" t="e">
        <f t="shared" si="2"/>
        <v>#REF!</v>
      </c>
      <c r="S36" s="11" t="e">
        <f t="shared" si="3"/>
        <v>#REF!</v>
      </c>
      <c r="T36" s="43" t="e">
        <f t="shared" si="4"/>
        <v>#REF!</v>
      </c>
      <c r="U36" s="11" t="e">
        <f t="shared" si="5"/>
        <v>#REF!</v>
      </c>
      <c r="V36" s="11" t="e">
        <f t="shared" si="6"/>
        <v>#REF!</v>
      </c>
      <c r="W36" s="43" t="e">
        <f>SUMIFS(#REF!,#REF!,D36)</f>
        <v>#REF!</v>
      </c>
      <c r="X36" s="11" t="e">
        <f t="shared" si="7"/>
        <v>#REF!</v>
      </c>
      <c r="Y36" s="11" t="e">
        <f t="shared" si="8"/>
        <v>#REF!</v>
      </c>
      <c r="Z36" s="43" t="e">
        <f>SUMIFS(#REF!,#REF!,D36)</f>
        <v>#REF!</v>
      </c>
      <c r="AA36" s="11" t="e">
        <f t="shared" si="9"/>
        <v>#REF!</v>
      </c>
      <c r="AB36" s="11" t="e">
        <f t="shared" si="10"/>
        <v>#REF!</v>
      </c>
      <c r="AC36" s="11" t="e">
        <f t="shared" si="11"/>
        <v>#REF!</v>
      </c>
      <c r="AE36" s="11" t="e">
        <f t="shared" si="12"/>
        <v>#REF!</v>
      </c>
      <c r="AF36" s="11" t="e">
        <f t="shared" si="13"/>
        <v>#REF!</v>
      </c>
      <c r="AG36" s="11" t="e">
        <f t="shared" si="14"/>
        <v>#REF!</v>
      </c>
      <c r="AH36" s="11" t="e">
        <f t="shared" si="15"/>
        <v>#REF!</v>
      </c>
      <c r="AI36" s="11" t="e">
        <f t="shared" si="16"/>
        <v>#REF!</v>
      </c>
      <c r="AJ36" s="43" t="e">
        <f t="shared" si="17"/>
        <v>#REF!</v>
      </c>
      <c r="AK36" s="11" t="e">
        <f t="shared" si="18"/>
        <v>#REF!</v>
      </c>
      <c r="AL36" s="43" t="e">
        <f t="shared" si="19"/>
        <v>#REF!</v>
      </c>
      <c r="AM36" s="11" t="e">
        <f t="shared" si="20"/>
        <v>#REF!</v>
      </c>
      <c r="AN36" s="43" t="e">
        <f t="shared" si="21"/>
        <v>#REF!</v>
      </c>
      <c r="AO36" s="11" t="e">
        <f t="shared" si="22"/>
        <v>#REF!</v>
      </c>
      <c r="AP36" s="11" t="e">
        <f t="shared" si="23"/>
        <v>#REF!</v>
      </c>
      <c r="AQ36" s="43" t="e">
        <f t="shared" si="24"/>
        <v>#REF!</v>
      </c>
      <c r="AR36" s="11" t="e">
        <f t="shared" si="25"/>
        <v>#REF!</v>
      </c>
      <c r="AT36" s="11" t="e">
        <f t="shared" si="26"/>
        <v>#REF!</v>
      </c>
      <c r="AU36" s="11" t="e">
        <f t="shared" si="27"/>
        <v>#REF!</v>
      </c>
      <c r="AV36" s="11" t="e">
        <f t="shared" si="28"/>
        <v>#REF!</v>
      </c>
      <c r="AW36" s="11" t="e">
        <f t="shared" si="29"/>
        <v>#REF!</v>
      </c>
      <c r="AX36" s="11" t="e">
        <f t="shared" si="30"/>
        <v>#REF!</v>
      </c>
      <c r="AY36" s="11" t="e">
        <f t="shared" si="31"/>
        <v>#REF!</v>
      </c>
      <c r="AZ36" s="43" t="e">
        <f t="shared" si="32"/>
        <v>#REF!</v>
      </c>
      <c r="BA36" s="11" t="e">
        <f t="shared" si="33"/>
        <v>#REF!</v>
      </c>
      <c r="BB36" s="43" t="e">
        <f t="shared" si="34"/>
        <v>#REF!</v>
      </c>
      <c r="BC36" s="11" t="e">
        <f t="shared" si="35"/>
        <v>#REF!</v>
      </c>
      <c r="BD36" s="43" t="e">
        <f t="shared" si="36"/>
        <v>#REF!</v>
      </c>
      <c r="BE36" s="11" t="e">
        <f t="shared" si="37"/>
        <v>#REF!</v>
      </c>
      <c r="BF36" s="11" t="e">
        <f t="shared" si="38"/>
        <v>#REF!</v>
      </c>
      <c r="BG36" s="43" t="e">
        <f t="shared" si="39"/>
        <v>#REF!</v>
      </c>
      <c r="BH36" s="11" t="e">
        <f t="shared" si="40"/>
        <v>#REF!</v>
      </c>
      <c r="BJ36" s="11" t="e">
        <f t="shared" si="41"/>
        <v>#REF!</v>
      </c>
      <c r="BK36" s="11" t="e">
        <f t="shared" si="42"/>
        <v>#REF!</v>
      </c>
      <c r="BL36" s="11" t="e">
        <f t="shared" si="43"/>
        <v>#REF!</v>
      </c>
      <c r="BM36" s="11" t="e">
        <f t="shared" si="44"/>
        <v>#REF!</v>
      </c>
      <c r="BN36" s="11" t="e">
        <f t="shared" si="45"/>
        <v>#REF!</v>
      </c>
      <c r="BO36" s="11" t="e">
        <f t="shared" si="46"/>
        <v>#REF!</v>
      </c>
      <c r="BP36" s="43" t="e">
        <f t="shared" si="47"/>
        <v>#REF!</v>
      </c>
      <c r="BQ36" s="11" t="e">
        <f t="shared" si="48"/>
        <v>#REF!</v>
      </c>
      <c r="BR36" s="43" t="e">
        <f t="shared" si="49"/>
        <v>#REF!</v>
      </c>
      <c r="BS36" s="11" t="e">
        <f t="shared" si="50"/>
        <v>#REF!</v>
      </c>
      <c r="BT36" s="43" t="e">
        <f t="shared" si="51"/>
        <v>#REF!</v>
      </c>
      <c r="BU36" s="11" t="e">
        <f t="shared" si="52"/>
        <v>#REF!</v>
      </c>
      <c r="BV36" s="11" t="e">
        <f t="shared" si="53"/>
        <v>#REF!</v>
      </c>
      <c r="BW36" s="43" t="e">
        <f t="shared" si="54"/>
        <v>#REF!</v>
      </c>
      <c r="BX36" s="11" t="e">
        <f t="shared" si="55"/>
        <v>#REF!</v>
      </c>
      <c r="BZ36" s="11" t="e">
        <f>SUMIFS('ICB Core Allocation 2024-25 (2)'!S:S,'ICB Core Allocation 2024-25 (2)'!C:C,D36)</f>
        <v>#REF!</v>
      </c>
      <c r="CA36" s="58" t="e">
        <f t="shared" si="56"/>
        <v>#REF!</v>
      </c>
    </row>
    <row r="37" spans="2:79" x14ac:dyDescent="0.25">
      <c r="B37" s="13" t="s">
        <v>34</v>
      </c>
      <c r="C37" s="14" t="s">
        <v>35</v>
      </c>
      <c r="D37" s="4" t="s">
        <v>56</v>
      </c>
      <c r="E37" s="4" t="s">
        <v>57</v>
      </c>
      <c r="F37" s="11" t="e">
        <f>SUMIFS(#REF!,#REF!,$D37)</f>
        <v>#REF!</v>
      </c>
      <c r="G37" s="11" t="e">
        <f>SUMIFS(#REF!,#REF!,$D37)</f>
        <v>#REF!</v>
      </c>
      <c r="H37" s="11" t="e">
        <f>SUMIFS(#REF!,#REF!,$D37)</f>
        <v>#REF!</v>
      </c>
      <c r="I37" s="11" t="e">
        <f>SUMIFS(#REF!,#REF!,$D37)</f>
        <v>#REF!</v>
      </c>
      <c r="J37" s="11" t="e">
        <f>SUMIFS(#REF!,#REF!,$D37)</f>
        <v>#REF!</v>
      </c>
      <c r="K37" s="11" t="e">
        <f>SUMIFS(#REF!,#REF!,$D37)</f>
        <v>#REF!</v>
      </c>
      <c r="L37" s="11" t="e">
        <f t="shared" si="0"/>
        <v>#REF!</v>
      </c>
      <c r="N37" s="43" t="e">
        <f>SUMIFS(#REF!,#REF!,$D37)</f>
        <v>#REF!</v>
      </c>
      <c r="O37" s="11" t="e">
        <f t="shared" si="1"/>
        <v>#REF!</v>
      </c>
      <c r="P37" s="11" t="e">
        <f>SUMIFS(#REF!,#REF!,$D37)</f>
        <v>#REF!</v>
      </c>
      <c r="Q37" s="11" t="e">
        <f>SUMIFS(#REF!,#REF!,$D37)</f>
        <v>#REF!</v>
      </c>
      <c r="R37" s="11" t="e">
        <f t="shared" si="2"/>
        <v>#REF!</v>
      </c>
      <c r="S37" s="11" t="e">
        <f t="shared" si="3"/>
        <v>#REF!</v>
      </c>
      <c r="T37" s="43" t="e">
        <f t="shared" si="4"/>
        <v>#REF!</v>
      </c>
      <c r="U37" s="11" t="e">
        <f t="shared" si="5"/>
        <v>#REF!</v>
      </c>
      <c r="V37" s="11" t="e">
        <f t="shared" si="6"/>
        <v>#REF!</v>
      </c>
      <c r="W37" s="43" t="e">
        <f>SUMIFS(#REF!,#REF!,D37)</f>
        <v>#REF!</v>
      </c>
      <c r="X37" s="11" t="e">
        <f t="shared" si="7"/>
        <v>#REF!</v>
      </c>
      <c r="Y37" s="11" t="e">
        <f t="shared" si="8"/>
        <v>#REF!</v>
      </c>
      <c r="Z37" s="43" t="e">
        <f>SUMIFS(#REF!,#REF!,D37)</f>
        <v>#REF!</v>
      </c>
      <c r="AA37" s="11" t="e">
        <f t="shared" si="9"/>
        <v>#REF!</v>
      </c>
      <c r="AB37" s="11" t="e">
        <f t="shared" si="10"/>
        <v>#REF!</v>
      </c>
      <c r="AC37" s="11" t="e">
        <f t="shared" si="11"/>
        <v>#REF!</v>
      </c>
      <c r="AE37" s="11" t="e">
        <f t="shared" si="12"/>
        <v>#REF!</v>
      </c>
      <c r="AF37" s="11" t="e">
        <f t="shared" si="13"/>
        <v>#REF!</v>
      </c>
      <c r="AG37" s="11" t="e">
        <f t="shared" si="14"/>
        <v>#REF!</v>
      </c>
      <c r="AH37" s="11" t="e">
        <f t="shared" si="15"/>
        <v>#REF!</v>
      </c>
      <c r="AI37" s="11" t="e">
        <f t="shared" si="16"/>
        <v>#REF!</v>
      </c>
      <c r="AJ37" s="43" t="e">
        <f t="shared" si="17"/>
        <v>#REF!</v>
      </c>
      <c r="AK37" s="11" t="e">
        <f t="shared" si="18"/>
        <v>#REF!</v>
      </c>
      <c r="AL37" s="43" t="e">
        <f t="shared" si="19"/>
        <v>#REF!</v>
      </c>
      <c r="AM37" s="11" t="e">
        <f t="shared" si="20"/>
        <v>#REF!</v>
      </c>
      <c r="AN37" s="43" t="e">
        <f t="shared" si="21"/>
        <v>#REF!</v>
      </c>
      <c r="AO37" s="11" t="e">
        <f t="shared" si="22"/>
        <v>#REF!</v>
      </c>
      <c r="AP37" s="11" t="e">
        <f t="shared" si="23"/>
        <v>#REF!</v>
      </c>
      <c r="AQ37" s="43" t="e">
        <f t="shared" si="24"/>
        <v>#REF!</v>
      </c>
      <c r="AR37" s="11" t="e">
        <f t="shared" si="25"/>
        <v>#REF!</v>
      </c>
      <c r="AT37" s="11" t="e">
        <f t="shared" si="26"/>
        <v>#REF!</v>
      </c>
      <c r="AU37" s="11" t="e">
        <f t="shared" si="27"/>
        <v>#REF!</v>
      </c>
      <c r="AV37" s="11" t="e">
        <f t="shared" si="28"/>
        <v>#REF!</v>
      </c>
      <c r="AW37" s="11" t="e">
        <f t="shared" si="29"/>
        <v>#REF!</v>
      </c>
      <c r="AX37" s="11" t="e">
        <f t="shared" si="30"/>
        <v>#REF!</v>
      </c>
      <c r="AY37" s="11" t="e">
        <f t="shared" si="31"/>
        <v>#REF!</v>
      </c>
      <c r="AZ37" s="43" t="e">
        <f t="shared" si="32"/>
        <v>#REF!</v>
      </c>
      <c r="BA37" s="11" t="e">
        <f t="shared" si="33"/>
        <v>#REF!</v>
      </c>
      <c r="BB37" s="43" t="e">
        <f t="shared" si="34"/>
        <v>#REF!</v>
      </c>
      <c r="BC37" s="11" t="e">
        <f t="shared" si="35"/>
        <v>#REF!</v>
      </c>
      <c r="BD37" s="43" t="e">
        <f t="shared" si="36"/>
        <v>#REF!</v>
      </c>
      <c r="BE37" s="11" t="e">
        <f t="shared" si="37"/>
        <v>#REF!</v>
      </c>
      <c r="BF37" s="11" t="e">
        <f t="shared" si="38"/>
        <v>#REF!</v>
      </c>
      <c r="BG37" s="43" t="e">
        <f t="shared" si="39"/>
        <v>#REF!</v>
      </c>
      <c r="BH37" s="11" t="e">
        <f t="shared" si="40"/>
        <v>#REF!</v>
      </c>
      <c r="BJ37" s="11" t="e">
        <f t="shared" si="41"/>
        <v>#REF!</v>
      </c>
      <c r="BK37" s="11" t="e">
        <f t="shared" si="42"/>
        <v>#REF!</v>
      </c>
      <c r="BL37" s="11" t="e">
        <f t="shared" si="43"/>
        <v>#REF!</v>
      </c>
      <c r="BM37" s="11" t="e">
        <f t="shared" si="44"/>
        <v>#REF!</v>
      </c>
      <c r="BN37" s="11" t="e">
        <f t="shared" si="45"/>
        <v>#REF!</v>
      </c>
      <c r="BO37" s="11" t="e">
        <f t="shared" si="46"/>
        <v>#REF!</v>
      </c>
      <c r="BP37" s="43" t="e">
        <f t="shared" si="47"/>
        <v>#REF!</v>
      </c>
      <c r="BQ37" s="11" t="e">
        <f t="shared" si="48"/>
        <v>#REF!</v>
      </c>
      <c r="BR37" s="43" t="e">
        <f t="shared" si="49"/>
        <v>#REF!</v>
      </c>
      <c r="BS37" s="11" t="e">
        <f t="shared" si="50"/>
        <v>#REF!</v>
      </c>
      <c r="BT37" s="43" t="e">
        <f t="shared" si="51"/>
        <v>#REF!</v>
      </c>
      <c r="BU37" s="11" t="e">
        <f t="shared" si="52"/>
        <v>#REF!</v>
      </c>
      <c r="BV37" s="11" t="e">
        <f t="shared" si="53"/>
        <v>#REF!</v>
      </c>
      <c r="BW37" s="43" t="e">
        <f t="shared" si="54"/>
        <v>#REF!</v>
      </c>
      <c r="BX37" s="11" t="e">
        <f t="shared" si="55"/>
        <v>#REF!</v>
      </c>
      <c r="BZ37" s="11" t="e">
        <f>SUMIFS('ICB Core Allocation 2024-25 (2)'!S:S,'ICB Core Allocation 2024-25 (2)'!C:C,D37)</f>
        <v>#REF!</v>
      </c>
      <c r="CA37" s="58" t="e">
        <f t="shared" si="56"/>
        <v>#REF!</v>
      </c>
    </row>
    <row r="38" spans="2:79" x14ac:dyDescent="0.25">
      <c r="B38" s="13" t="s">
        <v>72</v>
      </c>
      <c r="C38" s="14" t="s">
        <v>73</v>
      </c>
      <c r="D38" s="4" t="s">
        <v>82</v>
      </c>
      <c r="E38" s="4" t="s">
        <v>83</v>
      </c>
      <c r="F38" s="11" t="e">
        <f>SUMIFS(#REF!,#REF!,$D38)</f>
        <v>#REF!</v>
      </c>
      <c r="G38" s="11" t="e">
        <f>SUMIFS(#REF!,#REF!,$D38)</f>
        <v>#REF!</v>
      </c>
      <c r="H38" s="11" t="e">
        <f>SUMIFS(#REF!,#REF!,$D38)</f>
        <v>#REF!</v>
      </c>
      <c r="I38" s="11" t="e">
        <f>SUMIFS(#REF!,#REF!,$D38)</f>
        <v>#REF!</v>
      </c>
      <c r="J38" s="11" t="e">
        <f>SUMIFS(#REF!,#REF!,$D38)</f>
        <v>#REF!</v>
      </c>
      <c r="K38" s="11" t="e">
        <f>SUMIFS(#REF!,#REF!,$D38)</f>
        <v>#REF!</v>
      </c>
      <c r="L38" s="11" t="e">
        <f t="shared" si="0"/>
        <v>#REF!</v>
      </c>
      <c r="N38" s="43" t="e">
        <f>SUMIFS(#REF!,#REF!,$D38)</f>
        <v>#REF!</v>
      </c>
      <c r="O38" s="11" t="e">
        <f t="shared" si="1"/>
        <v>#REF!</v>
      </c>
      <c r="P38" s="11" t="e">
        <f>SUMIFS(#REF!,#REF!,$D38)</f>
        <v>#REF!</v>
      </c>
      <c r="Q38" s="11" t="e">
        <f>SUMIFS(#REF!,#REF!,$D38)</f>
        <v>#REF!</v>
      </c>
      <c r="R38" s="11" t="e">
        <f t="shared" si="2"/>
        <v>#REF!</v>
      </c>
      <c r="S38" s="11" t="e">
        <f t="shared" si="3"/>
        <v>#REF!</v>
      </c>
      <c r="T38" s="43" t="e">
        <f t="shared" si="4"/>
        <v>#REF!</v>
      </c>
      <c r="U38" s="11" t="e">
        <f t="shared" si="5"/>
        <v>#REF!</v>
      </c>
      <c r="V38" s="11" t="e">
        <f t="shared" si="6"/>
        <v>#REF!</v>
      </c>
      <c r="W38" s="43" t="e">
        <f>SUMIFS(#REF!,#REF!,D38)</f>
        <v>#REF!</v>
      </c>
      <c r="X38" s="11" t="e">
        <f t="shared" si="7"/>
        <v>#REF!</v>
      </c>
      <c r="Y38" s="11" t="e">
        <f t="shared" si="8"/>
        <v>#REF!</v>
      </c>
      <c r="Z38" s="43" t="e">
        <f>SUMIFS(#REF!,#REF!,D38)</f>
        <v>#REF!</v>
      </c>
      <c r="AA38" s="11" t="e">
        <f t="shared" si="9"/>
        <v>#REF!</v>
      </c>
      <c r="AB38" s="11" t="e">
        <f t="shared" si="10"/>
        <v>#REF!</v>
      </c>
      <c r="AC38" s="11" t="e">
        <f t="shared" si="11"/>
        <v>#REF!</v>
      </c>
      <c r="AE38" s="11" t="e">
        <f t="shared" si="12"/>
        <v>#REF!</v>
      </c>
      <c r="AF38" s="11" t="e">
        <f t="shared" si="13"/>
        <v>#REF!</v>
      </c>
      <c r="AG38" s="11" t="e">
        <f t="shared" si="14"/>
        <v>#REF!</v>
      </c>
      <c r="AH38" s="11" t="e">
        <f t="shared" si="15"/>
        <v>#REF!</v>
      </c>
      <c r="AI38" s="11" t="e">
        <f t="shared" si="16"/>
        <v>#REF!</v>
      </c>
      <c r="AJ38" s="43" t="e">
        <f t="shared" si="17"/>
        <v>#REF!</v>
      </c>
      <c r="AK38" s="11" t="e">
        <f t="shared" si="18"/>
        <v>#REF!</v>
      </c>
      <c r="AL38" s="43" t="e">
        <f t="shared" si="19"/>
        <v>#REF!</v>
      </c>
      <c r="AM38" s="11" t="e">
        <f t="shared" si="20"/>
        <v>#REF!</v>
      </c>
      <c r="AN38" s="43" t="e">
        <f t="shared" si="21"/>
        <v>#REF!</v>
      </c>
      <c r="AO38" s="11" t="e">
        <f t="shared" si="22"/>
        <v>#REF!</v>
      </c>
      <c r="AP38" s="11" t="e">
        <f t="shared" si="23"/>
        <v>#REF!</v>
      </c>
      <c r="AQ38" s="43" t="e">
        <f t="shared" si="24"/>
        <v>#REF!</v>
      </c>
      <c r="AR38" s="11" t="e">
        <f t="shared" si="25"/>
        <v>#REF!</v>
      </c>
      <c r="AT38" s="11" t="e">
        <f t="shared" si="26"/>
        <v>#REF!</v>
      </c>
      <c r="AU38" s="11" t="e">
        <f t="shared" si="27"/>
        <v>#REF!</v>
      </c>
      <c r="AV38" s="11" t="e">
        <f t="shared" si="28"/>
        <v>#REF!</v>
      </c>
      <c r="AW38" s="11" t="e">
        <f t="shared" si="29"/>
        <v>#REF!</v>
      </c>
      <c r="AX38" s="11" t="e">
        <f t="shared" si="30"/>
        <v>#REF!</v>
      </c>
      <c r="AY38" s="11" t="e">
        <f t="shared" si="31"/>
        <v>#REF!</v>
      </c>
      <c r="AZ38" s="43" t="e">
        <f t="shared" si="32"/>
        <v>#REF!</v>
      </c>
      <c r="BA38" s="11" t="e">
        <f t="shared" si="33"/>
        <v>#REF!</v>
      </c>
      <c r="BB38" s="43" t="e">
        <f t="shared" si="34"/>
        <v>#REF!</v>
      </c>
      <c r="BC38" s="11" t="e">
        <f t="shared" si="35"/>
        <v>#REF!</v>
      </c>
      <c r="BD38" s="43" t="e">
        <f t="shared" si="36"/>
        <v>#REF!</v>
      </c>
      <c r="BE38" s="11" t="e">
        <f t="shared" si="37"/>
        <v>#REF!</v>
      </c>
      <c r="BF38" s="11" t="e">
        <f t="shared" si="38"/>
        <v>#REF!</v>
      </c>
      <c r="BG38" s="43" t="e">
        <f t="shared" si="39"/>
        <v>#REF!</v>
      </c>
      <c r="BH38" s="11" t="e">
        <f t="shared" si="40"/>
        <v>#REF!</v>
      </c>
      <c r="BJ38" s="11" t="e">
        <f t="shared" si="41"/>
        <v>#REF!</v>
      </c>
      <c r="BK38" s="11" t="e">
        <f t="shared" si="42"/>
        <v>#REF!</v>
      </c>
      <c r="BL38" s="11" t="e">
        <f t="shared" si="43"/>
        <v>#REF!</v>
      </c>
      <c r="BM38" s="11" t="e">
        <f t="shared" si="44"/>
        <v>#REF!</v>
      </c>
      <c r="BN38" s="11" t="e">
        <f t="shared" si="45"/>
        <v>#REF!</v>
      </c>
      <c r="BO38" s="11" t="e">
        <f t="shared" si="46"/>
        <v>#REF!</v>
      </c>
      <c r="BP38" s="43" t="e">
        <f t="shared" si="47"/>
        <v>#REF!</v>
      </c>
      <c r="BQ38" s="11" t="e">
        <f t="shared" si="48"/>
        <v>#REF!</v>
      </c>
      <c r="BR38" s="43" t="e">
        <f t="shared" si="49"/>
        <v>#REF!</v>
      </c>
      <c r="BS38" s="11" t="e">
        <f t="shared" si="50"/>
        <v>#REF!</v>
      </c>
      <c r="BT38" s="43" t="e">
        <f t="shared" si="51"/>
        <v>#REF!</v>
      </c>
      <c r="BU38" s="11" t="e">
        <f t="shared" si="52"/>
        <v>#REF!</v>
      </c>
      <c r="BV38" s="11" t="e">
        <f t="shared" si="53"/>
        <v>#REF!</v>
      </c>
      <c r="BW38" s="43" t="e">
        <f t="shared" si="54"/>
        <v>#REF!</v>
      </c>
      <c r="BX38" s="11" t="e">
        <f t="shared" si="55"/>
        <v>#REF!</v>
      </c>
      <c r="BZ38" s="11" t="e">
        <f>SUMIFS('ICB Core Allocation 2024-25 (2)'!S:S,'ICB Core Allocation 2024-25 (2)'!C:C,D38)</f>
        <v>#REF!</v>
      </c>
      <c r="CA38" s="58" t="e">
        <f t="shared" si="56"/>
        <v>#REF!</v>
      </c>
    </row>
    <row r="39" spans="2:79" x14ac:dyDescent="0.25">
      <c r="B39" s="15" t="s">
        <v>58</v>
      </c>
      <c r="C39" s="16" t="s">
        <v>59</v>
      </c>
      <c r="D39" s="17" t="s">
        <v>64</v>
      </c>
      <c r="E39" s="17" t="s">
        <v>65</v>
      </c>
      <c r="F39" s="18" t="e">
        <f>SUMIFS(#REF!,#REF!,$D39)</f>
        <v>#REF!</v>
      </c>
      <c r="G39" s="18" t="e">
        <f>SUMIFS(#REF!,#REF!,$D39)</f>
        <v>#REF!</v>
      </c>
      <c r="H39" s="18" t="e">
        <f>SUMIFS(#REF!,#REF!,$D39)</f>
        <v>#REF!</v>
      </c>
      <c r="I39" s="18" t="e">
        <f>SUMIFS(#REF!,#REF!,$D39)</f>
        <v>#REF!</v>
      </c>
      <c r="J39" s="18" t="e">
        <f>SUMIFS(#REF!,#REF!,$D39)</f>
        <v>#REF!</v>
      </c>
      <c r="K39" s="18" t="e">
        <f>SUMIFS(#REF!,#REF!,$D39)</f>
        <v>#REF!</v>
      </c>
      <c r="L39" s="18" t="e">
        <f t="shared" si="0"/>
        <v>#REF!</v>
      </c>
      <c r="N39" s="44" t="e">
        <f>SUMIFS(#REF!,#REF!,$D39)</f>
        <v>#REF!</v>
      </c>
      <c r="O39" s="18" t="e">
        <f t="shared" si="1"/>
        <v>#REF!</v>
      </c>
      <c r="P39" s="18" t="e">
        <f>SUMIFS(#REF!,#REF!,$D39)</f>
        <v>#REF!</v>
      </c>
      <c r="Q39" s="18" t="e">
        <f>SUMIFS(#REF!,#REF!,$D39)</f>
        <v>#REF!</v>
      </c>
      <c r="R39" s="18" t="e">
        <f t="shared" si="2"/>
        <v>#REF!</v>
      </c>
      <c r="S39" s="18" t="e">
        <f t="shared" si="3"/>
        <v>#REF!</v>
      </c>
      <c r="T39" s="44" t="e">
        <f t="shared" si="4"/>
        <v>#REF!</v>
      </c>
      <c r="U39" s="18" t="e">
        <f t="shared" si="5"/>
        <v>#REF!</v>
      </c>
      <c r="V39" s="18" t="e">
        <f t="shared" si="6"/>
        <v>#REF!</v>
      </c>
      <c r="W39" s="44" t="e">
        <f>SUMIFS(#REF!,#REF!,D39)</f>
        <v>#REF!</v>
      </c>
      <c r="X39" s="18" t="e">
        <f t="shared" si="7"/>
        <v>#REF!</v>
      </c>
      <c r="Y39" s="18" t="e">
        <f t="shared" si="8"/>
        <v>#REF!</v>
      </c>
      <c r="Z39" s="44" t="e">
        <f>SUMIFS(#REF!,#REF!,D39)</f>
        <v>#REF!</v>
      </c>
      <c r="AA39" s="18" t="e">
        <f t="shared" si="9"/>
        <v>#REF!</v>
      </c>
      <c r="AB39" s="18" t="e">
        <f t="shared" si="10"/>
        <v>#REF!</v>
      </c>
      <c r="AC39" s="18" t="e">
        <f t="shared" si="11"/>
        <v>#REF!</v>
      </c>
      <c r="AE39" s="18" t="e">
        <f t="shared" si="12"/>
        <v>#REF!</v>
      </c>
      <c r="AF39" s="18" t="e">
        <f t="shared" si="13"/>
        <v>#REF!</v>
      </c>
      <c r="AG39" s="18" t="e">
        <f t="shared" si="14"/>
        <v>#REF!</v>
      </c>
      <c r="AH39" s="18" t="e">
        <f t="shared" si="15"/>
        <v>#REF!</v>
      </c>
      <c r="AI39" s="18" t="e">
        <f t="shared" si="16"/>
        <v>#REF!</v>
      </c>
      <c r="AJ39" s="44" t="e">
        <f t="shared" si="17"/>
        <v>#REF!</v>
      </c>
      <c r="AK39" s="18" t="e">
        <f t="shared" si="18"/>
        <v>#REF!</v>
      </c>
      <c r="AL39" s="44" t="e">
        <f t="shared" si="19"/>
        <v>#REF!</v>
      </c>
      <c r="AM39" s="18" t="e">
        <f t="shared" si="20"/>
        <v>#REF!</v>
      </c>
      <c r="AN39" s="44" t="e">
        <f t="shared" si="21"/>
        <v>#REF!</v>
      </c>
      <c r="AO39" s="18" t="e">
        <f t="shared" si="22"/>
        <v>#REF!</v>
      </c>
      <c r="AP39" s="18" t="e">
        <f t="shared" si="23"/>
        <v>#REF!</v>
      </c>
      <c r="AQ39" s="44" t="e">
        <f t="shared" si="24"/>
        <v>#REF!</v>
      </c>
      <c r="AR39" s="18" t="e">
        <f t="shared" si="25"/>
        <v>#REF!</v>
      </c>
      <c r="AT39" s="18" t="e">
        <f t="shared" si="26"/>
        <v>#REF!</v>
      </c>
      <c r="AU39" s="18" t="e">
        <f t="shared" si="27"/>
        <v>#REF!</v>
      </c>
      <c r="AV39" s="18" t="e">
        <f t="shared" si="28"/>
        <v>#REF!</v>
      </c>
      <c r="AW39" s="18" t="e">
        <f t="shared" si="29"/>
        <v>#REF!</v>
      </c>
      <c r="AX39" s="18" t="e">
        <f t="shared" si="30"/>
        <v>#REF!</v>
      </c>
      <c r="AY39" s="18" t="e">
        <f t="shared" si="31"/>
        <v>#REF!</v>
      </c>
      <c r="AZ39" s="44" t="e">
        <f t="shared" si="32"/>
        <v>#REF!</v>
      </c>
      <c r="BA39" s="18" t="e">
        <f t="shared" si="33"/>
        <v>#REF!</v>
      </c>
      <c r="BB39" s="44" t="e">
        <f t="shared" si="34"/>
        <v>#REF!</v>
      </c>
      <c r="BC39" s="18" t="e">
        <f t="shared" si="35"/>
        <v>#REF!</v>
      </c>
      <c r="BD39" s="44" t="e">
        <f t="shared" si="36"/>
        <v>#REF!</v>
      </c>
      <c r="BE39" s="18" t="e">
        <f t="shared" si="37"/>
        <v>#REF!</v>
      </c>
      <c r="BF39" s="18" t="e">
        <f t="shared" si="38"/>
        <v>#REF!</v>
      </c>
      <c r="BG39" s="44" t="e">
        <f t="shared" si="39"/>
        <v>#REF!</v>
      </c>
      <c r="BH39" s="18" t="e">
        <f t="shared" si="40"/>
        <v>#REF!</v>
      </c>
      <c r="BJ39" s="18" t="e">
        <f t="shared" si="41"/>
        <v>#REF!</v>
      </c>
      <c r="BK39" s="18" t="e">
        <f t="shared" si="42"/>
        <v>#REF!</v>
      </c>
      <c r="BL39" s="18" t="e">
        <f t="shared" si="43"/>
        <v>#REF!</v>
      </c>
      <c r="BM39" s="18" t="e">
        <f t="shared" si="44"/>
        <v>#REF!</v>
      </c>
      <c r="BN39" s="18" t="e">
        <f t="shared" si="45"/>
        <v>#REF!</v>
      </c>
      <c r="BO39" s="18" t="e">
        <f t="shared" si="46"/>
        <v>#REF!</v>
      </c>
      <c r="BP39" s="44" t="e">
        <f t="shared" si="47"/>
        <v>#REF!</v>
      </c>
      <c r="BQ39" s="18" t="e">
        <f t="shared" si="48"/>
        <v>#REF!</v>
      </c>
      <c r="BR39" s="44" t="e">
        <f t="shared" si="49"/>
        <v>#REF!</v>
      </c>
      <c r="BS39" s="18" t="e">
        <f t="shared" si="50"/>
        <v>#REF!</v>
      </c>
      <c r="BT39" s="44" t="e">
        <f t="shared" si="51"/>
        <v>#REF!</v>
      </c>
      <c r="BU39" s="18" t="e">
        <f t="shared" si="52"/>
        <v>#REF!</v>
      </c>
      <c r="BV39" s="18" t="e">
        <f t="shared" si="53"/>
        <v>#REF!</v>
      </c>
      <c r="BW39" s="44" t="e">
        <f t="shared" si="54"/>
        <v>#REF!</v>
      </c>
      <c r="BX39" s="18" t="e">
        <f t="shared" si="55"/>
        <v>#REF!</v>
      </c>
      <c r="BZ39" s="18" t="e">
        <f>SUMIFS('ICB Core Allocation 2024-25 (2)'!S:S,'ICB Core Allocation 2024-25 (2)'!C:C,D39)</f>
        <v>#REF!</v>
      </c>
      <c r="CA39" s="58" t="e">
        <f t="shared" si="56"/>
        <v>#REF!</v>
      </c>
    </row>
    <row r="40" spans="2:79" x14ac:dyDescent="0.25">
      <c r="B40" s="13" t="s">
        <v>98</v>
      </c>
      <c r="C40" s="14" t="s">
        <v>99</v>
      </c>
      <c r="D40" s="4" t="s">
        <v>106</v>
      </c>
      <c r="E40" s="4" t="s">
        <v>107</v>
      </c>
      <c r="F40" s="11" t="e">
        <f>SUMIFS(#REF!,#REF!,$D40)</f>
        <v>#REF!</v>
      </c>
      <c r="G40" s="11" t="e">
        <f>SUMIFS(#REF!,#REF!,$D40)</f>
        <v>#REF!</v>
      </c>
      <c r="H40" s="11" t="e">
        <f>SUMIFS(#REF!,#REF!,$D40)</f>
        <v>#REF!</v>
      </c>
      <c r="I40" s="11" t="e">
        <f>SUMIFS(#REF!,#REF!,$D40)</f>
        <v>#REF!</v>
      </c>
      <c r="J40" s="11" t="e">
        <f>SUMIFS(#REF!,#REF!,$D40)</f>
        <v>#REF!</v>
      </c>
      <c r="K40" s="11" t="e">
        <f>SUMIFS(#REF!,#REF!,$D40)</f>
        <v>#REF!</v>
      </c>
      <c r="L40" s="11" t="e">
        <f t="shared" si="0"/>
        <v>#REF!</v>
      </c>
      <c r="N40" s="43" t="e">
        <f>SUMIFS(#REF!,#REF!,$D40)</f>
        <v>#REF!</v>
      </c>
      <c r="O40" s="11" t="e">
        <f t="shared" si="1"/>
        <v>#REF!</v>
      </c>
      <c r="P40" s="11" t="e">
        <f>SUMIFS(#REF!,#REF!,$D40)</f>
        <v>#REF!</v>
      </c>
      <c r="Q40" s="11" t="e">
        <f>SUMIFS(#REF!,#REF!,$D40)</f>
        <v>#REF!</v>
      </c>
      <c r="R40" s="11" t="e">
        <f t="shared" si="2"/>
        <v>#REF!</v>
      </c>
      <c r="S40" s="11" t="e">
        <f t="shared" si="3"/>
        <v>#REF!</v>
      </c>
      <c r="T40" s="43" t="e">
        <f t="shared" si="4"/>
        <v>#REF!</v>
      </c>
      <c r="U40" s="11" t="e">
        <f t="shared" si="5"/>
        <v>#REF!</v>
      </c>
      <c r="V40" s="11" t="e">
        <f t="shared" si="6"/>
        <v>#REF!</v>
      </c>
      <c r="W40" s="43" t="e">
        <f>SUMIFS(#REF!,#REF!,D40)</f>
        <v>#REF!</v>
      </c>
      <c r="X40" s="11" t="e">
        <f t="shared" si="7"/>
        <v>#REF!</v>
      </c>
      <c r="Y40" s="11" t="e">
        <f t="shared" si="8"/>
        <v>#REF!</v>
      </c>
      <c r="Z40" s="43" t="e">
        <f>SUMIFS(#REF!,#REF!,D40)</f>
        <v>#REF!</v>
      </c>
      <c r="AA40" s="11" t="e">
        <f t="shared" si="9"/>
        <v>#REF!</v>
      </c>
      <c r="AB40" s="11" t="e">
        <f t="shared" si="10"/>
        <v>#REF!</v>
      </c>
      <c r="AC40" s="11" t="e">
        <f t="shared" si="11"/>
        <v>#REF!</v>
      </c>
      <c r="AE40" s="11" t="e">
        <f t="shared" si="12"/>
        <v>#REF!</v>
      </c>
      <c r="AF40" s="11" t="e">
        <f t="shared" si="13"/>
        <v>#REF!</v>
      </c>
      <c r="AG40" s="11" t="e">
        <f t="shared" si="14"/>
        <v>#REF!</v>
      </c>
      <c r="AH40" s="11" t="e">
        <f t="shared" si="15"/>
        <v>#REF!</v>
      </c>
      <c r="AI40" s="11" t="e">
        <f t="shared" si="16"/>
        <v>#REF!</v>
      </c>
      <c r="AJ40" s="43" t="e">
        <f t="shared" si="17"/>
        <v>#REF!</v>
      </c>
      <c r="AK40" s="11" t="e">
        <f t="shared" si="18"/>
        <v>#REF!</v>
      </c>
      <c r="AL40" s="43" t="e">
        <f t="shared" si="19"/>
        <v>#REF!</v>
      </c>
      <c r="AM40" s="11" t="e">
        <f t="shared" si="20"/>
        <v>#REF!</v>
      </c>
      <c r="AN40" s="43" t="e">
        <f t="shared" si="21"/>
        <v>#REF!</v>
      </c>
      <c r="AO40" s="11" t="e">
        <f t="shared" si="22"/>
        <v>#REF!</v>
      </c>
      <c r="AP40" s="11" t="e">
        <f t="shared" si="23"/>
        <v>#REF!</v>
      </c>
      <c r="AQ40" s="43" t="e">
        <f t="shared" si="24"/>
        <v>#REF!</v>
      </c>
      <c r="AR40" s="11" t="e">
        <f t="shared" si="25"/>
        <v>#REF!</v>
      </c>
      <c r="AT40" s="11" t="e">
        <f t="shared" si="26"/>
        <v>#REF!</v>
      </c>
      <c r="AU40" s="11" t="e">
        <f t="shared" si="27"/>
        <v>#REF!</v>
      </c>
      <c r="AV40" s="11" t="e">
        <f t="shared" si="28"/>
        <v>#REF!</v>
      </c>
      <c r="AW40" s="11" t="e">
        <f t="shared" si="29"/>
        <v>#REF!</v>
      </c>
      <c r="AX40" s="11" t="e">
        <f t="shared" si="30"/>
        <v>#REF!</v>
      </c>
      <c r="AY40" s="11" t="e">
        <f t="shared" si="31"/>
        <v>#REF!</v>
      </c>
      <c r="AZ40" s="43" t="e">
        <f t="shared" si="32"/>
        <v>#REF!</v>
      </c>
      <c r="BA40" s="11" t="e">
        <f t="shared" si="33"/>
        <v>#REF!</v>
      </c>
      <c r="BB40" s="43" t="e">
        <f t="shared" si="34"/>
        <v>#REF!</v>
      </c>
      <c r="BC40" s="11" t="e">
        <f t="shared" si="35"/>
        <v>#REF!</v>
      </c>
      <c r="BD40" s="43" t="e">
        <f t="shared" si="36"/>
        <v>#REF!</v>
      </c>
      <c r="BE40" s="11" t="e">
        <f t="shared" si="37"/>
        <v>#REF!</v>
      </c>
      <c r="BF40" s="11" t="e">
        <f t="shared" si="38"/>
        <v>#REF!</v>
      </c>
      <c r="BG40" s="43" t="e">
        <f t="shared" si="39"/>
        <v>#REF!</v>
      </c>
      <c r="BH40" s="11" t="e">
        <f t="shared" si="40"/>
        <v>#REF!</v>
      </c>
      <c r="BJ40" s="11" t="e">
        <f t="shared" si="41"/>
        <v>#REF!</v>
      </c>
      <c r="BK40" s="11" t="e">
        <f t="shared" si="42"/>
        <v>#REF!</v>
      </c>
      <c r="BL40" s="11" t="e">
        <f t="shared" si="43"/>
        <v>#REF!</v>
      </c>
      <c r="BM40" s="11" t="e">
        <f t="shared" si="44"/>
        <v>#REF!</v>
      </c>
      <c r="BN40" s="11" t="e">
        <f t="shared" si="45"/>
        <v>#REF!</v>
      </c>
      <c r="BO40" s="11" t="e">
        <f t="shared" si="46"/>
        <v>#REF!</v>
      </c>
      <c r="BP40" s="43" t="e">
        <f t="shared" si="47"/>
        <v>#REF!</v>
      </c>
      <c r="BQ40" s="11" t="e">
        <f t="shared" si="48"/>
        <v>#REF!</v>
      </c>
      <c r="BR40" s="43" t="e">
        <f t="shared" si="49"/>
        <v>#REF!</v>
      </c>
      <c r="BS40" s="11" t="e">
        <f t="shared" si="50"/>
        <v>#REF!</v>
      </c>
      <c r="BT40" s="43" t="e">
        <f t="shared" si="51"/>
        <v>#REF!</v>
      </c>
      <c r="BU40" s="11" t="e">
        <f t="shared" si="52"/>
        <v>#REF!</v>
      </c>
      <c r="BV40" s="11" t="e">
        <f t="shared" si="53"/>
        <v>#REF!</v>
      </c>
      <c r="BW40" s="43" t="e">
        <f t="shared" si="54"/>
        <v>#REF!</v>
      </c>
      <c r="BX40" s="11" t="e">
        <f t="shared" si="55"/>
        <v>#REF!</v>
      </c>
      <c r="BZ40" s="11" t="e">
        <f>SUMIFS('ICB Core Allocation 2024-25 (2)'!S:S,'ICB Core Allocation 2024-25 (2)'!C:C,D40)</f>
        <v>#REF!</v>
      </c>
      <c r="CA40" s="58" t="e">
        <f t="shared" si="56"/>
        <v>#REF!</v>
      </c>
    </row>
    <row r="41" spans="2:79" x14ac:dyDescent="0.25">
      <c r="B41" s="10" t="s">
        <v>27</v>
      </c>
      <c r="C41" s="4" t="s">
        <v>28</v>
      </c>
      <c r="D41" s="4" t="s">
        <v>29</v>
      </c>
      <c r="E41" s="4" t="s">
        <v>30</v>
      </c>
      <c r="F41" s="11" t="e">
        <f>SUMIFS(#REF!,#REF!,$D41)</f>
        <v>#REF!</v>
      </c>
      <c r="G41" s="11" t="e">
        <f>SUMIFS(#REF!,#REF!,$D41)</f>
        <v>#REF!</v>
      </c>
      <c r="H41" s="11" t="e">
        <f>SUMIFS(#REF!,#REF!,$D41)</f>
        <v>#REF!</v>
      </c>
      <c r="I41" s="11" t="e">
        <f>SUMIFS(#REF!,#REF!,$D41)</f>
        <v>#REF!</v>
      </c>
      <c r="J41" s="11" t="e">
        <f>SUMIFS(#REF!,#REF!,$D41)</f>
        <v>#REF!</v>
      </c>
      <c r="K41" s="11" t="e">
        <f>SUMIFS(#REF!,#REF!,$D41)</f>
        <v>#REF!</v>
      </c>
      <c r="L41" s="11" t="e">
        <f t="shared" si="0"/>
        <v>#REF!</v>
      </c>
      <c r="N41" s="43" t="e">
        <f>SUMIFS(#REF!,#REF!,$D41)</f>
        <v>#REF!</v>
      </c>
      <c r="O41" s="11" t="e">
        <f t="shared" si="1"/>
        <v>#REF!</v>
      </c>
      <c r="P41" s="11" t="e">
        <f>SUMIFS(#REF!,#REF!,$D41)</f>
        <v>#REF!</v>
      </c>
      <c r="Q41" s="11" t="e">
        <f>SUMIFS(#REF!,#REF!,$D41)</f>
        <v>#REF!</v>
      </c>
      <c r="R41" s="11" t="e">
        <f t="shared" si="2"/>
        <v>#REF!</v>
      </c>
      <c r="S41" s="11" t="e">
        <f t="shared" si="3"/>
        <v>#REF!</v>
      </c>
      <c r="T41" s="43" t="e">
        <f t="shared" si="4"/>
        <v>#REF!</v>
      </c>
      <c r="U41" s="11" t="e">
        <f t="shared" si="5"/>
        <v>#REF!</v>
      </c>
      <c r="V41" s="11" t="e">
        <f t="shared" si="6"/>
        <v>#REF!</v>
      </c>
      <c r="W41" s="43" t="e">
        <f>SUMIFS(#REF!,#REF!,D41)</f>
        <v>#REF!</v>
      </c>
      <c r="X41" s="11" t="e">
        <f t="shared" si="7"/>
        <v>#REF!</v>
      </c>
      <c r="Y41" s="11" t="e">
        <f t="shared" si="8"/>
        <v>#REF!</v>
      </c>
      <c r="Z41" s="43" t="e">
        <f>SUMIFS(#REF!,#REF!,D41)</f>
        <v>#REF!</v>
      </c>
      <c r="AA41" s="11" t="e">
        <f t="shared" si="9"/>
        <v>#REF!</v>
      </c>
      <c r="AB41" s="11" t="e">
        <f t="shared" si="10"/>
        <v>#REF!</v>
      </c>
      <c r="AC41" s="11" t="e">
        <f t="shared" si="11"/>
        <v>#REF!</v>
      </c>
      <c r="AE41" s="11" t="e">
        <f t="shared" si="12"/>
        <v>#REF!</v>
      </c>
      <c r="AF41" s="11" t="e">
        <f t="shared" si="13"/>
        <v>#REF!</v>
      </c>
      <c r="AG41" s="11" t="e">
        <f t="shared" si="14"/>
        <v>#REF!</v>
      </c>
      <c r="AH41" s="11" t="e">
        <f t="shared" si="15"/>
        <v>#REF!</v>
      </c>
      <c r="AI41" s="11" t="e">
        <f t="shared" si="16"/>
        <v>#REF!</v>
      </c>
      <c r="AJ41" s="43" t="e">
        <f t="shared" si="17"/>
        <v>#REF!</v>
      </c>
      <c r="AK41" s="11" t="e">
        <f t="shared" si="18"/>
        <v>#REF!</v>
      </c>
      <c r="AL41" s="43" t="e">
        <f t="shared" si="19"/>
        <v>#REF!</v>
      </c>
      <c r="AM41" s="11" t="e">
        <f t="shared" si="20"/>
        <v>#REF!</v>
      </c>
      <c r="AN41" s="43" t="e">
        <f t="shared" si="21"/>
        <v>#REF!</v>
      </c>
      <c r="AO41" s="11" t="e">
        <f t="shared" si="22"/>
        <v>#REF!</v>
      </c>
      <c r="AP41" s="11" t="e">
        <f t="shared" si="23"/>
        <v>#REF!</v>
      </c>
      <c r="AQ41" s="43" t="e">
        <f t="shared" si="24"/>
        <v>#REF!</v>
      </c>
      <c r="AR41" s="11" t="e">
        <f t="shared" si="25"/>
        <v>#REF!</v>
      </c>
      <c r="AT41" s="11" t="e">
        <f t="shared" si="26"/>
        <v>#REF!</v>
      </c>
      <c r="AU41" s="11" t="e">
        <f t="shared" si="27"/>
        <v>#REF!</v>
      </c>
      <c r="AV41" s="11" t="e">
        <f t="shared" si="28"/>
        <v>#REF!</v>
      </c>
      <c r="AW41" s="11" t="e">
        <f t="shared" si="29"/>
        <v>#REF!</v>
      </c>
      <c r="AX41" s="11" t="e">
        <f t="shared" si="30"/>
        <v>#REF!</v>
      </c>
      <c r="AY41" s="11" t="e">
        <f t="shared" si="31"/>
        <v>#REF!</v>
      </c>
      <c r="AZ41" s="43" t="e">
        <f t="shared" si="32"/>
        <v>#REF!</v>
      </c>
      <c r="BA41" s="11" t="e">
        <f t="shared" si="33"/>
        <v>#REF!</v>
      </c>
      <c r="BB41" s="43" t="e">
        <f t="shared" si="34"/>
        <v>#REF!</v>
      </c>
      <c r="BC41" s="11" t="e">
        <f t="shared" si="35"/>
        <v>#REF!</v>
      </c>
      <c r="BD41" s="43" t="e">
        <f t="shared" si="36"/>
        <v>#REF!</v>
      </c>
      <c r="BE41" s="11" t="e">
        <f t="shared" si="37"/>
        <v>#REF!</v>
      </c>
      <c r="BF41" s="11" t="e">
        <f t="shared" si="38"/>
        <v>#REF!</v>
      </c>
      <c r="BG41" s="43" t="e">
        <f t="shared" si="39"/>
        <v>#REF!</v>
      </c>
      <c r="BH41" s="11" t="e">
        <f t="shared" si="40"/>
        <v>#REF!</v>
      </c>
      <c r="BJ41" s="11" t="e">
        <f t="shared" si="41"/>
        <v>#REF!</v>
      </c>
      <c r="BK41" s="11" t="e">
        <f t="shared" si="42"/>
        <v>#REF!</v>
      </c>
      <c r="BL41" s="11" t="e">
        <f t="shared" si="43"/>
        <v>#REF!</v>
      </c>
      <c r="BM41" s="11" t="e">
        <f t="shared" si="44"/>
        <v>#REF!</v>
      </c>
      <c r="BN41" s="11" t="e">
        <f t="shared" si="45"/>
        <v>#REF!</v>
      </c>
      <c r="BO41" s="11" t="e">
        <f t="shared" si="46"/>
        <v>#REF!</v>
      </c>
      <c r="BP41" s="43" t="e">
        <f t="shared" si="47"/>
        <v>#REF!</v>
      </c>
      <c r="BQ41" s="11" t="e">
        <f t="shared" si="48"/>
        <v>#REF!</v>
      </c>
      <c r="BR41" s="43" t="e">
        <f t="shared" si="49"/>
        <v>#REF!</v>
      </c>
      <c r="BS41" s="11" t="e">
        <f t="shared" si="50"/>
        <v>#REF!</v>
      </c>
      <c r="BT41" s="43" t="e">
        <f t="shared" si="51"/>
        <v>#REF!</v>
      </c>
      <c r="BU41" s="11" t="e">
        <f t="shared" si="52"/>
        <v>#REF!</v>
      </c>
      <c r="BV41" s="11" t="e">
        <f t="shared" si="53"/>
        <v>#REF!</v>
      </c>
      <c r="BW41" s="43" t="e">
        <f t="shared" si="54"/>
        <v>#REF!</v>
      </c>
      <c r="BX41" s="11" t="e">
        <f t="shared" si="55"/>
        <v>#REF!</v>
      </c>
      <c r="BZ41" s="11" t="e">
        <f>SUMIFS('ICB Core Allocation 2024-25 (2)'!S:S,'ICB Core Allocation 2024-25 (2)'!C:C,D41)</f>
        <v>#REF!</v>
      </c>
      <c r="CA41" s="58" t="e">
        <f t="shared" si="56"/>
        <v>#REF!</v>
      </c>
    </row>
    <row r="42" spans="2:79" x14ac:dyDescent="0.25">
      <c r="B42" s="13" t="s">
        <v>34</v>
      </c>
      <c r="C42" s="14" t="s">
        <v>35</v>
      </c>
      <c r="D42" s="4" t="s">
        <v>48</v>
      </c>
      <c r="E42" s="4" t="s">
        <v>49</v>
      </c>
      <c r="F42" s="11" t="e">
        <f>SUMIFS(#REF!,#REF!,$D42)</f>
        <v>#REF!</v>
      </c>
      <c r="G42" s="11" t="e">
        <f>SUMIFS(#REF!,#REF!,$D42)</f>
        <v>#REF!</v>
      </c>
      <c r="H42" s="11" t="e">
        <f>SUMIFS(#REF!,#REF!,$D42)</f>
        <v>#REF!</v>
      </c>
      <c r="I42" s="11" t="e">
        <f>SUMIFS(#REF!,#REF!,$D42)</f>
        <v>#REF!</v>
      </c>
      <c r="J42" s="11" t="e">
        <f>SUMIFS(#REF!,#REF!,$D42)</f>
        <v>#REF!</v>
      </c>
      <c r="K42" s="11" t="e">
        <f>SUMIFS(#REF!,#REF!,$D42)</f>
        <v>#REF!</v>
      </c>
      <c r="L42" s="11" t="e">
        <f t="shared" si="0"/>
        <v>#REF!</v>
      </c>
      <c r="N42" s="43" t="e">
        <f>SUMIFS(#REF!,#REF!,$D42)</f>
        <v>#REF!</v>
      </c>
      <c r="O42" s="11" t="e">
        <f t="shared" si="1"/>
        <v>#REF!</v>
      </c>
      <c r="P42" s="11" t="e">
        <f>SUMIFS(#REF!,#REF!,$D42)</f>
        <v>#REF!</v>
      </c>
      <c r="Q42" s="11" t="e">
        <f>SUMIFS(#REF!,#REF!,$D42)</f>
        <v>#REF!</v>
      </c>
      <c r="R42" s="11" t="e">
        <f t="shared" si="2"/>
        <v>#REF!</v>
      </c>
      <c r="S42" s="11" t="e">
        <f t="shared" si="3"/>
        <v>#REF!</v>
      </c>
      <c r="T42" s="43" t="e">
        <f t="shared" si="4"/>
        <v>#REF!</v>
      </c>
      <c r="U42" s="11" t="e">
        <f t="shared" si="5"/>
        <v>#REF!</v>
      </c>
      <c r="V42" s="11" t="e">
        <f t="shared" si="6"/>
        <v>#REF!</v>
      </c>
      <c r="W42" s="43" t="e">
        <f>SUMIFS(#REF!,#REF!,D42)</f>
        <v>#REF!</v>
      </c>
      <c r="X42" s="11" t="e">
        <f t="shared" si="7"/>
        <v>#REF!</v>
      </c>
      <c r="Y42" s="11" t="e">
        <f t="shared" si="8"/>
        <v>#REF!</v>
      </c>
      <c r="Z42" s="43" t="e">
        <f>SUMIFS(#REF!,#REF!,D42)</f>
        <v>#REF!</v>
      </c>
      <c r="AA42" s="11" t="e">
        <f t="shared" si="9"/>
        <v>#REF!</v>
      </c>
      <c r="AB42" s="11" t="e">
        <f t="shared" si="10"/>
        <v>#REF!</v>
      </c>
      <c r="AC42" s="11" t="e">
        <f t="shared" si="11"/>
        <v>#REF!</v>
      </c>
      <c r="AE42" s="11" t="e">
        <f t="shared" si="12"/>
        <v>#REF!</v>
      </c>
      <c r="AF42" s="11" t="e">
        <f t="shared" si="13"/>
        <v>#REF!</v>
      </c>
      <c r="AG42" s="11" t="e">
        <f t="shared" si="14"/>
        <v>#REF!</v>
      </c>
      <c r="AH42" s="11" t="e">
        <f t="shared" si="15"/>
        <v>#REF!</v>
      </c>
      <c r="AI42" s="11" t="e">
        <f t="shared" si="16"/>
        <v>#REF!</v>
      </c>
      <c r="AJ42" s="43" t="e">
        <f t="shared" si="17"/>
        <v>#REF!</v>
      </c>
      <c r="AK42" s="11" t="e">
        <f t="shared" si="18"/>
        <v>#REF!</v>
      </c>
      <c r="AL42" s="43" t="e">
        <f t="shared" si="19"/>
        <v>#REF!</v>
      </c>
      <c r="AM42" s="11" t="e">
        <f t="shared" si="20"/>
        <v>#REF!</v>
      </c>
      <c r="AN42" s="43" t="e">
        <f t="shared" si="21"/>
        <v>#REF!</v>
      </c>
      <c r="AO42" s="11" t="e">
        <f t="shared" si="22"/>
        <v>#REF!</v>
      </c>
      <c r="AP42" s="11" t="e">
        <f t="shared" si="23"/>
        <v>#REF!</v>
      </c>
      <c r="AQ42" s="43" t="e">
        <f t="shared" si="24"/>
        <v>#REF!</v>
      </c>
      <c r="AR42" s="11" t="e">
        <f t="shared" si="25"/>
        <v>#REF!</v>
      </c>
      <c r="AT42" s="11" t="e">
        <f t="shared" si="26"/>
        <v>#REF!</v>
      </c>
      <c r="AU42" s="11" t="e">
        <f t="shared" si="27"/>
        <v>#REF!</v>
      </c>
      <c r="AV42" s="11" t="e">
        <f t="shared" si="28"/>
        <v>#REF!</v>
      </c>
      <c r="AW42" s="11" t="e">
        <f t="shared" si="29"/>
        <v>#REF!</v>
      </c>
      <c r="AX42" s="11" t="e">
        <f t="shared" si="30"/>
        <v>#REF!</v>
      </c>
      <c r="AY42" s="11" t="e">
        <f t="shared" si="31"/>
        <v>#REF!</v>
      </c>
      <c r="AZ42" s="43" t="e">
        <f t="shared" si="32"/>
        <v>#REF!</v>
      </c>
      <c r="BA42" s="11" t="e">
        <f t="shared" si="33"/>
        <v>#REF!</v>
      </c>
      <c r="BB42" s="43" t="e">
        <f t="shared" si="34"/>
        <v>#REF!</v>
      </c>
      <c r="BC42" s="11" t="e">
        <f t="shared" si="35"/>
        <v>#REF!</v>
      </c>
      <c r="BD42" s="43" t="e">
        <f t="shared" si="36"/>
        <v>#REF!</v>
      </c>
      <c r="BE42" s="11" t="e">
        <f t="shared" si="37"/>
        <v>#REF!</v>
      </c>
      <c r="BF42" s="11" t="e">
        <f t="shared" si="38"/>
        <v>#REF!</v>
      </c>
      <c r="BG42" s="43" t="e">
        <f t="shared" si="39"/>
        <v>#REF!</v>
      </c>
      <c r="BH42" s="11" t="e">
        <f t="shared" si="40"/>
        <v>#REF!</v>
      </c>
      <c r="BJ42" s="11" t="e">
        <f t="shared" si="41"/>
        <v>#REF!</v>
      </c>
      <c r="BK42" s="11" t="e">
        <f t="shared" si="42"/>
        <v>#REF!</v>
      </c>
      <c r="BL42" s="11" t="e">
        <f t="shared" si="43"/>
        <v>#REF!</v>
      </c>
      <c r="BM42" s="11" t="e">
        <f t="shared" si="44"/>
        <v>#REF!</v>
      </c>
      <c r="BN42" s="11" t="e">
        <f t="shared" si="45"/>
        <v>#REF!</v>
      </c>
      <c r="BO42" s="11" t="e">
        <f t="shared" si="46"/>
        <v>#REF!</v>
      </c>
      <c r="BP42" s="43" t="e">
        <f t="shared" si="47"/>
        <v>#REF!</v>
      </c>
      <c r="BQ42" s="11" t="e">
        <f t="shared" si="48"/>
        <v>#REF!</v>
      </c>
      <c r="BR42" s="43" t="e">
        <f t="shared" si="49"/>
        <v>#REF!</v>
      </c>
      <c r="BS42" s="11" t="e">
        <f t="shared" si="50"/>
        <v>#REF!</v>
      </c>
      <c r="BT42" s="43" t="e">
        <f t="shared" si="51"/>
        <v>#REF!</v>
      </c>
      <c r="BU42" s="11" t="e">
        <f t="shared" si="52"/>
        <v>#REF!</v>
      </c>
      <c r="BV42" s="11" t="e">
        <f t="shared" si="53"/>
        <v>#REF!</v>
      </c>
      <c r="BW42" s="43" t="e">
        <f t="shared" si="54"/>
        <v>#REF!</v>
      </c>
      <c r="BX42" s="11" t="e">
        <f t="shared" si="55"/>
        <v>#REF!</v>
      </c>
      <c r="BZ42" s="11" t="e">
        <f>SUMIFS('ICB Core Allocation 2024-25 (2)'!S:S,'ICB Core Allocation 2024-25 (2)'!C:C,D42)</f>
        <v>#REF!</v>
      </c>
      <c r="CA42" s="58" t="e">
        <f t="shared" si="56"/>
        <v>#REF!</v>
      </c>
    </row>
    <row r="43" spans="2:79" x14ac:dyDescent="0.25">
      <c r="B43" s="13" t="s">
        <v>27</v>
      </c>
      <c r="C43" s="14" t="s">
        <v>28</v>
      </c>
      <c r="D43" s="4" t="s">
        <v>32</v>
      </c>
      <c r="E43" s="4" t="s">
        <v>33</v>
      </c>
      <c r="F43" s="11" t="e">
        <f>SUMIFS(#REF!,#REF!,$D43)</f>
        <v>#REF!</v>
      </c>
      <c r="G43" s="11" t="e">
        <f>SUMIFS(#REF!,#REF!,$D43)</f>
        <v>#REF!</v>
      </c>
      <c r="H43" s="11" t="e">
        <f>SUMIFS(#REF!,#REF!,$D43)</f>
        <v>#REF!</v>
      </c>
      <c r="I43" s="11" t="e">
        <f>SUMIFS(#REF!,#REF!,$D43)</f>
        <v>#REF!</v>
      </c>
      <c r="J43" s="11" t="e">
        <f>SUMIFS(#REF!,#REF!,$D43)</f>
        <v>#REF!</v>
      </c>
      <c r="K43" s="11" t="e">
        <f>SUMIFS(#REF!,#REF!,$D43)</f>
        <v>#REF!</v>
      </c>
      <c r="L43" s="11" t="e">
        <f t="shared" si="0"/>
        <v>#REF!</v>
      </c>
      <c r="N43" s="43" t="e">
        <f>SUMIFS(#REF!,#REF!,$D43)</f>
        <v>#REF!</v>
      </c>
      <c r="O43" s="11" t="e">
        <f t="shared" si="1"/>
        <v>#REF!</v>
      </c>
      <c r="P43" s="11" t="e">
        <f>SUMIFS(#REF!,#REF!,$D43)</f>
        <v>#REF!</v>
      </c>
      <c r="Q43" s="11" t="e">
        <f>SUMIFS(#REF!,#REF!,$D43)</f>
        <v>#REF!</v>
      </c>
      <c r="R43" s="11" t="e">
        <f t="shared" si="2"/>
        <v>#REF!</v>
      </c>
      <c r="S43" s="11" t="e">
        <f t="shared" si="3"/>
        <v>#REF!</v>
      </c>
      <c r="T43" s="43" t="e">
        <f t="shared" si="4"/>
        <v>#REF!</v>
      </c>
      <c r="U43" s="11" t="e">
        <f t="shared" si="5"/>
        <v>#REF!</v>
      </c>
      <c r="V43" s="11" t="e">
        <f t="shared" si="6"/>
        <v>#REF!</v>
      </c>
      <c r="W43" s="43" t="e">
        <f>SUMIFS(#REF!,#REF!,D43)</f>
        <v>#REF!</v>
      </c>
      <c r="X43" s="11" t="e">
        <f t="shared" si="7"/>
        <v>#REF!</v>
      </c>
      <c r="Y43" s="11" t="e">
        <f t="shared" si="8"/>
        <v>#REF!</v>
      </c>
      <c r="Z43" s="43" t="e">
        <f>SUMIFS(#REF!,#REF!,D43)</f>
        <v>#REF!</v>
      </c>
      <c r="AA43" s="11" t="e">
        <f t="shared" si="9"/>
        <v>#REF!</v>
      </c>
      <c r="AB43" s="11" t="e">
        <f t="shared" si="10"/>
        <v>#REF!</v>
      </c>
      <c r="AC43" s="11" t="e">
        <f t="shared" si="11"/>
        <v>#REF!</v>
      </c>
      <c r="AE43" s="11" t="e">
        <f t="shared" si="12"/>
        <v>#REF!</v>
      </c>
      <c r="AF43" s="11" t="e">
        <f t="shared" si="13"/>
        <v>#REF!</v>
      </c>
      <c r="AG43" s="11" t="e">
        <f t="shared" si="14"/>
        <v>#REF!</v>
      </c>
      <c r="AH43" s="11" t="e">
        <f t="shared" si="15"/>
        <v>#REF!</v>
      </c>
      <c r="AI43" s="11" t="e">
        <f t="shared" si="16"/>
        <v>#REF!</v>
      </c>
      <c r="AJ43" s="43" t="e">
        <f t="shared" si="17"/>
        <v>#REF!</v>
      </c>
      <c r="AK43" s="11" t="e">
        <f t="shared" si="18"/>
        <v>#REF!</v>
      </c>
      <c r="AL43" s="43" t="e">
        <f t="shared" si="19"/>
        <v>#REF!</v>
      </c>
      <c r="AM43" s="11" t="e">
        <f t="shared" si="20"/>
        <v>#REF!</v>
      </c>
      <c r="AN43" s="43" t="e">
        <f t="shared" si="21"/>
        <v>#REF!</v>
      </c>
      <c r="AO43" s="11" t="e">
        <f t="shared" si="22"/>
        <v>#REF!</v>
      </c>
      <c r="AP43" s="11" t="e">
        <f t="shared" si="23"/>
        <v>#REF!</v>
      </c>
      <c r="AQ43" s="43" t="e">
        <f t="shared" si="24"/>
        <v>#REF!</v>
      </c>
      <c r="AR43" s="11" t="e">
        <f t="shared" si="25"/>
        <v>#REF!</v>
      </c>
      <c r="AT43" s="11" t="e">
        <f t="shared" si="26"/>
        <v>#REF!</v>
      </c>
      <c r="AU43" s="11" t="e">
        <f t="shared" si="27"/>
        <v>#REF!</v>
      </c>
      <c r="AV43" s="11" t="e">
        <f t="shared" si="28"/>
        <v>#REF!</v>
      </c>
      <c r="AW43" s="11" t="e">
        <f t="shared" si="29"/>
        <v>#REF!</v>
      </c>
      <c r="AX43" s="11" t="e">
        <f t="shared" si="30"/>
        <v>#REF!</v>
      </c>
      <c r="AY43" s="11" t="e">
        <f t="shared" si="31"/>
        <v>#REF!</v>
      </c>
      <c r="AZ43" s="43" t="e">
        <f t="shared" si="32"/>
        <v>#REF!</v>
      </c>
      <c r="BA43" s="11" t="e">
        <f t="shared" si="33"/>
        <v>#REF!</v>
      </c>
      <c r="BB43" s="43" t="e">
        <f t="shared" si="34"/>
        <v>#REF!</v>
      </c>
      <c r="BC43" s="11" t="e">
        <f t="shared" si="35"/>
        <v>#REF!</v>
      </c>
      <c r="BD43" s="43" t="e">
        <f t="shared" si="36"/>
        <v>#REF!</v>
      </c>
      <c r="BE43" s="11" t="e">
        <f t="shared" si="37"/>
        <v>#REF!</v>
      </c>
      <c r="BF43" s="11" t="e">
        <f t="shared" si="38"/>
        <v>#REF!</v>
      </c>
      <c r="BG43" s="43" t="e">
        <f t="shared" si="39"/>
        <v>#REF!</v>
      </c>
      <c r="BH43" s="11" t="e">
        <f t="shared" si="40"/>
        <v>#REF!</v>
      </c>
      <c r="BJ43" s="11" t="e">
        <f t="shared" si="41"/>
        <v>#REF!</v>
      </c>
      <c r="BK43" s="11" t="e">
        <f t="shared" si="42"/>
        <v>#REF!</v>
      </c>
      <c r="BL43" s="11" t="e">
        <f t="shared" si="43"/>
        <v>#REF!</v>
      </c>
      <c r="BM43" s="11" t="e">
        <f t="shared" si="44"/>
        <v>#REF!</v>
      </c>
      <c r="BN43" s="11" t="e">
        <f t="shared" si="45"/>
        <v>#REF!</v>
      </c>
      <c r="BO43" s="11" t="e">
        <f t="shared" si="46"/>
        <v>#REF!</v>
      </c>
      <c r="BP43" s="43" t="e">
        <f t="shared" si="47"/>
        <v>#REF!</v>
      </c>
      <c r="BQ43" s="11" t="e">
        <f t="shared" si="48"/>
        <v>#REF!</v>
      </c>
      <c r="BR43" s="43" t="e">
        <f t="shared" si="49"/>
        <v>#REF!</v>
      </c>
      <c r="BS43" s="11" t="e">
        <f t="shared" si="50"/>
        <v>#REF!</v>
      </c>
      <c r="BT43" s="43" t="e">
        <f t="shared" si="51"/>
        <v>#REF!</v>
      </c>
      <c r="BU43" s="11" t="e">
        <f t="shared" si="52"/>
        <v>#REF!</v>
      </c>
      <c r="BV43" s="11" t="e">
        <f t="shared" si="53"/>
        <v>#REF!</v>
      </c>
      <c r="BW43" s="43" t="e">
        <f t="shared" si="54"/>
        <v>#REF!</v>
      </c>
      <c r="BX43" s="11" t="e">
        <f t="shared" si="55"/>
        <v>#REF!</v>
      </c>
      <c r="BZ43" s="11" t="e">
        <f>SUMIFS('ICB Core Allocation 2024-25 (2)'!S:S,'ICB Core Allocation 2024-25 (2)'!C:C,D43)</f>
        <v>#REF!</v>
      </c>
      <c r="CA43" s="58" t="e">
        <f t="shared" si="56"/>
        <v>#REF!</v>
      </c>
    </row>
    <row r="44" spans="2:79" x14ac:dyDescent="0.25">
      <c r="B44" s="13" t="s">
        <v>84</v>
      </c>
      <c r="C44" s="14" t="s">
        <v>85</v>
      </c>
      <c r="D44" s="4" t="s">
        <v>96</v>
      </c>
      <c r="E44" s="4" t="s">
        <v>97</v>
      </c>
      <c r="F44" s="11" t="e">
        <f>SUMIFS(#REF!,#REF!,$D44)</f>
        <v>#REF!</v>
      </c>
      <c r="G44" s="11" t="e">
        <f>SUMIFS(#REF!,#REF!,$D44)</f>
        <v>#REF!</v>
      </c>
      <c r="H44" s="11" t="e">
        <f>SUMIFS(#REF!,#REF!,$D44)</f>
        <v>#REF!</v>
      </c>
      <c r="I44" s="11" t="e">
        <f>SUMIFS(#REF!,#REF!,$D44)</f>
        <v>#REF!</v>
      </c>
      <c r="J44" s="11" t="e">
        <f>SUMIFS(#REF!,#REF!,$D44)</f>
        <v>#REF!</v>
      </c>
      <c r="K44" s="11" t="e">
        <f>SUMIFS(#REF!,#REF!,$D44)</f>
        <v>#REF!</v>
      </c>
      <c r="L44" s="11" t="e">
        <f t="shared" si="0"/>
        <v>#REF!</v>
      </c>
      <c r="N44" s="43" t="e">
        <f>SUMIFS(#REF!,#REF!,$D44)</f>
        <v>#REF!</v>
      </c>
      <c r="O44" s="11" t="e">
        <f t="shared" si="1"/>
        <v>#REF!</v>
      </c>
      <c r="P44" s="11" t="e">
        <f>SUMIFS(#REF!,#REF!,$D44)</f>
        <v>#REF!</v>
      </c>
      <c r="Q44" s="11" t="e">
        <f>SUMIFS(#REF!,#REF!,$D44)</f>
        <v>#REF!</v>
      </c>
      <c r="R44" s="11" t="e">
        <f t="shared" si="2"/>
        <v>#REF!</v>
      </c>
      <c r="S44" s="11" t="e">
        <f t="shared" si="3"/>
        <v>#REF!</v>
      </c>
      <c r="T44" s="43" t="e">
        <f t="shared" si="4"/>
        <v>#REF!</v>
      </c>
      <c r="U44" s="11" t="e">
        <f t="shared" si="5"/>
        <v>#REF!</v>
      </c>
      <c r="V44" s="11" t="e">
        <f t="shared" si="6"/>
        <v>#REF!</v>
      </c>
      <c r="W44" s="43" t="e">
        <f>SUMIFS(#REF!,#REF!,D44)</f>
        <v>#REF!</v>
      </c>
      <c r="X44" s="11" t="e">
        <f t="shared" si="7"/>
        <v>#REF!</v>
      </c>
      <c r="Y44" s="11" t="e">
        <f t="shared" si="8"/>
        <v>#REF!</v>
      </c>
      <c r="Z44" s="43" t="e">
        <f>SUMIFS(#REF!,#REF!,D44)</f>
        <v>#REF!</v>
      </c>
      <c r="AA44" s="11" t="e">
        <f t="shared" si="9"/>
        <v>#REF!</v>
      </c>
      <c r="AB44" s="11" t="e">
        <f t="shared" si="10"/>
        <v>#REF!</v>
      </c>
      <c r="AC44" s="11" t="e">
        <f t="shared" si="11"/>
        <v>#REF!</v>
      </c>
      <c r="AE44" s="11" t="e">
        <f t="shared" si="12"/>
        <v>#REF!</v>
      </c>
      <c r="AF44" s="11" t="e">
        <f t="shared" si="13"/>
        <v>#REF!</v>
      </c>
      <c r="AG44" s="11" t="e">
        <f t="shared" si="14"/>
        <v>#REF!</v>
      </c>
      <c r="AH44" s="11" t="e">
        <f t="shared" si="15"/>
        <v>#REF!</v>
      </c>
      <c r="AI44" s="11" t="e">
        <f t="shared" si="16"/>
        <v>#REF!</v>
      </c>
      <c r="AJ44" s="43" t="e">
        <f t="shared" si="17"/>
        <v>#REF!</v>
      </c>
      <c r="AK44" s="11" t="e">
        <f t="shared" si="18"/>
        <v>#REF!</v>
      </c>
      <c r="AL44" s="43" t="e">
        <f t="shared" si="19"/>
        <v>#REF!</v>
      </c>
      <c r="AM44" s="11" t="e">
        <f t="shared" si="20"/>
        <v>#REF!</v>
      </c>
      <c r="AN44" s="43" t="e">
        <f t="shared" si="21"/>
        <v>#REF!</v>
      </c>
      <c r="AO44" s="11" t="e">
        <f t="shared" si="22"/>
        <v>#REF!</v>
      </c>
      <c r="AP44" s="11" t="e">
        <f t="shared" si="23"/>
        <v>#REF!</v>
      </c>
      <c r="AQ44" s="43" t="e">
        <f t="shared" si="24"/>
        <v>#REF!</v>
      </c>
      <c r="AR44" s="11" t="e">
        <f t="shared" si="25"/>
        <v>#REF!</v>
      </c>
      <c r="AT44" s="11" t="e">
        <f t="shared" si="26"/>
        <v>#REF!</v>
      </c>
      <c r="AU44" s="11" t="e">
        <f t="shared" si="27"/>
        <v>#REF!</v>
      </c>
      <c r="AV44" s="11" t="e">
        <f t="shared" si="28"/>
        <v>#REF!</v>
      </c>
      <c r="AW44" s="11" t="e">
        <f t="shared" si="29"/>
        <v>#REF!</v>
      </c>
      <c r="AX44" s="11" t="e">
        <f t="shared" si="30"/>
        <v>#REF!</v>
      </c>
      <c r="AY44" s="11" t="e">
        <f t="shared" si="31"/>
        <v>#REF!</v>
      </c>
      <c r="AZ44" s="43" t="e">
        <f t="shared" si="32"/>
        <v>#REF!</v>
      </c>
      <c r="BA44" s="11" t="e">
        <f t="shared" si="33"/>
        <v>#REF!</v>
      </c>
      <c r="BB44" s="43" t="e">
        <f t="shared" si="34"/>
        <v>#REF!</v>
      </c>
      <c r="BC44" s="11" t="e">
        <f t="shared" si="35"/>
        <v>#REF!</v>
      </c>
      <c r="BD44" s="43" t="e">
        <f t="shared" si="36"/>
        <v>#REF!</v>
      </c>
      <c r="BE44" s="11" t="e">
        <f t="shared" si="37"/>
        <v>#REF!</v>
      </c>
      <c r="BF44" s="11" t="e">
        <f t="shared" si="38"/>
        <v>#REF!</v>
      </c>
      <c r="BG44" s="43" t="e">
        <f t="shared" si="39"/>
        <v>#REF!</v>
      </c>
      <c r="BH44" s="11" t="e">
        <f t="shared" si="40"/>
        <v>#REF!</v>
      </c>
      <c r="BJ44" s="11" t="e">
        <f t="shared" si="41"/>
        <v>#REF!</v>
      </c>
      <c r="BK44" s="11" t="e">
        <f t="shared" si="42"/>
        <v>#REF!</v>
      </c>
      <c r="BL44" s="11" t="e">
        <f t="shared" si="43"/>
        <v>#REF!</v>
      </c>
      <c r="BM44" s="11" t="e">
        <f t="shared" si="44"/>
        <v>#REF!</v>
      </c>
      <c r="BN44" s="11" t="e">
        <f t="shared" si="45"/>
        <v>#REF!</v>
      </c>
      <c r="BO44" s="11" t="e">
        <f t="shared" si="46"/>
        <v>#REF!</v>
      </c>
      <c r="BP44" s="43" t="e">
        <f t="shared" si="47"/>
        <v>#REF!</v>
      </c>
      <c r="BQ44" s="11" t="e">
        <f t="shared" si="48"/>
        <v>#REF!</v>
      </c>
      <c r="BR44" s="43" t="e">
        <f t="shared" si="49"/>
        <v>#REF!</v>
      </c>
      <c r="BS44" s="11" t="e">
        <f t="shared" si="50"/>
        <v>#REF!</v>
      </c>
      <c r="BT44" s="43" t="e">
        <f t="shared" si="51"/>
        <v>#REF!</v>
      </c>
      <c r="BU44" s="11" t="e">
        <f t="shared" si="52"/>
        <v>#REF!</v>
      </c>
      <c r="BV44" s="11" t="e">
        <f t="shared" si="53"/>
        <v>#REF!</v>
      </c>
      <c r="BW44" s="43" t="e">
        <f t="shared" si="54"/>
        <v>#REF!</v>
      </c>
      <c r="BX44" s="11" t="e">
        <f t="shared" si="55"/>
        <v>#REF!</v>
      </c>
      <c r="BZ44" s="11" t="e">
        <f>SUMIFS('ICB Core Allocation 2024-25 (2)'!S:S,'ICB Core Allocation 2024-25 (2)'!C:C,D44)</f>
        <v>#REF!</v>
      </c>
      <c r="CA44" s="58" t="e">
        <f t="shared" si="56"/>
        <v>#REF!</v>
      </c>
    </row>
    <row r="45" spans="2:79" x14ac:dyDescent="0.25">
      <c r="B45" s="13" t="s">
        <v>72</v>
      </c>
      <c r="C45" s="14" t="s">
        <v>73</v>
      </c>
      <c r="D45" s="4" t="s">
        <v>80</v>
      </c>
      <c r="E45" s="4" t="s">
        <v>81</v>
      </c>
      <c r="F45" s="11" t="e">
        <f>SUMIFS(#REF!,#REF!,$D45)</f>
        <v>#REF!</v>
      </c>
      <c r="G45" s="11" t="e">
        <f>SUMIFS(#REF!,#REF!,$D45)</f>
        <v>#REF!</v>
      </c>
      <c r="H45" s="11" t="e">
        <f>SUMIFS(#REF!,#REF!,$D45)</f>
        <v>#REF!</v>
      </c>
      <c r="I45" s="11" t="e">
        <f>SUMIFS(#REF!,#REF!,$D45)</f>
        <v>#REF!</v>
      </c>
      <c r="J45" s="11" t="e">
        <f>SUMIFS(#REF!,#REF!,$D45)</f>
        <v>#REF!</v>
      </c>
      <c r="K45" s="11" t="e">
        <f>SUMIFS(#REF!,#REF!,$D45)</f>
        <v>#REF!</v>
      </c>
      <c r="L45" s="11" t="e">
        <f t="shared" si="0"/>
        <v>#REF!</v>
      </c>
      <c r="N45" s="43" t="e">
        <f>SUMIFS(#REF!,#REF!,$D45)</f>
        <v>#REF!</v>
      </c>
      <c r="O45" s="11" t="e">
        <f t="shared" si="1"/>
        <v>#REF!</v>
      </c>
      <c r="P45" s="11" t="e">
        <f>SUMIFS(#REF!,#REF!,$D45)</f>
        <v>#REF!</v>
      </c>
      <c r="Q45" s="11" t="e">
        <f>SUMIFS(#REF!,#REF!,$D45)</f>
        <v>#REF!</v>
      </c>
      <c r="R45" s="11" t="e">
        <f t="shared" si="2"/>
        <v>#REF!</v>
      </c>
      <c r="S45" s="11" t="e">
        <f t="shared" si="3"/>
        <v>#REF!</v>
      </c>
      <c r="T45" s="43" t="e">
        <f t="shared" si="4"/>
        <v>#REF!</v>
      </c>
      <c r="U45" s="11" t="e">
        <f t="shared" si="5"/>
        <v>#REF!</v>
      </c>
      <c r="V45" s="11" t="e">
        <f t="shared" si="6"/>
        <v>#REF!</v>
      </c>
      <c r="W45" s="43" t="e">
        <f>SUMIFS(#REF!,#REF!,D45)</f>
        <v>#REF!</v>
      </c>
      <c r="X45" s="11" t="e">
        <f t="shared" si="7"/>
        <v>#REF!</v>
      </c>
      <c r="Y45" s="11" t="e">
        <f t="shared" si="8"/>
        <v>#REF!</v>
      </c>
      <c r="Z45" s="43" t="e">
        <f>SUMIFS(#REF!,#REF!,D45)</f>
        <v>#REF!</v>
      </c>
      <c r="AA45" s="11" t="e">
        <f t="shared" si="9"/>
        <v>#REF!</v>
      </c>
      <c r="AB45" s="11" t="e">
        <f t="shared" si="10"/>
        <v>#REF!</v>
      </c>
      <c r="AC45" s="11" t="e">
        <f t="shared" si="11"/>
        <v>#REF!</v>
      </c>
      <c r="AE45" s="11" t="e">
        <f t="shared" si="12"/>
        <v>#REF!</v>
      </c>
      <c r="AF45" s="11" t="e">
        <f t="shared" si="13"/>
        <v>#REF!</v>
      </c>
      <c r="AG45" s="11" t="e">
        <f t="shared" si="14"/>
        <v>#REF!</v>
      </c>
      <c r="AH45" s="11" t="e">
        <f t="shared" si="15"/>
        <v>#REF!</v>
      </c>
      <c r="AI45" s="11" t="e">
        <f t="shared" si="16"/>
        <v>#REF!</v>
      </c>
      <c r="AJ45" s="43" t="e">
        <f t="shared" si="17"/>
        <v>#REF!</v>
      </c>
      <c r="AK45" s="11" t="e">
        <f t="shared" si="18"/>
        <v>#REF!</v>
      </c>
      <c r="AL45" s="43" t="e">
        <f t="shared" si="19"/>
        <v>#REF!</v>
      </c>
      <c r="AM45" s="11" t="e">
        <f t="shared" si="20"/>
        <v>#REF!</v>
      </c>
      <c r="AN45" s="43" t="e">
        <f t="shared" si="21"/>
        <v>#REF!</v>
      </c>
      <c r="AO45" s="11" t="e">
        <f t="shared" si="22"/>
        <v>#REF!</v>
      </c>
      <c r="AP45" s="11" t="e">
        <f t="shared" si="23"/>
        <v>#REF!</v>
      </c>
      <c r="AQ45" s="43" t="e">
        <f t="shared" si="24"/>
        <v>#REF!</v>
      </c>
      <c r="AR45" s="11" t="e">
        <f t="shared" si="25"/>
        <v>#REF!</v>
      </c>
      <c r="AT45" s="11" t="e">
        <f t="shared" si="26"/>
        <v>#REF!</v>
      </c>
      <c r="AU45" s="11" t="e">
        <f t="shared" si="27"/>
        <v>#REF!</v>
      </c>
      <c r="AV45" s="11" t="e">
        <f t="shared" si="28"/>
        <v>#REF!</v>
      </c>
      <c r="AW45" s="11" t="e">
        <f t="shared" si="29"/>
        <v>#REF!</v>
      </c>
      <c r="AX45" s="11" t="e">
        <f t="shared" si="30"/>
        <v>#REF!</v>
      </c>
      <c r="AY45" s="11" t="e">
        <f t="shared" si="31"/>
        <v>#REF!</v>
      </c>
      <c r="AZ45" s="43" t="e">
        <f t="shared" si="32"/>
        <v>#REF!</v>
      </c>
      <c r="BA45" s="11" t="e">
        <f t="shared" si="33"/>
        <v>#REF!</v>
      </c>
      <c r="BB45" s="43" t="e">
        <f t="shared" si="34"/>
        <v>#REF!</v>
      </c>
      <c r="BC45" s="11" t="e">
        <f t="shared" si="35"/>
        <v>#REF!</v>
      </c>
      <c r="BD45" s="43" t="e">
        <f t="shared" si="36"/>
        <v>#REF!</v>
      </c>
      <c r="BE45" s="11" t="e">
        <f t="shared" si="37"/>
        <v>#REF!</v>
      </c>
      <c r="BF45" s="11" t="e">
        <f t="shared" si="38"/>
        <v>#REF!</v>
      </c>
      <c r="BG45" s="43" t="e">
        <f t="shared" si="39"/>
        <v>#REF!</v>
      </c>
      <c r="BH45" s="11" t="e">
        <f t="shared" si="40"/>
        <v>#REF!</v>
      </c>
      <c r="BJ45" s="11" t="e">
        <f t="shared" si="41"/>
        <v>#REF!</v>
      </c>
      <c r="BK45" s="11" t="e">
        <f t="shared" si="42"/>
        <v>#REF!</v>
      </c>
      <c r="BL45" s="11" t="e">
        <f t="shared" si="43"/>
        <v>#REF!</v>
      </c>
      <c r="BM45" s="11" t="e">
        <f t="shared" si="44"/>
        <v>#REF!</v>
      </c>
      <c r="BN45" s="11" t="e">
        <f t="shared" si="45"/>
        <v>#REF!</v>
      </c>
      <c r="BO45" s="11" t="e">
        <f t="shared" si="46"/>
        <v>#REF!</v>
      </c>
      <c r="BP45" s="43" t="e">
        <f t="shared" si="47"/>
        <v>#REF!</v>
      </c>
      <c r="BQ45" s="11" t="e">
        <f t="shared" si="48"/>
        <v>#REF!</v>
      </c>
      <c r="BR45" s="43" t="e">
        <f t="shared" si="49"/>
        <v>#REF!</v>
      </c>
      <c r="BS45" s="11" t="e">
        <f t="shared" si="50"/>
        <v>#REF!</v>
      </c>
      <c r="BT45" s="43" t="e">
        <f t="shared" si="51"/>
        <v>#REF!</v>
      </c>
      <c r="BU45" s="11" t="e">
        <f t="shared" si="52"/>
        <v>#REF!</v>
      </c>
      <c r="BV45" s="11" t="e">
        <f t="shared" si="53"/>
        <v>#REF!</v>
      </c>
      <c r="BW45" s="43" t="e">
        <f t="shared" si="54"/>
        <v>#REF!</v>
      </c>
      <c r="BX45" s="11" t="e">
        <f t="shared" si="55"/>
        <v>#REF!</v>
      </c>
      <c r="BZ45" s="11" t="e">
        <f>SUMIFS('ICB Core Allocation 2024-25 (2)'!S:S,'ICB Core Allocation 2024-25 (2)'!C:C,D45)</f>
        <v>#REF!</v>
      </c>
      <c r="CA45" s="58" t="e">
        <f t="shared" si="56"/>
        <v>#REF!</v>
      </c>
    </row>
    <row r="46" spans="2:79" x14ac:dyDescent="0.25">
      <c r="B46" s="13" t="s">
        <v>84</v>
      </c>
      <c r="C46" s="14" t="s">
        <v>85</v>
      </c>
      <c r="D46" s="4" t="s">
        <v>94</v>
      </c>
      <c r="E46" s="4" t="s">
        <v>95</v>
      </c>
      <c r="F46" s="11" t="e">
        <f>SUMIFS(#REF!,#REF!,$D46)</f>
        <v>#REF!</v>
      </c>
      <c r="G46" s="11" t="e">
        <f>SUMIFS(#REF!,#REF!,$D46)</f>
        <v>#REF!</v>
      </c>
      <c r="H46" s="11" t="e">
        <f>SUMIFS(#REF!,#REF!,$D46)</f>
        <v>#REF!</v>
      </c>
      <c r="I46" s="11" t="e">
        <f>SUMIFS(#REF!,#REF!,$D46)</f>
        <v>#REF!</v>
      </c>
      <c r="J46" s="11" t="e">
        <f>SUMIFS(#REF!,#REF!,$D46)</f>
        <v>#REF!</v>
      </c>
      <c r="K46" s="11" t="e">
        <f>SUMIFS(#REF!,#REF!,$D46)</f>
        <v>#REF!</v>
      </c>
      <c r="L46" s="11" t="e">
        <f t="shared" si="0"/>
        <v>#REF!</v>
      </c>
      <c r="N46" s="43" t="e">
        <f>SUMIFS(#REF!,#REF!,$D46)</f>
        <v>#REF!</v>
      </c>
      <c r="O46" s="11" t="e">
        <f t="shared" si="1"/>
        <v>#REF!</v>
      </c>
      <c r="P46" s="11" t="e">
        <f>SUMIFS(#REF!,#REF!,$D46)</f>
        <v>#REF!</v>
      </c>
      <c r="Q46" s="11" t="e">
        <f>SUMIFS(#REF!,#REF!,$D46)</f>
        <v>#REF!</v>
      </c>
      <c r="R46" s="11" t="e">
        <f t="shared" si="2"/>
        <v>#REF!</v>
      </c>
      <c r="S46" s="11" t="e">
        <f t="shared" si="3"/>
        <v>#REF!</v>
      </c>
      <c r="T46" s="43" t="e">
        <f t="shared" si="4"/>
        <v>#REF!</v>
      </c>
      <c r="U46" s="11" t="e">
        <f t="shared" si="5"/>
        <v>#REF!</v>
      </c>
      <c r="V46" s="11" t="e">
        <f t="shared" si="6"/>
        <v>#REF!</v>
      </c>
      <c r="W46" s="43" t="e">
        <f>SUMIFS(#REF!,#REF!,D46)</f>
        <v>#REF!</v>
      </c>
      <c r="X46" s="11" t="e">
        <f t="shared" si="7"/>
        <v>#REF!</v>
      </c>
      <c r="Y46" s="11" t="e">
        <f t="shared" si="8"/>
        <v>#REF!</v>
      </c>
      <c r="Z46" s="43" t="e">
        <f>SUMIFS(#REF!,#REF!,D46)</f>
        <v>#REF!</v>
      </c>
      <c r="AA46" s="11" t="e">
        <f t="shared" si="9"/>
        <v>#REF!</v>
      </c>
      <c r="AB46" s="11" t="e">
        <f t="shared" si="10"/>
        <v>#REF!</v>
      </c>
      <c r="AC46" s="11" t="e">
        <f t="shared" si="11"/>
        <v>#REF!</v>
      </c>
      <c r="AE46" s="11" t="e">
        <f t="shared" si="12"/>
        <v>#REF!</v>
      </c>
      <c r="AF46" s="11" t="e">
        <f t="shared" si="13"/>
        <v>#REF!</v>
      </c>
      <c r="AG46" s="11" t="e">
        <f t="shared" si="14"/>
        <v>#REF!</v>
      </c>
      <c r="AH46" s="11" t="e">
        <f t="shared" si="15"/>
        <v>#REF!</v>
      </c>
      <c r="AI46" s="11" t="e">
        <f t="shared" si="16"/>
        <v>#REF!</v>
      </c>
      <c r="AJ46" s="43" t="e">
        <f t="shared" si="17"/>
        <v>#REF!</v>
      </c>
      <c r="AK46" s="11" t="e">
        <f t="shared" si="18"/>
        <v>#REF!</v>
      </c>
      <c r="AL46" s="43" t="e">
        <f t="shared" si="19"/>
        <v>#REF!</v>
      </c>
      <c r="AM46" s="11" t="e">
        <f t="shared" si="20"/>
        <v>#REF!</v>
      </c>
      <c r="AN46" s="43" t="e">
        <f t="shared" si="21"/>
        <v>#REF!</v>
      </c>
      <c r="AO46" s="11" t="e">
        <f t="shared" si="22"/>
        <v>#REF!</v>
      </c>
      <c r="AP46" s="11" t="e">
        <f t="shared" si="23"/>
        <v>#REF!</v>
      </c>
      <c r="AQ46" s="43" t="e">
        <f t="shared" si="24"/>
        <v>#REF!</v>
      </c>
      <c r="AR46" s="11" t="e">
        <f t="shared" si="25"/>
        <v>#REF!</v>
      </c>
      <c r="AT46" s="11" t="e">
        <f t="shared" si="26"/>
        <v>#REF!</v>
      </c>
      <c r="AU46" s="11" t="e">
        <f t="shared" si="27"/>
        <v>#REF!</v>
      </c>
      <c r="AV46" s="11" t="e">
        <f t="shared" si="28"/>
        <v>#REF!</v>
      </c>
      <c r="AW46" s="11" t="e">
        <f t="shared" si="29"/>
        <v>#REF!</v>
      </c>
      <c r="AX46" s="11" t="e">
        <f t="shared" si="30"/>
        <v>#REF!</v>
      </c>
      <c r="AY46" s="11" t="e">
        <f t="shared" si="31"/>
        <v>#REF!</v>
      </c>
      <c r="AZ46" s="43" t="e">
        <f t="shared" si="32"/>
        <v>#REF!</v>
      </c>
      <c r="BA46" s="11" t="e">
        <f t="shared" si="33"/>
        <v>#REF!</v>
      </c>
      <c r="BB46" s="43" t="e">
        <f t="shared" si="34"/>
        <v>#REF!</v>
      </c>
      <c r="BC46" s="11" t="e">
        <f t="shared" si="35"/>
        <v>#REF!</v>
      </c>
      <c r="BD46" s="43" t="e">
        <f t="shared" si="36"/>
        <v>#REF!</v>
      </c>
      <c r="BE46" s="11" t="e">
        <f t="shared" si="37"/>
        <v>#REF!</v>
      </c>
      <c r="BF46" s="11" t="e">
        <f t="shared" si="38"/>
        <v>#REF!</v>
      </c>
      <c r="BG46" s="43" t="e">
        <f t="shared" si="39"/>
        <v>#REF!</v>
      </c>
      <c r="BH46" s="11" t="e">
        <f t="shared" si="40"/>
        <v>#REF!</v>
      </c>
      <c r="BJ46" s="11" t="e">
        <f t="shared" si="41"/>
        <v>#REF!</v>
      </c>
      <c r="BK46" s="11" t="e">
        <f t="shared" si="42"/>
        <v>#REF!</v>
      </c>
      <c r="BL46" s="11" t="e">
        <f t="shared" si="43"/>
        <v>#REF!</v>
      </c>
      <c r="BM46" s="11" t="e">
        <f t="shared" si="44"/>
        <v>#REF!</v>
      </c>
      <c r="BN46" s="11" t="e">
        <f t="shared" si="45"/>
        <v>#REF!</v>
      </c>
      <c r="BO46" s="11" t="e">
        <f t="shared" si="46"/>
        <v>#REF!</v>
      </c>
      <c r="BP46" s="43" t="e">
        <f t="shared" si="47"/>
        <v>#REF!</v>
      </c>
      <c r="BQ46" s="11" t="e">
        <f t="shared" si="48"/>
        <v>#REF!</v>
      </c>
      <c r="BR46" s="43" t="e">
        <f t="shared" si="49"/>
        <v>#REF!</v>
      </c>
      <c r="BS46" s="11" t="e">
        <f t="shared" si="50"/>
        <v>#REF!</v>
      </c>
      <c r="BT46" s="43" t="e">
        <f t="shared" si="51"/>
        <v>#REF!</v>
      </c>
      <c r="BU46" s="11" t="e">
        <f t="shared" si="52"/>
        <v>#REF!</v>
      </c>
      <c r="BV46" s="11" t="e">
        <f t="shared" si="53"/>
        <v>#REF!</v>
      </c>
      <c r="BW46" s="43" t="e">
        <f t="shared" si="54"/>
        <v>#REF!</v>
      </c>
      <c r="BX46" s="11" t="e">
        <f t="shared" si="55"/>
        <v>#REF!</v>
      </c>
      <c r="BZ46" s="11" t="e">
        <f>SUMIFS('ICB Core Allocation 2024-25 (2)'!S:S,'ICB Core Allocation 2024-25 (2)'!C:C,D46)</f>
        <v>#REF!</v>
      </c>
      <c r="CA46" s="58" t="e">
        <f t="shared" si="56"/>
        <v>#REF!</v>
      </c>
    </row>
    <row r="47" spans="2:79" x14ac:dyDescent="0.25">
      <c r="B47" s="4"/>
      <c r="C47" s="4"/>
      <c r="D47" s="4"/>
      <c r="E47" s="4"/>
    </row>
    <row r="48" spans="2:79" x14ac:dyDescent="0.25">
      <c r="B48" s="4"/>
      <c r="C48" s="4"/>
      <c r="D48" s="4"/>
      <c r="E48" s="4"/>
    </row>
    <row r="49" spans="2:78" ht="63.75" x14ac:dyDescent="0.25">
      <c r="B49" s="4"/>
      <c r="C49" s="5" t="s">
        <v>114</v>
      </c>
      <c r="D49" s="5" t="s">
        <v>13</v>
      </c>
      <c r="E49" s="5" t="s">
        <v>14</v>
      </c>
      <c r="F49" s="73" t="s">
        <v>0</v>
      </c>
      <c r="G49" s="47" t="s">
        <v>9</v>
      </c>
      <c r="H49" s="47" t="s">
        <v>10</v>
      </c>
      <c r="I49" s="47" t="s">
        <v>11</v>
      </c>
      <c r="J49" s="47" t="s">
        <v>1029</v>
      </c>
      <c r="K49" s="47" t="s">
        <v>1030</v>
      </c>
      <c r="L49" s="74" t="s">
        <v>115</v>
      </c>
      <c r="N49" s="42" t="s">
        <v>127</v>
      </c>
      <c r="O49" s="74" t="s">
        <v>1032</v>
      </c>
      <c r="P49" s="74" t="s">
        <v>1033</v>
      </c>
      <c r="Q49" s="74" t="s">
        <v>1034</v>
      </c>
      <c r="R49" s="74" t="s">
        <v>1035</v>
      </c>
      <c r="S49" s="74" t="s">
        <v>1036</v>
      </c>
      <c r="T49" s="74" t="s">
        <v>1037</v>
      </c>
      <c r="U49" s="74" t="s">
        <v>1038</v>
      </c>
      <c r="V49" s="74" t="s">
        <v>1039</v>
      </c>
      <c r="W49" s="74" t="s">
        <v>1040</v>
      </c>
      <c r="X49" s="74" t="s">
        <v>1041</v>
      </c>
      <c r="Y49" s="74" t="s">
        <v>1042</v>
      </c>
      <c r="Z49" s="74" t="s">
        <v>1043</v>
      </c>
      <c r="AA49" s="74" t="s">
        <v>1038</v>
      </c>
      <c r="AB49" s="74" t="s">
        <v>1044</v>
      </c>
      <c r="AC49" s="74" t="s">
        <v>1044</v>
      </c>
      <c r="AE49" s="76" t="s">
        <v>1045</v>
      </c>
      <c r="AF49" s="76" t="s">
        <v>1046</v>
      </c>
      <c r="AG49" s="76" t="s">
        <v>1047</v>
      </c>
      <c r="AH49" s="76" t="s">
        <v>1048</v>
      </c>
      <c r="AI49" s="76" t="s">
        <v>1049</v>
      </c>
      <c r="AJ49" s="76" t="s">
        <v>1050</v>
      </c>
      <c r="AK49" s="76" t="s">
        <v>1051</v>
      </c>
      <c r="AL49" s="76" t="s">
        <v>1052</v>
      </c>
      <c r="AM49" s="76" t="s">
        <v>1052</v>
      </c>
      <c r="AN49" s="76" t="s">
        <v>1053</v>
      </c>
      <c r="AO49" s="76" t="s">
        <v>1054</v>
      </c>
      <c r="AP49" s="76" t="s">
        <v>1042</v>
      </c>
      <c r="AQ49" s="76" t="s">
        <v>1055</v>
      </c>
      <c r="AR49" s="76" t="s">
        <v>343</v>
      </c>
      <c r="AT49" s="76" t="s">
        <v>1045</v>
      </c>
      <c r="AU49" s="76" t="s">
        <v>1046</v>
      </c>
      <c r="AV49" s="76" t="s">
        <v>1056</v>
      </c>
      <c r="AW49" s="76" t="s">
        <v>1047</v>
      </c>
      <c r="AX49" s="76" t="s">
        <v>1048</v>
      </c>
      <c r="AY49" s="76" t="s">
        <v>1049</v>
      </c>
      <c r="AZ49" s="76" t="s">
        <v>1050</v>
      </c>
      <c r="BA49" s="76" t="s">
        <v>1051</v>
      </c>
      <c r="BB49" s="76" t="s">
        <v>1052</v>
      </c>
      <c r="BC49" s="76" t="s">
        <v>1052</v>
      </c>
      <c r="BD49" s="76" t="s">
        <v>1053</v>
      </c>
      <c r="BE49" s="76" t="s">
        <v>1054</v>
      </c>
      <c r="BF49" s="76" t="s">
        <v>1042</v>
      </c>
      <c r="BG49" s="76" t="s">
        <v>1055</v>
      </c>
      <c r="BH49" s="76" t="s">
        <v>343</v>
      </c>
      <c r="BJ49" s="76" t="s">
        <v>1045</v>
      </c>
      <c r="BK49" s="76" t="s">
        <v>1046</v>
      </c>
      <c r="BL49" s="76" t="s">
        <v>1056</v>
      </c>
      <c r="BM49" s="76" t="s">
        <v>1047</v>
      </c>
      <c r="BN49" s="76" t="s">
        <v>1048</v>
      </c>
      <c r="BO49" s="76" t="s">
        <v>1049</v>
      </c>
      <c r="BP49" s="76" t="s">
        <v>1050</v>
      </c>
      <c r="BQ49" s="76" t="s">
        <v>1051</v>
      </c>
      <c r="BR49" s="76" t="s">
        <v>1052</v>
      </c>
      <c r="BS49" s="76" t="s">
        <v>1052</v>
      </c>
      <c r="BT49" s="76" t="s">
        <v>1053</v>
      </c>
      <c r="BU49" s="76" t="s">
        <v>1054</v>
      </c>
      <c r="BV49" s="76" t="s">
        <v>1042</v>
      </c>
      <c r="BW49" s="76" t="s">
        <v>1055</v>
      </c>
      <c r="BX49" s="76" t="s">
        <v>343</v>
      </c>
      <c r="BZ49" s="76"/>
    </row>
    <row r="50" spans="2:78" x14ac:dyDescent="0.25">
      <c r="B50" s="4"/>
      <c r="C50" s="21">
        <v>1</v>
      </c>
      <c r="D50" s="22" t="s">
        <v>17</v>
      </c>
      <c r="E50" s="22" t="s">
        <v>18</v>
      </c>
      <c r="F50" s="23" t="e">
        <f>SUMIFS(F$5:F$46,$B$5:$B$46,$D50)</f>
        <v>#REF!</v>
      </c>
      <c r="G50" s="23" t="e">
        <f t="shared" ref="G50:X56" si="58">SUMIFS(G$5:G$46,$B$5:$B$46,$D50)</f>
        <v>#REF!</v>
      </c>
      <c r="H50" s="23" t="e">
        <f t="shared" si="58"/>
        <v>#REF!</v>
      </c>
      <c r="I50" s="23" t="e">
        <f t="shared" si="58"/>
        <v>#REF!</v>
      </c>
      <c r="J50" s="23" t="e">
        <f t="shared" si="58"/>
        <v>#REF!</v>
      </c>
      <c r="K50" s="23" t="e">
        <f t="shared" si="58"/>
        <v>#REF!</v>
      </c>
      <c r="L50" s="23" t="e">
        <f t="shared" si="58"/>
        <v>#REF!</v>
      </c>
      <c r="N50" s="45" t="e">
        <f>O50/L50-1</f>
        <v>#REF!</v>
      </c>
      <c r="O50" s="23" t="e">
        <f t="shared" si="58"/>
        <v>#REF!</v>
      </c>
      <c r="P50" s="23" t="e">
        <f t="shared" si="58"/>
        <v>#REF!</v>
      </c>
      <c r="Q50" s="23" t="e">
        <f t="shared" si="58"/>
        <v>#REF!</v>
      </c>
      <c r="R50" s="23" t="e">
        <f t="shared" si="58"/>
        <v>#REF!</v>
      </c>
      <c r="S50" s="23" t="e">
        <f t="shared" si="58"/>
        <v>#REF!</v>
      </c>
      <c r="T50" s="45" t="e">
        <f t="shared" ref="T50:T57" si="59">R50/S50-1</f>
        <v>#REF!</v>
      </c>
      <c r="U50" s="23" t="e">
        <f t="shared" ref="U50:U57" si="60">O50/(1+T50)</f>
        <v>#REF!</v>
      </c>
      <c r="V50" s="23" t="e">
        <f t="shared" ref="V50:V57" si="61">O50-U50</f>
        <v>#REF!</v>
      </c>
      <c r="W50" s="45" t="e">
        <f>X50/O50</f>
        <v>#REF!</v>
      </c>
      <c r="X50" s="23" t="e">
        <f t="shared" si="58"/>
        <v>#REF!</v>
      </c>
      <c r="Y50" s="23" t="e">
        <f t="shared" ref="O50:BN56" si="62">SUMIFS(Y$5:Y$46,$B$5:$B$46,$D50)</f>
        <v>#REF!</v>
      </c>
      <c r="Z50" s="45" t="e">
        <f>Y50/AA50-1</f>
        <v>#REF!</v>
      </c>
      <c r="AA50" s="23" t="e">
        <f t="shared" si="62"/>
        <v>#REF!</v>
      </c>
      <c r="AB50" s="23" t="e">
        <f t="shared" si="62"/>
        <v>#REF!</v>
      </c>
      <c r="AC50" s="23" t="e">
        <f t="shared" si="62"/>
        <v>#REF!</v>
      </c>
      <c r="AE50" s="23" t="e">
        <f t="shared" si="62"/>
        <v>#REF!</v>
      </c>
      <c r="AF50" s="23" t="e">
        <f t="shared" si="62"/>
        <v>#REF!</v>
      </c>
      <c r="AG50" s="23" t="e">
        <f t="shared" si="62"/>
        <v>#REF!</v>
      </c>
      <c r="AH50" s="23" t="e">
        <f t="shared" si="62"/>
        <v>#REF!</v>
      </c>
      <c r="AI50" s="23" t="e">
        <f t="shared" si="62"/>
        <v>#REF!</v>
      </c>
      <c r="AJ50" s="45" t="e">
        <f t="shared" ref="AJ50:AJ57" si="63">AI50/AH50-1</f>
        <v>#REF!</v>
      </c>
      <c r="AK50" s="23" t="e">
        <f t="shared" si="62"/>
        <v>#REF!</v>
      </c>
      <c r="AL50" s="45" t="e">
        <f t="shared" ref="AL50:AL57" si="64">AJ50-$T50</f>
        <v>#REF!</v>
      </c>
      <c r="AM50" s="23" t="e">
        <f t="shared" si="62"/>
        <v>#REF!</v>
      </c>
      <c r="AN50" s="45" t="e">
        <f t="shared" ref="AN50:AN57" si="65">AO50/AI50</f>
        <v>#REF!</v>
      </c>
      <c r="AO50" s="23" t="e">
        <f t="shared" si="62"/>
        <v>#REF!</v>
      </c>
      <c r="AP50" s="23" t="e">
        <f t="shared" si="62"/>
        <v>#REF!</v>
      </c>
      <c r="AQ50" s="45" t="e">
        <f t="shared" ref="AQ50:AQ57" si="66">AP50/AH50-1</f>
        <v>#REF!</v>
      </c>
      <c r="AR50" s="23" t="e">
        <f t="shared" si="62"/>
        <v>#REF!</v>
      </c>
      <c r="AT50" s="23" t="e">
        <f t="shared" si="62"/>
        <v>#REF!</v>
      </c>
      <c r="AU50" s="23" t="e">
        <f t="shared" si="62"/>
        <v>#REF!</v>
      </c>
      <c r="AV50" s="23" t="e">
        <f t="shared" si="62"/>
        <v>#REF!</v>
      </c>
      <c r="AW50" s="23" t="e">
        <f t="shared" si="62"/>
        <v>#REF!</v>
      </c>
      <c r="AX50" s="23" t="e">
        <f t="shared" si="62"/>
        <v>#REF!</v>
      </c>
      <c r="AY50" s="23" t="e">
        <f t="shared" si="62"/>
        <v>#REF!</v>
      </c>
      <c r="AZ50" s="45" t="e">
        <f t="shared" ref="AZ50:AZ57" si="67">AY50/AX50-1</f>
        <v>#REF!</v>
      </c>
      <c r="BA50" s="23" t="e">
        <f t="shared" si="62"/>
        <v>#REF!</v>
      </c>
      <c r="BB50" s="45" t="e">
        <f t="shared" ref="BB50:BB57" si="68">AZ50-$T50</f>
        <v>#REF!</v>
      </c>
      <c r="BC50" s="23" t="e">
        <f t="shared" si="62"/>
        <v>#REF!</v>
      </c>
      <c r="BD50" s="45" t="e">
        <f t="shared" ref="BD50:BD57" si="69">BE50/AY50</f>
        <v>#REF!</v>
      </c>
      <c r="BE50" s="23" t="e">
        <f t="shared" si="62"/>
        <v>#REF!</v>
      </c>
      <c r="BF50" s="23" t="e">
        <f t="shared" si="62"/>
        <v>#REF!</v>
      </c>
      <c r="BG50" s="45" t="e">
        <f t="shared" ref="BG50:BG57" si="70">BF50/AX50-1</f>
        <v>#REF!</v>
      </c>
      <c r="BH50" s="23" t="e">
        <f t="shared" si="62"/>
        <v>#REF!</v>
      </c>
      <c r="BJ50" s="23" t="e">
        <f t="shared" si="62"/>
        <v>#REF!</v>
      </c>
      <c r="BK50" s="23" t="e">
        <f t="shared" si="62"/>
        <v>#REF!</v>
      </c>
      <c r="BL50" s="23" t="e">
        <f t="shared" si="62"/>
        <v>#REF!</v>
      </c>
      <c r="BM50" s="23" t="e">
        <f t="shared" si="62"/>
        <v>#REF!</v>
      </c>
      <c r="BN50" s="23" t="e">
        <f t="shared" si="62"/>
        <v>#REF!</v>
      </c>
      <c r="BO50" s="23" t="e">
        <f t="shared" ref="BO50:BO56" si="71">SUMIFS(BO$5:BO$46,$B$5:$B$46,$D50)</f>
        <v>#REF!</v>
      </c>
      <c r="BP50" s="45" t="e">
        <f t="shared" ref="BP50:BP57" si="72">BO50/BN50-1</f>
        <v>#REF!</v>
      </c>
      <c r="BQ50" s="23" t="e">
        <f t="shared" ref="BQ50:BQ56" si="73">SUMIFS(BQ$5:BQ$46,$B$5:$B$46,$D50)</f>
        <v>#REF!</v>
      </c>
      <c r="BR50" s="45" t="e">
        <f t="shared" ref="BR50:BR57" si="74">BP50-$T50</f>
        <v>#REF!</v>
      </c>
      <c r="BS50" s="23" t="e">
        <f t="shared" ref="BS50:BS56" si="75">SUMIFS(BS$5:BS$46,$B$5:$B$46,$D50)</f>
        <v>#REF!</v>
      </c>
      <c r="BT50" s="45" t="e">
        <f>BU50/BO50</f>
        <v>#REF!</v>
      </c>
      <c r="BU50" s="23" t="e">
        <f t="shared" ref="BU50:BV56" si="76">SUMIFS(BU$5:BU$46,$B$5:$B$46,$D50)</f>
        <v>#REF!</v>
      </c>
      <c r="BV50" s="23" t="e">
        <f t="shared" si="76"/>
        <v>#REF!</v>
      </c>
      <c r="BW50" s="45" t="e">
        <f t="shared" ref="BW50:BW57" si="77">BV50/BN50-1</f>
        <v>#REF!</v>
      </c>
      <c r="BX50" s="23" t="e">
        <f t="shared" ref="BX50:BX56" si="78">SUMIFS(BX$5:BX$46,$B$5:$B$46,$D50)</f>
        <v>#REF!</v>
      </c>
      <c r="BZ50" s="23"/>
    </row>
    <row r="51" spans="2:78" x14ac:dyDescent="0.25">
      <c r="B51" s="4"/>
      <c r="C51" s="21">
        <v>2</v>
      </c>
      <c r="D51" s="22" t="s">
        <v>27</v>
      </c>
      <c r="E51" s="22" t="s">
        <v>28</v>
      </c>
      <c r="F51" s="23" t="e">
        <f t="shared" ref="F51:F56" si="79">SUMIFS(F$5:F$46,$B$5:$B$46,$D51)</f>
        <v>#REF!</v>
      </c>
      <c r="G51" s="23" t="e">
        <f t="shared" si="58"/>
        <v>#REF!</v>
      </c>
      <c r="H51" s="23" t="e">
        <f t="shared" si="58"/>
        <v>#REF!</v>
      </c>
      <c r="I51" s="23" t="e">
        <f t="shared" si="58"/>
        <v>#REF!</v>
      </c>
      <c r="J51" s="23" t="e">
        <f t="shared" si="58"/>
        <v>#REF!</v>
      </c>
      <c r="K51" s="23" t="e">
        <f t="shared" si="58"/>
        <v>#REF!</v>
      </c>
      <c r="L51" s="23" t="e">
        <f t="shared" si="58"/>
        <v>#REF!</v>
      </c>
      <c r="N51" s="45" t="e">
        <f t="shared" ref="N51:N57" si="80">O51/L51-1</f>
        <v>#REF!</v>
      </c>
      <c r="O51" s="23" t="e">
        <f t="shared" si="62"/>
        <v>#REF!</v>
      </c>
      <c r="P51" s="23" t="e">
        <f t="shared" si="62"/>
        <v>#REF!</v>
      </c>
      <c r="Q51" s="23" t="e">
        <f t="shared" si="62"/>
        <v>#REF!</v>
      </c>
      <c r="R51" s="23" t="e">
        <f t="shared" si="62"/>
        <v>#REF!</v>
      </c>
      <c r="S51" s="23" t="e">
        <f t="shared" si="62"/>
        <v>#REF!</v>
      </c>
      <c r="T51" s="45" t="e">
        <f t="shared" si="59"/>
        <v>#REF!</v>
      </c>
      <c r="U51" s="23" t="e">
        <f t="shared" si="60"/>
        <v>#REF!</v>
      </c>
      <c r="V51" s="23" t="e">
        <f t="shared" si="61"/>
        <v>#REF!</v>
      </c>
      <c r="W51" s="45" t="e">
        <f t="shared" ref="W51:W57" si="81">X51/O51</f>
        <v>#REF!</v>
      </c>
      <c r="X51" s="23" t="e">
        <f t="shared" si="62"/>
        <v>#REF!</v>
      </c>
      <c r="Y51" s="23" t="e">
        <f t="shared" si="62"/>
        <v>#REF!</v>
      </c>
      <c r="Z51" s="45" t="e">
        <f t="shared" ref="Z51:Z57" si="82">Y51/AA51-1</f>
        <v>#REF!</v>
      </c>
      <c r="AA51" s="23" t="e">
        <f t="shared" si="62"/>
        <v>#REF!</v>
      </c>
      <c r="AB51" s="23" t="e">
        <f t="shared" si="62"/>
        <v>#REF!</v>
      </c>
      <c r="AC51" s="23" t="e">
        <f t="shared" si="62"/>
        <v>#REF!</v>
      </c>
      <c r="AE51" s="23" t="e">
        <f t="shared" si="62"/>
        <v>#REF!</v>
      </c>
      <c r="AF51" s="23" t="e">
        <f t="shared" si="62"/>
        <v>#REF!</v>
      </c>
      <c r="AG51" s="23" t="e">
        <f t="shared" si="62"/>
        <v>#REF!</v>
      </c>
      <c r="AH51" s="23" t="e">
        <f t="shared" si="62"/>
        <v>#REF!</v>
      </c>
      <c r="AI51" s="23" t="e">
        <f t="shared" si="62"/>
        <v>#REF!</v>
      </c>
      <c r="AJ51" s="45" t="e">
        <f t="shared" si="63"/>
        <v>#REF!</v>
      </c>
      <c r="AK51" s="23" t="e">
        <f t="shared" si="62"/>
        <v>#REF!</v>
      </c>
      <c r="AL51" s="45" t="e">
        <f t="shared" si="64"/>
        <v>#REF!</v>
      </c>
      <c r="AM51" s="23" t="e">
        <f t="shared" si="62"/>
        <v>#REF!</v>
      </c>
      <c r="AN51" s="45" t="e">
        <f t="shared" si="65"/>
        <v>#REF!</v>
      </c>
      <c r="AO51" s="23" t="e">
        <f t="shared" si="62"/>
        <v>#REF!</v>
      </c>
      <c r="AP51" s="23" t="e">
        <f t="shared" si="62"/>
        <v>#REF!</v>
      </c>
      <c r="AQ51" s="45" t="e">
        <f t="shared" si="66"/>
        <v>#REF!</v>
      </c>
      <c r="AR51" s="23" t="e">
        <f t="shared" si="62"/>
        <v>#REF!</v>
      </c>
      <c r="AT51" s="23" t="e">
        <f t="shared" si="62"/>
        <v>#REF!</v>
      </c>
      <c r="AU51" s="23" t="e">
        <f t="shared" si="62"/>
        <v>#REF!</v>
      </c>
      <c r="AV51" s="23" t="e">
        <f t="shared" si="62"/>
        <v>#REF!</v>
      </c>
      <c r="AW51" s="23" t="e">
        <f t="shared" si="62"/>
        <v>#REF!</v>
      </c>
      <c r="AX51" s="23" t="e">
        <f t="shared" si="62"/>
        <v>#REF!</v>
      </c>
      <c r="AY51" s="23" t="e">
        <f t="shared" si="62"/>
        <v>#REF!</v>
      </c>
      <c r="AZ51" s="45" t="e">
        <f t="shared" si="67"/>
        <v>#REF!</v>
      </c>
      <c r="BA51" s="23" t="e">
        <f t="shared" si="62"/>
        <v>#REF!</v>
      </c>
      <c r="BB51" s="45" t="e">
        <f t="shared" si="68"/>
        <v>#REF!</v>
      </c>
      <c r="BC51" s="23" t="e">
        <f t="shared" si="62"/>
        <v>#REF!</v>
      </c>
      <c r="BD51" s="45" t="e">
        <f t="shared" si="69"/>
        <v>#REF!</v>
      </c>
      <c r="BE51" s="23" t="e">
        <f t="shared" si="62"/>
        <v>#REF!</v>
      </c>
      <c r="BF51" s="23" t="e">
        <f t="shared" si="62"/>
        <v>#REF!</v>
      </c>
      <c r="BG51" s="45" t="e">
        <f t="shared" si="70"/>
        <v>#REF!</v>
      </c>
      <c r="BH51" s="23" t="e">
        <f t="shared" si="62"/>
        <v>#REF!</v>
      </c>
      <c r="BJ51" s="23" t="e">
        <f t="shared" si="62"/>
        <v>#REF!</v>
      </c>
      <c r="BK51" s="23" t="e">
        <f t="shared" si="62"/>
        <v>#REF!</v>
      </c>
      <c r="BL51" s="23" t="e">
        <f t="shared" si="62"/>
        <v>#REF!</v>
      </c>
      <c r="BM51" s="23" t="e">
        <f t="shared" si="62"/>
        <v>#REF!</v>
      </c>
      <c r="BN51" s="23" t="e">
        <f t="shared" ref="BN51:BN56" si="83">SUMIFS(BN$5:BN$46,$B$5:$B$46,$D51)</f>
        <v>#REF!</v>
      </c>
      <c r="BO51" s="23" t="e">
        <f t="shared" si="71"/>
        <v>#REF!</v>
      </c>
      <c r="BP51" s="45" t="e">
        <f t="shared" si="72"/>
        <v>#REF!</v>
      </c>
      <c r="BQ51" s="23" t="e">
        <f t="shared" si="73"/>
        <v>#REF!</v>
      </c>
      <c r="BR51" s="45" t="e">
        <f t="shared" si="74"/>
        <v>#REF!</v>
      </c>
      <c r="BS51" s="23" t="e">
        <f t="shared" si="75"/>
        <v>#REF!</v>
      </c>
      <c r="BT51" s="45" t="e">
        <f t="shared" ref="BT51:BT57" si="84">BU51/BO51</f>
        <v>#REF!</v>
      </c>
      <c r="BU51" s="23" t="e">
        <f t="shared" si="76"/>
        <v>#REF!</v>
      </c>
      <c r="BV51" s="23" t="e">
        <f t="shared" si="76"/>
        <v>#REF!</v>
      </c>
      <c r="BW51" s="45" t="e">
        <f t="shared" si="77"/>
        <v>#REF!</v>
      </c>
      <c r="BX51" s="23" t="e">
        <f t="shared" si="78"/>
        <v>#REF!</v>
      </c>
      <c r="BZ51" s="23"/>
    </row>
    <row r="52" spans="2:78" x14ac:dyDescent="0.25">
      <c r="B52" s="4"/>
      <c r="C52" s="21">
        <v>3</v>
      </c>
      <c r="D52" s="22" t="s">
        <v>34</v>
      </c>
      <c r="E52" s="22" t="s">
        <v>35</v>
      </c>
      <c r="F52" s="23" t="e">
        <f t="shared" si="79"/>
        <v>#REF!</v>
      </c>
      <c r="G52" s="23" t="e">
        <f t="shared" si="58"/>
        <v>#REF!</v>
      </c>
      <c r="H52" s="23" t="e">
        <f t="shared" si="58"/>
        <v>#REF!</v>
      </c>
      <c r="I52" s="23" t="e">
        <f t="shared" si="58"/>
        <v>#REF!</v>
      </c>
      <c r="J52" s="23" t="e">
        <f t="shared" si="58"/>
        <v>#REF!</v>
      </c>
      <c r="K52" s="23" t="e">
        <f t="shared" si="58"/>
        <v>#REF!</v>
      </c>
      <c r="L52" s="23" t="e">
        <f t="shared" si="58"/>
        <v>#REF!</v>
      </c>
      <c r="N52" s="45" t="e">
        <f t="shared" si="80"/>
        <v>#REF!</v>
      </c>
      <c r="O52" s="23" t="e">
        <f t="shared" si="62"/>
        <v>#REF!</v>
      </c>
      <c r="P52" s="23" t="e">
        <f t="shared" si="62"/>
        <v>#REF!</v>
      </c>
      <c r="Q52" s="23" t="e">
        <f t="shared" si="62"/>
        <v>#REF!</v>
      </c>
      <c r="R52" s="23" t="e">
        <f t="shared" si="62"/>
        <v>#REF!</v>
      </c>
      <c r="S52" s="23" t="e">
        <f t="shared" si="62"/>
        <v>#REF!</v>
      </c>
      <c r="T52" s="45" t="e">
        <f t="shared" si="59"/>
        <v>#REF!</v>
      </c>
      <c r="U52" s="23" t="e">
        <f t="shared" si="60"/>
        <v>#REF!</v>
      </c>
      <c r="V52" s="23" t="e">
        <f t="shared" si="61"/>
        <v>#REF!</v>
      </c>
      <c r="W52" s="45" t="e">
        <f t="shared" si="81"/>
        <v>#REF!</v>
      </c>
      <c r="X52" s="23" t="e">
        <f t="shared" si="62"/>
        <v>#REF!</v>
      </c>
      <c r="Y52" s="23" t="e">
        <f t="shared" si="62"/>
        <v>#REF!</v>
      </c>
      <c r="Z52" s="45" t="e">
        <f t="shared" si="82"/>
        <v>#REF!</v>
      </c>
      <c r="AA52" s="23" t="e">
        <f t="shared" si="62"/>
        <v>#REF!</v>
      </c>
      <c r="AB52" s="23" t="e">
        <f t="shared" si="62"/>
        <v>#REF!</v>
      </c>
      <c r="AC52" s="23" t="e">
        <f t="shared" si="62"/>
        <v>#REF!</v>
      </c>
      <c r="AE52" s="23" t="e">
        <f t="shared" si="62"/>
        <v>#REF!</v>
      </c>
      <c r="AF52" s="23" t="e">
        <f t="shared" si="62"/>
        <v>#REF!</v>
      </c>
      <c r="AG52" s="23" t="e">
        <f t="shared" si="62"/>
        <v>#REF!</v>
      </c>
      <c r="AH52" s="23" t="e">
        <f t="shared" si="62"/>
        <v>#REF!</v>
      </c>
      <c r="AI52" s="23" t="e">
        <f t="shared" si="62"/>
        <v>#REF!</v>
      </c>
      <c r="AJ52" s="45" t="e">
        <f t="shared" si="63"/>
        <v>#REF!</v>
      </c>
      <c r="AK52" s="23" t="e">
        <f t="shared" si="62"/>
        <v>#REF!</v>
      </c>
      <c r="AL52" s="45" t="e">
        <f t="shared" si="64"/>
        <v>#REF!</v>
      </c>
      <c r="AM52" s="23" t="e">
        <f t="shared" si="62"/>
        <v>#REF!</v>
      </c>
      <c r="AN52" s="45" t="e">
        <f t="shared" si="65"/>
        <v>#REF!</v>
      </c>
      <c r="AO52" s="23" t="e">
        <f t="shared" si="62"/>
        <v>#REF!</v>
      </c>
      <c r="AP52" s="23" t="e">
        <f t="shared" si="62"/>
        <v>#REF!</v>
      </c>
      <c r="AQ52" s="45" t="e">
        <f t="shared" si="66"/>
        <v>#REF!</v>
      </c>
      <c r="AR52" s="23" t="e">
        <f t="shared" si="62"/>
        <v>#REF!</v>
      </c>
      <c r="AT52" s="23" t="e">
        <f t="shared" si="62"/>
        <v>#REF!</v>
      </c>
      <c r="AU52" s="23" t="e">
        <f t="shared" si="62"/>
        <v>#REF!</v>
      </c>
      <c r="AV52" s="23" t="e">
        <f t="shared" si="62"/>
        <v>#REF!</v>
      </c>
      <c r="AW52" s="23" t="e">
        <f t="shared" si="62"/>
        <v>#REF!</v>
      </c>
      <c r="AX52" s="23" t="e">
        <f t="shared" si="62"/>
        <v>#REF!</v>
      </c>
      <c r="AY52" s="23" t="e">
        <f t="shared" si="62"/>
        <v>#REF!</v>
      </c>
      <c r="AZ52" s="45" t="e">
        <f t="shared" si="67"/>
        <v>#REF!</v>
      </c>
      <c r="BA52" s="23" t="e">
        <f t="shared" si="62"/>
        <v>#REF!</v>
      </c>
      <c r="BB52" s="45" t="e">
        <f t="shared" si="68"/>
        <v>#REF!</v>
      </c>
      <c r="BC52" s="23" t="e">
        <f t="shared" si="62"/>
        <v>#REF!</v>
      </c>
      <c r="BD52" s="45" t="e">
        <f t="shared" si="69"/>
        <v>#REF!</v>
      </c>
      <c r="BE52" s="23" t="e">
        <f t="shared" si="62"/>
        <v>#REF!</v>
      </c>
      <c r="BF52" s="23" t="e">
        <f t="shared" si="62"/>
        <v>#REF!</v>
      </c>
      <c r="BG52" s="45" t="e">
        <f t="shared" si="70"/>
        <v>#REF!</v>
      </c>
      <c r="BH52" s="23" t="e">
        <f t="shared" si="62"/>
        <v>#REF!</v>
      </c>
      <c r="BJ52" s="23" t="e">
        <f t="shared" si="62"/>
        <v>#REF!</v>
      </c>
      <c r="BK52" s="23" t="e">
        <f t="shared" si="62"/>
        <v>#REF!</v>
      </c>
      <c r="BL52" s="23" t="e">
        <f t="shared" si="62"/>
        <v>#REF!</v>
      </c>
      <c r="BM52" s="23" t="e">
        <f t="shared" si="62"/>
        <v>#REF!</v>
      </c>
      <c r="BN52" s="23" t="e">
        <f t="shared" si="83"/>
        <v>#REF!</v>
      </c>
      <c r="BO52" s="23" t="e">
        <f t="shared" si="71"/>
        <v>#REF!</v>
      </c>
      <c r="BP52" s="45" t="e">
        <f t="shared" si="72"/>
        <v>#REF!</v>
      </c>
      <c r="BQ52" s="23" t="e">
        <f t="shared" si="73"/>
        <v>#REF!</v>
      </c>
      <c r="BR52" s="45" t="e">
        <f t="shared" si="74"/>
        <v>#REF!</v>
      </c>
      <c r="BS52" s="23" t="e">
        <f t="shared" si="75"/>
        <v>#REF!</v>
      </c>
      <c r="BT52" s="45" t="e">
        <f t="shared" si="84"/>
        <v>#REF!</v>
      </c>
      <c r="BU52" s="23" t="e">
        <f t="shared" si="76"/>
        <v>#REF!</v>
      </c>
      <c r="BV52" s="23" t="e">
        <f t="shared" si="76"/>
        <v>#REF!</v>
      </c>
      <c r="BW52" s="45" t="e">
        <f t="shared" si="77"/>
        <v>#REF!</v>
      </c>
      <c r="BX52" s="23" t="e">
        <f t="shared" si="78"/>
        <v>#REF!</v>
      </c>
      <c r="BZ52" s="23"/>
    </row>
    <row r="53" spans="2:78" x14ac:dyDescent="0.25">
      <c r="B53" s="4"/>
      <c r="C53" s="21">
        <v>4</v>
      </c>
      <c r="D53" s="22" t="s">
        <v>58</v>
      </c>
      <c r="E53" s="22" t="s">
        <v>59</v>
      </c>
      <c r="F53" s="23" t="e">
        <f t="shared" si="79"/>
        <v>#REF!</v>
      </c>
      <c r="G53" s="23" t="e">
        <f t="shared" si="58"/>
        <v>#REF!</v>
      </c>
      <c r="H53" s="23" t="e">
        <f t="shared" si="58"/>
        <v>#REF!</v>
      </c>
      <c r="I53" s="23" t="e">
        <f t="shared" si="58"/>
        <v>#REF!</v>
      </c>
      <c r="J53" s="23" t="e">
        <f t="shared" si="58"/>
        <v>#REF!</v>
      </c>
      <c r="K53" s="23" t="e">
        <f t="shared" si="58"/>
        <v>#REF!</v>
      </c>
      <c r="L53" s="23" t="e">
        <f t="shared" si="58"/>
        <v>#REF!</v>
      </c>
      <c r="N53" s="45" t="e">
        <f t="shared" si="80"/>
        <v>#REF!</v>
      </c>
      <c r="O53" s="23" t="e">
        <f t="shared" si="62"/>
        <v>#REF!</v>
      </c>
      <c r="P53" s="23" t="e">
        <f t="shared" si="62"/>
        <v>#REF!</v>
      </c>
      <c r="Q53" s="23" t="e">
        <f t="shared" si="62"/>
        <v>#REF!</v>
      </c>
      <c r="R53" s="23" t="e">
        <f t="shared" si="62"/>
        <v>#REF!</v>
      </c>
      <c r="S53" s="23" t="e">
        <f t="shared" si="62"/>
        <v>#REF!</v>
      </c>
      <c r="T53" s="45" t="e">
        <f t="shared" si="59"/>
        <v>#REF!</v>
      </c>
      <c r="U53" s="23" t="e">
        <f t="shared" si="60"/>
        <v>#REF!</v>
      </c>
      <c r="V53" s="23" t="e">
        <f t="shared" si="61"/>
        <v>#REF!</v>
      </c>
      <c r="W53" s="45" t="e">
        <f t="shared" si="81"/>
        <v>#REF!</v>
      </c>
      <c r="X53" s="23" t="e">
        <f t="shared" si="62"/>
        <v>#REF!</v>
      </c>
      <c r="Y53" s="23" t="e">
        <f t="shared" si="62"/>
        <v>#REF!</v>
      </c>
      <c r="Z53" s="45" t="e">
        <f t="shared" si="82"/>
        <v>#REF!</v>
      </c>
      <c r="AA53" s="23" t="e">
        <f t="shared" si="62"/>
        <v>#REF!</v>
      </c>
      <c r="AB53" s="23" t="e">
        <f t="shared" si="62"/>
        <v>#REF!</v>
      </c>
      <c r="AC53" s="23" t="e">
        <f t="shared" si="62"/>
        <v>#REF!</v>
      </c>
      <c r="AE53" s="23" t="e">
        <f t="shared" si="62"/>
        <v>#REF!</v>
      </c>
      <c r="AF53" s="23" t="e">
        <f t="shared" si="62"/>
        <v>#REF!</v>
      </c>
      <c r="AG53" s="23" t="e">
        <f t="shared" si="62"/>
        <v>#REF!</v>
      </c>
      <c r="AH53" s="23" t="e">
        <f t="shared" si="62"/>
        <v>#REF!</v>
      </c>
      <c r="AI53" s="23" t="e">
        <f t="shared" si="62"/>
        <v>#REF!</v>
      </c>
      <c r="AJ53" s="45" t="e">
        <f t="shared" si="63"/>
        <v>#REF!</v>
      </c>
      <c r="AK53" s="23" t="e">
        <f t="shared" si="62"/>
        <v>#REF!</v>
      </c>
      <c r="AL53" s="45" t="e">
        <f t="shared" si="64"/>
        <v>#REF!</v>
      </c>
      <c r="AM53" s="23" t="e">
        <f t="shared" si="62"/>
        <v>#REF!</v>
      </c>
      <c r="AN53" s="45" t="e">
        <f t="shared" si="65"/>
        <v>#REF!</v>
      </c>
      <c r="AO53" s="23" t="e">
        <f t="shared" si="62"/>
        <v>#REF!</v>
      </c>
      <c r="AP53" s="23" t="e">
        <f t="shared" si="62"/>
        <v>#REF!</v>
      </c>
      <c r="AQ53" s="45" t="e">
        <f t="shared" si="66"/>
        <v>#REF!</v>
      </c>
      <c r="AR53" s="23" t="e">
        <f t="shared" si="62"/>
        <v>#REF!</v>
      </c>
      <c r="AT53" s="23" t="e">
        <f t="shared" si="62"/>
        <v>#REF!</v>
      </c>
      <c r="AU53" s="23" t="e">
        <f t="shared" si="62"/>
        <v>#REF!</v>
      </c>
      <c r="AV53" s="23" t="e">
        <f t="shared" si="62"/>
        <v>#REF!</v>
      </c>
      <c r="AW53" s="23" t="e">
        <f t="shared" si="62"/>
        <v>#REF!</v>
      </c>
      <c r="AX53" s="23" t="e">
        <f t="shared" si="62"/>
        <v>#REF!</v>
      </c>
      <c r="AY53" s="23" t="e">
        <f t="shared" si="62"/>
        <v>#REF!</v>
      </c>
      <c r="AZ53" s="45" t="e">
        <f t="shared" si="67"/>
        <v>#REF!</v>
      </c>
      <c r="BA53" s="23" t="e">
        <f t="shared" si="62"/>
        <v>#REF!</v>
      </c>
      <c r="BB53" s="45" t="e">
        <f t="shared" si="68"/>
        <v>#REF!</v>
      </c>
      <c r="BC53" s="23" t="e">
        <f t="shared" si="62"/>
        <v>#REF!</v>
      </c>
      <c r="BD53" s="45" t="e">
        <f t="shared" si="69"/>
        <v>#REF!</v>
      </c>
      <c r="BE53" s="23" t="e">
        <f t="shared" si="62"/>
        <v>#REF!</v>
      </c>
      <c r="BF53" s="23" t="e">
        <f t="shared" si="62"/>
        <v>#REF!</v>
      </c>
      <c r="BG53" s="45" t="e">
        <f t="shared" si="70"/>
        <v>#REF!</v>
      </c>
      <c r="BH53" s="23" t="e">
        <f t="shared" si="62"/>
        <v>#REF!</v>
      </c>
      <c r="BJ53" s="23" t="e">
        <f t="shared" si="62"/>
        <v>#REF!</v>
      </c>
      <c r="BK53" s="23" t="e">
        <f t="shared" si="62"/>
        <v>#REF!</v>
      </c>
      <c r="BL53" s="23" t="e">
        <f t="shared" si="62"/>
        <v>#REF!</v>
      </c>
      <c r="BM53" s="23" t="e">
        <f t="shared" si="62"/>
        <v>#REF!</v>
      </c>
      <c r="BN53" s="23" t="e">
        <f t="shared" si="83"/>
        <v>#REF!</v>
      </c>
      <c r="BO53" s="23" t="e">
        <f t="shared" si="71"/>
        <v>#REF!</v>
      </c>
      <c r="BP53" s="45" t="e">
        <f t="shared" si="72"/>
        <v>#REF!</v>
      </c>
      <c r="BQ53" s="23" t="e">
        <f t="shared" si="73"/>
        <v>#REF!</v>
      </c>
      <c r="BR53" s="45" t="e">
        <f t="shared" si="74"/>
        <v>#REF!</v>
      </c>
      <c r="BS53" s="23" t="e">
        <f t="shared" si="75"/>
        <v>#REF!</v>
      </c>
      <c r="BT53" s="45" t="e">
        <f t="shared" si="84"/>
        <v>#REF!</v>
      </c>
      <c r="BU53" s="23" t="e">
        <f t="shared" si="76"/>
        <v>#REF!</v>
      </c>
      <c r="BV53" s="23" t="e">
        <f t="shared" si="76"/>
        <v>#REF!</v>
      </c>
      <c r="BW53" s="45" t="e">
        <f t="shared" si="77"/>
        <v>#REF!</v>
      </c>
      <c r="BX53" s="23" t="e">
        <f t="shared" si="78"/>
        <v>#REF!</v>
      </c>
      <c r="BZ53" s="23"/>
    </row>
    <row r="54" spans="2:78" x14ac:dyDescent="0.25">
      <c r="B54" s="4"/>
      <c r="C54" s="21">
        <v>5</v>
      </c>
      <c r="D54" s="22" t="s">
        <v>72</v>
      </c>
      <c r="E54" s="22" t="s">
        <v>73</v>
      </c>
      <c r="F54" s="23" t="e">
        <f t="shared" si="79"/>
        <v>#REF!</v>
      </c>
      <c r="G54" s="23" t="e">
        <f t="shared" si="58"/>
        <v>#REF!</v>
      </c>
      <c r="H54" s="23" t="e">
        <f t="shared" si="58"/>
        <v>#REF!</v>
      </c>
      <c r="I54" s="23" t="e">
        <f t="shared" si="58"/>
        <v>#REF!</v>
      </c>
      <c r="J54" s="23" t="e">
        <f t="shared" si="58"/>
        <v>#REF!</v>
      </c>
      <c r="K54" s="23" t="e">
        <f t="shared" si="58"/>
        <v>#REF!</v>
      </c>
      <c r="L54" s="23" t="e">
        <f t="shared" si="58"/>
        <v>#REF!</v>
      </c>
      <c r="N54" s="45" t="e">
        <f t="shared" si="80"/>
        <v>#REF!</v>
      </c>
      <c r="O54" s="23" t="e">
        <f t="shared" si="62"/>
        <v>#REF!</v>
      </c>
      <c r="P54" s="23" t="e">
        <f t="shared" si="62"/>
        <v>#REF!</v>
      </c>
      <c r="Q54" s="23" t="e">
        <f t="shared" si="62"/>
        <v>#REF!</v>
      </c>
      <c r="R54" s="23" t="e">
        <f t="shared" si="62"/>
        <v>#REF!</v>
      </c>
      <c r="S54" s="23" t="e">
        <f t="shared" si="62"/>
        <v>#REF!</v>
      </c>
      <c r="T54" s="45" t="e">
        <f t="shared" si="59"/>
        <v>#REF!</v>
      </c>
      <c r="U54" s="23" t="e">
        <f t="shared" si="60"/>
        <v>#REF!</v>
      </c>
      <c r="V54" s="23" t="e">
        <f t="shared" si="61"/>
        <v>#REF!</v>
      </c>
      <c r="W54" s="45" t="e">
        <f t="shared" si="81"/>
        <v>#REF!</v>
      </c>
      <c r="X54" s="23" t="e">
        <f t="shared" si="62"/>
        <v>#REF!</v>
      </c>
      <c r="Y54" s="23" t="e">
        <f t="shared" si="62"/>
        <v>#REF!</v>
      </c>
      <c r="Z54" s="45" t="e">
        <f t="shared" si="82"/>
        <v>#REF!</v>
      </c>
      <c r="AA54" s="23" t="e">
        <f t="shared" si="62"/>
        <v>#REF!</v>
      </c>
      <c r="AB54" s="23" t="e">
        <f t="shared" si="62"/>
        <v>#REF!</v>
      </c>
      <c r="AC54" s="23" t="e">
        <f t="shared" si="62"/>
        <v>#REF!</v>
      </c>
      <c r="AE54" s="23" t="e">
        <f t="shared" si="62"/>
        <v>#REF!</v>
      </c>
      <c r="AF54" s="23" t="e">
        <f t="shared" si="62"/>
        <v>#REF!</v>
      </c>
      <c r="AG54" s="23" t="e">
        <f t="shared" si="62"/>
        <v>#REF!</v>
      </c>
      <c r="AH54" s="23" t="e">
        <f t="shared" si="62"/>
        <v>#REF!</v>
      </c>
      <c r="AI54" s="23" t="e">
        <f t="shared" si="62"/>
        <v>#REF!</v>
      </c>
      <c r="AJ54" s="45" t="e">
        <f t="shared" si="63"/>
        <v>#REF!</v>
      </c>
      <c r="AK54" s="23" t="e">
        <f t="shared" si="62"/>
        <v>#REF!</v>
      </c>
      <c r="AL54" s="45" t="e">
        <f t="shared" si="64"/>
        <v>#REF!</v>
      </c>
      <c r="AM54" s="23" t="e">
        <f t="shared" si="62"/>
        <v>#REF!</v>
      </c>
      <c r="AN54" s="45" t="e">
        <f t="shared" si="65"/>
        <v>#REF!</v>
      </c>
      <c r="AO54" s="23" t="e">
        <f t="shared" si="62"/>
        <v>#REF!</v>
      </c>
      <c r="AP54" s="23" t="e">
        <f t="shared" si="62"/>
        <v>#REF!</v>
      </c>
      <c r="AQ54" s="45" t="e">
        <f t="shared" si="66"/>
        <v>#REF!</v>
      </c>
      <c r="AR54" s="23" t="e">
        <f t="shared" si="62"/>
        <v>#REF!</v>
      </c>
      <c r="AT54" s="23" t="e">
        <f t="shared" si="62"/>
        <v>#REF!</v>
      </c>
      <c r="AU54" s="23" t="e">
        <f t="shared" si="62"/>
        <v>#REF!</v>
      </c>
      <c r="AV54" s="23" t="e">
        <f t="shared" si="62"/>
        <v>#REF!</v>
      </c>
      <c r="AW54" s="23" t="e">
        <f t="shared" si="62"/>
        <v>#REF!</v>
      </c>
      <c r="AX54" s="23" t="e">
        <f t="shared" si="62"/>
        <v>#REF!</v>
      </c>
      <c r="AY54" s="23" t="e">
        <f t="shared" si="62"/>
        <v>#REF!</v>
      </c>
      <c r="AZ54" s="45" t="e">
        <f t="shared" si="67"/>
        <v>#REF!</v>
      </c>
      <c r="BA54" s="23" t="e">
        <f t="shared" si="62"/>
        <v>#REF!</v>
      </c>
      <c r="BB54" s="45" t="e">
        <f t="shared" si="68"/>
        <v>#REF!</v>
      </c>
      <c r="BC54" s="23" t="e">
        <f t="shared" si="62"/>
        <v>#REF!</v>
      </c>
      <c r="BD54" s="45" t="e">
        <f t="shared" si="69"/>
        <v>#REF!</v>
      </c>
      <c r="BE54" s="23" t="e">
        <f t="shared" si="62"/>
        <v>#REF!</v>
      </c>
      <c r="BF54" s="23" t="e">
        <f t="shared" si="62"/>
        <v>#REF!</v>
      </c>
      <c r="BG54" s="45" t="e">
        <f t="shared" si="70"/>
        <v>#REF!</v>
      </c>
      <c r="BH54" s="23" t="e">
        <f t="shared" si="62"/>
        <v>#REF!</v>
      </c>
      <c r="BJ54" s="23" t="e">
        <f t="shared" si="62"/>
        <v>#REF!</v>
      </c>
      <c r="BK54" s="23" t="e">
        <f t="shared" si="62"/>
        <v>#REF!</v>
      </c>
      <c r="BL54" s="23" t="e">
        <f t="shared" si="62"/>
        <v>#REF!</v>
      </c>
      <c r="BM54" s="23" t="e">
        <f t="shared" si="62"/>
        <v>#REF!</v>
      </c>
      <c r="BN54" s="23" t="e">
        <f t="shared" si="83"/>
        <v>#REF!</v>
      </c>
      <c r="BO54" s="23" t="e">
        <f t="shared" si="71"/>
        <v>#REF!</v>
      </c>
      <c r="BP54" s="45" t="e">
        <f t="shared" si="72"/>
        <v>#REF!</v>
      </c>
      <c r="BQ54" s="23" t="e">
        <f t="shared" si="73"/>
        <v>#REF!</v>
      </c>
      <c r="BR54" s="45" t="e">
        <f t="shared" si="74"/>
        <v>#REF!</v>
      </c>
      <c r="BS54" s="23" t="e">
        <f t="shared" si="75"/>
        <v>#REF!</v>
      </c>
      <c r="BT54" s="45" t="e">
        <f t="shared" si="84"/>
        <v>#REF!</v>
      </c>
      <c r="BU54" s="23" t="e">
        <f t="shared" si="76"/>
        <v>#REF!</v>
      </c>
      <c r="BV54" s="23" t="e">
        <f t="shared" si="76"/>
        <v>#REF!</v>
      </c>
      <c r="BW54" s="45" t="e">
        <f t="shared" si="77"/>
        <v>#REF!</v>
      </c>
      <c r="BX54" s="23" t="e">
        <f t="shared" si="78"/>
        <v>#REF!</v>
      </c>
      <c r="BZ54" s="23"/>
    </row>
    <row r="55" spans="2:78" x14ac:dyDescent="0.25">
      <c r="B55" s="4"/>
      <c r="C55" s="21">
        <v>6</v>
      </c>
      <c r="D55" s="22" t="s">
        <v>84</v>
      </c>
      <c r="E55" s="22" t="s">
        <v>85</v>
      </c>
      <c r="F55" s="23" t="e">
        <f t="shared" si="79"/>
        <v>#REF!</v>
      </c>
      <c r="G55" s="23" t="e">
        <f t="shared" si="58"/>
        <v>#REF!</v>
      </c>
      <c r="H55" s="23" t="e">
        <f t="shared" si="58"/>
        <v>#REF!</v>
      </c>
      <c r="I55" s="23" t="e">
        <f t="shared" si="58"/>
        <v>#REF!</v>
      </c>
      <c r="J55" s="23" t="e">
        <f t="shared" si="58"/>
        <v>#REF!</v>
      </c>
      <c r="K55" s="23" t="e">
        <f t="shared" si="58"/>
        <v>#REF!</v>
      </c>
      <c r="L55" s="23" t="e">
        <f t="shared" si="58"/>
        <v>#REF!</v>
      </c>
      <c r="N55" s="45" t="e">
        <f t="shared" si="80"/>
        <v>#REF!</v>
      </c>
      <c r="O55" s="23" t="e">
        <f t="shared" si="62"/>
        <v>#REF!</v>
      </c>
      <c r="P55" s="23" t="e">
        <f t="shared" si="62"/>
        <v>#REF!</v>
      </c>
      <c r="Q55" s="23" t="e">
        <f t="shared" si="62"/>
        <v>#REF!</v>
      </c>
      <c r="R55" s="23" t="e">
        <f t="shared" si="62"/>
        <v>#REF!</v>
      </c>
      <c r="S55" s="23" t="e">
        <f t="shared" si="62"/>
        <v>#REF!</v>
      </c>
      <c r="T55" s="45" t="e">
        <f t="shared" si="59"/>
        <v>#REF!</v>
      </c>
      <c r="U55" s="23" t="e">
        <f t="shared" si="60"/>
        <v>#REF!</v>
      </c>
      <c r="V55" s="23" t="e">
        <f t="shared" si="61"/>
        <v>#REF!</v>
      </c>
      <c r="W55" s="45" t="e">
        <f t="shared" si="81"/>
        <v>#REF!</v>
      </c>
      <c r="X55" s="23" t="e">
        <f t="shared" si="62"/>
        <v>#REF!</v>
      </c>
      <c r="Y55" s="23" t="e">
        <f t="shared" si="62"/>
        <v>#REF!</v>
      </c>
      <c r="Z55" s="45" t="e">
        <f t="shared" si="82"/>
        <v>#REF!</v>
      </c>
      <c r="AA55" s="23" t="e">
        <f t="shared" si="62"/>
        <v>#REF!</v>
      </c>
      <c r="AB55" s="23" t="e">
        <f t="shared" si="62"/>
        <v>#REF!</v>
      </c>
      <c r="AC55" s="23" t="e">
        <f t="shared" si="62"/>
        <v>#REF!</v>
      </c>
      <c r="AE55" s="23" t="e">
        <f t="shared" si="62"/>
        <v>#REF!</v>
      </c>
      <c r="AF55" s="23" t="e">
        <f t="shared" si="62"/>
        <v>#REF!</v>
      </c>
      <c r="AG55" s="23" t="e">
        <f t="shared" si="62"/>
        <v>#REF!</v>
      </c>
      <c r="AH55" s="23" t="e">
        <f t="shared" si="62"/>
        <v>#REF!</v>
      </c>
      <c r="AI55" s="23" t="e">
        <f t="shared" si="62"/>
        <v>#REF!</v>
      </c>
      <c r="AJ55" s="45" t="e">
        <f t="shared" si="63"/>
        <v>#REF!</v>
      </c>
      <c r="AK55" s="23" t="e">
        <f t="shared" si="62"/>
        <v>#REF!</v>
      </c>
      <c r="AL55" s="45" t="e">
        <f t="shared" si="64"/>
        <v>#REF!</v>
      </c>
      <c r="AM55" s="23" t="e">
        <f t="shared" si="62"/>
        <v>#REF!</v>
      </c>
      <c r="AN55" s="45" t="e">
        <f t="shared" si="65"/>
        <v>#REF!</v>
      </c>
      <c r="AO55" s="23" t="e">
        <f t="shared" si="62"/>
        <v>#REF!</v>
      </c>
      <c r="AP55" s="23" t="e">
        <f t="shared" si="62"/>
        <v>#REF!</v>
      </c>
      <c r="AQ55" s="45" t="e">
        <f t="shared" si="66"/>
        <v>#REF!</v>
      </c>
      <c r="AR55" s="23" t="e">
        <f t="shared" si="62"/>
        <v>#REF!</v>
      </c>
      <c r="AT55" s="23" t="e">
        <f t="shared" si="62"/>
        <v>#REF!</v>
      </c>
      <c r="AU55" s="23" t="e">
        <f t="shared" si="62"/>
        <v>#REF!</v>
      </c>
      <c r="AV55" s="23" t="e">
        <f t="shared" si="62"/>
        <v>#REF!</v>
      </c>
      <c r="AW55" s="23" t="e">
        <f t="shared" si="62"/>
        <v>#REF!</v>
      </c>
      <c r="AX55" s="23" t="e">
        <f t="shared" si="62"/>
        <v>#REF!</v>
      </c>
      <c r="AY55" s="23" t="e">
        <f t="shared" si="62"/>
        <v>#REF!</v>
      </c>
      <c r="AZ55" s="45" t="e">
        <f t="shared" si="67"/>
        <v>#REF!</v>
      </c>
      <c r="BA55" s="23" t="e">
        <f t="shared" si="62"/>
        <v>#REF!</v>
      </c>
      <c r="BB55" s="45" t="e">
        <f t="shared" si="68"/>
        <v>#REF!</v>
      </c>
      <c r="BC55" s="23" t="e">
        <f t="shared" si="62"/>
        <v>#REF!</v>
      </c>
      <c r="BD55" s="45" t="e">
        <f t="shared" si="69"/>
        <v>#REF!</v>
      </c>
      <c r="BE55" s="23" t="e">
        <f t="shared" si="62"/>
        <v>#REF!</v>
      </c>
      <c r="BF55" s="23" t="e">
        <f t="shared" si="62"/>
        <v>#REF!</v>
      </c>
      <c r="BG55" s="45" t="e">
        <f t="shared" si="70"/>
        <v>#REF!</v>
      </c>
      <c r="BH55" s="23" t="e">
        <f t="shared" si="62"/>
        <v>#REF!</v>
      </c>
      <c r="BJ55" s="23" t="e">
        <f t="shared" si="62"/>
        <v>#REF!</v>
      </c>
      <c r="BK55" s="23" t="e">
        <f t="shared" si="62"/>
        <v>#REF!</v>
      </c>
      <c r="BL55" s="23" t="e">
        <f t="shared" si="62"/>
        <v>#REF!</v>
      </c>
      <c r="BM55" s="23" t="e">
        <f t="shared" si="62"/>
        <v>#REF!</v>
      </c>
      <c r="BN55" s="23" t="e">
        <f t="shared" si="83"/>
        <v>#REF!</v>
      </c>
      <c r="BO55" s="23" t="e">
        <f t="shared" si="71"/>
        <v>#REF!</v>
      </c>
      <c r="BP55" s="45" t="e">
        <f t="shared" si="72"/>
        <v>#REF!</v>
      </c>
      <c r="BQ55" s="23" t="e">
        <f t="shared" si="73"/>
        <v>#REF!</v>
      </c>
      <c r="BR55" s="45" t="e">
        <f t="shared" si="74"/>
        <v>#REF!</v>
      </c>
      <c r="BS55" s="23" t="e">
        <f t="shared" si="75"/>
        <v>#REF!</v>
      </c>
      <c r="BT55" s="45" t="e">
        <f t="shared" si="84"/>
        <v>#REF!</v>
      </c>
      <c r="BU55" s="23" t="e">
        <f t="shared" si="76"/>
        <v>#REF!</v>
      </c>
      <c r="BV55" s="23" t="e">
        <f t="shared" si="76"/>
        <v>#REF!</v>
      </c>
      <c r="BW55" s="45" t="e">
        <f t="shared" si="77"/>
        <v>#REF!</v>
      </c>
      <c r="BX55" s="23" t="e">
        <f t="shared" si="78"/>
        <v>#REF!</v>
      </c>
      <c r="BZ55" s="23"/>
    </row>
    <row r="56" spans="2:78" x14ac:dyDescent="0.25">
      <c r="B56" s="4"/>
      <c r="C56" s="21">
        <v>7</v>
      </c>
      <c r="D56" s="22" t="s">
        <v>98</v>
      </c>
      <c r="E56" s="22" t="s">
        <v>99</v>
      </c>
      <c r="F56" s="23" t="e">
        <f t="shared" si="79"/>
        <v>#REF!</v>
      </c>
      <c r="G56" s="23" t="e">
        <f t="shared" si="58"/>
        <v>#REF!</v>
      </c>
      <c r="H56" s="23" t="e">
        <f t="shared" si="58"/>
        <v>#REF!</v>
      </c>
      <c r="I56" s="23" t="e">
        <f t="shared" si="58"/>
        <v>#REF!</v>
      </c>
      <c r="J56" s="23" t="e">
        <f t="shared" si="58"/>
        <v>#REF!</v>
      </c>
      <c r="K56" s="23" t="e">
        <f t="shared" si="58"/>
        <v>#REF!</v>
      </c>
      <c r="L56" s="23" t="e">
        <f t="shared" si="58"/>
        <v>#REF!</v>
      </c>
      <c r="N56" s="45" t="e">
        <f t="shared" si="80"/>
        <v>#REF!</v>
      </c>
      <c r="O56" s="23" t="e">
        <f t="shared" si="62"/>
        <v>#REF!</v>
      </c>
      <c r="P56" s="23" t="e">
        <f t="shared" si="62"/>
        <v>#REF!</v>
      </c>
      <c r="Q56" s="23" t="e">
        <f t="shared" si="62"/>
        <v>#REF!</v>
      </c>
      <c r="R56" s="23" t="e">
        <f t="shared" si="62"/>
        <v>#REF!</v>
      </c>
      <c r="S56" s="23" t="e">
        <f t="shared" si="62"/>
        <v>#REF!</v>
      </c>
      <c r="T56" s="45" t="e">
        <f t="shared" si="59"/>
        <v>#REF!</v>
      </c>
      <c r="U56" s="23" t="e">
        <f t="shared" si="60"/>
        <v>#REF!</v>
      </c>
      <c r="V56" s="23" t="e">
        <f t="shared" si="61"/>
        <v>#REF!</v>
      </c>
      <c r="W56" s="45" t="e">
        <f t="shared" si="81"/>
        <v>#REF!</v>
      </c>
      <c r="X56" s="23" t="e">
        <f t="shared" si="62"/>
        <v>#REF!</v>
      </c>
      <c r="Y56" s="23" t="e">
        <f t="shared" si="62"/>
        <v>#REF!</v>
      </c>
      <c r="Z56" s="45" t="e">
        <f t="shared" si="82"/>
        <v>#REF!</v>
      </c>
      <c r="AA56" s="23" t="e">
        <f t="shared" si="62"/>
        <v>#REF!</v>
      </c>
      <c r="AB56" s="23" t="e">
        <f t="shared" si="62"/>
        <v>#REF!</v>
      </c>
      <c r="AC56" s="23" t="e">
        <f t="shared" si="62"/>
        <v>#REF!</v>
      </c>
      <c r="AE56" s="23" t="e">
        <f t="shared" si="62"/>
        <v>#REF!</v>
      </c>
      <c r="AF56" s="23" t="e">
        <f t="shared" si="62"/>
        <v>#REF!</v>
      </c>
      <c r="AG56" s="23" t="e">
        <f t="shared" si="62"/>
        <v>#REF!</v>
      </c>
      <c r="AH56" s="23" t="e">
        <f t="shared" si="62"/>
        <v>#REF!</v>
      </c>
      <c r="AI56" s="23" t="e">
        <f t="shared" si="62"/>
        <v>#REF!</v>
      </c>
      <c r="AJ56" s="45" t="e">
        <f t="shared" si="63"/>
        <v>#REF!</v>
      </c>
      <c r="AK56" s="23" t="e">
        <f t="shared" si="62"/>
        <v>#REF!</v>
      </c>
      <c r="AL56" s="45" t="e">
        <f t="shared" si="64"/>
        <v>#REF!</v>
      </c>
      <c r="AM56" s="23" t="e">
        <f t="shared" si="62"/>
        <v>#REF!</v>
      </c>
      <c r="AN56" s="45" t="e">
        <f t="shared" si="65"/>
        <v>#REF!</v>
      </c>
      <c r="AO56" s="23" t="e">
        <f t="shared" si="62"/>
        <v>#REF!</v>
      </c>
      <c r="AP56" s="23" t="e">
        <f t="shared" si="62"/>
        <v>#REF!</v>
      </c>
      <c r="AQ56" s="45" t="e">
        <f t="shared" si="66"/>
        <v>#REF!</v>
      </c>
      <c r="AR56" s="23" t="e">
        <f t="shared" si="62"/>
        <v>#REF!</v>
      </c>
      <c r="AT56" s="23" t="e">
        <f t="shared" si="62"/>
        <v>#REF!</v>
      </c>
      <c r="AU56" s="23" t="e">
        <f t="shared" si="62"/>
        <v>#REF!</v>
      </c>
      <c r="AV56" s="23" t="e">
        <f t="shared" si="62"/>
        <v>#REF!</v>
      </c>
      <c r="AW56" s="23" t="e">
        <f t="shared" si="62"/>
        <v>#REF!</v>
      </c>
      <c r="AX56" s="23" t="e">
        <f t="shared" si="62"/>
        <v>#REF!</v>
      </c>
      <c r="AY56" s="23" t="e">
        <f t="shared" si="62"/>
        <v>#REF!</v>
      </c>
      <c r="AZ56" s="45" t="e">
        <f t="shared" si="67"/>
        <v>#REF!</v>
      </c>
      <c r="BA56" s="23" t="e">
        <f t="shared" si="62"/>
        <v>#REF!</v>
      </c>
      <c r="BB56" s="45" t="e">
        <f t="shared" si="68"/>
        <v>#REF!</v>
      </c>
      <c r="BC56" s="23" t="e">
        <f t="shared" si="62"/>
        <v>#REF!</v>
      </c>
      <c r="BD56" s="45" t="e">
        <f t="shared" si="69"/>
        <v>#REF!</v>
      </c>
      <c r="BE56" s="23" t="e">
        <f t="shared" si="62"/>
        <v>#REF!</v>
      </c>
      <c r="BF56" s="23" t="e">
        <f t="shared" si="62"/>
        <v>#REF!</v>
      </c>
      <c r="BG56" s="45" t="e">
        <f t="shared" si="70"/>
        <v>#REF!</v>
      </c>
      <c r="BH56" s="23" t="e">
        <f t="shared" si="62"/>
        <v>#REF!</v>
      </c>
      <c r="BJ56" s="23" t="e">
        <f t="shared" si="62"/>
        <v>#REF!</v>
      </c>
      <c r="BK56" s="23" t="e">
        <f t="shared" si="62"/>
        <v>#REF!</v>
      </c>
      <c r="BL56" s="23" t="e">
        <f t="shared" si="62"/>
        <v>#REF!</v>
      </c>
      <c r="BM56" s="23" t="e">
        <f t="shared" si="62"/>
        <v>#REF!</v>
      </c>
      <c r="BN56" s="23" t="e">
        <f t="shared" si="83"/>
        <v>#REF!</v>
      </c>
      <c r="BO56" s="23" t="e">
        <f t="shared" si="71"/>
        <v>#REF!</v>
      </c>
      <c r="BP56" s="45" t="e">
        <f t="shared" si="72"/>
        <v>#REF!</v>
      </c>
      <c r="BQ56" s="23" t="e">
        <f t="shared" si="73"/>
        <v>#REF!</v>
      </c>
      <c r="BR56" s="45" t="e">
        <f t="shared" si="74"/>
        <v>#REF!</v>
      </c>
      <c r="BS56" s="23" t="e">
        <f t="shared" si="75"/>
        <v>#REF!</v>
      </c>
      <c r="BT56" s="45" t="e">
        <f t="shared" si="84"/>
        <v>#REF!</v>
      </c>
      <c r="BU56" s="23" t="e">
        <f t="shared" si="76"/>
        <v>#REF!</v>
      </c>
      <c r="BV56" s="23" t="e">
        <f t="shared" si="76"/>
        <v>#REF!</v>
      </c>
      <c r="BW56" s="45" t="e">
        <f t="shared" si="77"/>
        <v>#REF!</v>
      </c>
      <c r="BX56" s="23" t="e">
        <f t="shared" si="78"/>
        <v>#REF!</v>
      </c>
      <c r="BZ56" s="23"/>
    </row>
    <row r="57" spans="2:78" x14ac:dyDescent="0.25">
      <c r="B57" s="22"/>
      <c r="C57" s="37"/>
      <c r="D57" s="38" t="s">
        <v>115</v>
      </c>
      <c r="E57" s="38" t="s">
        <v>116</v>
      </c>
      <c r="F57" s="33" t="e">
        <f>SUM(F50:F56)</f>
        <v>#REF!</v>
      </c>
      <c r="G57" s="33" t="e">
        <f t="shared" ref="G57:L57" si="85">SUM(G50:G56)</f>
        <v>#REF!</v>
      </c>
      <c r="H57" s="33" t="e">
        <f t="shared" si="85"/>
        <v>#REF!</v>
      </c>
      <c r="I57" s="33" t="e">
        <f t="shared" si="85"/>
        <v>#REF!</v>
      </c>
      <c r="J57" s="33" t="e">
        <f t="shared" si="85"/>
        <v>#REF!</v>
      </c>
      <c r="K57" s="33" t="e">
        <f t="shared" si="85"/>
        <v>#REF!</v>
      </c>
      <c r="L57" s="33" t="e">
        <f t="shared" si="85"/>
        <v>#REF!</v>
      </c>
      <c r="N57" s="46" t="e">
        <f t="shared" si="80"/>
        <v>#REF!</v>
      </c>
      <c r="O57" s="33" t="e">
        <f t="shared" ref="O57" si="86">SUM(O50:O56)</f>
        <v>#REF!</v>
      </c>
      <c r="P57" s="33" t="e">
        <f t="shared" ref="P57" si="87">SUM(P50:P56)</f>
        <v>#REF!</v>
      </c>
      <c r="Q57" s="33" t="e">
        <f t="shared" ref="Q57" si="88">SUM(Q50:Q56)</f>
        <v>#REF!</v>
      </c>
      <c r="R57" s="33" t="e">
        <f t="shared" ref="R57" si="89">SUM(R50:R56)</f>
        <v>#REF!</v>
      </c>
      <c r="S57" s="33" t="e">
        <f t="shared" ref="S57" si="90">SUM(S50:S56)</f>
        <v>#REF!</v>
      </c>
      <c r="T57" s="46" t="e">
        <f t="shared" si="59"/>
        <v>#REF!</v>
      </c>
      <c r="U57" s="33" t="e">
        <f t="shared" si="60"/>
        <v>#REF!</v>
      </c>
      <c r="V57" s="33" t="e">
        <f t="shared" si="61"/>
        <v>#REF!</v>
      </c>
      <c r="W57" s="46" t="e">
        <f t="shared" si="81"/>
        <v>#REF!</v>
      </c>
      <c r="X57" s="33" t="e">
        <f t="shared" ref="X57" si="91">SUM(X50:X56)</f>
        <v>#REF!</v>
      </c>
      <c r="Y57" s="33" t="e">
        <f t="shared" ref="Y57" si="92">SUM(Y50:Y56)</f>
        <v>#REF!</v>
      </c>
      <c r="Z57" s="46" t="e">
        <f t="shared" si="82"/>
        <v>#REF!</v>
      </c>
      <c r="AA57" s="33" t="e">
        <f t="shared" ref="AA57" si="93">SUM(AA50:AA56)</f>
        <v>#REF!</v>
      </c>
      <c r="AB57" s="33" t="e">
        <f t="shared" ref="AB57" si="94">SUM(AB50:AB56)</f>
        <v>#REF!</v>
      </c>
      <c r="AC57" s="33" t="e">
        <f t="shared" ref="AC57" si="95">SUM(AC50:AC56)</f>
        <v>#REF!</v>
      </c>
      <c r="AE57" s="33" t="e">
        <f t="shared" ref="AE57:AI57" si="96">SUM(AE50:AE56)</f>
        <v>#REF!</v>
      </c>
      <c r="AF57" s="33" t="e">
        <f t="shared" si="96"/>
        <v>#REF!</v>
      </c>
      <c r="AG57" s="33" t="e">
        <f t="shared" si="96"/>
        <v>#REF!</v>
      </c>
      <c r="AH57" s="33" t="e">
        <f t="shared" si="96"/>
        <v>#REF!</v>
      </c>
      <c r="AI57" s="33" t="e">
        <f t="shared" si="96"/>
        <v>#REF!</v>
      </c>
      <c r="AJ57" s="46" t="e">
        <f t="shared" si="63"/>
        <v>#REF!</v>
      </c>
      <c r="AK57" s="33" t="e">
        <f t="shared" ref="AK57:AM57" si="97">SUM(AK50:AK56)</f>
        <v>#REF!</v>
      </c>
      <c r="AL57" s="46" t="e">
        <f t="shared" si="64"/>
        <v>#REF!</v>
      </c>
      <c r="AM57" s="33" t="e">
        <f t="shared" si="97"/>
        <v>#REF!</v>
      </c>
      <c r="AN57" s="46" t="e">
        <f t="shared" si="65"/>
        <v>#REF!</v>
      </c>
      <c r="AO57" s="33" t="e">
        <f t="shared" ref="AO57:AR57" si="98">SUM(AO50:AO56)</f>
        <v>#REF!</v>
      </c>
      <c r="AP57" s="33" t="e">
        <f t="shared" si="98"/>
        <v>#REF!</v>
      </c>
      <c r="AQ57" s="46" t="e">
        <f t="shared" si="66"/>
        <v>#REF!</v>
      </c>
      <c r="AR57" s="33" t="e">
        <f t="shared" si="98"/>
        <v>#REF!</v>
      </c>
      <c r="AT57" s="33" t="e">
        <f t="shared" ref="AT57:BM57" si="99">SUM(AT50:AT56)</f>
        <v>#REF!</v>
      </c>
      <c r="AU57" s="33" t="e">
        <f t="shared" si="99"/>
        <v>#REF!</v>
      </c>
      <c r="AV57" s="33" t="e">
        <f t="shared" si="99"/>
        <v>#REF!</v>
      </c>
      <c r="AW57" s="33" t="e">
        <f t="shared" si="99"/>
        <v>#REF!</v>
      </c>
      <c r="AX57" s="33" t="e">
        <f t="shared" si="99"/>
        <v>#REF!</v>
      </c>
      <c r="AY57" s="33" t="e">
        <f t="shared" si="99"/>
        <v>#REF!</v>
      </c>
      <c r="AZ57" s="46" t="e">
        <f t="shared" si="67"/>
        <v>#REF!</v>
      </c>
      <c r="BA57" s="33" t="e">
        <f t="shared" si="99"/>
        <v>#REF!</v>
      </c>
      <c r="BB57" s="46" t="e">
        <f t="shared" si="68"/>
        <v>#REF!</v>
      </c>
      <c r="BC57" s="33" t="e">
        <f t="shared" ref="BC57" si="100">SUM(BC50:BC56)</f>
        <v>#REF!</v>
      </c>
      <c r="BD57" s="46" t="e">
        <f t="shared" si="69"/>
        <v>#REF!</v>
      </c>
      <c r="BE57" s="33" t="e">
        <f t="shared" si="99"/>
        <v>#REF!</v>
      </c>
      <c r="BF57" s="33" t="e">
        <f t="shared" si="99"/>
        <v>#REF!</v>
      </c>
      <c r="BG57" s="46" t="e">
        <f t="shared" si="70"/>
        <v>#REF!</v>
      </c>
      <c r="BH57" s="33" t="e">
        <f t="shared" si="99"/>
        <v>#REF!</v>
      </c>
      <c r="BJ57" s="33" t="e">
        <f t="shared" si="99"/>
        <v>#REF!</v>
      </c>
      <c r="BK57" s="33" t="e">
        <f t="shared" si="99"/>
        <v>#REF!</v>
      </c>
      <c r="BL57" s="33" t="e">
        <f t="shared" si="99"/>
        <v>#REF!</v>
      </c>
      <c r="BM57" s="33" t="e">
        <f t="shared" si="99"/>
        <v>#REF!</v>
      </c>
      <c r="BN57" s="33" t="e">
        <f t="shared" ref="BN57" si="101">SUM(BN50:BN56)</f>
        <v>#REF!</v>
      </c>
      <c r="BO57" s="33" t="e">
        <f t="shared" ref="BO57" si="102">SUM(BO50:BO56)</f>
        <v>#REF!</v>
      </c>
      <c r="BP57" s="46" t="e">
        <f t="shared" si="72"/>
        <v>#REF!</v>
      </c>
      <c r="BQ57" s="33" t="e">
        <f t="shared" ref="BQ57" si="103">SUM(BQ50:BQ56)</f>
        <v>#REF!</v>
      </c>
      <c r="BR57" s="46" t="e">
        <f t="shared" si="74"/>
        <v>#REF!</v>
      </c>
      <c r="BS57" s="33" t="e">
        <f t="shared" ref="BS57" si="104">SUM(BS50:BS56)</f>
        <v>#REF!</v>
      </c>
      <c r="BT57" s="46" t="e">
        <f t="shared" si="84"/>
        <v>#REF!</v>
      </c>
      <c r="BU57" s="33" t="e">
        <f t="shared" ref="BU57" si="105">SUM(BU50:BU56)</f>
        <v>#REF!</v>
      </c>
      <c r="BV57" s="33" t="e">
        <f t="shared" ref="BV57" si="106">SUM(BV50:BV56)</f>
        <v>#REF!</v>
      </c>
      <c r="BW57" s="46" t="e">
        <f t="shared" si="77"/>
        <v>#REF!</v>
      </c>
      <c r="BX57" s="33" t="e">
        <f t="shared" ref="BX57" si="107">SUM(BX50:BX56)</f>
        <v>#REF!</v>
      </c>
      <c r="BZ57" s="33"/>
    </row>
    <row r="59" spans="2:78" x14ac:dyDescent="0.25">
      <c r="U59" s="77"/>
    </row>
    <row r="60" spans="2:78" x14ac:dyDescent="0.25">
      <c r="U60" s="58"/>
    </row>
  </sheetData>
  <autoFilter ref="B4:BY4" xr:uid="{A758D0C5-C806-453A-AD24-90E9AB5D4E43}">
    <sortState xmlns:xlrd2="http://schemas.microsoft.com/office/spreadsheetml/2017/richdata2" ref="B5:BY46">
      <sortCondition ref="T4"/>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AA2BD990F7D44D92278D198B0986A3" ma:contentTypeVersion="54" ma:contentTypeDescription="Create a new document." ma:contentTypeScope="" ma:versionID="b53e22d3040f4b818f7ca451ba7c8040">
  <xsd:schema xmlns:xsd="http://www.w3.org/2001/XMLSchema" xmlns:xs="http://www.w3.org/2001/XMLSchema" xmlns:p="http://schemas.microsoft.com/office/2006/metadata/properties" xmlns:ns1="http://schemas.microsoft.com/sharepoint/v3" xmlns:ns2="94e69a48-4826-401e-a27e-0bb7a21418fa" xmlns:ns3="1abeeb08-e8eb-4d63-a700-a2e9349de4c1" xmlns:ns4="51bfcd92-eb3e-40f4-8778-2bbfb88a890b" xmlns:ns5="cccaf3ac-2de9-44d4-aa31-54302fceb5f7" targetNamespace="http://schemas.microsoft.com/office/2006/metadata/properties" ma:root="true" ma:fieldsID="4e6ac93612368fdc9d4dc7461aa76624" ns1:_="" ns2:_="" ns3:_="" ns4:_="" ns5:_="">
    <xsd:import namespace="http://schemas.microsoft.com/sharepoint/v3"/>
    <xsd:import namespace="94e69a48-4826-401e-a27e-0bb7a21418fa"/>
    <xsd:import namespace="1abeeb08-e8eb-4d63-a700-a2e9349de4c1"/>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WorkingLead" minOccurs="0"/>
                <xsd:element ref="ns3:AnalysisandInsightforFinance" minOccurs="0"/>
                <xsd:element ref="ns4:SharedWithUsers" minOccurs="0"/>
                <xsd:element ref="ns4:SharedWithDetails" minOccurs="0"/>
                <xsd:element ref="ns3:Review_x0020_Date"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e69a48-4826-401e-a27e-0bb7a21418f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beeb08-e8eb-4d63-a700-a2e9349de4c1" elementFormDefault="qualified">
    <xsd:import namespace="http://schemas.microsoft.com/office/2006/documentManagement/types"/>
    <xsd:import namespace="http://schemas.microsoft.com/office/infopath/2007/PartnerControls"/>
    <xsd:element name="WorkingLead" ma:index="12" nillable="true" ma:displayName="Working Lead" ma:description="&#10;" ma:format="Dropdown" ma:list="UserInfo" ma:SharePointGroup="0" ma:internalName="Workin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13" nillable="true" ma:displayName="AnalysisandInsightforFinance" ma:format="Dropdown" ma:list="UserInfo" ma:SharePointGroup="0" ma:internalName="AnalysisandInsightforFinanc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16" nillable="true" ma:displayName="Review date" ma:indexed="true" ma:internalName="Review_x0020_Dat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abeeb08-e8eb-4d63-a700-a2e9349de4c1">
      <Terms xmlns="http://schemas.microsoft.com/office/infopath/2007/PartnerControls"/>
    </lcf76f155ced4ddcb4097134ff3c332f>
    <AnalysisandInsightforFinance xmlns="1abeeb08-e8eb-4d63-a700-a2e9349de4c1">
      <UserInfo>
        <DisplayName/>
        <AccountId xsi:nil="true"/>
        <AccountType/>
      </UserInfo>
    </AnalysisandInsightforFinance>
    <WorkingLead xmlns="1abeeb08-e8eb-4d63-a700-a2e9349de4c1">
      <UserInfo>
        <DisplayName/>
        <AccountId xsi:nil="true"/>
        <AccountType/>
      </UserInfo>
    </WorkingLead>
    <_ip_UnifiedCompliancePolicyProperties xmlns="http://schemas.microsoft.com/sharepoint/v3" xsi:nil="true"/>
    <Review_x0020_Date xmlns="1abeeb08-e8eb-4d63-a700-a2e9349de4c1" xsi:nil="true"/>
    <TaxCatchAll xmlns="cccaf3ac-2de9-44d4-aa31-54302fceb5f7" xsi:nil="true"/>
  </documentManagement>
</p:properties>
</file>

<file path=customXml/itemProps1.xml><?xml version="1.0" encoding="utf-8"?>
<ds:datastoreItem xmlns:ds="http://schemas.openxmlformats.org/officeDocument/2006/customXml" ds:itemID="{59D2F774-A6F7-48EE-ADB1-60609AAB39F7}">
  <ds:schemaRefs>
    <ds:schemaRef ds:uri="http://schemas.microsoft.com/sharepoint/v3/contenttype/forms"/>
  </ds:schemaRefs>
</ds:datastoreItem>
</file>

<file path=customXml/itemProps2.xml><?xml version="1.0" encoding="utf-8"?>
<ds:datastoreItem xmlns:ds="http://schemas.openxmlformats.org/officeDocument/2006/customXml" ds:itemID="{E075FC61-642B-49E5-B783-C7861717D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e69a48-4826-401e-a27e-0bb7a21418fa"/>
    <ds:schemaRef ds:uri="1abeeb08-e8eb-4d63-a700-a2e9349de4c1"/>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F6071-F8FD-4811-92F3-4F549D408E39}">
  <ds:schemaRefs>
    <ds:schemaRef ds:uri="http://schemas.microsoft.com/office/infopath/2007/PartnerControls"/>
    <ds:schemaRef ds:uri="http://purl.org/dc/terms/"/>
    <ds:schemaRef ds:uri="94e69a48-4826-401e-a27e-0bb7a21418fa"/>
    <ds:schemaRef ds:uri="http://www.w3.org/XML/1998/namespace"/>
    <ds:schemaRef ds:uri="http://schemas.microsoft.com/office/2006/documentManagement/types"/>
    <ds:schemaRef ds:uri="http://purl.org/dc/elements/1.1/"/>
    <ds:schemaRef ds:uri="cccaf3ac-2de9-44d4-aa31-54302fceb5f7"/>
    <ds:schemaRef ds:uri="http://purl.org/dc/dcmitype/"/>
    <ds:schemaRef ds:uri="http://schemas.openxmlformats.org/package/2006/metadata/core-properties"/>
    <ds:schemaRef ds:uri="51bfcd92-eb3e-40f4-8778-2bbfb88a890b"/>
    <ds:schemaRef ds:uri="1abeeb08-e8eb-4d63-a700-a2e9349de4c1"/>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28-09 Meeting</vt:lpstr>
      <vt:lpstr>Share of £500m</vt:lpstr>
      <vt:lpstr>ICB Core Baseline 2024-25</vt:lpstr>
      <vt:lpstr>ICB Core Allocations 2024-25</vt:lpstr>
      <vt:lpstr>Share of £1bn</vt:lpstr>
      <vt:lpstr>Sheet6</vt:lpstr>
      <vt:lpstr>Comparison</vt:lpstr>
      <vt:lpstr>New Comparison</vt:lpstr>
      <vt:lpstr>Op 1 - Convergence</vt:lpstr>
      <vt:lpstr>SC1</vt:lpstr>
      <vt:lpstr>SC2</vt:lpstr>
      <vt:lpstr>SC3</vt:lpstr>
      <vt:lpstr>Op 2 - Acute</vt:lpstr>
      <vt:lpstr>New Spec Comm</vt:lpstr>
      <vt:lpstr>Op 2</vt:lpstr>
      <vt:lpstr>SC - Op 1</vt:lpstr>
      <vt:lpstr>Calcs - ICB Core Alloc (£0.5bn)</vt:lpstr>
      <vt:lpstr>Calcs - ICB Core Alloc (£1bn)</vt:lpstr>
      <vt:lpstr>Calcs - ICB Core Alloc (£1.5bn)</vt:lpstr>
      <vt:lpstr>SC - Op 2</vt:lpstr>
      <vt:lpstr>Provider contracts</vt:lpstr>
      <vt:lpstr>M7 Deficits</vt:lpstr>
      <vt:lpstr>Deficits</vt:lpstr>
      <vt:lpstr>20-11 M6 deficits</vt:lpstr>
      <vt:lpstr>ICB Core Allocation 2024-25 (2)</vt:lpstr>
      <vt:lpstr>Target options summary</vt:lpstr>
      <vt:lpstr>Target options calcs</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Clarke</dc:creator>
  <cp:keywords/>
  <dc:description/>
  <cp:lastModifiedBy>Heather Ross</cp:lastModifiedBy>
  <cp:revision/>
  <dcterms:created xsi:type="dcterms:W3CDTF">2023-08-29T08:49:35Z</dcterms:created>
  <dcterms:modified xsi:type="dcterms:W3CDTF">2024-02-07T09:32:25Z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0x010100ACAA2BD990F7D44D92278D198B0986A3</vt:lpwstr>
  </property>
  <property fmtid="{D5CDD505-2E9C-101B-9397-08002B2CF9AE}" pid="3" name="MediaServiceImageTags">
    <vt:lpwstr/>
  </property>
  <property fmtid="{D5CDD505-2E9C-101B-9397-08002B2CF9AE}" pid="4" name="_MarkAsFinal">
    <vt:bool>true</vt:bool>
  </property>
</Properties>
</file>