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g_hussain_nhs_net/Documents/Desktop/"/>
    </mc:Choice>
  </mc:AlternateContent>
  <xr:revisionPtr revIDLastSave="0" documentId="8_{4CF775B4-D5E9-4AF3-A57B-6B63FCE7344C}" xr6:coauthVersionLast="47" xr6:coauthVersionMax="47" xr10:uidLastSave="{00000000-0000-0000-0000-000000000000}"/>
  <bookViews>
    <workbookView xWindow="-120" yWindow="-120" windowWidth="23280" windowHeight="14880" firstSheet="1" activeTab="1" xr2:uid="{92D3833F-B601-4444-AEE9-1C0B9D4A0C4A}"/>
  </bookViews>
  <sheets>
    <sheet name="Summary" sheetId="2" state="hidden" r:id="rId1"/>
    <sheet name="Analysis" sheetId="1" r:id="rId2"/>
    <sheet name="Sheet1" sheetId="5" state="hidden" r:id="rId3"/>
    <sheet name="SDF uplifts 23-24" sheetId="3" state="hidden" r:id="rId4"/>
  </sheets>
  <externalReferences>
    <externalReference r:id="rId5"/>
    <externalReference r:id="rId6"/>
    <externalReference r:id="rId7"/>
  </externalReferences>
  <definedNames>
    <definedName name="__top11">'[1]1.2'!#REF!</definedName>
    <definedName name="__top12">'[1]1.3'!#REF!</definedName>
    <definedName name="__top13">'[1]1.4'!#REF!</definedName>
    <definedName name="__top14">'[1]1.5'!#REF!</definedName>
    <definedName name="__top15">'[1]1.6'!#REF!</definedName>
    <definedName name="__top16">'[1]1.7'!#REF!</definedName>
    <definedName name="__top17">'[1]1.8'!#REF!</definedName>
    <definedName name="__top18">'[1]1.9'!#REF!</definedName>
    <definedName name="__top21">'[1]2.1'!#REF!</definedName>
    <definedName name="__top22">'[1]2.2'!#REF!</definedName>
    <definedName name="__top23">'[1]2.3'!#REF!</definedName>
    <definedName name="__top24">'[1]2.4'!#REF!</definedName>
    <definedName name="__top26">'[1]2.6'!#REF!</definedName>
    <definedName name="__top27">'[1]2.7'!#REF!</definedName>
    <definedName name="_A1">#REF!</definedName>
    <definedName name="_Cal05">#REF!</definedName>
    <definedName name="_Cc1">#REF!</definedName>
    <definedName name="_Dd1">#REF!</definedName>
    <definedName name="_Ee1">#REF!</definedName>
    <definedName name="_Ff1">'[2]Non-Dispensing no help'!#REF!</definedName>
    <definedName name="a">'[2]Non-Dispensing no help'!#REF!</definedName>
    <definedName name="Dawn05">#REF!</definedName>
    <definedName name="def_top1">'[1]Definitions and Changes'!#REF!</definedName>
    <definedName name="foot21">'[1]2.1'!#REF!</definedName>
    <definedName name="Footnote11">#REF!</definedName>
    <definedName name="Footnote111">'[3]Table 1.8'!#REF!</definedName>
    <definedName name="Footnote12">#REF!</definedName>
    <definedName name="Footnote13">'[3]Table 1.1'!#REF!</definedName>
    <definedName name="Footnote14">'[3]Table 1.2'!#REF!</definedName>
    <definedName name="Footnote15">'[3]Table 1.3'!#REF!</definedName>
    <definedName name="Footnote16">#REF!</definedName>
    <definedName name="Footnote17">#REF!</definedName>
    <definedName name="Footnote21">#REF!</definedName>
    <definedName name="Footnote22">'[3]Table 2.1'!#REF!</definedName>
    <definedName name="Footnote23">#REF!</definedName>
    <definedName name="Footnote24">#REF!</definedName>
    <definedName name="Footnote25">#REF!</definedName>
    <definedName name="Footnote26">#REF!</definedName>
    <definedName name="Footnote27">#REF!</definedName>
    <definedName name="Footnote28">#REF!</definedName>
    <definedName name="Footnote41">'[3]Table 4.1'!#REF!</definedName>
    <definedName name="newnam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L1" i="1"/>
  <c r="K108" i="3" l="1"/>
  <c r="K105" i="3"/>
  <c r="K104" i="3"/>
  <c r="K103" i="3"/>
  <c r="M95" i="3"/>
  <c r="M90" i="3"/>
  <c r="M80" i="3"/>
  <c r="M74" i="3"/>
  <c r="M76" i="3" s="1"/>
  <c r="M70" i="3"/>
  <c r="M69" i="3"/>
  <c r="M68" i="3"/>
  <c r="M67" i="3"/>
  <c r="M72" i="3" s="1"/>
  <c r="M66" i="3"/>
  <c r="B66" i="3"/>
  <c r="M43" i="3"/>
  <c r="K43" i="3"/>
  <c r="I43" i="3"/>
  <c r="G43" i="3"/>
  <c r="E43" i="3"/>
  <c r="M35" i="3"/>
  <c r="K35" i="3"/>
  <c r="I35" i="3"/>
  <c r="G35" i="3"/>
  <c r="E35" i="3"/>
  <c r="I27" i="3"/>
  <c r="I47" i="3" s="1"/>
  <c r="I50" i="3" s="1"/>
  <c r="I54" i="3" s="1"/>
  <c r="I58" i="3" s="1"/>
  <c r="I63" i="3" s="1"/>
  <c r="E27" i="3"/>
  <c r="E47" i="3" s="1"/>
  <c r="E50" i="3" s="1"/>
  <c r="E54" i="3" s="1"/>
  <c r="E58" i="3" s="1"/>
  <c r="E63" i="3" s="1"/>
  <c r="M26" i="3"/>
  <c r="K26" i="3"/>
  <c r="I26" i="3"/>
  <c r="G26" i="3"/>
  <c r="G27" i="3" s="1"/>
  <c r="G47" i="3" s="1"/>
  <c r="G50" i="3" s="1"/>
  <c r="G54" i="3" s="1"/>
  <c r="G58" i="3" s="1"/>
  <c r="G63" i="3" s="1"/>
  <c r="E26" i="3"/>
  <c r="M20" i="3"/>
  <c r="K20" i="3"/>
  <c r="I20" i="3"/>
  <c r="G20" i="3"/>
  <c r="E20" i="3"/>
  <c r="M11" i="3"/>
  <c r="M27" i="3" s="1"/>
  <c r="M47" i="3" s="1"/>
  <c r="M50" i="3" s="1"/>
  <c r="M54" i="3" s="1"/>
  <c r="K11" i="3"/>
  <c r="K27" i="3" s="1"/>
  <c r="K47" i="3" s="1"/>
  <c r="K50" i="3" s="1"/>
  <c r="K54" i="3" s="1"/>
  <c r="K58" i="3" s="1"/>
  <c r="K63" i="3" s="1"/>
  <c r="I11" i="3"/>
  <c r="G11" i="3"/>
  <c r="E11" i="3"/>
  <c r="M96" i="3" l="1"/>
  <c r="M97" i="3" s="1"/>
  <c r="M58" i="3"/>
  <c r="M63" i="3" s="1"/>
  <c r="O54" i="3"/>
  <c r="K106" i="3"/>
  <c r="K110" i="3" s="1"/>
  <c r="M100" i="3" l="1"/>
  <c r="M104" i="3" s="1"/>
  <c r="O104" i="3" s="1"/>
  <c r="M103" i="3" l="1"/>
  <c r="M105" i="3"/>
  <c r="O105" i="3" s="1"/>
  <c r="M108" i="3"/>
  <c r="O103" i="3" l="1"/>
  <c r="M106" i="3"/>
  <c r="M110" i="3" s="1"/>
  <c r="M112" i="3" s="1"/>
  <c r="M115" i="3" s="1"/>
  <c r="D48" i="1" l="1"/>
  <c r="D23" i="2" l="1"/>
  <c r="D14" i="2"/>
  <c r="D38" i="2"/>
  <c r="D13" i="2"/>
  <c r="D12" i="2"/>
  <c r="D35" i="2"/>
  <c r="D25" i="2"/>
  <c r="D17" i="2"/>
  <c r="D21" i="2"/>
  <c r="D6" i="2"/>
  <c r="D33" i="2"/>
  <c r="D31" i="2"/>
  <c r="D41" i="2"/>
  <c r="D30" i="2"/>
  <c r="D22" i="2"/>
  <c r="D32" i="2"/>
  <c r="D7" i="2"/>
  <c r="D18" i="2"/>
  <c r="D9" i="2"/>
  <c r="D28" i="2"/>
  <c r="D10" i="2"/>
  <c r="D34" i="2"/>
  <c r="D44" i="2"/>
  <c r="D19" i="2"/>
  <c r="D27" i="2"/>
  <c r="D43" i="2"/>
  <c r="D40" i="2"/>
  <c r="D15" i="2"/>
  <c r="D29" i="2"/>
  <c r="D39" i="2"/>
  <c r="D16" i="2"/>
  <c r="D24" i="2"/>
  <c r="D42" i="2"/>
  <c r="D37" i="2"/>
  <c r="D26" i="2"/>
  <c r="D36" i="2"/>
  <c r="D11" i="2"/>
  <c r="D46" i="2"/>
  <c r="D45" i="2"/>
  <c r="D20" i="2"/>
  <c r="D8" i="2"/>
  <c r="N7" i="1" l="1"/>
  <c r="J48" i="1"/>
  <c r="I7" i="1"/>
  <c r="I36" i="1"/>
  <c r="N36" i="1" s="1"/>
  <c r="I29" i="1"/>
  <c r="N29" i="1" s="1"/>
  <c r="I25" i="1"/>
  <c r="I31" i="1"/>
  <c r="I34" i="1"/>
  <c r="I24" i="1"/>
  <c r="I6" i="1"/>
  <c r="I20" i="1"/>
  <c r="I13" i="1"/>
  <c r="I30" i="1"/>
  <c r="I33" i="1"/>
  <c r="I37" i="1"/>
  <c r="I16" i="1"/>
  <c r="I28" i="1"/>
  <c r="I46" i="1"/>
  <c r="D5" i="2"/>
  <c r="D48" i="2" s="1"/>
  <c r="K48" i="1"/>
  <c r="I9" i="1"/>
  <c r="I26" i="1"/>
  <c r="I19" i="1"/>
  <c r="I10" i="1"/>
  <c r="I14" i="1"/>
  <c r="I8" i="1"/>
  <c r="I38" i="1"/>
  <c r="I40" i="1"/>
  <c r="I44" i="1"/>
  <c r="I23" i="1"/>
  <c r="I15" i="1"/>
  <c r="I21" i="1"/>
  <c r="I17" i="1"/>
  <c r="I27" i="1"/>
  <c r="I22" i="1"/>
  <c r="I18" i="1"/>
  <c r="I39" i="1"/>
  <c r="I5" i="1"/>
  <c r="I43" i="1"/>
  <c r="I11" i="1"/>
  <c r="I41" i="1"/>
  <c r="I32" i="1"/>
  <c r="I35" i="1"/>
  <c r="I42" i="1"/>
  <c r="I45" i="1"/>
  <c r="I12" i="1"/>
  <c r="N34" i="1"/>
  <c r="H48" i="1"/>
  <c r="F48" i="1"/>
  <c r="N25" i="1" l="1"/>
  <c r="N41" i="1"/>
  <c r="N6" i="1"/>
  <c r="N28" i="1"/>
  <c r="N16" i="1"/>
  <c r="N30" i="1"/>
  <c r="N31" i="1"/>
  <c r="N17" i="1"/>
  <c r="N33" i="1"/>
  <c r="N46" i="1"/>
  <c r="N20" i="1"/>
  <c r="N24" i="1"/>
  <c r="N13" i="1"/>
  <c r="N37" i="1"/>
  <c r="N40" i="1"/>
  <c r="N14" i="1"/>
  <c r="N11" i="1"/>
  <c r="N19" i="1"/>
  <c r="N43" i="1"/>
  <c r="N45" i="1"/>
  <c r="N38" i="1"/>
  <c r="N42" i="1"/>
  <c r="N8" i="1"/>
  <c r="N32" i="1"/>
  <c r="N22" i="1"/>
  <c r="N27" i="1"/>
  <c r="N35" i="1"/>
  <c r="N21" i="1"/>
  <c r="N10" i="1"/>
  <c r="I48" i="1"/>
  <c r="N5" i="1"/>
  <c r="N39" i="1"/>
  <c r="N15" i="1"/>
  <c r="N26" i="1"/>
  <c r="L48" i="1"/>
  <c r="N18" i="1"/>
  <c r="N23" i="1"/>
  <c r="N12" i="1"/>
  <c r="N44" i="1"/>
  <c r="N9" i="1"/>
  <c r="C36" i="2"/>
  <c r="C25" i="2"/>
  <c r="C34" i="2"/>
  <c r="C28" i="2"/>
  <c r="C7" i="2"/>
  <c r="C29" i="2"/>
  <c r="E48" i="1"/>
  <c r="C5" i="2" l="1"/>
  <c r="C41" i="2"/>
  <c r="C33" i="2"/>
  <c r="C31" i="2"/>
  <c r="C8" i="2"/>
  <c r="C30" i="2"/>
  <c r="C6" i="2"/>
  <c r="C16" i="2"/>
  <c r="C20" i="2"/>
  <c r="C17" i="2"/>
  <c r="C46" i="2"/>
  <c r="C42" i="2"/>
  <c r="C40" i="2"/>
  <c r="C26" i="2"/>
  <c r="C24" i="2"/>
  <c r="C13" i="2"/>
  <c r="C35" i="2"/>
  <c r="C37" i="2"/>
  <c r="C38" i="2"/>
  <c r="C10" i="2"/>
  <c r="C9" i="2"/>
  <c r="C19" i="2"/>
  <c r="C43" i="2"/>
  <c r="C22" i="2"/>
  <c r="C14" i="2"/>
  <c r="C23" i="2"/>
  <c r="C32" i="2"/>
  <c r="C11" i="2"/>
  <c r="C18" i="2"/>
  <c r="C45" i="2"/>
  <c r="N1" i="1"/>
  <c r="N48" i="1"/>
  <c r="C15" i="2"/>
  <c r="C44" i="2"/>
  <c r="C12" i="2"/>
  <c r="C21" i="2"/>
  <c r="C27" i="2"/>
  <c r="C39" i="2"/>
  <c r="G48" i="1"/>
  <c r="C48" i="2" l="1"/>
  <c r="O1" i="1"/>
</calcChain>
</file>

<file path=xl/sharedStrings.xml><?xml version="1.0" encoding="utf-8"?>
<sst xmlns="http://schemas.openxmlformats.org/spreadsheetml/2006/main" count="289" uniqueCount="183">
  <si>
    <t>Additional ICB allocations to support in year 2024/25 GP Practice Contract Changes</t>
  </si>
  <si>
    <t>ICB23</t>
  </si>
  <si>
    <t>System Name</t>
  </si>
  <si>
    <t xml:space="preserve">Additional ICB allocations for DDRB pay uplift implementation </t>
  </si>
  <si>
    <t>Maximum additional ICB allocations available to draw down for GPs in ARRS</t>
  </si>
  <si>
    <t>£k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</si>
  <si>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</si>
  <si>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</si>
  <si>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</si>
  <si>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</si>
  <si>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</si>
  <si>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</si>
  <si>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</si>
  <si>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</si>
  <si>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</si>
  <si>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</si>
  <si>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</si>
  <si>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</si>
  <si>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</si>
  <si>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</si>
  <si>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QHL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</si>
  <si>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</si>
  <si>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</si>
  <si>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</si>
  <si>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</si>
  <si>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</si>
  <si>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</si>
  <si>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</si>
  <si>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</si>
  <si>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</si>
  <si>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</si>
  <si>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</si>
  <si>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</si>
  <si>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</si>
  <si>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</si>
  <si>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</si>
  <si>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</si>
  <si>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</si>
  <si>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</si>
  <si>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</si>
  <si>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</si>
  <si>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</si>
  <si>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</si>
  <si>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</si>
  <si>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</si>
  <si>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</si>
  <si>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</si>
  <si>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</si>
  <si>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</si>
  <si>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</si>
  <si>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</si>
  <si>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</si>
  <si>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</si>
  <si>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</si>
  <si>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QMJ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</si>
  <si>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</si>
  <si>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</si>
  <si>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</si>
  <si>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</si>
  <si>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</si>
  <si>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</si>
  <si>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</si>
  <si>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</si>
  <si>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</si>
  <si>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</si>
  <si>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</si>
  <si>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</si>
  <si>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</si>
  <si>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</si>
  <si>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</si>
  <si>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</si>
  <si>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</si>
  <si>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</si>
  <si>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</si>
  <si>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</si>
  <si>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</si>
  <si>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</si>
  <si>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</si>
  <si>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</si>
  <si>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</si>
  <si>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</si>
  <si>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</si>
  <si>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</si>
  <si>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</si>
  <si>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</si>
  <si>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</si>
  <si>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</si>
  <si>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</si>
  <si>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</si>
  <si>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</si>
  <si>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check</t>
  </si>
  <si>
    <t>2025/26 Recurrent allocation</t>
  </si>
  <si>
    <t xml:space="preserve">DDRB uplift </t>
  </si>
  <si>
    <t xml:space="preserve">Locum reimb. rates per SFE </t>
  </si>
  <si>
    <t>Dispensing fee scale uplift (revised)</t>
  </si>
  <si>
    <t>Other estimated pay related pressures</t>
  </si>
  <si>
    <t>Total 
Practice Contract-Related Uplifts</t>
  </si>
  <si>
    <t>ARRS uplifts</t>
  </si>
  <si>
    <t>Enhanced Access</t>
  </si>
  <si>
    <t>Total PCN DES-related Uplifts</t>
  </si>
  <si>
    <t>Table 3a: Summary of reported investment in General Practice 2017/18 to 2021/22, England</t>
  </si>
  <si>
    <t>£ thousands</t>
  </si>
  <si>
    <t xml:space="preserve">2016/17 </t>
  </si>
  <si>
    <t xml:space="preserve">2017/18 </t>
  </si>
  <si>
    <t xml:space="preserve">2018/19 </t>
  </si>
  <si>
    <t>2019/20</t>
  </si>
  <si>
    <t>2020/21</t>
  </si>
  <si>
    <t>2021/22</t>
  </si>
  <si>
    <t>Global Sum/MPIG (GMS only)</t>
  </si>
  <si>
    <t>Balance of PMS expenditure</t>
  </si>
  <si>
    <t>APMS essential &amp; additional services and other payments</t>
  </si>
  <si>
    <t>Primary Care Network Participation</t>
  </si>
  <si>
    <r>
      <t>Clinical Negligence Scheme for General Practice</t>
    </r>
    <r>
      <rPr>
        <vertAlign val="superscript"/>
        <sz val="11"/>
        <color rgb="FF000000"/>
        <rFont val="Arial"/>
        <family val="2"/>
      </rPr>
      <t>1</t>
    </r>
  </si>
  <si>
    <t>Total investments for essential &amp; additional services</t>
  </si>
  <si>
    <t xml:space="preserve">Quality &amp; Outcomes Framework </t>
  </si>
  <si>
    <t>Enhanced Services (GMS, PMS)</t>
  </si>
  <si>
    <t>Other Selected Services</t>
  </si>
  <si>
    <t>Local Incentive Schemes (GMS, PMS)</t>
  </si>
  <si>
    <t>GP Extended Hours Access (GMS, PMS)</t>
  </si>
  <si>
    <t xml:space="preserve">APMS Enhanced Services </t>
  </si>
  <si>
    <t xml:space="preserve">Total Enhanced and Other Services </t>
  </si>
  <si>
    <t>Premises</t>
  </si>
  <si>
    <r>
      <t>PCO administered funds</t>
    </r>
    <r>
      <rPr>
        <vertAlign val="superscript"/>
        <sz val="11"/>
        <color rgb="FF000000"/>
        <rFont val="Arial"/>
        <family val="2"/>
      </rPr>
      <t>2</t>
    </r>
  </si>
  <si>
    <t>Out of Hours</t>
  </si>
  <si>
    <r>
      <t>IT (incl. centrally funded IM&amp;T)</t>
    </r>
    <r>
      <rPr>
        <vertAlign val="superscript"/>
        <sz val="11"/>
        <color rgb="FF000000"/>
        <rFont val="Arial"/>
        <family val="2"/>
      </rPr>
      <t>3</t>
    </r>
  </si>
  <si>
    <t>Total Other Payments</t>
  </si>
  <si>
    <t>Subtotal</t>
  </si>
  <si>
    <r>
      <t>Improving Access to General Practice</t>
    </r>
    <r>
      <rPr>
        <vertAlign val="superscript"/>
        <sz val="11"/>
        <color rgb="FF000000"/>
        <rFont val="Arial"/>
        <family val="2"/>
      </rPr>
      <t>4</t>
    </r>
  </si>
  <si>
    <r>
      <t>Estates and Technology Transformation Programme</t>
    </r>
    <r>
      <rPr>
        <vertAlign val="superscript"/>
        <sz val="11"/>
        <color rgb="FF000000"/>
        <rFont val="Arial"/>
        <family val="2"/>
      </rPr>
      <t>5</t>
    </r>
  </si>
  <si>
    <t>General Practice Workforce Programmes  </t>
  </si>
  <si>
    <t>Other General Practice Transformation Programmes</t>
  </si>
  <si>
    <t>New Models of Care</t>
  </si>
  <si>
    <t>Total Transformational Investment</t>
  </si>
  <si>
    <t>Primary Care Network Leadership</t>
  </si>
  <si>
    <r>
      <t>Primary Care Network Workforce</t>
    </r>
    <r>
      <rPr>
        <vertAlign val="superscript"/>
        <sz val="11"/>
        <color theme="1"/>
        <rFont val="Arial"/>
        <family val="2"/>
      </rPr>
      <t>6a</t>
    </r>
  </si>
  <si>
    <t>Primary Care Network Extended Hours Access</t>
  </si>
  <si>
    <t>Primary Care Network Care Home Premium</t>
  </si>
  <si>
    <t>Primary Care Network Investment and Impact Fund</t>
  </si>
  <si>
    <r>
      <t>Primary Care Network Support</t>
    </r>
    <r>
      <rPr>
        <vertAlign val="superscript"/>
        <sz val="11"/>
        <color theme="1"/>
        <rFont val="Arial"/>
        <family val="2"/>
      </rPr>
      <t>6b</t>
    </r>
  </si>
  <si>
    <t>Primary Care Network DES Investment</t>
  </si>
  <si>
    <r>
      <t>Provisional investment in Public Health by Local Authorities</t>
    </r>
    <r>
      <rPr>
        <b/>
        <vertAlign val="superscript"/>
        <sz val="11"/>
        <color rgb="FF000000"/>
        <rFont val="Arial"/>
        <family val="2"/>
      </rPr>
      <t>7</t>
    </r>
  </si>
  <si>
    <t>Total Net of Dispensing</t>
  </si>
  <si>
    <r>
      <t>Cost of Dispensing Fees (incl. DSQS)</t>
    </r>
    <r>
      <rPr>
        <vertAlign val="superscript"/>
        <sz val="11"/>
        <color rgb="FF000000"/>
        <rFont val="Arial"/>
        <family val="2"/>
      </rPr>
      <t>8</t>
    </r>
  </si>
  <si>
    <r>
      <t>Total Investment Excluding Reimbursement of Drugs</t>
    </r>
    <r>
      <rPr>
        <b/>
        <vertAlign val="superscript"/>
        <sz val="11"/>
        <color rgb="FF000000"/>
        <rFont val="Arial"/>
        <family val="2"/>
      </rPr>
      <t>9</t>
    </r>
  </si>
  <si>
    <t>Reimbursement of Dispensed Drugs (incl. vat allowance and discounts)</t>
  </si>
  <si>
    <t>Total Including Reimbursement of Drugs</t>
  </si>
  <si>
    <r>
      <t>Primary care streaming in A&amp;E</t>
    </r>
    <r>
      <rPr>
        <vertAlign val="superscript"/>
        <sz val="11"/>
        <rFont val="Arial"/>
        <family val="2"/>
      </rPr>
      <t>10</t>
    </r>
  </si>
  <si>
    <t>Total Spend Excluding Covid-19 Related Costs</t>
  </si>
  <si>
    <r>
      <t>COVID-19 Support Fund, COVID-19 Expansion Fund and Other COVID-19 Related Costs</t>
    </r>
    <r>
      <rPr>
        <vertAlign val="superscript"/>
        <sz val="11"/>
        <color theme="1"/>
        <rFont val="Arial"/>
        <family val="2"/>
      </rPr>
      <t>11</t>
    </r>
  </si>
  <si>
    <r>
      <t>COVID-19 Vaccination Programme Costs</t>
    </r>
    <r>
      <rPr>
        <vertAlign val="superscript"/>
        <sz val="11"/>
        <color theme="1"/>
        <rFont val="Arial"/>
        <family val="2"/>
      </rPr>
      <t>12</t>
    </r>
  </si>
  <si>
    <t>Total Including Covid-19 Costs</t>
  </si>
  <si>
    <t>Total ICB Other PC Spend (based on 21/22 Investment Report)</t>
  </si>
  <si>
    <t>IT (incl. centrally funded IM&amp;T)</t>
  </si>
  <si>
    <t>Estates and Technology Transformation Programme</t>
  </si>
  <si>
    <t xml:space="preserve">Uplifts and other adjustments re 22/23 and 23/24 </t>
  </si>
  <si>
    <t>Total ICB Other PC Spend from above</t>
  </si>
  <si>
    <t>Total ICB Other PC Spend per baseline</t>
  </si>
  <si>
    <t>Pay-related elements of ICB Other PC Spend</t>
  </si>
  <si>
    <t>General Workforce Programmes - pay-related elements</t>
  </si>
  <si>
    <t>GP Fellowships</t>
  </si>
  <si>
    <t>Supporting Mentors Scheme</t>
  </si>
  <si>
    <t>Training Hubs</t>
  </si>
  <si>
    <t>TERS, Induction and Retention, etc</t>
  </si>
  <si>
    <t>Local GP Retention</t>
  </si>
  <si>
    <t>International recruitment</t>
  </si>
  <si>
    <t>Flexible Staffing Pools</t>
  </si>
  <si>
    <t>Other General Practice Transformation Programmes - pay-related elements</t>
  </si>
  <si>
    <t>PC Recovery Plan - Locum Support</t>
  </si>
  <si>
    <t>PCN Leadership and Management (SDF funded element)</t>
  </si>
  <si>
    <t>Share of uplifts and other adjustments</t>
  </si>
  <si>
    <t>Total pay-related elements</t>
  </si>
  <si>
    <t>Proportion of relevant costs attributable to pay (uplifted to 100% from 84%)</t>
  </si>
  <si>
    <t>Funding already issued</t>
  </si>
  <si>
    <t>Included in GP transformation funding - £169m</t>
  </si>
  <si>
    <t>Total relating to funding already issued</t>
  </si>
  <si>
    <t>Total relating to SDF funding not yet issued</t>
  </si>
  <si>
    <t>Total relating to SDF</t>
  </si>
  <si>
    <t>Total relating to core funding from above</t>
  </si>
  <si>
    <t>Total relating to core funding from OOHs</t>
  </si>
  <si>
    <t>Total to increase core funding by to reflect DDRB pay uplifts</t>
  </si>
  <si>
    <t>Additional ICB allocations to support mid-year 2025/26 GP practice contract changes</t>
  </si>
  <si>
    <t>Total additional 25/26 allocations</t>
  </si>
  <si>
    <t>Appendix A - PRN 02067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</si>
</sst>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;\(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EB8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</cellStyleXfs>
  <cellXfs count="157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164" fontId="3" fillId="0" borderId="4" xfId="1" applyNumberFormat="1" applyFont="1" applyBorder="1"/>
    <xf numFmtId="164" fontId="3" fillId="0" borderId="5" xfId="1" applyNumberFormat="1" applyFont="1" applyBorder="1"/>
    <xf numFmtId="164" fontId="0" fillId="0" borderId="0" xfId="0" applyNumberFormat="1"/>
    <xf numFmtId="43" fontId="0" fillId="0" borderId="0" xfId="1" applyFont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 applyAlignment="1">
      <alignment horizontal="center" vertical="top" wrapText="1"/>
    </xf>
    <xf numFmtId="164" fontId="3" fillId="0" borderId="13" xfId="1" applyNumberFormat="1" applyFont="1" applyBorder="1"/>
    <xf numFmtId="164" fontId="3" fillId="0" borderId="14" xfId="1" applyNumberFormat="1" applyFont="1" applyBorder="1"/>
    <xf numFmtId="0" fontId="0" fillId="0" borderId="13" xfId="0" applyBorder="1"/>
    <xf numFmtId="164" fontId="0" fillId="0" borderId="15" xfId="0" applyNumberFormat="1" applyBorder="1"/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5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2" applyFont="1" applyAlignment="1">
      <alignment horizontal="left" vertical="center"/>
    </xf>
    <xf numFmtId="164" fontId="5" fillId="0" borderId="0" xfId="3" applyNumberFormat="1" applyFont="1" applyBorder="1" applyAlignment="1">
      <alignment vertical="center" wrapText="1"/>
    </xf>
    <xf numFmtId="164" fontId="5" fillId="0" borderId="0" xfId="3" applyNumberFormat="1" applyFont="1" applyBorder="1" applyAlignment="1">
      <alignment horizontal="left" vertical="center" wrapText="1"/>
    </xf>
    <xf numFmtId="0" fontId="5" fillId="0" borderId="0" xfId="2" applyFont="1"/>
    <xf numFmtId="0" fontId="5" fillId="0" borderId="25" xfId="2" applyFont="1" applyBorder="1" applyAlignment="1">
      <alignment vertical="center" wrapText="1"/>
    </xf>
    <xf numFmtId="164" fontId="5" fillId="0" borderId="20" xfId="3" applyNumberFormat="1" applyFont="1" applyBorder="1" applyAlignment="1">
      <alignment vertical="center" wrapText="1"/>
    </xf>
    <xf numFmtId="0" fontId="12" fillId="0" borderId="0" xfId="2" applyFont="1" applyAlignment="1">
      <alignment vertical="center" wrapText="1"/>
    </xf>
    <xf numFmtId="164" fontId="5" fillId="0" borderId="27" xfId="3" applyNumberFormat="1" applyFont="1" applyBorder="1" applyAlignment="1">
      <alignment horizontal="right" vertical="center" wrapText="1"/>
    </xf>
    <xf numFmtId="164" fontId="4" fillId="0" borderId="27" xfId="3" applyNumberFormat="1" applyFont="1" applyBorder="1" applyAlignment="1">
      <alignment horizontal="right" vertical="center" wrapText="1"/>
    </xf>
    <xf numFmtId="164" fontId="4" fillId="0" borderId="27" xfId="3" quotePrefix="1" applyNumberFormat="1" applyFont="1" applyBorder="1" applyAlignment="1">
      <alignment horizontal="right" vertical="center" wrapText="1"/>
    </xf>
    <xf numFmtId="164" fontId="5" fillId="0" borderId="0" xfId="3" applyNumberFormat="1" applyFont="1" applyBorder="1" applyAlignment="1">
      <alignment horizontal="right" vertical="center" wrapText="1"/>
    </xf>
    <xf numFmtId="164" fontId="4" fillId="0" borderId="0" xfId="3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vertical="center" wrapText="1"/>
    </xf>
    <xf numFmtId="0" fontId="13" fillId="0" borderId="0" xfId="2" applyFont="1" applyAlignment="1">
      <alignment vertical="center" wrapText="1"/>
    </xf>
    <xf numFmtId="164" fontId="13" fillId="0" borderId="0" xfId="3" applyNumberFormat="1" applyFont="1" applyFill="1" applyBorder="1" applyAlignment="1">
      <alignment horizontal="right" vertical="center" wrapText="1"/>
    </xf>
    <xf numFmtId="164" fontId="5" fillId="0" borderId="0" xfId="3" applyNumberFormat="1" applyFont="1" applyFill="1" applyBorder="1" applyAlignment="1">
      <alignment vertical="center"/>
    </xf>
    <xf numFmtId="0" fontId="5" fillId="0" borderId="0" xfId="2" applyFont="1" applyAlignment="1">
      <alignment vertical="center" wrapText="1"/>
    </xf>
    <xf numFmtId="164" fontId="4" fillId="0" borderId="0" xfId="3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right" vertical="center" wrapText="1"/>
    </xf>
    <xf numFmtId="164" fontId="5" fillId="0" borderId="0" xfId="3" applyNumberFormat="1" applyFont="1" applyFill="1" applyBorder="1" applyAlignment="1">
      <alignment horizontal="right" vertical="center"/>
    </xf>
    <xf numFmtId="164" fontId="5" fillId="3" borderId="0" xfId="3" applyNumberFormat="1" applyFont="1" applyFill="1" applyBorder="1" applyAlignment="1">
      <alignment vertical="center" wrapText="1"/>
    </xf>
    <xf numFmtId="164" fontId="12" fillId="0" borderId="0" xfId="3" applyNumberFormat="1" applyFont="1" applyFill="1" applyAlignment="1">
      <alignment horizontal="right" vertical="center"/>
    </xf>
    <xf numFmtId="164" fontId="12" fillId="0" borderId="0" xfId="3" applyNumberFormat="1" applyFont="1" applyFill="1" applyBorder="1" applyAlignment="1">
      <alignment horizontal="right" vertical="center"/>
    </xf>
    <xf numFmtId="164" fontId="5" fillId="0" borderId="0" xfId="2" applyNumberFormat="1" applyFont="1"/>
    <xf numFmtId="0" fontId="10" fillId="0" borderId="0" xfId="2" applyFont="1" applyAlignment="1">
      <alignment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0" fontId="17" fillId="0" borderId="0" xfId="2" applyFont="1" applyAlignment="1">
      <alignment vertical="center" wrapText="1"/>
    </xf>
    <xf numFmtId="164" fontId="13" fillId="0" borderId="0" xfId="3" applyNumberFormat="1" applyFont="1" applyFill="1" applyAlignment="1">
      <alignment horizontal="right" vertical="center"/>
    </xf>
    <xf numFmtId="164" fontId="13" fillId="0" borderId="0" xfId="3" applyNumberFormat="1" applyFont="1" applyFill="1" applyBorder="1" applyAlignment="1">
      <alignment horizontal="right" vertical="center"/>
    </xf>
    <xf numFmtId="164" fontId="5" fillId="0" borderId="0" xfId="3" applyNumberFormat="1" applyFont="1" applyFill="1"/>
    <xf numFmtId="164" fontId="5" fillId="0" borderId="0" xfId="3" applyNumberFormat="1" applyFont="1" applyFill="1" applyBorder="1"/>
    <xf numFmtId="164" fontId="4" fillId="0" borderId="0" xfId="3" applyNumberFormat="1" applyFont="1" applyFill="1"/>
    <xf numFmtId="164" fontId="4" fillId="0" borderId="0" xfId="3" applyNumberFormat="1" applyFont="1" applyFill="1" applyBorder="1"/>
    <xf numFmtId="0" fontId="19" fillId="3" borderId="21" xfId="2" applyFont="1" applyFill="1" applyBorder="1"/>
    <xf numFmtId="164" fontId="5" fillId="0" borderId="22" xfId="3" applyNumberFormat="1" applyFont="1" applyFill="1" applyBorder="1"/>
    <xf numFmtId="164" fontId="5" fillId="0" borderId="23" xfId="3" applyNumberFormat="1" applyFont="1" applyFill="1" applyBorder="1"/>
    <xf numFmtId="0" fontId="5" fillId="0" borderId="10" xfId="2" applyFont="1" applyBorder="1"/>
    <xf numFmtId="164" fontId="5" fillId="0" borderId="28" xfId="3" applyNumberFormat="1" applyFont="1" applyFill="1" applyBorder="1"/>
    <xf numFmtId="164" fontId="4" fillId="0" borderId="29" xfId="3" applyNumberFormat="1" applyFont="1" applyFill="1" applyBorder="1"/>
    <xf numFmtId="0" fontId="4" fillId="3" borderId="10" xfId="2" applyFont="1" applyFill="1" applyBorder="1"/>
    <xf numFmtId="0" fontId="4" fillId="0" borderId="0" xfId="2" applyFont="1"/>
    <xf numFmtId="164" fontId="4" fillId="3" borderId="28" xfId="2" applyNumberFormat="1" applyFont="1" applyFill="1" applyBorder="1"/>
    <xf numFmtId="164" fontId="4" fillId="0" borderId="28" xfId="2" applyNumberFormat="1" applyFont="1" applyBorder="1"/>
    <xf numFmtId="0" fontId="4" fillId="0" borderId="10" xfId="2" applyFont="1" applyBorder="1"/>
    <xf numFmtId="164" fontId="4" fillId="0" borderId="29" xfId="2" applyNumberFormat="1" applyFont="1" applyBorder="1"/>
    <xf numFmtId="0" fontId="5" fillId="0" borderId="28" xfId="2" applyFont="1" applyBorder="1"/>
    <xf numFmtId="164" fontId="4" fillId="0" borderId="30" xfId="3" quotePrefix="1" applyNumberFormat="1" applyFont="1" applyBorder="1" applyAlignment="1">
      <alignment horizontal="right" vertical="center" wrapText="1"/>
    </xf>
    <xf numFmtId="164" fontId="4" fillId="0" borderId="31" xfId="3" quotePrefix="1" applyNumberFormat="1" applyFont="1" applyBorder="1" applyAlignment="1">
      <alignment horizontal="right" vertical="center" wrapText="1"/>
    </xf>
    <xf numFmtId="0" fontId="20" fillId="0" borderId="10" xfId="2" applyFont="1" applyBorder="1"/>
    <xf numFmtId="164" fontId="5" fillId="4" borderId="0" xfId="3" applyNumberFormat="1" applyFont="1" applyFill="1" applyBorder="1"/>
    <xf numFmtId="164" fontId="5" fillId="5" borderId="0" xfId="3" applyNumberFormat="1" applyFont="1" applyFill="1" applyBorder="1"/>
    <xf numFmtId="164" fontId="5" fillId="6" borderId="0" xfId="3" applyNumberFormat="1" applyFont="1" applyFill="1" applyBorder="1"/>
    <xf numFmtId="164" fontId="5" fillId="6" borderId="27" xfId="3" applyNumberFormat="1" applyFont="1" applyFill="1" applyBorder="1"/>
    <xf numFmtId="0" fontId="21" fillId="0" borderId="10" xfId="2" applyFont="1" applyBorder="1" applyAlignment="1">
      <alignment vertical="center" wrapText="1"/>
    </xf>
    <xf numFmtId="0" fontId="5" fillId="0" borderId="11" xfId="2" applyFont="1" applyBorder="1"/>
    <xf numFmtId="0" fontId="5" fillId="0" borderId="12" xfId="2" applyFont="1" applyBorder="1"/>
    <xf numFmtId="164" fontId="5" fillId="0" borderId="32" xfId="3" applyNumberFormat="1" applyFont="1" applyFill="1" applyBorder="1"/>
    <xf numFmtId="0" fontId="4" fillId="3" borderId="6" xfId="2" applyFont="1" applyFill="1" applyBorder="1"/>
    <xf numFmtId="0" fontId="5" fillId="0" borderId="22" xfId="2" applyFont="1" applyBorder="1"/>
    <xf numFmtId="164" fontId="4" fillId="3" borderId="6" xfId="3" applyNumberFormat="1" applyFont="1" applyFill="1" applyBorder="1"/>
    <xf numFmtId="0" fontId="19" fillId="0" borderId="10" xfId="2" applyFont="1" applyBorder="1"/>
    <xf numFmtId="164" fontId="5" fillId="4" borderId="28" xfId="3" applyNumberFormat="1" applyFont="1" applyFill="1" applyBorder="1"/>
    <xf numFmtId="164" fontId="5" fillId="5" borderId="28" xfId="3" applyNumberFormat="1" applyFont="1" applyFill="1" applyBorder="1"/>
    <xf numFmtId="164" fontId="5" fillId="6" borderId="28" xfId="3" applyNumberFormat="1" applyFont="1" applyFill="1" applyBorder="1"/>
    <xf numFmtId="164" fontId="4" fillId="0" borderId="33" xfId="3" applyNumberFormat="1" applyFont="1" applyFill="1" applyBorder="1"/>
    <xf numFmtId="164" fontId="5" fillId="0" borderId="28" xfId="2" applyNumberFormat="1" applyFont="1" applyBorder="1"/>
    <xf numFmtId="164" fontId="5" fillId="0" borderId="32" xfId="2" applyNumberFormat="1" applyFont="1" applyBorder="1"/>
    <xf numFmtId="0" fontId="6" fillId="0" borderId="20" xfId="0" applyFont="1" applyBorder="1" applyAlignment="1">
      <alignment vertical="center"/>
    </xf>
    <xf numFmtId="0" fontId="22" fillId="0" borderId="0" xfId="0" applyFont="1"/>
    <xf numFmtId="165" fontId="22" fillId="0" borderId="0" xfId="0" applyNumberFormat="1" applyFont="1"/>
    <xf numFmtId="0" fontId="4" fillId="0" borderId="6" xfId="0" applyFont="1" applyBorder="1" applyAlignment="1">
      <alignment vertical="center"/>
    </xf>
    <xf numFmtId="164" fontId="7" fillId="0" borderId="13" xfId="1" applyNumberFormat="1" applyFont="1" applyBorder="1"/>
    <xf numFmtId="164" fontId="7" fillId="0" borderId="14" xfId="1" applyNumberFormat="1" applyFont="1" applyBorder="1"/>
    <xf numFmtId="0" fontId="22" fillId="0" borderId="13" xfId="0" applyFont="1" applyBorder="1"/>
    <xf numFmtId="0" fontId="3" fillId="0" borderId="24" xfId="0" applyFont="1" applyBorder="1" applyAlignment="1">
      <alignment horizontal="right" wrapText="1"/>
    </xf>
    <xf numFmtId="0" fontId="0" fillId="0" borderId="20" xfId="0" applyBorder="1" applyAlignment="1">
      <alignment horizontal="right"/>
    </xf>
    <xf numFmtId="0" fontId="7" fillId="0" borderId="6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3" fillId="0" borderId="4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7" fillId="0" borderId="13" xfId="0" applyFont="1" applyBorder="1" applyAlignment="1">
      <alignment horizontal="right" vertical="top" wrapText="1"/>
    </xf>
    <xf numFmtId="164" fontId="3" fillId="0" borderId="4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0" fontId="6" fillId="0" borderId="6" xfId="0" applyFont="1" applyBorder="1" applyAlignment="1">
      <alignment vertical="center"/>
    </xf>
    <xf numFmtId="0" fontId="2" fillId="2" borderId="34" xfId="0" applyFont="1" applyFill="1" applyBorder="1" applyAlignment="1">
      <alignment wrapText="1"/>
    </xf>
    <xf numFmtId="0" fontId="3" fillId="0" borderId="35" xfId="0" applyFont="1" applyBorder="1" applyAlignment="1">
      <alignment horizontal="right" wrapText="1"/>
    </xf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 applyAlignment="1">
      <alignment horizontal="right" wrapText="1"/>
    </xf>
    <xf numFmtId="0" fontId="3" fillId="0" borderId="40" xfId="0" applyFont="1" applyBorder="1" applyAlignment="1">
      <alignment horizontal="right" vertical="top" wrapText="1"/>
    </xf>
    <xf numFmtId="164" fontId="3" fillId="0" borderId="40" xfId="1" applyNumberFormat="1" applyFont="1" applyBorder="1"/>
    <xf numFmtId="164" fontId="3" fillId="0" borderId="41" xfId="1" applyNumberFormat="1" applyFont="1" applyBorder="1"/>
    <xf numFmtId="0" fontId="3" fillId="0" borderId="42" xfId="0" applyFont="1" applyBorder="1" applyAlignment="1">
      <alignment horizontal="right" wrapText="1"/>
    </xf>
    <xf numFmtId="0" fontId="3" fillId="0" borderId="43" xfId="0" applyFont="1" applyBorder="1" applyAlignment="1">
      <alignment horizontal="right" vertical="top" wrapText="1"/>
    </xf>
    <xf numFmtId="164" fontId="3" fillId="0" borderId="43" xfId="1" applyNumberFormat="1" applyFont="1" applyBorder="1"/>
    <xf numFmtId="164" fontId="3" fillId="0" borderId="44" xfId="1" applyNumberFormat="1" applyFont="1" applyBorder="1"/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wrapText="1"/>
    </xf>
    <xf numFmtId="0" fontId="3" fillId="0" borderId="13" xfId="0" applyFont="1" applyBorder="1" applyAlignment="1">
      <alignment horizontal="right" vertical="top" wrapText="1"/>
    </xf>
    <xf numFmtId="0" fontId="3" fillId="0" borderId="15" xfId="0" applyFont="1" applyBorder="1"/>
    <xf numFmtId="0" fontId="3" fillId="0" borderId="15" xfId="0" applyFont="1" applyBorder="1" applyAlignment="1">
      <alignment horizontal="right" wrapText="1"/>
    </xf>
    <xf numFmtId="0" fontId="0" fillId="0" borderId="15" xfId="0" applyBorder="1"/>
    <xf numFmtId="0" fontId="24" fillId="0" borderId="0" xfId="0" applyFont="1"/>
    <xf numFmtId="0" fontId="25" fillId="0" borderId="0" xfId="0" applyFont="1"/>
    <xf numFmtId="164" fontId="24" fillId="0" borderId="0" xfId="1" applyNumberFormat="1" applyFont="1"/>
    <xf numFmtId="164" fontId="23" fillId="0" borderId="0" xfId="1" applyNumberFormat="1" applyFont="1"/>
    <xf numFmtId="43" fontId="24" fillId="0" borderId="0" xfId="0" applyNumberFormat="1" applyFont="1"/>
    <xf numFmtId="0" fontId="3" fillId="0" borderId="12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164" fontId="3" fillId="0" borderId="0" xfId="1" applyNumberFormat="1" applyFont="1" applyBorder="1"/>
    <xf numFmtId="164" fontId="3" fillId="0" borderId="27" xfId="1" applyNumberFormat="1" applyFont="1" applyBorder="1"/>
    <xf numFmtId="0" fontId="26" fillId="0" borderId="0" xfId="0" applyFont="1"/>
    <xf numFmtId="0" fontId="5" fillId="0" borderId="11" xfId="0" applyFont="1" applyBorder="1"/>
    <xf numFmtId="0" fontId="5" fillId="0" borderId="12" xfId="0" applyFont="1" applyBorder="1"/>
    <xf numFmtId="164" fontId="5" fillId="0" borderId="6" xfId="0" applyNumberFormat="1" applyFont="1" applyBorder="1"/>
    <xf numFmtId="164" fontId="5" fillId="0" borderId="42" xfId="0" applyNumberFormat="1" applyFont="1" applyBorder="1"/>
    <xf numFmtId="164" fontId="5" fillId="0" borderId="24" xfId="0" applyNumberFormat="1" applyFont="1" applyBorder="1"/>
    <xf numFmtId="164" fontId="5" fillId="0" borderId="39" xfId="0" applyNumberFormat="1" applyFont="1" applyBorder="1"/>
    <xf numFmtId="164" fontId="5" fillId="0" borderId="12" xfId="0" applyNumberFormat="1" applyFont="1" applyBorder="1"/>
    <xf numFmtId="164" fontId="5" fillId="0" borderId="15" xfId="0" applyNumberFormat="1" applyFont="1" applyBorder="1"/>
    <xf numFmtId="0" fontId="5" fillId="0" borderId="26" xfId="0" applyFont="1" applyBorder="1"/>
    <xf numFmtId="164" fontId="4" fillId="0" borderId="6" xfId="0" applyNumberFormat="1" applyFont="1" applyBorder="1"/>
    <xf numFmtId="0" fontId="5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</cellXfs>
  <cellStyles count="4">
    <cellStyle name="Comma" xfId="1" builtinId="3"/>
    <cellStyle name="Comma 2" xfId="3" xr:uid="{79FDDBF8-9D41-4F23-8EE7-5E6E9F977E3B}"/>
    <cellStyle name="Normal" xfId="0" builtinId="0"/>
    <cellStyle name="Normal 2" xfId="2" xr:uid="{D729BA3E-F281-4D18-A7B2-BDA7E30E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entory.ic.nhs.uk/PC/Primary%20Care%20Statistics/Dental%20-%20Earnings%20and%20Expenses/2015/04%20&#8211;%20Publication%20Documents/08%20-%20Pre-Release%20Access/Dental%20Earnings%20and%20Expenses%202013-14%20Time%20Series%20SCOTLAND_Restri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dividuals\Surveys%20and%20Datasets\Doctors%20and%20Dentists\GPs\2001-02\GP03%20v3%20Excel\Distribu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entory.ic.nhs.uk/PC/Primary%20Care%20Statistics/Dental%20-Earnings%20and%20Expenses/Time%20Series/Scotland/201112_Published/DentalEarningsExpenses_Scotland_TimeSeries_Experimental_201112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Data Sources"/>
      <sheetName val="Definitions and Changes"/>
      <sheetName val="1.0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0"/>
      <sheetName val="2.1"/>
      <sheetName val="2.2"/>
      <sheetName val="2.3"/>
      <sheetName val="2.4"/>
      <sheetName val="2.5"/>
      <sheetName val="2.6"/>
      <sheetName val="2.7"/>
      <sheetName val="3.0"/>
      <sheetName val="4.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Data (All)"/>
      <sheetName val="Dispensing"/>
      <sheetName val="Non-Dispensing no help"/>
      <sheetName val="Non-Dispensing wt help"/>
      <sheetName val="Vari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 &amp; Data Sources"/>
      <sheetName val="Definitions and Changes"/>
      <sheetName val="Table 1.1"/>
      <sheetName val="Table 1.2"/>
      <sheetName val="Table 1.3"/>
      <sheetName val="Table 1.4"/>
      <sheetName val="Table 1.5"/>
      <sheetName val="Table 1.6"/>
      <sheetName val="Table 1.7"/>
      <sheetName val="Table 1.8"/>
      <sheetName val="Table 2.1"/>
      <sheetName val="Table 2.2"/>
      <sheetName val="Table 2.3"/>
      <sheetName val="Table 2.4"/>
      <sheetName val="Table 2.5"/>
      <sheetName val="Table 2.6"/>
      <sheetName val="Table 2.7"/>
      <sheetName val="Table 3.1"/>
      <sheetName val="Table 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4A54D-EFBE-47E6-AFEE-96F4FED3F654}">
  <dimension ref="A1:D51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3" sqref="M13"/>
    </sheetView>
  </sheetViews>
  <sheetFormatPr defaultRowHeight="15" x14ac:dyDescent="0.25"/>
  <cols>
    <col min="2" max="2" width="60.42578125" customWidth="1"/>
    <col min="3" max="4" width="14.5703125" customWidth="1"/>
  </cols>
  <sheetData>
    <row r="1" spans="1:4" x14ac:dyDescent="0.25">
      <c r="C1" s="8"/>
      <c r="D1" s="8"/>
    </row>
    <row r="2" spans="1:4" s="26" customFormat="1" ht="27" customHeight="1" thickBot="1" x14ac:dyDescent="0.3">
      <c r="A2" s="151" t="s">
        <v>0</v>
      </c>
      <c r="B2" s="152"/>
      <c r="C2" s="152"/>
      <c r="D2" s="152"/>
    </row>
    <row r="3" spans="1:4" ht="78" thickBot="1" x14ac:dyDescent="0.3">
      <c r="A3" s="22" t="s">
        <v>1</v>
      </c>
      <c r="B3" s="23" t="s">
        <v>2</v>
      </c>
      <c r="C3" s="24" t="s">
        <v>3</v>
      </c>
      <c r="D3" s="24" t="s">
        <v>4</v>
      </c>
    </row>
    <row r="4" spans="1:4" x14ac:dyDescent="0.25">
      <c r="A4" s="20"/>
      <c r="B4" s="21"/>
      <c r="C4" s="15" t="s">
        <v>5</v>
      </c>
      <c r="D4" s="15" t="s">
        <v>5</v>
      </c>
    </row>
    <row r="5" spans="1:4" x14ac:dyDescent="0.25">
      <c r="A5" s="9" t="s">
        <v>6</v>
      </c>
      <c r="B5" s="1" t="s">
        <v>7</v>
      </c>
      <c r="C5" s="16">
        <f>Analysis!N5</f>
        <v>4003.2658083026736</v>
      </c>
      <c r="D5" s="16" t="e">
        <f>Analysis!#REF!</f>
        <v>#REF!</v>
      </c>
    </row>
    <row r="6" spans="1:4" x14ac:dyDescent="0.25">
      <c r="A6" s="9" t="s">
        <v>8</v>
      </c>
      <c r="B6" s="1" t="s">
        <v>9</v>
      </c>
      <c r="C6" s="16">
        <f>Analysis!N6</f>
        <v>6796.6569774073114</v>
      </c>
      <c r="D6" s="16" t="e">
        <f>Analysis!#REF!</f>
        <v>#REF!</v>
      </c>
    </row>
    <row r="7" spans="1:4" x14ac:dyDescent="0.25">
      <c r="A7" s="9" t="s">
        <v>10</v>
      </c>
      <c r="B7" s="1" t="s">
        <v>11</v>
      </c>
      <c r="C7" s="16">
        <f>Analysis!N7</f>
        <v>3033.8881133513578</v>
      </c>
      <c r="D7" s="16" t="e">
        <f>Analysis!#REF!</f>
        <v>#REF!</v>
      </c>
    </row>
    <row r="8" spans="1:4" x14ac:dyDescent="0.25">
      <c r="A8" s="10" t="s">
        <v>12</v>
      </c>
      <c r="B8" s="2" t="s">
        <v>13</v>
      </c>
      <c r="C8" s="17">
        <f>Analysis!N8</f>
        <v>5388.3386728945161</v>
      </c>
      <c r="D8" s="17" t="e">
        <f>Analysis!#REF!</f>
        <v>#REF!</v>
      </c>
    </row>
    <row r="9" spans="1:4" x14ac:dyDescent="0.25">
      <c r="A9" s="9" t="s">
        <v>14</v>
      </c>
      <c r="B9" s="1" t="s">
        <v>15</v>
      </c>
      <c r="C9" s="16">
        <f>Analysis!N9</f>
        <v>5801.8012145709145</v>
      </c>
      <c r="D9" s="16" t="e">
        <f>Analysis!#REF!</f>
        <v>#REF!</v>
      </c>
    </row>
    <row r="10" spans="1:4" x14ac:dyDescent="0.25">
      <c r="A10" s="9" t="s">
        <v>16</v>
      </c>
      <c r="B10" s="1" t="s">
        <v>17</v>
      </c>
      <c r="C10" s="16">
        <f>Analysis!N10</f>
        <v>6589.6607542184101</v>
      </c>
      <c r="D10" s="16" t="e">
        <f>Analysis!#REF!</f>
        <v>#REF!</v>
      </c>
    </row>
    <row r="11" spans="1:4" x14ac:dyDescent="0.25">
      <c r="A11" s="10" t="s">
        <v>18</v>
      </c>
      <c r="B11" s="2" t="s">
        <v>19</v>
      </c>
      <c r="C11" s="17">
        <f>Analysis!N11</f>
        <v>3844.8912277532354</v>
      </c>
      <c r="D11" s="17" t="e">
        <f>Analysis!#REF!</f>
        <v>#REF!</v>
      </c>
    </row>
    <row r="12" spans="1:4" x14ac:dyDescent="0.25">
      <c r="A12" s="9" t="s">
        <v>20</v>
      </c>
      <c r="B12" s="1" t="s">
        <v>21</v>
      </c>
      <c r="C12" s="16">
        <f>Analysis!N12</f>
        <v>3239.5151269834269</v>
      </c>
      <c r="D12" s="16" t="e">
        <f>Analysis!#REF!</f>
        <v>#REF!</v>
      </c>
    </row>
    <row r="13" spans="1:4" x14ac:dyDescent="0.25">
      <c r="A13" s="9" t="s">
        <v>22</v>
      </c>
      <c r="B13" s="1" t="s">
        <v>23</v>
      </c>
      <c r="C13" s="16">
        <f>Analysis!N13</f>
        <v>2674.8257316334298</v>
      </c>
      <c r="D13" s="16" t="e">
        <f>Analysis!#REF!</f>
        <v>#REF!</v>
      </c>
    </row>
    <row r="14" spans="1:4" x14ac:dyDescent="0.25">
      <c r="A14" s="9" t="s">
        <v>24</v>
      </c>
      <c r="B14" s="1" t="s">
        <v>25</v>
      </c>
      <c r="C14" s="16">
        <f>Analysis!N14</f>
        <v>2198.9305497442529</v>
      </c>
      <c r="D14" s="16" t="e">
        <f>Analysis!#REF!</f>
        <v>#REF!</v>
      </c>
    </row>
    <row r="15" spans="1:4" x14ac:dyDescent="0.25">
      <c r="A15" s="9" t="s">
        <v>26</v>
      </c>
      <c r="B15" s="1" t="s">
        <v>27</v>
      </c>
      <c r="C15" s="16">
        <f>Analysis!N15</f>
        <v>2250.8658835301608</v>
      </c>
      <c r="D15" s="16" t="e">
        <f>Analysis!#REF!</f>
        <v>#REF!</v>
      </c>
    </row>
    <row r="16" spans="1:4" x14ac:dyDescent="0.25">
      <c r="A16" s="9" t="s">
        <v>28</v>
      </c>
      <c r="B16" s="1" t="s">
        <v>29</v>
      </c>
      <c r="C16" s="16">
        <f>Analysis!N16</f>
        <v>1910.325380970412</v>
      </c>
      <c r="D16" s="16" t="e">
        <f>Analysis!#REF!</f>
        <v>#REF!</v>
      </c>
    </row>
    <row r="17" spans="1:4" x14ac:dyDescent="0.25">
      <c r="A17" s="9" t="s">
        <v>30</v>
      </c>
      <c r="B17" s="1" t="s">
        <v>31</v>
      </c>
      <c r="C17" s="16">
        <f>Analysis!N17</f>
        <v>2352.5792731976203</v>
      </c>
      <c r="D17" s="16" t="e">
        <f>Analysis!#REF!</f>
        <v>#REF!</v>
      </c>
    </row>
    <row r="18" spans="1:4" x14ac:dyDescent="0.25">
      <c r="A18" s="9" t="s">
        <v>32</v>
      </c>
      <c r="B18" s="1" t="s">
        <v>33</v>
      </c>
      <c r="C18" s="16">
        <f>Analysis!N18</f>
        <v>2046.3705765582486</v>
      </c>
      <c r="D18" s="16" t="e">
        <f>Analysis!#REF!</f>
        <v>#REF!</v>
      </c>
    </row>
    <row r="19" spans="1:4" x14ac:dyDescent="0.25">
      <c r="A19" s="9" t="s">
        <v>34</v>
      </c>
      <c r="B19" s="1" t="s">
        <v>35</v>
      </c>
      <c r="C19" s="16">
        <f>Analysis!N19</f>
        <v>1673.8064630465728</v>
      </c>
      <c r="D19" s="16" t="e">
        <f>Analysis!#REF!</f>
        <v>#REF!</v>
      </c>
    </row>
    <row r="20" spans="1:4" x14ac:dyDescent="0.25">
      <c r="A20" s="9" t="s">
        <v>36</v>
      </c>
      <c r="B20" s="1" t="s">
        <v>37</v>
      </c>
      <c r="C20" s="16">
        <f>Analysis!N20</f>
        <v>2533.1529881587303</v>
      </c>
      <c r="D20" s="16" t="e">
        <f>Analysis!#REF!</f>
        <v>#REF!</v>
      </c>
    </row>
    <row r="21" spans="1:4" x14ac:dyDescent="0.25">
      <c r="A21" s="9" t="s">
        <v>38</v>
      </c>
      <c r="B21" s="1" t="s">
        <v>39</v>
      </c>
      <c r="C21" s="16">
        <f>Analysis!N21</f>
        <v>1133.8528579435624</v>
      </c>
      <c r="D21" s="16" t="e">
        <f>Analysis!#REF!</f>
        <v>#REF!</v>
      </c>
    </row>
    <row r="22" spans="1:4" x14ac:dyDescent="0.25">
      <c r="A22" s="10" t="s">
        <v>40</v>
      </c>
      <c r="B22" s="2" t="s">
        <v>41</v>
      </c>
      <c r="C22" s="17">
        <f>Analysis!N22</f>
        <v>2469.4139649967092</v>
      </c>
      <c r="D22" s="17" t="e">
        <f>Analysis!#REF!</f>
        <v>#REF!</v>
      </c>
    </row>
    <row r="23" spans="1:4" x14ac:dyDescent="0.25">
      <c r="A23" s="9" t="s">
        <v>42</v>
      </c>
      <c r="B23" s="1" t="s">
        <v>43</v>
      </c>
      <c r="C23" s="16">
        <f>Analysis!N23</f>
        <v>2074.1607876513208</v>
      </c>
      <c r="D23" s="16" t="e">
        <f>Analysis!#REF!</f>
        <v>#REF!</v>
      </c>
    </row>
    <row r="24" spans="1:4" x14ac:dyDescent="0.25">
      <c r="A24" s="9" t="s">
        <v>44</v>
      </c>
      <c r="B24" s="1" t="s">
        <v>45</v>
      </c>
      <c r="C24" s="16">
        <f>Analysis!N24</f>
        <v>2075.5777496150095</v>
      </c>
      <c r="D24" s="16" t="e">
        <f>Analysis!#REF!</f>
        <v>#REF!</v>
      </c>
    </row>
    <row r="25" spans="1:4" x14ac:dyDescent="0.25">
      <c r="A25" s="9" t="s">
        <v>46</v>
      </c>
      <c r="B25" s="1" t="s">
        <v>47</v>
      </c>
      <c r="C25" s="16">
        <f>Analysis!N25</f>
        <v>3070.1411958172876</v>
      </c>
      <c r="D25" s="16" t="e">
        <f>Analysis!#REF!</f>
        <v>#REF!</v>
      </c>
    </row>
    <row r="26" spans="1:4" x14ac:dyDescent="0.25">
      <c r="A26" s="9" t="s">
        <v>48</v>
      </c>
      <c r="B26" s="1" t="s">
        <v>49</v>
      </c>
      <c r="C26" s="16">
        <f>Analysis!N26</f>
        <v>2486.8581584262192</v>
      </c>
      <c r="D26" s="16" t="e">
        <f>Analysis!#REF!</f>
        <v>#REF!</v>
      </c>
    </row>
    <row r="27" spans="1:4" x14ac:dyDescent="0.25">
      <c r="A27" s="9" t="s">
        <v>50</v>
      </c>
      <c r="B27" s="1" t="s">
        <v>51</v>
      </c>
      <c r="C27" s="16">
        <f>Analysis!N27</f>
        <v>2676.172860705668</v>
      </c>
      <c r="D27" s="16" t="e">
        <f>Analysis!#REF!</f>
        <v>#REF!</v>
      </c>
    </row>
    <row r="28" spans="1:4" x14ac:dyDescent="0.25">
      <c r="A28" s="10" t="s">
        <v>52</v>
      </c>
      <c r="B28" s="2" t="s">
        <v>53</v>
      </c>
      <c r="C28" s="17">
        <f>Analysis!N28</f>
        <v>2364.0692039136702</v>
      </c>
      <c r="D28" s="17" t="e">
        <f>Analysis!#REF!</f>
        <v>#REF!</v>
      </c>
    </row>
    <row r="29" spans="1:4" x14ac:dyDescent="0.25">
      <c r="A29" s="9" t="s">
        <v>54</v>
      </c>
      <c r="B29" s="1" t="s">
        <v>55</v>
      </c>
      <c r="C29" s="16">
        <f>Analysis!N29</f>
        <v>3391.3712907117815</v>
      </c>
      <c r="D29" s="16" t="e">
        <f>Analysis!#REF!</f>
        <v>#REF!</v>
      </c>
    </row>
    <row r="30" spans="1:4" x14ac:dyDescent="0.25">
      <c r="A30" s="9" t="s">
        <v>56</v>
      </c>
      <c r="B30" s="1" t="s">
        <v>57</v>
      </c>
      <c r="C30" s="16">
        <f>Analysis!N30</f>
        <v>4573.8482832213767</v>
      </c>
      <c r="D30" s="16" t="e">
        <f>Analysis!#REF!</f>
        <v>#REF!</v>
      </c>
    </row>
    <row r="31" spans="1:4" x14ac:dyDescent="0.25">
      <c r="A31" s="9" t="s">
        <v>58</v>
      </c>
      <c r="B31" s="1" t="s">
        <v>59</v>
      </c>
      <c r="C31" s="16">
        <f>Analysis!N31</f>
        <v>5139.1858119015642</v>
      </c>
      <c r="D31" s="16" t="e">
        <f>Analysis!#REF!</f>
        <v>#REF!</v>
      </c>
    </row>
    <row r="32" spans="1:4" x14ac:dyDescent="0.25">
      <c r="A32" s="9" t="s">
        <v>60</v>
      </c>
      <c r="B32" s="1" t="s">
        <v>61</v>
      </c>
      <c r="C32" s="16">
        <f>Analysis!N32</f>
        <v>4014.0739357152984</v>
      </c>
      <c r="D32" s="16" t="e">
        <f>Analysis!#REF!</f>
        <v>#REF!</v>
      </c>
    </row>
    <row r="33" spans="1:4" x14ac:dyDescent="0.25">
      <c r="A33" s="10" t="s">
        <v>62</v>
      </c>
      <c r="B33" s="2" t="s">
        <v>63</v>
      </c>
      <c r="C33" s="17">
        <f>Analysis!N33</f>
        <v>3216.9302720676369</v>
      </c>
      <c r="D33" s="17" t="e">
        <f>Analysis!#REF!</f>
        <v>#REF!</v>
      </c>
    </row>
    <row r="34" spans="1:4" x14ac:dyDescent="0.25">
      <c r="A34" s="9" t="s">
        <v>64</v>
      </c>
      <c r="B34" s="1" t="s">
        <v>65</v>
      </c>
      <c r="C34" s="16">
        <f>Analysis!N34</f>
        <v>3824.784521518397</v>
      </c>
      <c r="D34" s="16" t="e">
        <f>Analysis!#REF!</f>
        <v>#REF!</v>
      </c>
    </row>
    <row r="35" spans="1:4" x14ac:dyDescent="0.25">
      <c r="A35" s="9" t="s">
        <v>66</v>
      </c>
      <c r="B35" s="1" t="s">
        <v>67</v>
      </c>
      <c r="C35" s="16">
        <f>Analysis!N35</f>
        <v>1515.382682220712</v>
      </c>
      <c r="D35" s="16" t="e">
        <f>Analysis!#REF!</f>
        <v>#REF!</v>
      </c>
    </row>
    <row r="36" spans="1:4" x14ac:dyDescent="0.25">
      <c r="A36" s="9" t="s">
        <v>68</v>
      </c>
      <c r="B36" s="1" t="s">
        <v>69</v>
      </c>
      <c r="C36" s="16">
        <f>Analysis!N36</f>
        <v>3878.0079434214667</v>
      </c>
      <c r="D36" s="16" t="e">
        <f>Analysis!#REF!</f>
        <v>#REF!</v>
      </c>
    </row>
    <row r="37" spans="1:4" x14ac:dyDescent="0.25">
      <c r="A37" s="9" t="s">
        <v>70</v>
      </c>
      <c r="B37" s="1" t="s">
        <v>71</v>
      </c>
      <c r="C37" s="16">
        <f>Analysis!N37</f>
        <v>4114.8592907192851</v>
      </c>
      <c r="D37" s="16" t="e">
        <f>Analysis!#REF!</f>
        <v>#REF!</v>
      </c>
    </row>
    <row r="38" spans="1:4" x14ac:dyDescent="0.25">
      <c r="A38" s="9" t="s">
        <v>72</v>
      </c>
      <c r="B38" s="1" t="s">
        <v>73</v>
      </c>
      <c r="C38" s="16">
        <f>Analysis!N38</f>
        <v>2155.4055202376908</v>
      </c>
      <c r="D38" s="16" t="e">
        <f>Analysis!#REF!</f>
        <v>#REF!</v>
      </c>
    </row>
    <row r="39" spans="1:4" x14ac:dyDescent="0.25">
      <c r="A39" s="10" t="s">
        <v>74</v>
      </c>
      <c r="B39" s="2" t="s">
        <v>75</v>
      </c>
      <c r="C39" s="17">
        <f>Analysis!N39</f>
        <v>3774.6075718961283</v>
      </c>
      <c r="D39" s="17" t="e">
        <f>Analysis!#REF!</f>
        <v>#REF!</v>
      </c>
    </row>
    <row r="40" spans="1:4" x14ac:dyDescent="0.25">
      <c r="A40" s="9" t="s">
        <v>76</v>
      </c>
      <c r="B40" s="1" t="s">
        <v>77</v>
      </c>
      <c r="C40" s="16">
        <f>Analysis!N40</f>
        <v>2006.8407343108875</v>
      </c>
      <c r="D40" s="16" t="e">
        <f>Analysis!#REF!</f>
        <v>#REF!</v>
      </c>
    </row>
    <row r="41" spans="1:4" x14ac:dyDescent="0.25">
      <c r="A41" s="9" t="s">
        <v>78</v>
      </c>
      <c r="B41" s="1" t="s">
        <v>79</v>
      </c>
      <c r="C41" s="16">
        <f>Analysis!N41</f>
        <v>2035.7800525183511</v>
      </c>
      <c r="D41" s="16" t="e">
        <f>Analysis!#REF!</f>
        <v>#REF!</v>
      </c>
    </row>
    <row r="42" spans="1:4" x14ac:dyDescent="0.25">
      <c r="A42" s="9" t="s">
        <v>80</v>
      </c>
      <c r="B42" s="1" t="s">
        <v>81</v>
      </c>
      <c r="C42" s="16">
        <f>Analysis!N42</f>
        <v>1456.7154350104618</v>
      </c>
      <c r="D42" s="16" t="e">
        <f>Analysis!#REF!</f>
        <v>#REF!</v>
      </c>
    </row>
    <row r="43" spans="1:4" x14ac:dyDescent="0.25">
      <c r="A43" s="9" t="s">
        <v>82</v>
      </c>
      <c r="B43" s="1" t="s">
        <v>83</v>
      </c>
      <c r="C43" s="16">
        <f>Analysis!N43</f>
        <v>2717.4576912722723</v>
      </c>
      <c r="D43" s="16" t="e">
        <f>Analysis!#REF!</f>
        <v>#REF!</v>
      </c>
    </row>
    <row r="44" spans="1:4" x14ac:dyDescent="0.25">
      <c r="A44" s="9" t="s">
        <v>84</v>
      </c>
      <c r="B44" s="1" t="s">
        <v>85</v>
      </c>
      <c r="C44" s="16">
        <f>Analysis!N44</f>
        <v>1734.7718421973568</v>
      </c>
      <c r="D44" s="16" t="e">
        <f>Analysis!#REF!</f>
        <v>#REF!</v>
      </c>
    </row>
    <row r="45" spans="1:4" x14ac:dyDescent="0.25">
      <c r="A45" s="9" t="s">
        <v>86</v>
      </c>
      <c r="B45" s="1" t="s">
        <v>87</v>
      </c>
      <c r="C45" s="16">
        <f>Analysis!N45</f>
        <v>1410.0592383291464</v>
      </c>
      <c r="D45" s="16" t="e">
        <f>Analysis!#REF!</f>
        <v>#REF!</v>
      </c>
    </row>
    <row r="46" spans="1:4" x14ac:dyDescent="0.25">
      <c r="A46" s="11" t="s">
        <v>88</v>
      </c>
      <c r="B46" s="3" t="s">
        <v>89</v>
      </c>
      <c r="C46" s="17">
        <f>Analysis!N46</f>
        <v>1292.0889229289805</v>
      </c>
      <c r="D46" s="17" t="e">
        <f>Analysis!#REF!</f>
        <v>#REF!</v>
      </c>
    </row>
    <row r="47" spans="1:4" x14ac:dyDescent="0.25">
      <c r="A47" s="12"/>
      <c r="C47" s="18"/>
      <c r="D47" s="18"/>
    </row>
    <row r="48" spans="1:4" ht="15.75" thickBot="1" x14ac:dyDescent="0.3">
      <c r="A48" s="13"/>
      <c r="B48" s="14"/>
      <c r="C48" s="19">
        <f>SUM(C5:C46)</f>
        <v>126941.29256158951</v>
      </c>
      <c r="D48" s="19" t="e">
        <f>SUM(D5:D47)</f>
        <v>#REF!</v>
      </c>
    </row>
    <row r="51" spans="3:4" x14ac:dyDescent="0.25">
      <c r="C51" s="7"/>
      <c r="D51" s="7"/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4D568-F0CA-4BCB-9489-B48DC42D4AD8}">
  <dimension ref="B1:P69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3" sqref="F3"/>
    </sheetView>
  </sheetViews>
  <sheetFormatPr defaultRowHeight="15" x14ac:dyDescent="0.25"/>
  <cols>
    <col min="1" max="1" width="1.7109375" customWidth="1"/>
    <col min="3" max="3" width="56.42578125" customWidth="1"/>
    <col min="4" max="4" width="13" style="4" customWidth="1"/>
    <col min="5" max="5" width="10.7109375" customWidth="1"/>
    <col min="6" max="6" width="11.7109375" customWidth="1"/>
    <col min="7" max="8" width="12.42578125" customWidth="1"/>
    <col min="9" max="10" width="12.7109375" customWidth="1"/>
    <col min="11" max="12" width="12.42578125" customWidth="1"/>
    <col min="13" max="13" width="1.5703125" customWidth="1"/>
    <col min="14" max="14" width="13.28515625" style="95" bestFit="1" customWidth="1"/>
    <col min="15" max="15" width="2.7109375" customWidth="1"/>
    <col min="16" max="16" width="5.7109375" hidden="1" customWidth="1"/>
  </cols>
  <sheetData>
    <row r="1" spans="2:16" s="130" customFormat="1" ht="26.25" thickBot="1" x14ac:dyDescent="0.4">
      <c r="B1" s="139" t="s">
        <v>182</v>
      </c>
      <c r="D1" s="131"/>
      <c r="E1" s="132">
        <v>98564</v>
      </c>
      <c r="F1" s="132">
        <v>3796</v>
      </c>
      <c r="G1" s="132">
        <v>3140</v>
      </c>
      <c r="H1" s="132">
        <v>1462</v>
      </c>
      <c r="I1" s="132">
        <f>SUM(E1:H1)</f>
        <v>106962</v>
      </c>
      <c r="J1" s="132">
        <v>13832</v>
      </c>
      <c r="K1" s="132">
        <v>6144</v>
      </c>
      <c r="L1" s="132">
        <f>SUM(K1:K1)</f>
        <v>6144</v>
      </c>
      <c r="N1" s="133">
        <f>SUM(N5:N46)</f>
        <v>126941.29256158951</v>
      </c>
      <c r="O1" s="134">
        <f>SUM(I1,L1)-N1</f>
        <v>-13835.292561589507</v>
      </c>
      <c r="P1" s="130" t="s">
        <v>90</v>
      </c>
    </row>
    <row r="2" spans="2:16" s="26" customFormat="1" ht="27" customHeight="1" thickBot="1" x14ac:dyDescent="0.3">
      <c r="B2" s="153" t="s">
        <v>180</v>
      </c>
      <c r="C2" s="154"/>
      <c r="D2" s="124"/>
      <c r="E2" s="94"/>
      <c r="F2" s="94"/>
      <c r="G2" s="94"/>
      <c r="H2" s="94"/>
      <c r="I2" s="110"/>
      <c r="J2" s="94"/>
      <c r="K2" s="94"/>
      <c r="L2" s="110"/>
      <c r="M2" s="25"/>
      <c r="N2" s="97"/>
    </row>
    <row r="3" spans="2:16" ht="67.900000000000006" customHeight="1" thickBot="1" x14ac:dyDescent="0.3">
      <c r="B3" s="22" t="s">
        <v>1</v>
      </c>
      <c r="C3" s="111" t="s">
        <v>2</v>
      </c>
      <c r="D3" s="125" t="s">
        <v>91</v>
      </c>
      <c r="E3" s="120" t="s">
        <v>92</v>
      </c>
      <c r="F3" s="101" t="s">
        <v>93</v>
      </c>
      <c r="G3" s="101" t="s">
        <v>94</v>
      </c>
      <c r="H3" s="116" t="s">
        <v>95</v>
      </c>
      <c r="I3" s="128" t="s">
        <v>96</v>
      </c>
      <c r="J3" s="135" t="s">
        <v>97</v>
      </c>
      <c r="K3" s="101" t="s">
        <v>98</v>
      </c>
      <c r="L3" s="128" t="s">
        <v>99</v>
      </c>
      <c r="M3" s="102"/>
      <c r="N3" s="103" t="s">
        <v>181</v>
      </c>
    </row>
    <row r="4" spans="2:16" s="106" customFormat="1" x14ac:dyDescent="0.25">
      <c r="B4" s="104"/>
      <c r="C4" s="112"/>
      <c r="D4" s="126" t="s">
        <v>5</v>
      </c>
      <c r="E4" s="121" t="s">
        <v>5</v>
      </c>
      <c r="F4" s="105" t="s">
        <v>5</v>
      </c>
      <c r="G4" s="105" t="s">
        <v>5</v>
      </c>
      <c r="H4" s="117" t="s">
        <v>5</v>
      </c>
      <c r="I4" s="126" t="s">
        <v>5</v>
      </c>
      <c r="J4" s="136" t="s">
        <v>5</v>
      </c>
      <c r="K4" s="105" t="s">
        <v>5</v>
      </c>
      <c r="L4" s="126" t="s">
        <v>5</v>
      </c>
      <c r="N4" s="107" t="s">
        <v>5</v>
      </c>
    </row>
    <row r="5" spans="2:16" x14ac:dyDescent="0.25">
      <c r="B5" s="9" t="s">
        <v>6</v>
      </c>
      <c r="C5" s="113" t="s">
        <v>7</v>
      </c>
      <c r="D5" s="16">
        <v>396236.24696740572</v>
      </c>
      <c r="E5" s="122">
        <v>2990.6616991649407</v>
      </c>
      <c r="F5" s="5">
        <v>115.1794956579493</v>
      </c>
      <c r="G5" s="5">
        <v>246.94568094155423</v>
      </c>
      <c r="H5" s="118">
        <v>44.360490688072147</v>
      </c>
      <c r="I5" s="16">
        <f>SUM(E5:H5)</f>
        <v>3397.1473664525165</v>
      </c>
      <c r="J5" s="137">
        <v>419.69514856184264</v>
      </c>
      <c r="K5" s="5">
        <v>186.42329328831414</v>
      </c>
      <c r="L5" s="16">
        <v>606.11844185015684</v>
      </c>
      <c r="N5" s="98">
        <f t="shared" ref="N5:N46" si="0">SUM(I5,L5)</f>
        <v>4003.2658083026736</v>
      </c>
    </row>
    <row r="6" spans="2:16" x14ac:dyDescent="0.25">
      <c r="B6" s="9" t="s">
        <v>8</v>
      </c>
      <c r="C6" s="113" t="s">
        <v>9</v>
      </c>
      <c r="D6" s="16">
        <v>705152.56314168614</v>
      </c>
      <c r="E6" s="122">
        <v>5322.2610975045482</v>
      </c>
      <c r="F6" s="5">
        <v>204.97649371096207</v>
      </c>
      <c r="G6" s="108">
        <v>111.80977813711031</v>
      </c>
      <c r="H6" s="118">
        <v>78.945109010913214</v>
      </c>
      <c r="I6" s="16">
        <f t="shared" ref="I6:I46" si="1">SUM(E6:H6)</f>
        <v>5717.9924783635342</v>
      </c>
      <c r="J6" s="137">
        <v>746.90064831665632</v>
      </c>
      <c r="K6" s="5">
        <v>331.76385072712094</v>
      </c>
      <c r="L6" s="16">
        <v>1078.6644990437771</v>
      </c>
      <c r="N6" s="98">
        <f t="shared" si="0"/>
        <v>6796.6569774073114</v>
      </c>
    </row>
    <row r="7" spans="2:16" x14ac:dyDescent="0.25">
      <c r="B7" s="9" t="s">
        <v>10</v>
      </c>
      <c r="C7" s="113" t="s">
        <v>11</v>
      </c>
      <c r="D7" s="16">
        <v>317708.96330051019</v>
      </c>
      <c r="E7" s="122">
        <v>2397.9634253460799</v>
      </c>
      <c r="F7" s="5">
        <v>92.352878968119398</v>
      </c>
      <c r="G7" s="108">
        <v>22.006735454823072</v>
      </c>
      <c r="H7" s="118">
        <v>35.568996062010157</v>
      </c>
      <c r="I7" s="16">
        <f t="shared" si="1"/>
        <v>2547.8920358310329</v>
      </c>
      <c r="J7" s="137">
        <v>336.51870966465424</v>
      </c>
      <c r="K7" s="5">
        <v>149.47736785567059</v>
      </c>
      <c r="L7" s="16">
        <v>485.99607752032483</v>
      </c>
      <c r="N7" s="98">
        <f t="shared" si="0"/>
        <v>3033.8881133513578</v>
      </c>
    </row>
    <row r="8" spans="2:16" x14ac:dyDescent="0.25">
      <c r="B8" s="10" t="s">
        <v>12</v>
      </c>
      <c r="C8" s="114" t="s">
        <v>13</v>
      </c>
      <c r="D8" s="17">
        <v>565215.79406696651</v>
      </c>
      <c r="E8" s="123">
        <v>4266.0640969028373</v>
      </c>
      <c r="F8" s="6">
        <v>164.29912860520241</v>
      </c>
      <c r="G8" s="109">
        <v>30.092223193028634</v>
      </c>
      <c r="H8" s="119">
        <v>63.278536886408304</v>
      </c>
      <c r="I8" s="17">
        <f t="shared" si="1"/>
        <v>4523.7339855874761</v>
      </c>
      <c r="J8" s="138">
        <v>598.67901656142249</v>
      </c>
      <c r="K8" s="6">
        <v>265.92567074561737</v>
      </c>
      <c r="L8" s="17">
        <v>864.60468730703985</v>
      </c>
      <c r="N8" s="99">
        <f t="shared" si="0"/>
        <v>5388.3386728945161</v>
      </c>
    </row>
    <row r="9" spans="2:16" x14ac:dyDescent="0.25">
      <c r="B9" s="9" t="s">
        <v>14</v>
      </c>
      <c r="C9" s="113" t="s">
        <v>15</v>
      </c>
      <c r="D9" s="16">
        <v>608242.94287294778</v>
      </c>
      <c r="E9" s="122">
        <v>4590.8189544989518</v>
      </c>
      <c r="F9" s="5">
        <v>176.80642781622115</v>
      </c>
      <c r="G9" s="108">
        <v>35.657339230412788</v>
      </c>
      <c r="H9" s="118">
        <v>68.095626308565684</v>
      </c>
      <c r="I9" s="16">
        <f t="shared" si="1"/>
        <v>4871.3783478541509</v>
      </c>
      <c r="J9" s="137">
        <v>644.25355889198397</v>
      </c>
      <c r="K9" s="5">
        <v>286.16930782477942</v>
      </c>
      <c r="L9" s="16">
        <v>930.42286671676334</v>
      </c>
      <c r="N9" s="98">
        <f t="shared" si="0"/>
        <v>5801.8012145709145</v>
      </c>
    </row>
    <row r="10" spans="2:16" x14ac:dyDescent="0.25">
      <c r="B10" s="9" t="s">
        <v>16</v>
      </c>
      <c r="C10" s="113" t="s">
        <v>17</v>
      </c>
      <c r="D10" s="16">
        <v>695111.80024856515</v>
      </c>
      <c r="E10" s="122">
        <v>5246.4767005830736</v>
      </c>
      <c r="F10" s="5">
        <v>202.05780564316936</v>
      </c>
      <c r="G10" s="108">
        <v>0</v>
      </c>
      <c r="H10" s="118">
        <v>77.82099890682656</v>
      </c>
      <c r="I10" s="16">
        <f t="shared" si="1"/>
        <v>5526.3555051330695</v>
      </c>
      <c r="J10" s="137">
        <v>736.2654287819596</v>
      </c>
      <c r="K10" s="5">
        <v>327.03982030338057</v>
      </c>
      <c r="L10" s="16">
        <v>1063.3052490853402</v>
      </c>
      <c r="N10" s="98">
        <f t="shared" si="0"/>
        <v>6589.6607542184101</v>
      </c>
    </row>
    <row r="11" spans="2:16" x14ac:dyDescent="0.25">
      <c r="B11" s="10" t="s">
        <v>18</v>
      </c>
      <c r="C11" s="114" t="s">
        <v>19</v>
      </c>
      <c r="D11" s="17">
        <v>398811.30686541263</v>
      </c>
      <c r="E11" s="123">
        <v>3010.0974097264184</v>
      </c>
      <c r="F11" s="6">
        <v>115.92802409928052</v>
      </c>
      <c r="G11" s="109">
        <v>64.159529269903089</v>
      </c>
      <c r="H11" s="119">
        <v>44.648780619902034</v>
      </c>
      <c r="I11" s="17">
        <f t="shared" si="1"/>
        <v>3234.8337437155042</v>
      </c>
      <c r="J11" s="138">
        <v>422.42266315628245</v>
      </c>
      <c r="K11" s="6">
        <v>187.63482088144877</v>
      </c>
      <c r="L11" s="17">
        <v>610.05748403773123</v>
      </c>
      <c r="N11" s="99">
        <f t="shared" si="0"/>
        <v>3844.8912277532354</v>
      </c>
    </row>
    <row r="12" spans="2:16" x14ac:dyDescent="0.25">
      <c r="B12" s="9" t="s">
        <v>20</v>
      </c>
      <c r="C12" s="113" t="s">
        <v>21</v>
      </c>
      <c r="D12" s="16">
        <v>341720.95891406696</v>
      </c>
      <c r="E12" s="122">
        <v>2579.1981209389041</v>
      </c>
      <c r="F12" s="5">
        <v>99.332779382777488</v>
      </c>
      <c r="G12" s="108">
        <v>0</v>
      </c>
      <c r="H12" s="118">
        <v>38.257250647423781</v>
      </c>
      <c r="I12" s="16">
        <f t="shared" si="1"/>
        <v>2716.7881509691056</v>
      </c>
      <c r="J12" s="137">
        <v>361.95231939477821</v>
      </c>
      <c r="K12" s="5">
        <v>160.7746566195429</v>
      </c>
      <c r="L12" s="16">
        <v>522.72697601432105</v>
      </c>
      <c r="N12" s="98">
        <f t="shared" si="0"/>
        <v>3239.5151269834269</v>
      </c>
    </row>
    <row r="13" spans="2:16" x14ac:dyDescent="0.25">
      <c r="B13" s="9" t="s">
        <v>22</v>
      </c>
      <c r="C13" s="113" t="s">
        <v>23</v>
      </c>
      <c r="D13" s="16">
        <v>282127.81039858703</v>
      </c>
      <c r="E13" s="122">
        <v>2129.4085114270956</v>
      </c>
      <c r="F13" s="5">
        <v>82.010010849572424</v>
      </c>
      <c r="G13" s="108">
        <v>0.25372869471356346</v>
      </c>
      <c r="H13" s="118">
        <v>31.585520511610873</v>
      </c>
      <c r="I13" s="16">
        <f t="shared" si="1"/>
        <v>2243.2577714829927</v>
      </c>
      <c r="J13" s="137">
        <v>298.83099843816797</v>
      </c>
      <c r="K13" s="5">
        <v>132.73696171226896</v>
      </c>
      <c r="L13" s="16">
        <v>431.56796015043693</v>
      </c>
      <c r="N13" s="98">
        <f t="shared" si="0"/>
        <v>2674.8257316334298</v>
      </c>
    </row>
    <row r="14" spans="2:16" x14ac:dyDescent="0.25">
      <c r="B14" s="9" t="s">
        <v>24</v>
      </c>
      <c r="C14" s="113" t="s">
        <v>25</v>
      </c>
      <c r="D14" s="16">
        <v>224335.6710379631</v>
      </c>
      <c r="E14" s="122">
        <v>1693.2123304329878</v>
      </c>
      <c r="F14" s="5">
        <v>65.210766672655552</v>
      </c>
      <c r="G14" s="108">
        <v>72.228101761794406</v>
      </c>
      <c r="H14" s="118">
        <v>25.115421726928979</v>
      </c>
      <c r="I14" s="16">
        <f t="shared" si="1"/>
        <v>1855.7666205943669</v>
      </c>
      <c r="J14" s="137">
        <v>237.61731417707364</v>
      </c>
      <c r="K14" s="5">
        <v>105.54661497281235</v>
      </c>
      <c r="L14" s="16">
        <v>343.16392914988597</v>
      </c>
      <c r="N14" s="98">
        <f t="shared" si="0"/>
        <v>2198.9305497442529</v>
      </c>
    </row>
    <row r="15" spans="2:16" x14ac:dyDescent="0.25">
      <c r="B15" s="9" t="s">
        <v>26</v>
      </c>
      <c r="C15" s="113" t="s">
        <v>27</v>
      </c>
      <c r="D15" s="16">
        <v>232642.2099181407</v>
      </c>
      <c r="E15" s="122">
        <v>1755.9073712620391</v>
      </c>
      <c r="F15" s="5">
        <v>67.625343749347635</v>
      </c>
      <c r="G15" s="108">
        <v>45.417436353727872</v>
      </c>
      <c r="H15" s="118">
        <v>26.045377387130202</v>
      </c>
      <c r="I15" s="16">
        <f t="shared" si="1"/>
        <v>1894.9955287522448</v>
      </c>
      <c r="J15" s="137">
        <v>246.41563612775988</v>
      </c>
      <c r="K15" s="5">
        <v>109.45471865015593</v>
      </c>
      <c r="L15" s="16">
        <v>355.87035477791579</v>
      </c>
      <c r="N15" s="98">
        <f t="shared" si="0"/>
        <v>2250.8658835301608</v>
      </c>
    </row>
    <row r="16" spans="2:16" x14ac:dyDescent="0.25">
      <c r="B16" s="9" t="s">
        <v>28</v>
      </c>
      <c r="C16" s="113" t="s">
        <v>29</v>
      </c>
      <c r="D16" s="16">
        <v>186733.44646439006</v>
      </c>
      <c r="E16" s="122">
        <v>1409.4030280376057</v>
      </c>
      <c r="F16" s="5">
        <v>54.280405568267845</v>
      </c>
      <c r="G16" s="108">
        <v>140.09206997451554</v>
      </c>
      <c r="H16" s="118">
        <v>20.905677803163222</v>
      </c>
      <c r="I16" s="16">
        <f t="shared" si="1"/>
        <v>1624.6811813835525</v>
      </c>
      <c r="J16" s="137">
        <v>197.78887508437325</v>
      </c>
      <c r="K16" s="5">
        <v>87.855324502486212</v>
      </c>
      <c r="L16" s="16">
        <v>285.64419958685949</v>
      </c>
      <c r="N16" s="98">
        <f t="shared" si="0"/>
        <v>1910.325380970412</v>
      </c>
    </row>
    <row r="17" spans="2:14" x14ac:dyDescent="0.25">
      <c r="B17" s="9" t="s">
        <v>30</v>
      </c>
      <c r="C17" s="113" t="s">
        <v>31</v>
      </c>
      <c r="D17" s="16">
        <v>241028.67200093498</v>
      </c>
      <c r="E17" s="122">
        <v>1819.2056463049455</v>
      </c>
      <c r="F17" s="5">
        <v>70.063153213887148</v>
      </c>
      <c r="G17" s="108">
        <v>67.627154764321801</v>
      </c>
      <c r="H17" s="118">
        <v>26.984280821576135</v>
      </c>
      <c r="I17" s="16">
        <f t="shared" si="1"/>
        <v>1983.8802351047307</v>
      </c>
      <c r="J17" s="137">
        <v>255.29861308073947</v>
      </c>
      <c r="K17" s="5">
        <v>113.40042501215032</v>
      </c>
      <c r="L17" s="16">
        <v>368.69903809288979</v>
      </c>
      <c r="N17" s="98">
        <f t="shared" si="0"/>
        <v>2352.5792731976203</v>
      </c>
    </row>
    <row r="18" spans="2:14" x14ac:dyDescent="0.25">
      <c r="B18" s="9" t="s">
        <v>32</v>
      </c>
      <c r="C18" s="113" t="s">
        <v>33</v>
      </c>
      <c r="D18" s="16">
        <v>188292.49633461187</v>
      </c>
      <c r="E18" s="122">
        <v>1421.1702269489765</v>
      </c>
      <c r="F18" s="5">
        <v>54.733596257237075</v>
      </c>
      <c r="G18" s="108">
        <v>261.35747080128465</v>
      </c>
      <c r="H18" s="118">
        <v>21.080220687060223</v>
      </c>
      <c r="I18" s="16">
        <f t="shared" si="1"/>
        <v>1758.3415146945586</v>
      </c>
      <c r="J18" s="137">
        <v>199.44022745787754</v>
      </c>
      <c r="K18" s="5">
        <v>88.588834405812577</v>
      </c>
      <c r="L18" s="16">
        <v>288.02906186369012</v>
      </c>
      <c r="N18" s="98">
        <f t="shared" si="0"/>
        <v>2046.3705765582486</v>
      </c>
    </row>
    <row r="19" spans="2:14" x14ac:dyDescent="0.25">
      <c r="B19" s="9" t="s">
        <v>34</v>
      </c>
      <c r="C19" s="113" t="s">
        <v>35</v>
      </c>
      <c r="D19" s="16">
        <v>169046.33224147337</v>
      </c>
      <c r="E19" s="122">
        <v>1275.9064701631728</v>
      </c>
      <c r="F19" s="5">
        <v>49.139046312440691</v>
      </c>
      <c r="G19" s="108">
        <v>71.247017475568626</v>
      </c>
      <c r="H19" s="118">
        <v>18.925523105581739</v>
      </c>
      <c r="I19" s="16">
        <f t="shared" si="1"/>
        <v>1415.2180570567639</v>
      </c>
      <c r="J19" s="137">
        <v>179.05460711108523</v>
      </c>
      <c r="K19" s="5">
        <v>79.533798878723815</v>
      </c>
      <c r="L19" s="16">
        <v>258.58840598980908</v>
      </c>
      <c r="N19" s="98">
        <f t="shared" si="0"/>
        <v>1673.8064630465728</v>
      </c>
    </row>
    <row r="20" spans="2:14" x14ac:dyDescent="0.25">
      <c r="B20" s="9" t="s">
        <v>36</v>
      </c>
      <c r="C20" s="113" t="s">
        <v>37</v>
      </c>
      <c r="D20" s="16">
        <v>262615.60057619016</v>
      </c>
      <c r="E20" s="122">
        <v>1982.1367284225678</v>
      </c>
      <c r="F20" s="5">
        <v>76.338125695914002</v>
      </c>
      <c r="G20" s="108">
        <v>43.556759259161737</v>
      </c>
      <c r="H20" s="118">
        <v>29.401037873399964</v>
      </c>
      <c r="I20" s="16">
        <f t="shared" si="1"/>
        <v>2131.4326512510438</v>
      </c>
      <c r="J20" s="137">
        <v>278.16358130291951</v>
      </c>
      <c r="K20" s="5">
        <v>123.55675560476702</v>
      </c>
      <c r="L20" s="16">
        <v>401.72033690768654</v>
      </c>
      <c r="N20" s="98">
        <f t="shared" si="0"/>
        <v>2533.1529881587303</v>
      </c>
    </row>
    <row r="21" spans="2:14" x14ac:dyDescent="0.25">
      <c r="B21" s="9" t="s">
        <v>38</v>
      </c>
      <c r="C21" s="113" t="s">
        <v>39</v>
      </c>
      <c r="D21" s="16">
        <v>112959.95109560057</v>
      </c>
      <c r="E21" s="122">
        <v>852.58479471956741</v>
      </c>
      <c r="F21" s="5">
        <v>32.83563857752808</v>
      </c>
      <c r="G21" s="108">
        <v>62.992377274220694</v>
      </c>
      <c r="H21" s="118">
        <v>12.646391886287159</v>
      </c>
      <c r="I21" s="16">
        <f t="shared" si="1"/>
        <v>961.05920245760331</v>
      </c>
      <c r="J21" s="137">
        <v>119.6476693372941</v>
      </c>
      <c r="K21" s="5">
        <v>53.145986148665052</v>
      </c>
      <c r="L21" s="16">
        <v>172.79365548595916</v>
      </c>
      <c r="N21" s="98">
        <f t="shared" si="0"/>
        <v>1133.8528579435624</v>
      </c>
    </row>
    <row r="22" spans="2:14" x14ac:dyDescent="0.25">
      <c r="B22" s="10" t="s">
        <v>40</v>
      </c>
      <c r="C22" s="114" t="s">
        <v>41</v>
      </c>
      <c r="D22" s="17">
        <v>254195.19850324359</v>
      </c>
      <c r="E22" s="123">
        <v>1918.5822854258327</v>
      </c>
      <c r="F22" s="6">
        <v>73.890450422836537</v>
      </c>
      <c r="G22" s="109">
        <v>59.643158504001669</v>
      </c>
      <c r="H22" s="119">
        <v>28.458334699206276</v>
      </c>
      <c r="I22" s="17">
        <f t="shared" si="1"/>
        <v>2080.574229051877</v>
      </c>
      <c r="J22" s="138">
        <v>269.24465496540438</v>
      </c>
      <c r="K22" s="6">
        <v>119.59508097942773</v>
      </c>
      <c r="L22" s="17">
        <v>388.83973594483211</v>
      </c>
      <c r="N22" s="99">
        <f t="shared" si="0"/>
        <v>2469.4139649967092</v>
      </c>
    </row>
    <row r="23" spans="2:14" x14ac:dyDescent="0.25">
      <c r="B23" s="9" t="s">
        <v>42</v>
      </c>
      <c r="C23" s="113" t="s">
        <v>43</v>
      </c>
      <c r="D23" s="16">
        <v>214994.50987733636</v>
      </c>
      <c r="E23" s="122">
        <v>1622.7082987533431</v>
      </c>
      <c r="F23" s="5">
        <v>62.495441561500044</v>
      </c>
      <c r="G23" s="108">
        <v>36.012559403011778</v>
      </c>
      <c r="H23" s="118">
        <v>24.069635290546117</v>
      </c>
      <c r="I23" s="16">
        <f t="shared" si="1"/>
        <v>1745.2859350084009</v>
      </c>
      <c r="J23" s="137">
        <v>227.72311582683577</v>
      </c>
      <c r="K23" s="5">
        <v>101.15173681608437</v>
      </c>
      <c r="L23" s="16">
        <v>328.87485264292013</v>
      </c>
      <c r="N23" s="98">
        <f t="shared" si="0"/>
        <v>2074.1607876513208</v>
      </c>
    </row>
    <row r="24" spans="2:14" x14ac:dyDescent="0.25">
      <c r="B24" s="9" t="s">
        <v>44</v>
      </c>
      <c r="C24" s="113" t="s">
        <v>45</v>
      </c>
      <c r="D24" s="16">
        <v>206582.86651152588</v>
      </c>
      <c r="E24" s="122">
        <v>1559.2199636156602</v>
      </c>
      <c r="F24" s="5">
        <v>60.05031230352914</v>
      </c>
      <c r="G24" s="108">
        <v>117.17191121872362</v>
      </c>
      <c r="H24" s="118">
        <v>23.127912694351846</v>
      </c>
      <c r="I24" s="16">
        <f t="shared" si="1"/>
        <v>1759.5700998322648</v>
      </c>
      <c r="J24" s="137">
        <v>218.8134667498459</v>
      </c>
      <c r="K24" s="5">
        <v>97.194183032898593</v>
      </c>
      <c r="L24" s="16">
        <v>316.00764978274447</v>
      </c>
      <c r="N24" s="98">
        <f t="shared" si="0"/>
        <v>2075.5777496150095</v>
      </c>
    </row>
    <row r="25" spans="2:14" x14ac:dyDescent="0.25">
      <c r="B25" s="9" t="s">
        <v>46</v>
      </c>
      <c r="C25" s="113" t="s">
        <v>47</v>
      </c>
      <c r="D25" s="16">
        <v>317340.00276240287</v>
      </c>
      <c r="E25" s="122">
        <v>2395.1786317834872</v>
      </c>
      <c r="F25" s="5">
        <v>92.245628081755171</v>
      </c>
      <c r="G25" s="108">
        <v>61.757564293281362</v>
      </c>
      <c r="H25" s="118">
        <v>35.527689213784527</v>
      </c>
      <c r="I25" s="16">
        <f t="shared" si="1"/>
        <v>2584.7095133723083</v>
      </c>
      <c r="J25" s="137">
        <v>336.12790506502569</v>
      </c>
      <c r="K25" s="5">
        <v>149.30377737995357</v>
      </c>
      <c r="L25" s="16">
        <v>485.43168244497929</v>
      </c>
      <c r="N25" s="98">
        <f t="shared" si="0"/>
        <v>3070.1411958172876</v>
      </c>
    </row>
    <row r="26" spans="2:14" x14ac:dyDescent="0.25">
      <c r="B26" s="9" t="s">
        <v>48</v>
      </c>
      <c r="C26" s="113" t="s">
        <v>49</v>
      </c>
      <c r="D26" s="16">
        <v>255956.79347598719</v>
      </c>
      <c r="E26" s="122">
        <v>1931.8782285777952</v>
      </c>
      <c r="F26" s="5">
        <v>74.402517711145151</v>
      </c>
      <c r="G26" s="108">
        <v>60.387429341828117</v>
      </c>
      <c r="H26" s="118">
        <v>28.655553449339887</v>
      </c>
      <c r="I26" s="16">
        <f t="shared" si="1"/>
        <v>2095.3237290801085</v>
      </c>
      <c r="J26" s="137">
        <v>271.11054398855629</v>
      </c>
      <c r="K26" s="5">
        <v>120.42388535755421</v>
      </c>
      <c r="L26" s="16">
        <v>391.53442934611053</v>
      </c>
      <c r="N26" s="98">
        <f t="shared" si="0"/>
        <v>2486.8581584262192</v>
      </c>
    </row>
    <row r="27" spans="2:14" x14ac:dyDescent="0.25">
      <c r="B27" s="9" t="s">
        <v>50</v>
      </c>
      <c r="C27" s="113" t="s">
        <v>51</v>
      </c>
      <c r="D27" s="16">
        <v>253633.5464081426</v>
      </c>
      <c r="E27" s="122">
        <v>1914.3431189640817</v>
      </c>
      <c r="F27" s="5">
        <v>73.727187204127816</v>
      </c>
      <c r="G27" s="108">
        <v>271.72651679191227</v>
      </c>
      <c r="H27" s="118">
        <v>28.395455134993377</v>
      </c>
      <c r="I27" s="16">
        <f t="shared" si="1"/>
        <v>2288.1922780951154</v>
      </c>
      <c r="J27" s="137">
        <v>268.64975063421917</v>
      </c>
      <c r="K27" s="5">
        <v>119.33083197633331</v>
      </c>
      <c r="L27" s="16">
        <v>387.98058261055246</v>
      </c>
      <c r="N27" s="98">
        <f t="shared" si="0"/>
        <v>2676.172860705668</v>
      </c>
    </row>
    <row r="28" spans="2:14" x14ac:dyDescent="0.25">
      <c r="B28" s="10" t="s">
        <v>52</v>
      </c>
      <c r="C28" s="114" t="s">
        <v>53</v>
      </c>
      <c r="D28" s="17">
        <v>230433.9208814571</v>
      </c>
      <c r="E28" s="123">
        <v>1739.239927298391</v>
      </c>
      <c r="F28" s="6">
        <v>66.983429690603998</v>
      </c>
      <c r="G28" s="109">
        <v>179.55533962563177</v>
      </c>
      <c r="H28" s="119">
        <v>25.798149159026092</v>
      </c>
      <c r="I28" s="17">
        <f t="shared" si="1"/>
        <v>2011.5768457736528</v>
      </c>
      <c r="J28" s="138">
        <v>244.07660681781732</v>
      </c>
      <c r="K28" s="6">
        <v>108.41575132219994</v>
      </c>
      <c r="L28" s="17">
        <v>352.49235814001725</v>
      </c>
      <c r="N28" s="99">
        <f t="shared" si="0"/>
        <v>2364.0692039136702</v>
      </c>
    </row>
    <row r="29" spans="2:14" x14ac:dyDescent="0.25">
      <c r="B29" s="9" t="s">
        <v>54</v>
      </c>
      <c r="C29" s="113" t="s">
        <v>55</v>
      </c>
      <c r="D29" s="16">
        <v>357739.5394275607</v>
      </c>
      <c r="E29" s="122">
        <v>2700.1011316638073</v>
      </c>
      <c r="F29" s="5">
        <v>103.98912276080326</v>
      </c>
      <c r="G29" s="108">
        <v>0</v>
      </c>
      <c r="H29" s="118">
        <v>40.05060523611548</v>
      </c>
      <c r="I29" s="16">
        <f t="shared" si="1"/>
        <v>2844.1408596607262</v>
      </c>
      <c r="J29" s="137">
        <v>378.91926923799542</v>
      </c>
      <c r="K29" s="5">
        <v>168.31116181305987</v>
      </c>
      <c r="L29" s="16">
        <v>547.23043105105535</v>
      </c>
      <c r="N29" s="98">
        <f t="shared" si="0"/>
        <v>3391.3712907117815</v>
      </c>
    </row>
    <row r="30" spans="2:14" x14ac:dyDescent="0.25">
      <c r="B30" s="9" t="s">
        <v>56</v>
      </c>
      <c r="C30" s="113" t="s">
        <v>57</v>
      </c>
      <c r="D30" s="16">
        <v>482473.38259083364</v>
      </c>
      <c r="E30" s="122">
        <v>3641.551415914892</v>
      </c>
      <c r="F30" s="5">
        <v>140.24724214533634</v>
      </c>
      <c r="G30" s="108">
        <v>0</v>
      </c>
      <c r="H30" s="118">
        <v>54.015139098124791</v>
      </c>
      <c r="I30" s="16">
        <f t="shared" si="1"/>
        <v>3835.8137971583528</v>
      </c>
      <c r="J30" s="137">
        <v>511.03789603643099</v>
      </c>
      <c r="K30" s="5">
        <v>226.99659002659286</v>
      </c>
      <c r="L30" s="16">
        <v>738.03448606302391</v>
      </c>
      <c r="N30" s="98">
        <f t="shared" si="0"/>
        <v>4573.8482832213767</v>
      </c>
    </row>
    <row r="31" spans="2:14" x14ac:dyDescent="0.25">
      <c r="B31" s="9" t="s">
        <v>58</v>
      </c>
      <c r="C31" s="113" t="s">
        <v>59</v>
      </c>
      <c r="D31" s="16">
        <v>542108.13496520987</v>
      </c>
      <c r="E31" s="122">
        <v>4091.6550377571994</v>
      </c>
      <c r="F31" s="5">
        <v>157.58210425029756</v>
      </c>
      <c r="G31" s="108">
        <v>0</v>
      </c>
      <c r="H31" s="118">
        <v>60.69152697943494</v>
      </c>
      <c r="I31" s="16">
        <f t="shared" si="1"/>
        <v>4309.9286689869323</v>
      </c>
      <c r="J31" s="137">
        <v>574.2032839805363</v>
      </c>
      <c r="K31" s="5">
        <v>255.05385893409596</v>
      </c>
      <c r="L31" s="16">
        <v>829.25714291463225</v>
      </c>
      <c r="N31" s="98">
        <f t="shared" si="0"/>
        <v>5139.1858119015642</v>
      </c>
    </row>
    <row r="32" spans="2:14" x14ac:dyDescent="0.25">
      <c r="B32" s="9" t="s">
        <v>60</v>
      </c>
      <c r="C32" s="113" t="s">
        <v>61</v>
      </c>
      <c r="D32" s="16">
        <v>423425.4635945746</v>
      </c>
      <c r="E32" s="122">
        <v>3195.877020629111</v>
      </c>
      <c r="F32" s="5">
        <v>123.08296305251517</v>
      </c>
      <c r="G32" s="108">
        <v>0</v>
      </c>
      <c r="H32" s="118">
        <v>47.404449942775862</v>
      </c>
      <c r="I32" s="16">
        <f t="shared" si="1"/>
        <v>3366.364433624402</v>
      </c>
      <c r="J32" s="137">
        <v>448.49408454752103</v>
      </c>
      <c r="K32" s="5">
        <v>199.21541754337545</v>
      </c>
      <c r="L32" s="16">
        <v>647.70950209089642</v>
      </c>
      <c r="N32" s="98">
        <f t="shared" si="0"/>
        <v>4014.0739357152984</v>
      </c>
    </row>
    <row r="33" spans="2:14" x14ac:dyDescent="0.25">
      <c r="B33" s="10" t="s">
        <v>62</v>
      </c>
      <c r="C33" s="114" t="s">
        <v>63</v>
      </c>
      <c r="D33" s="17">
        <v>339338.59057305375</v>
      </c>
      <c r="E33" s="123">
        <v>2561.216783276584</v>
      </c>
      <c r="F33" s="6">
        <v>98.640263273790765</v>
      </c>
      <c r="G33" s="109">
        <v>0</v>
      </c>
      <c r="H33" s="119">
        <v>37.990533431581163</v>
      </c>
      <c r="I33" s="17">
        <f t="shared" si="1"/>
        <v>2697.8475799819562</v>
      </c>
      <c r="J33" s="138">
        <v>359.42890453189511</v>
      </c>
      <c r="K33" s="6">
        <v>159.65378755378569</v>
      </c>
      <c r="L33" s="17">
        <v>519.08269208568083</v>
      </c>
      <c r="N33" s="99">
        <f t="shared" si="0"/>
        <v>3216.9302720676369</v>
      </c>
    </row>
    <row r="34" spans="2:14" x14ac:dyDescent="0.25">
      <c r="B34" s="9" t="s">
        <v>64</v>
      </c>
      <c r="C34" s="113" t="s">
        <v>65</v>
      </c>
      <c r="D34" s="16">
        <v>386675.02328998502</v>
      </c>
      <c r="E34" s="122">
        <v>2918.4967075265981</v>
      </c>
      <c r="F34" s="5">
        <v>112.40020191724125</v>
      </c>
      <c r="G34" s="108">
        <v>159.10480683171855</v>
      </c>
      <c r="H34" s="118">
        <v>43.290067229453818</v>
      </c>
      <c r="I34" s="16">
        <f t="shared" si="1"/>
        <v>3233.2917835050116</v>
      </c>
      <c r="J34" s="137">
        <v>409.56785904090646</v>
      </c>
      <c r="K34" s="5">
        <v>181.92487897247898</v>
      </c>
      <c r="L34" s="16">
        <v>591.49273801338541</v>
      </c>
      <c r="N34" s="98">
        <f t="shared" si="0"/>
        <v>3824.784521518397</v>
      </c>
    </row>
    <row r="35" spans="2:14" x14ac:dyDescent="0.25">
      <c r="B35" s="9" t="s">
        <v>66</v>
      </c>
      <c r="C35" s="113" t="s">
        <v>67</v>
      </c>
      <c r="D35" s="16">
        <v>159111.76867237737</v>
      </c>
      <c r="E35" s="122">
        <v>1200.9236310327115</v>
      </c>
      <c r="F35" s="5">
        <v>46.251228677815149</v>
      </c>
      <c r="G35" s="108">
        <v>7.002911974094352</v>
      </c>
      <c r="H35" s="118">
        <v>17.813302509738079</v>
      </c>
      <c r="I35" s="16">
        <f t="shared" si="1"/>
        <v>1271.991074194359</v>
      </c>
      <c r="J35" s="137">
        <v>168.53187436025794</v>
      </c>
      <c r="K35" s="5">
        <v>74.859733666094911</v>
      </c>
      <c r="L35" s="16">
        <v>243.39160802635286</v>
      </c>
      <c r="N35" s="98">
        <f t="shared" si="0"/>
        <v>1515.382682220712</v>
      </c>
    </row>
    <row r="36" spans="2:14" x14ac:dyDescent="0.25">
      <c r="B36" s="9" t="s">
        <v>68</v>
      </c>
      <c r="C36" s="113" t="s">
        <v>69</v>
      </c>
      <c r="D36" s="16">
        <v>401469.57448121213</v>
      </c>
      <c r="E36" s="122">
        <v>3030.1611449488955</v>
      </c>
      <c r="F36" s="5">
        <v>116.7007396841241</v>
      </c>
      <c r="G36" s="108">
        <v>72.075864544966265</v>
      </c>
      <c r="H36" s="118">
        <v>44.946386042726402</v>
      </c>
      <c r="I36" s="16">
        <f t="shared" si="1"/>
        <v>3263.8841352207123</v>
      </c>
      <c r="J36" s="137">
        <v>425.23831172571249</v>
      </c>
      <c r="K36" s="5">
        <v>188.88549647504175</v>
      </c>
      <c r="L36" s="16">
        <v>614.12380820075418</v>
      </c>
      <c r="N36" s="98">
        <f t="shared" si="0"/>
        <v>3878.0079434214667</v>
      </c>
    </row>
    <row r="37" spans="2:14" x14ac:dyDescent="0.25">
      <c r="B37" s="9" t="s">
        <v>70</v>
      </c>
      <c r="C37" s="113" t="s">
        <v>71</v>
      </c>
      <c r="D37" s="16">
        <v>419885.85107320722</v>
      </c>
      <c r="E37" s="122">
        <v>3169.1611820894614</v>
      </c>
      <c r="F37" s="5">
        <v>122.05405469757309</v>
      </c>
      <c r="G37" s="108">
        <v>134.34088622767476</v>
      </c>
      <c r="H37" s="118">
        <v>47.008173858759712</v>
      </c>
      <c r="I37" s="16">
        <f t="shared" si="1"/>
        <v>3472.5642968734687</v>
      </c>
      <c r="J37" s="137">
        <v>444.74491163773212</v>
      </c>
      <c r="K37" s="5">
        <v>197.55008220808458</v>
      </c>
      <c r="L37" s="16">
        <v>642.29499384581663</v>
      </c>
      <c r="N37" s="98">
        <f t="shared" si="0"/>
        <v>4114.8592907192851</v>
      </c>
    </row>
    <row r="38" spans="2:14" x14ac:dyDescent="0.25">
      <c r="B38" s="9" t="s">
        <v>72</v>
      </c>
      <c r="C38" s="113" t="s">
        <v>73</v>
      </c>
      <c r="D38" s="16">
        <v>224599.52709043745</v>
      </c>
      <c r="E38" s="122">
        <v>1695.2038296869487</v>
      </c>
      <c r="F38" s="5">
        <v>65.287465377740929</v>
      </c>
      <c r="G38" s="108">
        <v>26.201716540753988</v>
      </c>
      <c r="H38" s="118">
        <v>25.144961639161551</v>
      </c>
      <c r="I38" s="16">
        <f t="shared" si="1"/>
        <v>1811.8379732446051</v>
      </c>
      <c r="J38" s="137">
        <v>237.89679165039846</v>
      </c>
      <c r="K38" s="5">
        <v>105.67075534268712</v>
      </c>
      <c r="L38" s="16">
        <v>343.56754699308556</v>
      </c>
      <c r="N38" s="98">
        <f t="shared" si="0"/>
        <v>2155.4055202376908</v>
      </c>
    </row>
    <row r="39" spans="2:14" x14ac:dyDescent="0.25">
      <c r="B39" s="10" t="s">
        <v>74</v>
      </c>
      <c r="C39" s="114" t="s">
        <v>75</v>
      </c>
      <c r="D39" s="17">
        <v>388642.44788042642</v>
      </c>
      <c r="E39" s="123">
        <v>2933.346185366298</v>
      </c>
      <c r="F39" s="6">
        <v>112.97210056055424</v>
      </c>
      <c r="G39" s="109">
        <v>90.27666957908589</v>
      </c>
      <c r="H39" s="119">
        <v>43.510329562573837</v>
      </c>
      <c r="I39" s="17">
        <f t="shared" si="1"/>
        <v>3180.1052850685123</v>
      </c>
      <c r="J39" s="138">
        <v>411.65176368640311</v>
      </c>
      <c r="K39" s="6">
        <v>182.85052314121316</v>
      </c>
      <c r="L39" s="17">
        <v>594.50228682761622</v>
      </c>
      <c r="N39" s="99">
        <f t="shared" si="0"/>
        <v>3774.6075718961283</v>
      </c>
    </row>
    <row r="40" spans="2:14" x14ac:dyDescent="0.25">
      <c r="B40" s="9" t="s">
        <v>76</v>
      </c>
      <c r="C40" s="113" t="s">
        <v>77</v>
      </c>
      <c r="D40" s="16">
        <v>202022.86460880548</v>
      </c>
      <c r="E40" s="122">
        <v>1524.8025594963774</v>
      </c>
      <c r="F40" s="5">
        <v>58.724793188671811</v>
      </c>
      <c r="G40" s="108">
        <v>91.66371977685337</v>
      </c>
      <c r="H40" s="118">
        <v>22.617399273403105</v>
      </c>
      <c r="I40" s="16">
        <f t="shared" si="1"/>
        <v>1697.8084717353058</v>
      </c>
      <c r="J40" s="137">
        <v>213.98349298885893</v>
      </c>
      <c r="K40" s="5">
        <v>95.048769586722756</v>
      </c>
      <c r="L40" s="16">
        <v>309.03226257558168</v>
      </c>
      <c r="N40" s="98">
        <f t="shared" si="0"/>
        <v>2006.8407343108875</v>
      </c>
    </row>
    <row r="41" spans="2:14" x14ac:dyDescent="0.25">
      <c r="B41" s="9" t="s">
        <v>78</v>
      </c>
      <c r="C41" s="113" t="s">
        <v>79</v>
      </c>
      <c r="D41" s="16">
        <v>213351.15745092981</v>
      </c>
      <c r="E41" s="122">
        <v>1610.3048116985908</v>
      </c>
      <c r="F41" s="5">
        <v>62.017745477130092</v>
      </c>
      <c r="G41" s="108">
        <v>13.21080737141954</v>
      </c>
      <c r="H41" s="118">
        <v>23.885654343404688</v>
      </c>
      <c r="I41" s="16">
        <f t="shared" si="1"/>
        <v>1709.4190188905452</v>
      </c>
      <c r="J41" s="137">
        <v>225.98246982077541</v>
      </c>
      <c r="K41" s="5">
        <v>100.37856380703037</v>
      </c>
      <c r="L41" s="16">
        <v>326.3610336278058</v>
      </c>
      <c r="N41" s="98">
        <f t="shared" si="0"/>
        <v>2035.7800525183511</v>
      </c>
    </row>
    <row r="42" spans="2:14" x14ac:dyDescent="0.25">
      <c r="B42" s="9" t="s">
        <v>80</v>
      </c>
      <c r="C42" s="113" t="s">
        <v>81</v>
      </c>
      <c r="D42" s="16">
        <v>136646.77970673036</v>
      </c>
      <c r="E42" s="122">
        <v>1031.3652360450612</v>
      </c>
      <c r="F42" s="5">
        <v>39.721018181354779</v>
      </c>
      <c r="G42" s="108">
        <v>161.30378885256945</v>
      </c>
      <c r="H42" s="118">
        <v>15.298242513472257</v>
      </c>
      <c r="I42" s="16">
        <f t="shared" si="1"/>
        <v>1247.6882855924578</v>
      </c>
      <c r="J42" s="137">
        <v>144.73686077041603</v>
      </c>
      <c r="K42" s="5">
        <v>64.290288647587914</v>
      </c>
      <c r="L42" s="16">
        <v>209.02714941800394</v>
      </c>
      <c r="N42" s="98">
        <f t="shared" si="0"/>
        <v>1456.7154350104618</v>
      </c>
    </row>
    <row r="43" spans="2:14" x14ac:dyDescent="0.25">
      <c r="B43" s="9" t="s">
        <v>82</v>
      </c>
      <c r="C43" s="113" t="s">
        <v>83</v>
      </c>
      <c r="D43" s="16">
        <v>273374.57745446946</v>
      </c>
      <c r="E43" s="122">
        <v>2063.3419697863592</v>
      </c>
      <c r="F43" s="5">
        <v>79.465587002445318</v>
      </c>
      <c r="G43" s="108">
        <v>125.86634782424173</v>
      </c>
      <c r="H43" s="118">
        <v>30.605555373439159</v>
      </c>
      <c r="I43" s="16">
        <f t="shared" si="1"/>
        <v>2299.2794599864851</v>
      </c>
      <c r="J43" s="137">
        <v>289.55953620069113</v>
      </c>
      <c r="K43" s="5">
        <v>128.61869508509591</v>
      </c>
      <c r="L43" s="16">
        <v>418.17823128578704</v>
      </c>
      <c r="N43" s="98">
        <f t="shared" si="0"/>
        <v>2717.4576912722723</v>
      </c>
    </row>
    <row r="44" spans="2:14" x14ac:dyDescent="0.25">
      <c r="B44" s="9" t="s">
        <v>84</v>
      </c>
      <c r="C44" s="113" t="s">
        <v>85</v>
      </c>
      <c r="D44" s="16">
        <v>176792.31386494197</v>
      </c>
      <c r="E44" s="122">
        <v>1334.3706080128547</v>
      </c>
      <c r="F44" s="5">
        <v>51.390678422312369</v>
      </c>
      <c r="G44" s="108">
        <v>58.78048094197554</v>
      </c>
      <c r="H44" s="118">
        <v>19.792721773819991</v>
      </c>
      <c r="I44" s="16">
        <f t="shared" si="1"/>
        <v>1464.3344891509628</v>
      </c>
      <c r="J44" s="137">
        <v>187.25918438815194</v>
      </c>
      <c r="K44" s="5">
        <v>83.178168658242157</v>
      </c>
      <c r="L44" s="16">
        <v>270.43735304639409</v>
      </c>
      <c r="N44" s="98">
        <f t="shared" si="0"/>
        <v>1734.7718421973568</v>
      </c>
    </row>
    <row r="45" spans="2:14" x14ac:dyDescent="0.25">
      <c r="B45" s="9" t="s">
        <v>86</v>
      </c>
      <c r="C45" s="113" t="s">
        <v>87</v>
      </c>
      <c r="D45" s="16">
        <v>141911.85753390501</v>
      </c>
      <c r="E45" s="122">
        <v>1071.104322818082</v>
      </c>
      <c r="F45" s="5">
        <v>41.25149151229089</v>
      </c>
      <c r="G45" s="108">
        <v>64.73464764458717</v>
      </c>
      <c r="H45" s="118">
        <v>15.887692463374414</v>
      </c>
      <c r="I45" s="16">
        <f t="shared" si="1"/>
        <v>1192.9781544383343</v>
      </c>
      <c r="J45" s="137">
        <v>150.31365400369009</v>
      </c>
      <c r="K45" s="5">
        <v>66.767429887122034</v>
      </c>
      <c r="L45" s="16">
        <v>217.08108389081212</v>
      </c>
      <c r="N45" s="98">
        <f t="shared" si="0"/>
        <v>1410.0592383291464</v>
      </c>
    </row>
    <row r="46" spans="2:14" x14ac:dyDescent="0.25">
      <c r="B46" s="11" t="s">
        <v>88</v>
      </c>
      <c r="C46" s="115" t="s">
        <v>89</v>
      </c>
      <c r="D46" s="17">
        <v>128170.5408757913</v>
      </c>
      <c r="E46" s="123">
        <v>967.38935544686512</v>
      </c>
      <c r="F46" s="6">
        <v>37.257112061972933</v>
      </c>
      <c r="G46" s="109">
        <v>77.032031715037888</v>
      </c>
      <c r="H46" s="119">
        <v>14.349288154532251</v>
      </c>
      <c r="I46" s="17">
        <f t="shared" si="1"/>
        <v>1096.0277873784084</v>
      </c>
      <c r="J46" s="138">
        <v>135.75879189705205</v>
      </c>
      <c r="K46" s="6">
        <v>60.302343653519941</v>
      </c>
      <c r="L46" s="17">
        <v>196.06113555057198</v>
      </c>
      <c r="N46" s="99">
        <f t="shared" si="0"/>
        <v>1292.0889229289805</v>
      </c>
    </row>
    <row r="47" spans="2:14" ht="15.75" thickBot="1" x14ac:dyDescent="0.3">
      <c r="B47" s="13"/>
      <c r="C47" s="14"/>
      <c r="D47" s="127"/>
      <c r="E47" s="14"/>
      <c r="F47" s="14"/>
      <c r="G47" s="14"/>
      <c r="H47" s="14"/>
      <c r="I47" s="129"/>
      <c r="J47" s="14"/>
      <c r="K47" s="14"/>
      <c r="L47" s="129"/>
      <c r="N47" s="100"/>
    </row>
    <row r="48" spans="2:14" s="150" customFormat="1" ht="15.75" thickBot="1" x14ac:dyDescent="0.3">
      <c r="B48" s="140"/>
      <c r="C48" s="141"/>
      <c r="D48" s="142">
        <f>SUM(D5:D46)</f>
        <v>13058859</v>
      </c>
      <c r="E48" s="143">
        <f>SUM(E5:E46)</f>
        <v>98564.000000000015</v>
      </c>
      <c r="F48" s="144">
        <f t="shared" ref="F48" si="2">SUM(F5:F46)</f>
        <v>3795.9999999999991</v>
      </c>
      <c r="G48" s="144">
        <f>SUM(G5:G46)</f>
        <v>3143.2925615895101</v>
      </c>
      <c r="H48" s="145">
        <f>SUM(H5:H46)</f>
        <v>1461.9999999999998</v>
      </c>
      <c r="I48" s="142">
        <f>SUM(I5:I46)</f>
        <v>106965.29256158952</v>
      </c>
      <c r="J48" s="146">
        <f t="shared" ref="J48" si="3">SUM(J5:J46)</f>
        <v>13831.999999999998</v>
      </c>
      <c r="K48" s="144">
        <f t="shared" ref="K48:L48" si="4">SUM(K5:K46)</f>
        <v>6143.9999999999991</v>
      </c>
      <c r="L48" s="147">
        <f t="shared" si="4"/>
        <v>19976.000000000007</v>
      </c>
      <c r="M48" s="148"/>
      <c r="N48" s="149">
        <f>SUM(N5:N46)</f>
        <v>126941.29256158951</v>
      </c>
    </row>
    <row r="49" spans="4:14" x14ac:dyDescent="0.25">
      <c r="D49"/>
    </row>
    <row r="50" spans="4:14" x14ac:dyDescent="0.25">
      <c r="N50" s="96"/>
    </row>
    <row r="51" spans="4:14" x14ac:dyDescent="0.25">
      <c r="N51" s="96"/>
    </row>
    <row r="52" spans="4:14" x14ac:dyDescent="0.25">
      <c r="N52" s="96"/>
    </row>
    <row r="53" spans="4:14" x14ac:dyDescent="0.25">
      <c r="N53" s="96"/>
    </row>
    <row r="54" spans="4:14" x14ac:dyDescent="0.25">
      <c r="N54" s="96"/>
    </row>
    <row r="55" spans="4:14" x14ac:dyDescent="0.25">
      <c r="N55" s="96"/>
    </row>
    <row r="56" spans="4:14" x14ac:dyDescent="0.25">
      <c r="N56" s="96"/>
    </row>
    <row r="57" spans="4:14" x14ac:dyDescent="0.25">
      <c r="N57" s="96"/>
    </row>
    <row r="58" spans="4:14" x14ac:dyDescent="0.25">
      <c r="N58" s="96"/>
    </row>
    <row r="59" spans="4:14" x14ac:dyDescent="0.25">
      <c r="N59" s="96"/>
    </row>
    <row r="60" spans="4:14" x14ac:dyDescent="0.25">
      <c r="N60" s="96"/>
    </row>
    <row r="61" spans="4:14" x14ac:dyDescent="0.25">
      <c r="N61" s="96"/>
    </row>
    <row r="62" spans="4:14" x14ac:dyDescent="0.25">
      <c r="N62" s="96"/>
    </row>
    <row r="63" spans="4:14" x14ac:dyDescent="0.25">
      <c r="N63" s="96"/>
    </row>
    <row r="64" spans="4:14" x14ac:dyDescent="0.25">
      <c r="N64" s="96"/>
    </row>
    <row r="65" spans="14:14" x14ac:dyDescent="0.25">
      <c r="N65" s="96"/>
    </row>
    <row r="66" spans="14:14" x14ac:dyDescent="0.25">
      <c r="N66" s="96"/>
    </row>
    <row r="67" spans="14:14" x14ac:dyDescent="0.25">
      <c r="N67" s="96"/>
    </row>
    <row r="68" spans="14:14" x14ac:dyDescent="0.25">
      <c r="N68" s="96"/>
    </row>
    <row r="69" spans="14:14" x14ac:dyDescent="0.25">
      <c r="N69" s="96"/>
    </row>
  </sheetData>
  <sheetProtection algorithmName="SHA-512" hashValue="zp+CJI7u53ZgCKbu5hZuJYLd5F8Ke68xpw1hPgU1mzkSbS8lXJ+08YRTYuE1V9/oh6vdfGY2i/ow5QA4n9BHcQ==" saltValue="f/I9hstjSmzSP2zlmydfLQ==" spinCount="100000" sheet="1" objects="1" scenarios="1"/>
  <mergeCells count="1">
    <mergeCell ref="B2:C2"/>
  </mergeCells>
  <pageMargins left="0.7" right="0.7" top="0.75" bottom="0.75" header="0.3" footer="0.3"/>
  <ignoredErrors>
    <ignoredError sqref="I5:I4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5A1E-59B9-44E6-8492-9D07C13B3C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0BFF-9F22-4081-B2B4-0FB06933A1E1}">
  <dimension ref="B2:O116"/>
  <sheetViews>
    <sheetView zoomScale="65" zoomScaleNormal="65" workbookViewId="0">
      <pane xSplit="4" ySplit="4" topLeftCell="E55" activePane="bottomRight" state="frozen"/>
      <selection pane="topRight" activeCell="T85" sqref="T85"/>
      <selection pane="bottomLeft" activeCell="T85" sqref="T85"/>
      <selection pane="bottomRight" activeCell="T85" sqref="T85"/>
    </sheetView>
  </sheetViews>
  <sheetFormatPr defaultColWidth="8.85546875" defaultRowHeight="14.25" x14ac:dyDescent="0.2"/>
  <cols>
    <col min="1" max="1" width="6" style="30" customWidth="1"/>
    <col min="2" max="2" width="73.85546875" style="30" customWidth="1"/>
    <col min="3" max="3" width="11.42578125" style="30" hidden="1" customWidth="1"/>
    <col min="4" max="4" width="1.85546875" style="30" hidden="1" customWidth="1"/>
    <col min="5" max="5" width="12.28515625" style="30" hidden="1" customWidth="1"/>
    <col min="6" max="6" width="1.85546875" style="30" hidden="1" customWidth="1"/>
    <col min="7" max="7" width="12.28515625" style="30" hidden="1" customWidth="1"/>
    <col min="8" max="8" width="1.85546875" style="30" hidden="1" customWidth="1"/>
    <col min="9" max="9" width="12.28515625" style="30" hidden="1" customWidth="1"/>
    <col min="10" max="10" width="1.85546875" style="30" customWidth="1"/>
    <col min="11" max="11" width="12.28515625" style="30" bestFit="1" customWidth="1"/>
    <col min="12" max="12" width="1.85546875" style="30" customWidth="1"/>
    <col min="13" max="13" width="12.42578125" style="30" customWidth="1"/>
    <col min="14" max="14" width="1.85546875" style="30" customWidth="1"/>
    <col min="15" max="15" width="9.5703125" style="30" bestFit="1" customWidth="1"/>
    <col min="16" max="16384" width="8.85546875" style="30"/>
  </cols>
  <sheetData>
    <row r="2" spans="2:14" ht="22.15" customHeight="1" thickBot="1" x14ac:dyDescent="0.25">
      <c r="B2" s="27" t="s">
        <v>100</v>
      </c>
      <c r="C2" s="28"/>
      <c r="D2" s="28"/>
      <c r="E2" s="28"/>
      <c r="F2" s="28"/>
      <c r="G2" s="28"/>
      <c r="H2" s="28"/>
      <c r="I2" s="28"/>
      <c r="J2" s="28"/>
      <c r="K2" s="29"/>
      <c r="L2" s="28"/>
      <c r="M2" s="29"/>
      <c r="N2" s="28"/>
    </row>
    <row r="3" spans="2:14" ht="29.25" thickBot="1" x14ac:dyDescent="0.25">
      <c r="B3" s="31"/>
      <c r="C3" s="32" t="s">
        <v>101</v>
      </c>
      <c r="D3" s="32"/>
      <c r="E3" s="155" t="s">
        <v>101</v>
      </c>
      <c r="F3" s="155"/>
      <c r="G3" s="155"/>
      <c r="H3" s="155"/>
      <c r="I3" s="155"/>
      <c r="J3" s="155"/>
      <c r="K3" s="155"/>
      <c r="L3" s="155"/>
      <c r="M3" s="156"/>
      <c r="N3" s="28"/>
    </row>
    <row r="4" spans="2:14" ht="15" x14ac:dyDescent="0.2">
      <c r="B4" s="33"/>
      <c r="C4" s="34" t="s">
        <v>102</v>
      </c>
      <c r="D4" s="34"/>
      <c r="E4" s="35" t="s">
        <v>103</v>
      </c>
      <c r="F4" s="35"/>
      <c r="G4" s="35" t="s">
        <v>104</v>
      </c>
      <c r="H4" s="35"/>
      <c r="I4" s="36" t="s">
        <v>105</v>
      </c>
      <c r="J4" s="35"/>
      <c r="K4" s="36" t="s">
        <v>106</v>
      </c>
      <c r="L4" s="35"/>
      <c r="M4" s="36" t="s">
        <v>107</v>
      </c>
      <c r="N4" s="37"/>
    </row>
    <row r="5" spans="2:14" ht="15" x14ac:dyDescent="0.2">
      <c r="B5" s="33"/>
      <c r="C5" s="38"/>
      <c r="D5" s="38"/>
      <c r="E5" s="38"/>
      <c r="F5" s="38"/>
      <c r="G5" s="38"/>
      <c r="H5" s="38"/>
      <c r="I5" s="38"/>
      <c r="J5" s="38"/>
      <c r="K5" s="39"/>
      <c r="L5" s="38"/>
      <c r="M5" s="39"/>
      <c r="N5" s="38"/>
    </row>
    <row r="6" spans="2:14" x14ac:dyDescent="0.2">
      <c r="B6" s="40" t="s">
        <v>108</v>
      </c>
      <c r="C6" s="41">
        <v>3108527</v>
      </c>
      <c r="D6" s="41"/>
      <c r="E6" s="39">
        <v>3371241</v>
      </c>
      <c r="F6" s="41"/>
      <c r="G6" s="39">
        <v>3546434</v>
      </c>
      <c r="H6" s="41"/>
      <c r="I6" s="39">
        <v>3618898</v>
      </c>
      <c r="J6" s="41"/>
      <c r="K6" s="39">
        <v>3854038</v>
      </c>
      <c r="L6" s="41"/>
      <c r="M6" s="39">
        <v>4141896.0848200009</v>
      </c>
      <c r="N6" s="41"/>
    </row>
    <row r="7" spans="2:14" x14ac:dyDescent="0.2">
      <c r="B7" s="40" t="s">
        <v>109</v>
      </c>
      <c r="C7" s="41">
        <v>1626477</v>
      </c>
      <c r="D7" s="41"/>
      <c r="E7" s="39">
        <v>1642804</v>
      </c>
      <c r="F7" s="41"/>
      <c r="G7" s="39">
        <v>1629884</v>
      </c>
      <c r="H7" s="41"/>
      <c r="I7" s="39">
        <v>1600264</v>
      </c>
      <c r="J7" s="41"/>
      <c r="K7" s="39">
        <v>1602006</v>
      </c>
      <c r="L7" s="41"/>
      <c r="M7" s="39">
        <v>1629791.0985599996</v>
      </c>
      <c r="N7" s="41"/>
    </row>
    <row r="8" spans="2:14" x14ac:dyDescent="0.2">
      <c r="B8" s="40" t="s">
        <v>110</v>
      </c>
      <c r="C8" s="42">
        <v>315817</v>
      </c>
      <c r="D8" s="42"/>
      <c r="E8" s="42">
        <v>310071</v>
      </c>
      <c r="F8" s="42"/>
      <c r="G8" s="42">
        <v>306384</v>
      </c>
      <c r="H8" s="42"/>
      <c r="I8" s="42">
        <v>292687</v>
      </c>
      <c r="J8" s="42"/>
      <c r="K8" s="42">
        <v>308961</v>
      </c>
      <c r="L8" s="42"/>
      <c r="M8" s="42">
        <v>291886.19824000006</v>
      </c>
      <c r="N8" s="42"/>
    </row>
    <row r="9" spans="2:14" ht="15" x14ac:dyDescent="0.2">
      <c r="B9" s="43" t="s">
        <v>111</v>
      </c>
      <c r="C9" s="44"/>
      <c r="D9" s="44"/>
      <c r="E9" s="42"/>
      <c r="F9" s="44"/>
      <c r="G9" s="42"/>
      <c r="H9" s="44"/>
      <c r="I9" s="42">
        <v>104383</v>
      </c>
      <c r="J9" s="44"/>
      <c r="K9" s="42">
        <v>104975</v>
      </c>
      <c r="L9" s="44"/>
      <c r="M9" s="42">
        <v>107118.22765000003</v>
      </c>
      <c r="N9" s="44"/>
    </row>
    <row r="10" spans="2:14" ht="16.5" x14ac:dyDescent="0.2">
      <c r="B10" s="40" t="s">
        <v>112</v>
      </c>
      <c r="C10" s="42"/>
      <c r="D10" s="42"/>
      <c r="E10" s="42"/>
      <c r="F10" s="42"/>
      <c r="G10" s="42"/>
      <c r="H10" s="42"/>
      <c r="I10" s="42">
        <v>310376.52165000001</v>
      </c>
      <c r="J10" s="42"/>
      <c r="K10" s="42">
        <v>312430</v>
      </c>
      <c r="L10" s="42"/>
      <c r="M10" s="42">
        <v>214546</v>
      </c>
      <c r="N10" s="42"/>
    </row>
    <row r="11" spans="2:14" ht="15" x14ac:dyDescent="0.2">
      <c r="B11" s="33" t="s">
        <v>113</v>
      </c>
      <c r="C11" s="45">
        <v>5050821</v>
      </c>
      <c r="D11" s="45"/>
      <c r="E11" s="45">
        <f t="shared" ref="E11:M11" si="0">SUM(E6:E10)</f>
        <v>5324116</v>
      </c>
      <c r="F11" s="45"/>
      <c r="G11" s="45">
        <f t="shared" si="0"/>
        <v>5482702</v>
      </c>
      <c r="H11" s="45"/>
      <c r="I11" s="45">
        <f t="shared" si="0"/>
        <v>5926608.5216499995</v>
      </c>
      <c r="J11" s="45"/>
      <c r="K11" s="45">
        <f t="shared" si="0"/>
        <v>6182410</v>
      </c>
      <c r="L11" s="45"/>
      <c r="M11" s="45">
        <f t="shared" si="0"/>
        <v>6385237.6092699999</v>
      </c>
      <c r="N11" s="45"/>
    </row>
    <row r="12" spans="2:14" ht="15" x14ac:dyDescent="0.2">
      <c r="B12" s="33"/>
      <c r="C12" s="45"/>
      <c r="D12" s="45"/>
      <c r="E12" s="44"/>
      <c r="F12" s="45"/>
      <c r="G12" s="44"/>
      <c r="H12" s="45"/>
      <c r="I12" s="44"/>
      <c r="J12" s="45"/>
      <c r="K12" s="44"/>
      <c r="L12" s="45"/>
      <c r="M12" s="44"/>
      <c r="N12" s="45"/>
    </row>
    <row r="13" spans="2:14" ht="15" x14ac:dyDescent="0.2">
      <c r="B13" s="33" t="s">
        <v>114</v>
      </c>
      <c r="C13" s="45">
        <v>668420</v>
      </c>
      <c r="D13" s="45"/>
      <c r="E13" s="44">
        <v>722294</v>
      </c>
      <c r="F13" s="45"/>
      <c r="G13" s="44">
        <v>719127</v>
      </c>
      <c r="H13" s="45"/>
      <c r="I13" s="44">
        <v>733107</v>
      </c>
      <c r="J13" s="45"/>
      <c r="K13" s="44">
        <v>756265</v>
      </c>
      <c r="L13" s="45"/>
      <c r="M13" s="44">
        <v>818125.79504999996</v>
      </c>
      <c r="N13" s="45"/>
    </row>
    <row r="14" spans="2:14" x14ac:dyDescent="0.2">
      <c r="B14" s="43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2:14" x14ac:dyDescent="0.2">
      <c r="B15" s="40" t="s">
        <v>115</v>
      </c>
      <c r="C15" s="46">
        <v>527130</v>
      </c>
      <c r="D15" s="46"/>
      <c r="E15" s="39">
        <v>381552</v>
      </c>
      <c r="F15" s="46"/>
      <c r="G15" s="39">
        <v>377728</v>
      </c>
      <c r="H15" s="46"/>
      <c r="I15" s="39">
        <v>315894</v>
      </c>
      <c r="J15" s="46"/>
      <c r="K15" s="39">
        <v>332793</v>
      </c>
      <c r="L15" s="46"/>
      <c r="M15" s="39">
        <v>259317.21902999998</v>
      </c>
      <c r="N15" s="46"/>
    </row>
    <row r="16" spans="2:14" x14ac:dyDescent="0.2">
      <c r="B16" s="40" t="s">
        <v>116</v>
      </c>
      <c r="C16" s="46">
        <v>20307</v>
      </c>
      <c r="D16" s="46"/>
      <c r="E16" s="39">
        <v>42833</v>
      </c>
      <c r="F16" s="46"/>
      <c r="G16" s="39">
        <v>47314</v>
      </c>
      <c r="H16" s="46"/>
      <c r="I16" s="39">
        <v>40270</v>
      </c>
      <c r="J16" s="46"/>
      <c r="K16" s="39">
        <v>37095</v>
      </c>
      <c r="L16" s="46"/>
      <c r="M16" s="39">
        <v>50195.841639999999</v>
      </c>
      <c r="N16" s="46"/>
    </row>
    <row r="17" spans="2:14" x14ac:dyDescent="0.2">
      <c r="B17" s="40" t="s">
        <v>117</v>
      </c>
      <c r="C17" s="46">
        <v>495223</v>
      </c>
      <c r="D17" s="46"/>
      <c r="E17" s="39">
        <v>568109</v>
      </c>
      <c r="F17" s="46"/>
      <c r="G17" s="39">
        <v>605196</v>
      </c>
      <c r="H17" s="46"/>
      <c r="I17" s="39">
        <v>648597</v>
      </c>
      <c r="J17" s="46"/>
      <c r="K17" s="39">
        <v>718130</v>
      </c>
      <c r="L17" s="46"/>
      <c r="M17" s="47">
        <v>778946.59426999977</v>
      </c>
      <c r="N17" s="46"/>
    </row>
    <row r="18" spans="2:14" x14ac:dyDescent="0.2">
      <c r="B18" s="40" t="s">
        <v>118</v>
      </c>
      <c r="C18" s="46">
        <v>12804</v>
      </c>
      <c r="D18" s="46"/>
      <c r="E18" s="39">
        <v>15273</v>
      </c>
      <c r="F18" s="46"/>
      <c r="G18" s="39">
        <v>15236</v>
      </c>
      <c r="H18" s="46"/>
      <c r="I18" s="39">
        <v>11137</v>
      </c>
      <c r="J18" s="46"/>
      <c r="K18" s="39">
        <v>9698</v>
      </c>
      <c r="L18" s="46"/>
      <c r="M18" s="39">
        <v>19519.784050000002</v>
      </c>
      <c r="N18" s="46"/>
    </row>
    <row r="19" spans="2:14" x14ac:dyDescent="0.2">
      <c r="B19" s="40" t="s">
        <v>119</v>
      </c>
      <c r="C19" s="46">
        <v>37201</v>
      </c>
      <c r="D19" s="46"/>
      <c r="E19" s="39">
        <v>26260</v>
      </c>
      <c r="F19" s="46"/>
      <c r="G19" s="39">
        <v>17773</v>
      </c>
      <c r="H19" s="46"/>
      <c r="I19" s="39">
        <v>36354.919232710752</v>
      </c>
      <c r="J19" s="46"/>
      <c r="K19" s="39">
        <v>30156</v>
      </c>
      <c r="L19" s="46"/>
      <c r="M19" s="39">
        <v>34039.989770000007</v>
      </c>
      <c r="N19" s="46"/>
    </row>
    <row r="20" spans="2:14" ht="15" x14ac:dyDescent="0.2">
      <c r="B20" s="33" t="s">
        <v>120</v>
      </c>
      <c r="C20" s="44">
        <v>1092665</v>
      </c>
      <c r="D20" s="44"/>
      <c r="E20" s="44">
        <f t="shared" ref="E20:M20" si="1">SUM(E15:E19)</f>
        <v>1034027</v>
      </c>
      <c r="F20" s="44"/>
      <c r="G20" s="44">
        <f t="shared" si="1"/>
        <v>1063247</v>
      </c>
      <c r="H20" s="44"/>
      <c r="I20" s="44">
        <f t="shared" si="1"/>
        <v>1052252.9192327107</v>
      </c>
      <c r="J20" s="44"/>
      <c r="K20" s="44">
        <f t="shared" si="1"/>
        <v>1127872</v>
      </c>
      <c r="L20" s="44"/>
      <c r="M20" s="44">
        <f t="shared" si="1"/>
        <v>1142019.4287599998</v>
      </c>
      <c r="N20" s="44"/>
    </row>
    <row r="21" spans="2:14" ht="15" x14ac:dyDescent="0.2">
      <c r="B21" s="33"/>
      <c r="C21" s="45"/>
      <c r="D21" s="45"/>
      <c r="E21" s="39"/>
      <c r="F21" s="45"/>
      <c r="G21" s="39"/>
      <c r="H21" s="45"/>
      <c r="I21" s="39"/>
      <c r="J21" s="45"/>
      <c r="K21" s="39"/>
      <c r="L21" s="45"/>
      <c r="M21" s="39"/>
      <c r="N21" s="45"/>
    </row>
    <row r="22" spans="2:14" x14ac:dyDescent="0.2">
      <c r="B22" s="40" t="s">
        <v>121</v>
      </c>
      <c r="C22" s="41">
        <v>893953</v>
      </c>
      <c r="D22" s="41"/>
      <c r="E22" s="39">
        <v>882980</v>
      </c>
      <c r="F22" s="41"/>
      <c r="G22" s="39">
        <v>882036</v>
      </c>
      <c r="H22" s="41"/>
      <c r="I22" s="39">
        <v>882810</v>
      </c>
      <c r="J22" s="41"/>
      <c r="K22" s="39">
        <v>940480</v>
      </c>
      <c r="L22" s="41"/>
      <c r="M22" s="39">
        <v>984888.45276000025</v>
      </c>
      <c r="N22" s="41"/>
    </row>
    <row r="23" spans="2:14" ht="16.5" x14ac:dyDescent="0.2">
      <c r="B23" s="40" t="s">
        <v>122</v>
      </c>
      <c r="C23" s="41">
        <v>470729</v>
      </c>
      <c r="D23" s="41"/>
      <c r="E23" s="39">
        <v>722065</v>
      </c>
      <c r="F23" s="41"/>
      <c r="G23" s="39">
        <v>735385</v>
      </c>
      <c r="H23" s="41"/>
      <c r="I23" s="39">
        <v>1018848</v>
      </c>
      <c r="J23" s="41"/>
      <c r="K23" s="39">
        <v>1130877</v>
      </c>
      <c r="L23" s="41"/>
      <c r="M23" s="39">
        <v>1134488.3093399999</v>
      </c>
      <c r="N23" s="41"/>
    </row>
    <row r="24" spans="2:14" x14ac:dyDescent="0.2">
      <c r="B24" s="40" t="s">
        <v>123</v>
      </c>
      <c r="C24" s="41">
        <v>426349</v>
      </c>
      <c r="D24" s="41"/>
      <c r="E24" s="39">
        <v>428463</v>
      </c>
      <c r="F24" s="41"/>
      <c r="G24" s="39">
        <v>429907</v>
      </c>
      <c r="H24" s="41"/>
      <c r="I24" s="39">
        <v>479809</v>
      </c>
      <c r="J24" s="41"/>
      <c r="K24" s="39">
        <v>480184</v>
      </c>
      <c r="L24" s="41"/>
      <c r="M24" s="39">
        <v>485328.38729339698</v>
      </c>
      <c r="N24" s="41"/>
    </row>
    <row r="25" spans="2:14" ht="16.5" x14ac:dyDescent="0.2">
      <c r="B25" s="40" t="s">
        <v>124</v>
      </c>
      <c r="C25" s="41">
        <v>387651</v>
      </c>
      <c r="D25" s="41"/>
      <c r="E25" s="39">
        <v>414274</v>
      </c>
      <c r="F25" s="41"/>
      <c r="G25" s="39">
        <v>395986</v>
      </c>
      <c r="H25" s="41"/>
      <c r="I25" s="39">
        <v>382524</v>
      </c>
      <c r="J25" s="41"/>
      <c r="K25" s="39">
        <v>558212</v>
      </c>
      <c r="L25" s="41"/>
      <c r="M25" s="47">
        <v>519995.69719823758</v>
      </c>
      <c r="N25" s="41"/>
    </row>
    <row r="26" spans="2:14" ht="15" x14ac:dyDescent="0.2">
      <c r="B26" s="33" t="s">
        <v>125</v>
      </c>
      <c r="C26" s="44">
        <v>2178682</v>
      </c>
      <c r="D26" s="44"/>
      <c r="E26" s="44">
        <f t="shared" ref="E26:M26" si="2">SUM(E22:E25)</f>
        <v>2447782</v>
      </c>
      <c r="F26" s="44"/>
      <c r="G26" s="44">
        <f t="shared" si="2"/>
        <v>2443314</v>
      </c>
      <c r="H26" s="44"/>
      <c r="I26" s="44">
        <f t="shared" si="2"/>
        <v>2763991</v>
      </c>
      <c r="J26" s="44"/>
      <c r="K26" s="44">
        <f t="shared" si="2"/>
        <v>3109753</v>
      </c>
      <c r="L26" s="44"/>
      <c r="M26" s="44">
        <f t="shared" si="2"/>
        <v>3124700.8465916347</v>
      </c>
      <c r="N26" s="44"/>
    </row>
    <row r="27" spans="2:14" ht="15" x14ac:dyDescent="0.2">
      <c r="B27" s="33" t="s">
        <v>126</v>
      </c>
      <c r="C27" s="44">
        <v>8990588</v>
      </c>
      <c r="D27" s="44"/>
      <c r="E27" s="44">
        <f t="shared" ref="E27:M27" si="3">+E11+E13+E20+E26</f>
        <v>9528219</v>
      </c>
      <c r="F27" s="44"/>
      <c r="G27" s="44">
        <f t="shared" si="3"/>
        <v>9708390</v>
      </c>
      <c r="H27" s="44"/>
      <c r="I27" s="44">
        <f t="shared" si="3"/>
        <v>10475959.440882711</v>
      </c>
      <c r="J27" s="44"/>
      <c r="K27" s="44">
        <f t="shared" si="3"/>
        <v>11176300</v>
      </c>
      <c r="L27" s="44"/>
      <c r="M27" s="44">
        <f t="shared" si="3"/>
        <v>11470083.679671634</v>
      </c>
      <c r="N27" s="44"/>
    </row>
    <row r="28" spans="2:14" ht="15" x14ac:dyDescent="0.2">
      <c r="B28" s="33"/>
      <c r="C28" s="45"/>
      <c r="D28" s="45"/>
      <c r="E28" s="39"/>
      <c r="F28" s="45"/>
      <c r="G28" s="39"/>
      <c r="H28" s="45"/>
      <c r="I28" s="39"/>
      <c r="J28" s="45"/>
      <c r="K28" s="39"/>
      <c r="L28" s="45"/>
      <c r="M28" s="39"/>
      <c r="N28" s="45"/>
    </row>
    <row r="29" spans="2:14" ht="15" x14ac:dyDescent="0.2">
      <c r="B29" s="33"/>
      <c r="C29" s="45"/>
      <c r="D29" s="45"/>
      <c r="E29" s="39"/>
      <c r="F29" s="45"/>
      <c r="G29" s="39"/>
      <c r="H29" s="45"/>
      <c r="I29" s="39"/>
      <c r="J29" s="45"/>
      <c r="K29" s="39"/>
      <c r="L29" s="45"/>
      <c r="M29" s="39"/>
      <c r="N29" s="45"/>
    </row>
    <row r="30" spans="2:14" ht="16.5" x14ac:dyDescent="0.2">
      <c r="B30" s="40" t="s">
        <v>127</v>
      </c>
      <c r="C30" s="41">
        <v>122771</v>
      </c>
      <c r="D30" s="41"/>
      <c r="E30" s="39">
        <v>144316</v>
      </c>
      <c r="F30" s="41"/>
      <c r="G30" s="39">
        <v>237142</v>
      </c>
      <c r="H30" s="41"/>
      <c r="I30" s="39">
        <v>293137</v>
      </c>
      <c r="J30" s="41"/>
      <c r="K30" s="39">
        <v>314470</v>
      </c>
      <c r="L30" s="41"/>
      <c r="M30" s="39">
        <v>451866.20600000001</v>
      </c>
      <c r="N30" s="41"/>
    </row>
    <row r="31" spans="2:14" ht="16.5" x14ac:dyDescent="0.2">
      <c r="B31" s="40" t="s">
        <v>128</v>
      </c>
      <c r="C31" s="46">
        <v>136059</v>
      </c>
      <c r="D31" s="46"/>
      <c r="E31" s="39">
        <v>159508</v>
      </c>
      <c r="F31" s="46"/>
      <c r="G31" s="39">
        <v>130867</v>
      </c>
      <c r="H31" s="46"/>
      <c r="I31" s="39">
        <v>137350</v>
      </c>
      <c r="J31" s="46"/>
      <c r="K31" s="39">
        <v>95959.424960000004</v>
      </c>
      <c r="L31" s="46"/>
      <c r="M31" s="47">
        <v>13138</v>
      </c>
      <c r="N31" s="46"/>
    </row>
    <row r="32" spans="2:14" x14ac:dyDescent="0.2">
      <c r="B32" s="40" t="s">
        <v>129</v>
      </c>
      <c r="C32" s="46">
        <v>47595</v>
      </c>
      <c r="D32" s="46"/>
      <c r="E32" s="39">
        <v>77328</v>
      </c>
      <c r="F32" s="46"/>
      <c r="G32" s="39">
        <v>96236</v>
      </c>
      <c r="H32" s="46"/>
      <c r="I32" s="39">
        <v>116294</v>
      </c>
      <c r="J32" s="46"/>
      <c r="K32" s="39">
        <v>133088</v>
      </c>
      <c r="L32" s="46"/>
      <c r="M32" s="47">
        <v>134337.80051999999</v>
      </c>
      <c r="N32" s="46"/>
    </row>
    <row r="33" spans="2:15" x14ac:dyDescent="0.2">
      <c r="B33" s="40" t="s">
        <v>130</v>
      </c>
      <c r="C33" s="46">
        <v>79520</v>
      </c>
      <c r="D33" s="46"/>
      <c r="E33" s="39">
        <v>129634</v>
      </c>
      <c r="F33" s="46"/>
      <c r="G33" s="39">
        <v>170523</v>
      </c>
      <c r="H33" s="46"/>
      <c r="I33" s="39">
        <v>142937</v>
      </c>
      <c r="J33" s="46"/>
      <c r="K33" s="39">
        <v>163195.57504</v>
      </c>
      <c r="L33" s="46"/>
      <c r="M33" s="47">
        <v>195917.70378000004</v>
      </c>
      <c r="N33" s="46"/>
    </row>
    <row r="34" spans="2:15" x14ac:dyDescent="0.2">
      <c r="B34" s="40" t="s">
        <v>131</v>
      </c>
      <c r="C34" s="41">
        <v>13516</v>
      </c>
      <c r="D34" s="41"/>
      <c r="E34" s="39">
        <v>11433</v>
      </c>
      <c r="F34" s="41"/>
      <c r="G34" s="39"/>
      <c r="H34" s="41"/>
      <c r="I34" s="39"/>
      <c r="J34" s="41"/>
      <c r="K34" s="39"/>
      <c r="L34" s="41"/>
      <c r="M34" s="39"/>
      <c r="N34" s="41"/>
    </row>
    <row r="35" spans="2:15" ht="15" x14ac:dyDescent="0.2">
      <c r="B35" s="33" t="s">
        <v>132</v>
      </c>
      <c r="C35" s="48">
        <v>399461</v>
      </c>
      <c r="D35" s="48"/>
      <c r="E35" s="48">
        <f t="shared" ref="E35:M35" si="4">SUM(E30:E34)</f>
        <v>522219</v>
      </c>
      <c r="F35" s="48"/>
      <c r="G35" s="48">
        <f t="shared" si="4"/>
        <v>634768</v>
      </c>
      <c r="H35" s="48"/>
      <c r="I35" s="48">
        <f t="shared" si="4"/>
        <v>689718</v>
      </c>
      <c r="J35" s="48"/>
      <c r="K35" s="48">
        <f t="shared" si="4"/>
        <v>706713</v>
      </c>
      <c r="L35" s="48"/>
      <c r="M35" s="48">
        <f t="shared" si="4"/>
        <v>795259.71030000015</v>
      </c>
      <c r="N35" s="49"/>
    </row>
    <row r="36" spans="2:15" x14ac:dyDescent="0.2">
      <c r="B36" s="40"/>
      <c r="C36" s="41"/>
      <c r="D36" s="41"/>
      <c r="E36" s="39"/>
      <c r="F36" s="41"/>
      <c r="G36" s="39"/>
      <c r="H36" s="41"/>
      <c r="I36" s="39"/>
      <c r="J36" s="41"/>
      <c r="K36" s="39"/>
      <c r="L36" s="41"/>
      <c r="M36" s="39"/>
      <c r="N36" s="41"/>
    </row>
    <row r="37" spans="2:15" x14ac:dyDescent="0.2">
      <c r="B37" s="43" t="s">
        <v>133</v>
      </c>
      <c r="C37" s="41"/>
      <c r="D37" s="41"/>
      <c r="E37" s="39"/>
      <c r="F37" s="41"/>
      <c r="G37" s="39"/>
      <c r="H37" s="41"/>
      <c r="I37" s="39">
        <v>30967</v>
      </c>
      <c r="J37" s="41"/>
      <c r="K37" s="39">
        <v>44869</v>
      </c>
      <c r="L37" s="41"/>
      <c r="M37" s="39">
        <v>83404.297929999972</v>
      </c>
      <c r="N37" s="41"/>
    </row>
    <row r="38" spans="2:15" ht="16.5" x14ac:dyDescent="0.2">
      <c r="B38" s="43" t="s">
        <v>134</v>
      </c>
      <c r="C38" s="41"/>
      <c r="D38" s="41"/>
      <c r="E38" s="39"/>
      <c r="F38" s="41"/>
      <c r="G38" s="39"/>
      <c r="H38" s="41"/>
      <c r="I38" s="39">
        <v>52534</v>
      </c>
      <c r="J38" s="41"/>
      <c r="K38" s="39">
        <v>266596</v>
      </c>
      <c r="L38" s="41"/>
      <c r="M38" s="39">
        <v>518545.92767999985</v>
      </c>
      <c r="N38" s="41"/>
      <c r="O38" s="50"/>
    </row>
    <row r="39" spans="2:15" x14ac:dyDescent="0.2">
      <c r="B39" s="43" t="s">
        <v>135</v>
      </c>
      <c r="C39" s="41"/>
      <c r="D39" s="41"/>
      <c r="E39" s="39"/>
      <c r="F39" s="41"/>
      <c r="G39" s="39"/>
      <c r="H39" s="41"/>
      <c r="I39" s="39">
        <v>66000</v>
      </c>
      <c r="J39" s="41"/>
      <c r="K39" s="39">
        <v>85796</v>
      </c>
      <c r="L39" s="41"/>
      <c r="M39" s="39">
        <v>104705.71155999998</v>
      </c>
      <c r="N39" s="41"/>
    </row>
    <row r="40" spans="2:15" x14ac:dyDescent="0.2">
      <c r="B40" s="43" t="s">
        <v>136</v>
      </c>
      <c r="C40" s="41"/>
      <c r="D40" s="41"/>
      <c r="E40" s="39"/>
      <c r="F40" s="41"/>
      <c r="G40" s="39"/>
      <c r="H40" s="41"/>
      <c r="I40" s="39"/>
      <c r="J40" s="41"/>
      <c r="K40" s="39">
        <v>25402</v>
      </c>
      <c r="L40" s="41"/>
      <c r="M40" s="39">
        <v>51599.579860000005</v>
      </c>
      <c r="N40" s="41"/>
    </row>
    <row r="41" spans="2:15" x14ac:dyDescent="0.2">
      <c r="B41" s="43" t="s">
        <v>137</v>
      </c>
      <c r="C41" s="41"/>
      <c r="D41" s="41"/>
      <c r="E41" s="39"/>
      <c r="F41" s="41"/>
      <c r="G41" s="39"/>
      <c r="H41" s="41"/>
      <c r="I41" s="39"/>
      <c r="J41" s="41"/>
      <c r="K41" s="39">
        <v>32569</v>
      </c>
      <c r="L41" s="41"/>
      <c r="M41" s="39">
        <v>130255.36937</v>
      </c>
      <c r="N41" s="41"/>
    </row>
    <row r="42" spans="2:15" ht="16.5" x14ac:dyDescent="0.2">
      <c r="B42" s="43" t="s">
        <v>138</v>
      </c>
      <c r="C42" s="41"/>
      <c r="D42" s="41"/>
      <c r="E42" s="39"/>
      <c r="F42" s="41"/>
      <c r="G42" s="39"/>
      <c r="H42" s="41"/>
      <c r="I42" s="39">
        <v>93515</v>
      </c>
      <c r="J42" s="41"/>
      <c r="K42" s="39">
        <v>113242</v>
      </c>
      <c r="L42" s="41"/>
      <c r="M42" s="39">
        <v>128691.94864999999</v>
      </c>
      <c r="N42" s="41"/>
    </row>
    <row r="43" spans="2:15" ht="15" x14ac:dyDescent="0.2">
      <c r="B43" s="33" t="s">
        <v>139</v>
      </c>
      <c r="C43" s="44">
        <v>0</v>
      </c>
      <c r="D43" s="44"/>
      <c r="E43" s="44">
        <f>SUM(E37:E42)</f>
        <v>0</v>
      </c>
      <c r="F43" s="44"/>
      <c r="G43" s="44">
        <f>SUM(G37:G42)</f>
        <v>0</v>
      </c>
      <c r="H43" s="44"/>
      <c r="I43" s="44">
        <f>SUM(I37:I42)</f>
        <v>243016</v>
      </c>
      <c r="J43" s="44"/>
      <c r="K43" s="44">
        <f>SUM(K37:K42)</f>
        <v>568474</v>
      </c>
      <c r="L43" s="44"/>
      <c r="M43" s="44">
        <f>SUM(M37:M42)</f>
        <v>1017202.8350499999</v>
      </c>
      <c r="N43" s="44"/>
    </row>
    <row r="44" spans="2:15" ht="15" x14ac:dyDescent="0.2">
      <c r="B44" s="3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2:15" ht="17.25" x14ac:dyDescent="0.2">
      <c r="B45" s="33" t="s">
        <v>140</v>
      </c>
      <c r="C45" s="44">
        <v>24351</v>
      </c>
      <c r="D45" s="44"/>
      <c r="E45" s="44">
        <v>23321</v>
      </c>
      <c r="F45" s="44"/>
      <c r="G45" s="44">
        <v>29257</v>
      </c>
      <c r="H45" s="44"/>
      <c r="I45" s="44">
        <v>24165</v>
      </c>
      <c r="J45" s="44"/>
      <c r="K45" s="44">
        <v>12069</v>
      </c>
      <c r="L45" s="44"/>
      <c r="M45" s="44">
        <v>11592</v>
      </c>
      <c r="N45" s="44"/>
    </row>
    <row r="46" spans="2:15" ht="15" x14ac:dyDescent="0.2">
      <c r="B46" s="33"/>
      <c r="C46" s="45"/>
      <c r="D46" s="45"/>
      <c r="E46" s="39"/>
      <c r="F46" s="45"/>
      <c r="G46" s="39"/>
      <c r="H46" s="45"/>
      <c r="I46" s="39"/>
      <c r="J46" s="45"/>
      <c r="K46" s="39"/>
      <c r="L46" s="45"/>
      <c r="M46" s="39"/>
      <c r="N46" s="45"/>
    </row>
    <row r="47" spans="2:15" ht="15" x14ac:dyDescent="0.2">
      <c r="B47" s="51" t="s">
        <v>141</v>
      </c>
      <c r="C47" s="44">
        <v>9414400</v>
      </c>
      <c r="D47" s="44"/>
      <c r="E47" s="44">
        <f t="shared" ref="E47:M47" si="5">+E27+E43+E45+E35</f>
        <v>10073759</v>
      </c>
      <c r="F47" s="44"/>
      <c r="G47" s="44">
        <f t="shared" si="5"/>
        <v>10372415</v>
      </c>
      <c r="H47" s="44"/>
      <c r="I47" s="44">
        <f t="shared" si="5"/>
        <v>11432858.440882711</v>
      </c>
      <c r="J47" s="44"/>
      <c r="K47" s="44">
        <f>+K27+K43+K45+K35</f>
        <v>12463556</v>
      </c>
      <c r="L47" s="44"/>
      <c r="M47" s="44">
        <f t="shared" si="5"/>
        <v>13294138.225021634</v>
      </c>
      <c r="N47" s="44"/>
    </row>
    <row r="48" spans="2:15" ht="15" x14ac:dyDescent="0.2">
      <c r="B48" s="51"/>
      <c r="C48" s="52"/>
      <c r="D48" s="52"/>
      <c r="E48" s="39"/>
      <c r="F48" s="52"/>
      <c r="G48" s="39"/>
      <c r="H48" s="52"/>
      <c r="I48" s="39"/>
      <c r="J48" s="52"/>
      <c r="K48" s="39"/>
      <c r="L48" s="52"/>
      <c r="M48" s="39"/>
      <c r="N48" s="52"/>
    </row>
    <row r="49" spans="2:15" ht="16.5" x14ac:dyDescent="0.2">
      <c r="B49" s="40" t="s">
        <v>142</v>
      </c>
      <c r="C49" s="41">
        <v>189273</v>
      </c>
      <c r="D49" s="41"/>
      <c r="E49" s="39">
        <v>181574</v>
      </c>
      <c r="F49" s="41"/>
      <c r="G49" s="39">
        <v>197123</v>
      </c>
      <c r="H49" s="41"/>
      <c r="I49" s="39">
        <v>182197</v>
      </c>
      <c r="J49" s="41"/>
      <c r="K49" s="39">
        <v>197674</v>
      </c>
      <c r="L49" s="41"/>
      <c r="M49" s="39">
        <v>176991.50879000002</v>
      </c>
      <c r="N49" s="41"/>
    </row>
    <row r="50" spans="2:15" ht="17.25" x14ac:dyDescent="0.2">
      <c r="B50" s="33" t="s">
        <v>143</v>
      </c>
      <c r="C50" s="44">
        <v>9603673</v>
      </c>
      <c r="D50" s="44"/>
      <c r="E50" s="44">
        <f>+E47+E49</f>
        <v>10255333</v>
      </c>
      <c r="F50" s="44"/>
      <c r="G50" s="44">
        <f>+G47+G49</f>
        <v>10569538</v>
      </c>
      <c r="H50" s="44"/>
      <c r="I50" s="44">
        <f>+I47+I49</f>
        <v>11615055.440882711</v>
      </c>
      <c r="J50" s="44"/>
      <c r="K50" s="44">
        <f>+K47+K49</f>
        <v>12661230</v>
      </c>
      <c r="L50" s="44"/>
      <c r="M50" s="44">
        <f>+M47+M49</f>
        <v>13471129.733811634</v>
      </c>
      <c r="N50" s="44"/>
    </row>
    <row r="51" spans="2:15" x14ac:dyDescent="0.2">
      <c r="B51" s="40"/>
      <c r="C51" s="41"/>
      <c r="D51" s="41"/>
      <c r="E51" s="39"/>
      <c r="F51" s="41"/>
      <c r="G51" s="39"/>
      <c r="H51" s="41"/>
      <c r="I51" s="39"/>
      <c r="J51" s="41"/>
      <c r="K51" s="39"/>
      <c r="L51" s="41"/>
      <c r="M51" s="39"/>
      <c r="N51" s="41"/>
    </row>
    <row r="52" spans="2:15" x14ac:dyDescent="0.2">
      <c r="B52" s="40" t="s">
        <v>144</v>
      </c>
      <c r="C52" s="41">
        <v>590037</v>
      </c>
      <c r="D52" s="41"/>
      <c r="E52" s="39">
        <v>576368</v>
      </c>
      <c r="F52" s="41"/>
      <c r="G52" s="39">
        <v>592976</v>
      </c>
      <c r="H52" s="41"/>
      <c r="I52" s="39">
        <v>617078</v>
      </c>
      <c r="J52" s="41"/>
      <c r="K52" s="39">
        <v>614711</v>
      </c>
      <c r="L52" s="41"/>
      <c r="M52" s="39">
        <v>625069.15756000008</v>
      </c>
      <c r="N52" s="41"/>
    </row>
    <row r="53" spans="2:15" ht="15" x14ac:dyDescent="0.2">
      <c r="B53" s="33"/>
      <c r="C53" s="45"/>
      <c r="D53" s="45"/>
      <c r="E53" s="44"/>
      <c r="F53" s="45"/>
      <c r="G53" s="44"/>
      <c r="H53" s="45"/>
      <c r="I53" s="44"/>
      <c r="J53" s="45"/>
      <c r="K53" s="44"/>
      <c r="L53" s="45"/>
      <c r="M53" s="44"/>
      <c r="N53" s="45"/>
    </row>
    <row r="54" spans="2:15" ht="15" x14ac:dyDescent="0.2">
      <c r="B54" s="33" t="s">
        <v>145</v>
      </c>
      <c r="C54" s="44">
        <v>10193710</v>
      </c>
      <c r="D54" s="44"/>
      <c r="E54" s="44">
        <f>+E50+E52</f>
        <v>10831701</v>
      </c>
      <c r="F54" s="44"/>
      <c r="G54" s="44">
        <f>+G50+G52</f>
        <v>11162514</v>
      </c>
      <c r="H54" s="44"/>
      <c r="I54" s="44">
        <f>+I50+I52</f>
        <v>12232133.440882711</v>
      </c>
      <c r="J54" s="44"/>
      <c r="K54" s="44">
        <f>+K50+K52</f>
        <v>13275941</v>
      </c>
      <c r="L54" s="44"/>
      <c r="M54" s="44">
        <f>+M50+M52</f>
        <v>14096198.891371634</v>
      </c>
      <c r="N54" s="44"/>
      <c r="O54" s="50">
        <f>M54-K54</f>
        <v>820257.89137163386</v>
      </c>
    </row>
    <row r="55" spans="2:15" ht="15" x14ac:dyDescent="0.2">
      <c r="B55" s="33"/>
      <c r="C55" s="45"/>
      <c r="D55" s="45"/>
      <c r="E55" s="44"/>
      <c r="F55" s="45"/>
      <c r="G55" s="44"/>
      <c r="H55" s="45"/>
      <c r="I55" s="44"/>
      <c r="J55" s="45"/>
      <c r="K55" s="44"/>
      <c r="L55" s="45"/>
      <c r="M55" s="44"/>
      <c r="N55" s="45"/>
    </row>
    <row r="56" spans="2:15" ht="16.5" x14ac:dyDescent="0.2">
      <c r="B56" s="53" t="s">
        <v>146</v>
      </c>
      <c r="C56" s="54"/>
      <c r="D56" s="54"/>
      <c r="E56" s="39">
        <v>105647</v>
      </c>
      <c r="F56" s="54"/>
      <c r="G56" s="39">
        <v>108813.38375000001</v>
      </c>
      <c r="H56" s="54"/>
      <c r="I56" s="39">
        <v>110446</v>
      </c>
      <c r="J56" s="54"/>
      <c r="K56" s="39">
        <v>111550</v>
      </c>
      <c r="L56" s="54"/>
      <c r="M56" s="39">
        <v>139652.42080851176</v>
      </c>
      <c r="N56" s="55"/>
    </row>
    <row r="57" spans="2:15" ht="15" x14ac:dyDescent="0.2">
      <c r="B57" s="33"/>
      <c r="C57" s="45"/>
      <c r="D57" s="45"/>
      <c r="E57" s="44"/>
      <c r="F57" s="45"/>
      <c r="G57" s="44"/>
      <c r="H57" s="45"/>
      <c r="I57" s="44"/>
      <c r="J57" s="45"/>
      <c r="K57" s="44"/>
      <c r="L57" s="45"/>
      <c r="M57" s="44"/>
      <c r="N57" s="45"/>
    </row>
    <row r="58" spans="2:15" ht="15" x14ac:dyDescent="0.2">
      <c r="B58" s="33" t="s">
        <v>147</v>
      </c>
      <c r="C58" s="44">
        <v>10193710</v>
      </c>
      <c r="D58" s="44"/>
      <c r="E58" s="44">
        <f>+E54+E56</f>
        <v>10937348</v>
      </c>
      <c r="F58" s="44"/>
      <c r="G58" s="44">
        <f>+G54+G56</f>
        <v>11271327.383749999</v>
      </c>
      <c r="H58" s="44"/>
      <c r="I58" s="44">
        <f>+I54+I56</f>
        <v>12342579.440882711</v>
      </c>
      <c r="J58" s="44"/>
      <c r="K58" s="44">
        <f>+K54+K56</f>
        <v>13387491</v>
      </c>
      <c r="L58" s="44"/>
      <c r="M58" s="44">
        <f>+M54+M56</f>
        <v>14235851.312180145</v>
      </c>
      <c r="N58" s="44"/>
    </row>
    <row r="59" spans="2:15" x14ac:dyDescent="0.2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7"/>
    </row>
    <row r="60" spans="2:15" ht="16.5" x14ac:dyDescent="0.2">
      <c r="B60" s="30" t="s">
        <v>148</v>
      </c>
      <c r="C60" s="56"/>
      <c r="D60" s="56"/>
      <c r="E60" s="56"/>
      <c r="F60" s="56"/>
      <c r="G60" s="56"/>
      <c r="H60" s="56"/>
      <c r="I60" s="56"/>
      <c r="J60" s="56"/>
      <c r="K60" s="56">
        <v>370968</v>
      </c>
      <c r="L60" s="56"/>
      <c r="M60" s="56">
        <v>70544.908929999991</v>
      </c>
      <c r="N60" s="57"/>
    </row>
    <row r="61" spans="2:15" ht="16.5" x14ac:dyDescent="0.2">
      <c r="B61" s="30" t="s">
        <v>149</v>
      </c>
      <c r="C61" s="56"/>
      <c r="D61" s="56"/>
      <c r="E61" s="56"/>
      <c r="F61" s="56"/>
      <c r="G61" s="56"/>
      <c r="H61" s="56"/>
      <c r="I61" s="56"/>
      <c r="J61" s="56"/>
      <c r="K61" s="56">
        <v>333851</v>
      </c>
      <c r="L61" s="56"/>
      <c r="M61" s="56">
        <v>727037.44268999994</v>
      </c>
      <c r="N61" s="57"/>
    </row>
    <row r="62" spans="2:15" x14ac:dyDescent="0.2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</row>
    <row r="63" spans="2:15" ht="15" x14ac:dyDescent="0.25">
      <c r="B63" s="33" t="s">
        <v>150</v>
      </c>
      <c r="C63" s="58">
        <v>10193710</v>
      </c>
      <c r="D63" s="58"/>
      <c r="E63" s="58">
        <f>+E58+E60+E61</f>
        <v>10937348</v>
      </c>
      <c r="F63" s="58"/>
      <c r="G63" s="58">
        <f>+G58+G60+G61</f>
        <v>11271327.383749999</v>
      </c>
      <c r="H63" s="58"/>
      <c r="I63" s="58">
        <f>+I58+I60+I61</f>
        <v>12342579.440882711</v>
      </c>
      <c r="J63" s="58"/>
      <c r="K63" s="58">
        <f>+K58+K60+K61</f>
        <v>14092310</v>
      </c>
      <c r="L63" s="58"/>
      <c r="M63" s="58">
        <f>+M58+M60+M61</f>
        <v>15033433.663800145</v>
      </c>
      <c r="N63" s="59"/>
    </row>
    <row r="64" spans="2:15" ht="15" thickBot="1" x14ac:dyDescent="0.25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</row>
    <row r="65" spans="2:14" ht="15" x14ac:dyDescent="0.25">
      <c r="B65" s="60" t="s">
        <v>151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2"/>
      <c r="N65" s="57"/>
    </row>
    <row r="66" spans="2:14" x14ac:dyDescent="0.2">
      <c r="B66" s="63" t="str">
        <f>B17</f>
        <v>Local Incentive Schemes (GMS, PMS)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64">
        <f>M17</f>
        <v>778946.59426999977</v>
      </c>
      <c r="N66" s="57"/>
    </row>
    <row r="67" spans="2:14" x14ac:dyDescent="0.2">
      <c r="B67" s="63" t="s">
        <v>152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64">
        <f>M25</f>
        <v>519995.69719823758</v>
      </c>
      <c r="N67" s="57"/>
    </row>
    <row r="68" spans="2:14" x14ac:dyDescent="0.2">
      <c r="B68" s="63" t="s">
        <v>153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64">
        <f>M31</f>
        <v>13138</v>
      </c>
      <c r="N68" s="57"/>
    </row>
    <row r="69" spans="2:14" x14ac:dyDescent="0.2">
      <c r="B69" s="63" t="s">
        <v>129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64">
        <f>M32</f>
        <v>134337.80051999999</v>
      </c>
      <c r="N69" s="57"/>
    </row>
    <row r="70" spans="2:14" x14ac:dyDescent="0.2">
      <c r="B70" s="63" t="s">
        <v>130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64">
        <f>M33</f>
        <v>195917.70378000004</v>
      </c>
      <c r="N70" s="57"/>
    </row>
    <row r="71" spans="2:14" x14ac:dyDescent="0.2">
      <c r="B71" s="63" t="s">
        <v>154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64">
        <v>28000</v>
      </c>
      <c r="N71" s="57"/>
    </row>
    <row r="72" spans="2:14" ht="15.75" thickBot="1" x14ac:dyDescent="0.3">
      <c r="B72" s="63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65">
        <f>SUM(M66:M71)</f>
        <v>1670335.7957682374</v>
      </c>
      <c r="N72" s="57"/>
    </row>
    <row r="73" spans="2:14" x14ac:dyDescent="0.2">
      <c r="B73" s="63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64"/>
      <c r="N73" s="57"/>
    </row>
    <row r="74" spans="2:14" s="67" customFormat="1" ht="15" hidden="1" x14ac:dyDescent="0.25">
      <c r="B74" s="66" t="s">
        <v>155</v>
      </c>
      <c r="M74" s="68">
        <f>SUM(M17,M25,M31:M33)</f>
        <v>1642335.7957682374</v>
      </c>
    </row>
    <row r="75" spans="2:14" s="67" customFormat="1" ht="15" hidden="1" x14ac:dyDescent="0.25">
      <c r="B75" s="63" t="s">
        <v>154</v>
      </c>
      <c r="M75" s="69">
        <v>28000</v>
      </c>
    </row>
    <row r="76" spans="2:14" s="67" customFormat="1" ht="15.75" hidden="1" thickBot="1" x14ac:dyDescent="0.3">
      <c r="B76" s="70" t="s">
        <v>156</v>
      </c>
      <c r="M76" s="71">
        <f>SUM(M74:M75)</f>
        <v>1670335.7957682374</v>
      </c>
    </row>
    <row r="77" spans="2:14" hidden="1" x14ac:dyDescent="0.2">
      <c r="B77" s="63"/>
      <c r="M77" s="72"/>
    </row>
    <row r="78" spans="2:14" ht="15" x14ac:dyDescent="0.2">
      <c r="B78" s="63"/>
      <c r="K78" s="73" t="s">
        <v>107</v>
      </c>
      <c r="M78" s="74" t="s">
        <v>107</v>
      </c>
    </row>
    <row r="79" spans="2:14" ht="15" x14ac:dyDescent="0.25">
      <c r="B79" s="70" t="s">
        <v>157</v>
      </c>
      <c r="M79" s="72"/>
    </row>
    <row r="80" spans="2:14" x14ac:dyDescent="0.2">
      <c r="B80" s="63" t="s">
        <v>117</v>
      </c>
      <c r="M80" s="64">
        <f>M17</f>
        <v>778946.59426999977</v>
      </c>
    </row>
    <row r="81" spans="2:13" x14ac:dyDescent="0.2">
      <c r="B81" s="75" t="s">
        <v>158</v>
      </c>
      <c r="M81" s="64"/>
    </row>
    <row r="82" spans="2:13" x14ac:dyDescent="0.2">
      <c r="B82" s="63" t="s">
        <v>159</v>
      </c>
      <c r="K82" s="76">
        <v>35744</v>
      </c>
      <c r="M82" s="72"/>
    </row>
    <row r="83" spans="2:13" x14ac:dyDescent="0.2">
      <c r="B83" s="63" t="s">
        <v>160</v>
      </c>
      <c r="K83" s="77">
        <v>8400</v>
      </c>
      <c r="M83" s="72"/>
    </row>
    <row r="84" spans="2:13" x14ac:dyDescent="0.2">
      <c r="B84" s="63" t="s">
        <v>161</v>
      </c>
      <c r="K84" s="78">
        <v>12000</v>
      </c>
      <c r="M84" s="72"/>
    </row>
    <row r="85" spans="2:13" x14ac:dyDescent="0.2">
      <c r="B85" s="63" t="s">
        <v>162</v>
      </c>
      <c r="K85" s="57">
        <v>24900</v>
      </c>
      <c r="M85" s="72"/>
    </row>
    <row r="86" spans="2:13" x14ac:dyDescent="0.2">
      <c r="B86" s="63" t="s">
        <v>163</v>
      </c>
      <c r="K86" s="78">
        <v>12000</v>
      </c>
      <c r="M86" s="72"/>
    </row>
    <row r="87" spans="2:13" x14ac:dyDescent="0.2">
      <c r="B87" s="63" t="s">
        <v>164</v>
      </c>
      <c r="K87" s="57">
        <v>2400</v>
      </c>
      <c r="M87" s="72"/>
    </row>
    <row r="88" spans="2:13" x14ac:dyDescent="0.2">
      <c r="B88" s="63" t="s">
        <v>165</v>
      </c>
      <c r="K88" s="79">
        <v>5000</v>
      </c>
      <c r="M88" s="72"/>
    </row>
    <row r="89" spans="2:13" x14ac:dyDescent="0.2">
      <c r="B89" s="63"/>
      <c r="M89" s="72"/>
    </row>
    <row r="90" spans="2:13" x14ac:dyDescent="0.2">
      <c r="B90" s="63"/>
      <c r="M90" s="64">
        <f>SUM(K82:K88)</f>
        <v>100444</v>
      </c>
    </row>
    <row r="91" spans="2:13" x14ac:dyDescent="0.2">
      <c r="B91" s="63"/>
      <c r="M91" s="64"/>
    </row>
    <row r="92" spans="2:13" x14ac:dyDescent="0.2">
      <c r="B92" s="80" t="s">
        <v>166</v>
      </c>
      <c r="M92" s="64"/>
    </row>
    <row r="93" spans="2:13" x14ac:dyDescent="0.2">
      <c r="B93" s="63" t="s">
        <v>167</v>
      </c>
      <c r="K93" s="57">
        <v>44000</v>
      </c>
      <c r="M93" s="64"/>
    </row>
    <row r="94" spans="2:13" x14ac:dyDescent="0.2">
      <c r="B94" s="63" t="s">
        <v>168</v>
      </c>
      <c r="K94" s="79">
        <v>43000</v>
      </c>
      <c r="M94" s="72"/>
    </row>
    <row r="95" spans="2:13" x14ac:dyDescent="0.2">
      <c r="B95" s="63"/>
      <c r="M95" s="64">
        <f>SUM(K93:K94)</f>
        <v>87000</v>
      </c>
    </row>
    <row r="96" spans="2:13" x14ac:dyDescent="0.2">
      <c r="B96" s="63" t="s">
        <v>169</v>
      </c>
      <c r="M96" s="64">
        <f>M71*(M95+M90+M80)/M72</f>
        <v>16199.698712147145</v>
      </c>
    </row>
    <row r="97" spans="2:15" ht="15.75" thickBot="1" x14ac:dyDescent="0.3">
      <c r="B97" s="70" t="s">
        <v>170</v>
      </c>
      <c r="M97" s="65">
        <f>SUM(M80:M96)</f>
        <v>982590.29298214696</v>
      </c>
    </row>
    <row r="98" spans="2:15" ht="15" thickBot="1" x14ac:dyDescent="0.25">
      <c r="B98" s="81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3"/>
    </row>
    <row r="99" spans="2:15" ht="15" thickBot="1" x14ac:dyDescent="0.25">
      <c r="M99" s="56"/>
    </row>
    <row r="100" spans="2:15" ht="15.75" thickBot="1" x14ac:dyDescent="0.3">
      <c r="B100" s="84" t="s">
        <v>171</v>
      </c>
      <c r="C100" s="85"/>
      <c r="D100" s="85"/>
      <c r="E100" s="85"/>
      <c r="F100" s="85"/>
      <c r="G100" s="85"/>
      <c r="H100" s="85"/>
      <c r="I100" s="85"/>
      <c r="J100" s="85"/>
      <c r="K100" s="61">
        <v>30400</v>
      </c>
      <c r="L100" s="61"/>
      <c r="M100" s="86">
        <f>M97/M72*K100*100/84</f>
        <v>21289.378275467127</v>
      </c>
    </row>
    <row r="101" spans="2:15" x14ac:dyDescent="0.2">
      <c r="B101" s="63"/>
      <c r="K101" s="57"/>
      <c r="L101" s="57"/>
      <c r="M101" s="64"/>
    </row>
    <row r="102" spans="2:15" ht="15" x14ac:dyDescent="0.25">
      <c r="B102" s="87" t="s">
        <v>172</v>
      </c>
      <c r="K102" s="57"/>
      <c r="L102" s="57"/>
      <c r="M102" s="64"/>
    </row>
    <row r="103" spans="2:15" x14ac:dyDescent="0.2">
      <c r="B103" s="63" t="s">
        <v>159</v>
      </c>
      <c r="K103" s="76">
        <f>K82</f>
        <v>35744</v>
      </c>
      <c r="L103" s="57"/>
      <c r="M103" s="88">
        <f>K103/$M$97*$M$100</f>
        <v>774.45049326588787</v>
      </c>
      <c r="O103" s="30">
        <f>M103/K103</f>
        <v>2.1666587210885404E-2</v>
      </c>
    </row>
    <row r="104" spans="2:15" x14ac:dyDescent="0.2">
      <c r="B104" s="63" t="s">
        <v>160</v>
      </c>
      <c r="K104" s="77">
        <f>K83</f>
        <v>8400</v>
      </c>
      <c r="L104" s="57"/>
      <c r="M104" s="89">
        <f t="shared" ref="M104:M105" si="6">K104/$M$97*$M$100</f>
        <v>181.99933257143738</v>
      </c>
      <c r="O104" s="30">
        <f>M104/K104</f>
        <v>2.16665872108854E-2</v>
      </c>
    </row>
    <row r="105" spans="2:15" x14ac:dyDescent="0.2">
      <c r="B105" s="63" t="s">
        <v>173</v>
      </c>
      <c r="K105" s="78">
        <f>SUM(K84,K86,K88,K94)</f>
        <v>72000</v>
      </c>
      <c r="L105" s="57"/>
      <c r="M105" s="90">
        <f t="shared" si="6"/>
        <v>1559.9942791837491</v>
      </c>
      <c r="O105" s="30">
        <f>M105/K105</f>
        <v>2.1666587210885404E-2</v>
      </c>
    </row>
    <row r="106" spans="2:15" ht="15.75" thickBot="1" x14ac:dyDescent="0.3">
      <c r="B106" s="70" t="s">
        <v>174</v>
      </c>
      <c r="C106" s="67"/>
      <c r="D106" s="67"/>
      <c r="E106" s="67"/>
      <c r="F106" s="67"/>
      <c r="G106" s="67"/>
      <c r="H106" s="67"/>
      <c r="I106" s="67"/>
      <c r="J106" s="67"/>
      <c r="K106" s="91">
        <f>SUM(K103:K105)</f>
        <v>116144</v>
      </c>
      <c r="L106" s="57"/>
      <c r="M106" s="65">
        <f>SUM(M103:M105)</f>
        <v>2516.4441050210744</v>
      </c>
    </row>
    <row r="107" spans="2:15" x14ac:dyDescent="0.2">
      <c r="B107" s="63"/>
      <c r="K107" s="57"/>
      <c r="L107" s="57"/>
      <c r="M107" s="64"/>
    </row>
    <row r="108" spans="2:15" x14ac:dyDescent="0.2">
      <c r="B108" s="63" t="s">
        <v>175</v>
      </c>
      <c r="K108" s="57">
        <f>SUM(K85,K87,K93)</f>
        <v>71300</v>
      </c>
      <c r="L108" s="57"/>
      <c r="M108" s="64">
        <f t="shared" ref="M108" si="7">K108/$M$97*$M$100</f>
        <v>1544.8276681361292</v>
      </c>
    </row>
    <row r="109" spans="2:15" x14ac:dyDescent="0.2">
      <c r="B109" s="63"/>
      <c r="K109" s="57"/>
      <c r="L109" s="57"/>
      <c r="M109" s="64"/>
    </row>
    <row r="110" spans="2:15" s="67" customFormat="1" ht="15.75" thickBot="1" x14ac:dyDescent="0.3">
      <c r="B110" s="70" t="s">
        <v>176</v>
      </c>
      <c r="K110" s="91">
        <f>SUM(K108:K109,K106)</f>
        <v>187444</v>
      </c>
      <c r="L110" s="59"/>
      <c r="M110" s="65">
        <f>SUM(M108:M109,M106)</f>
        <v>4061.2717731572038</v>
      </c>
    </row>
    <row r="111" spans="2:15" x14ac:dyDescent="0.2">
      <c r="B111" s="63"/>
      <c r="M111" s="72"/>
    </row>
    <row r="112" spans="2:15" x14ac:dyDescent="0.2">
      <c r="B112" s="63" t="s">
        <v>177</v>
      </c>
      <c r="M112" s="92">
        <f>M100-M110</f>
        <v>17228.106502309922</v>
      </c>
    </row>
    <row r="113" spans="2:13" x14ac:dyDescent="0.2">
      <c r="B113" s="63" t="s">
        <v>178</v>
      </c>
      <c r="M113" s="92">
        <v>11000</v>
      </c>
    </row>
    <row r="114" spans="2:13" x14ac:dyDescent="0.2">
      <c r="B114" s="63"/>
      <c r="M114" s="92"/>
    </row>
    <row r="115" spans="2:13" s="67" customFormat="1" ht="15.75" thickBot="1" x14ac:dyDescent="0.3">
      <c r="B115" s="70" t="s">
        <v>179</v>
      </c>
      <c r="M115" s="71">
        <f>SUM(M112:M114)</f>
        <v>28228.106502309922</v>
      </c>
    </row>
    <row r="116" spans="2:13" ht="15" thickBot="1" x14ac:dyDescent="0.25">
      <c r="B116" s="81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93"/>
    </row>
  </sheetData>
  <mergeCells count="1">
    <mergeCell ref="E3:M3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2A0A948A1DF4590B532C1823DE513" ma:contentTypeVersion="23" ma:contentTypeDescription="Create a new document." ma:contentTypeScope="" ma:versionID="4d8fe0f25c5ab75ec598814805bb401f">
  <xsd:schema xmlns:xsd="http://www.w3.org/2001/XMLSchema" xmlns:xs="http://www.w3.org/2001/XMLSchema" xmlns:p="http://schemas.microsoft.com/office/2006/metadata/properties" xmlns:ns2="95109afe-48bb-45fc-924c-91843d29e86c" xmlns:ns3="bbb1cdd1-cf5a-48b9-b14b-3d868fa48288" targetNamespace="http://schemas.microsoft.com/office/2006/metadata/properties" ma:root="true" ma:fieldsID="9f3013bad9b67c72f3c4013025518613" ns2:_="" ns3:_="">
    <xsd:import namespace="95109afe-48bb-45fc-924c-91843d29e86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WorkingLead" minOccurs="0"/>
                <xsd:element ref="ns2:AnalysisandInsightforFinance" minOccurs="0"/>
                <xsd:element ref="ns2:Review_x0020_Dat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09afe-48bb-45fc-924c-91843d29e86c" elementFormDefault="qualified">
    <xsd:import namespace="http://schemas.microsoft.com/office/2006/documentManagement/types"/>
    <xsd:import namespace="http://schemas.microsoft.com/office/infopath/2007/PartnerControls"/>
    <xsd:element name="WorkingLead" ma:index="5" nillable="true" ma:displayName="Working Lead" ma:description="&#10;" ma:list="UserInfo" ma:SearchPeopleOnly="false" ma:SharePointGroup="0" ma:internalName="WorkingLea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6" nillable="true" ma:displayName="AnalysisandInsightforFinance" ma:list="UserInfo" ma:SharePointGroup="0" ma:internalName="AnalysisandInsightforFinanc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21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5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bbb1cdd1-cf5a-48b9-b14b-3d868fa48288" xsi:nil="true"/>
    <lcf76f155ced4ddcb4097134ff3c332f xmlns="95109afe-48bb-45fc-924c-91843d29e86c">
      <Terms xmlns="http://schemas.microsoft.com/office/infopath/2007/PartnerControls"/>
    </lcf76f155ced4ddcb4097134ff3c332f>
    <AnalysisandInsightforFinance xmlns="95109afe-48bb-45fc-924c-91843d29e86c">
      <UserInfo>
        <DisplayName/>
        <AccountId xsi:nil="true"/>
        <AccountType/>
      </UserInfo>
    </AnalysisandInsightforFinance>
    <WorkingLead xmlns="95109afe-48bb-45fc-924c-91843d29e86c">
      <UserInfo>
        <DisplayName/>
        <AccountId xsi:nil="true"/>
        <AccountType/>
      </UserInfo>
    </WorkingLead>
    <_ip_UnifiedCompliancePolicyProperties xmlns="bbb1cdd1-cf5a-48b9-b14b-3d868fa48288" xsi:nil="true"/>
    <Review_x0020_Date xmlns="95109afe-48bb-45fc-924c-91843d29e86c" xsi:nil="true"/>
    <TaxCatchAll xmlns="bbb1cdd1-cf5a-48b9-b14b-3d868fa48288" xsi:nil="true"/>
  </documentManagement>
</p:properties>
</file>

<file path=customXml/itemProps1.xml><?xml version="1.0" encoding="utf-8"?>
<ds:datastoreItem xmlns:ds="http://schemas.openxmlformats.org/officeDocument/2006/customXml" ds:itemID="{DB58B9AB-F54F-4BA7-BEEC-33574DBA0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56ADFC-2782-41A4-84D9-386FB4A19E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09afe-48bb-45fc-924c-91843d29e86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50FCD-FB6B-4D1F-A518-166F7373E8BD}">
  <ds:schemaRefs>
    <ds:schemaRef ds:uri="http://schemas.microsoft.com/office/2006/metadata/properties"/>
    <ds:schemaRef ds:uri="http://schemas.microsoft.com/office/infopath/2007/PartnerControls"/>
    <ds:schemaRef ds:uri="bbb1cdd1-cf5a-48b9-b14b-3d868fa48288"/>
    <ds:schemaRef ds:uri="95109afe-48bb-45fc-924c-91843d29e86c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Analysis</vt:lpstr>
      <vt:lpstr>Sheet1</vt:lpstr>
      <vt:lpstr>SDF uplifts 23-24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Ross</dc:creator>
  <cp:keywords/>
  <dc:description/>
  <cp:lastModifiedBy>HUSSAIN, Gulshan (NHS ENGLAND)</cp:lastModifiedBy>
  <cp:revision/>
  <dcterms:created xsi:type="dcterms:W3CDTF">2023-09-25T15:38:21Z</dcterms:created>
  <dcterms:modified xsi:type="dcterms:W3CDTF">2025-07-31T04:57:31Z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0x01010023F2A0A948A1DF4590B532C1823DE513</vt:lpwstr>
  </property>
  <property fmtid="{D5CDD505-2E9C-101B-9397-08002B2CF9AE}" pid="3" name="MediaServiceImageTags">
    <vt:lpwstr/>
  </property>
</Properties>
</file>