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sharepoint.com/sites/CommercialDirec/nhse/ept/ResLib/Guidance/Helen (temp)/NHC/20260413 For comms upload/"/>
    </mc:Choice>
  </mc:AlternateContent>
  <xr:revisionPtr revIDLastSave="0" documentId="8_{FB7CE10E-75CD-408E-B00D-456783041C4E}" xr6:coauthVersionLast="47" xr6:coauthVersionMax="47" xr10:uidLastSave="{00000000-0000-0000-0000-000000000000}"/>
  <bookViews>
    <workbookView xWindow="-103" yWindow="-103" windowWidth="19543" windowHeight="12377" tabRatio="993" xr2:uid="{9E67C12C-EDA2-4D82-AD7F-FD8CE25B9193}"/>
  </bookViews>
  <sheets>
    <sheet name="Title Page" sheetId="4" r:id="rId1"/>
    <sheet name="Assumptions" sheetId="17" r:id="rId2"/>
    <sheet name="Summary Sheet" sheetId="5" r:id="rId3"/>
    <sheet name="1a) Unintegrated - Core" sheetId="2" r:id="rId4"/>
    <sheet name="2a) Integrated - Core" sheetId="9" r:id="rId5"/>
    <sheet name="1b) Unintegrated - Core +" sheetId="6" r:id="rId6"/>
    <sheet name="2b) Integrated - Core +" sheetId="10" r:id="rId7"/>
    <sheet name="1c) Unintegrated - Core ++" sheetId="15" r:id="rId8"/>
    <sheet name="2c) Integrated - Core ++" sheetId="11" r:id="rId9"/>
    <sheet name="Standard rooms list" sheetId="14" state="hidden" r:id="rId10"/>
    <sheet name="WC provision - WIP" sheetId="16" state="hidden" r:id="rId11"/>
    <sheet name="BREEAM TRA03 - WIP" sheetId="18" state="hidden" r:id="rId12"/>
  </sheets>
  <externalReferences>
    <externalReference r:id="rId13"/>
  </externalReferences>
  <definedNames>
    <definedName name="____________New1" hidden="1">{#N/A,#N/A,FALSE,"Aging Summary";#N/A,#N/A,FALSE,"Ratio Analysis";#N/A,#N/A,FALSE,"Test 120 Day Accts";#N/A,#N/A,FALSE,"Tickmarks"}</definedName>
    <definedName name="___________New1" hidden="1">{#N/A,#N/A,FALSE,"Aging Summary";#N/A,#N/A,FALSE,"Ratio Analysis";#N/A,#N/A,FALSE,"Test 120 Day Accts";#N/A,#N/A,FALSE,"Tickmarks"}</definedName>
    <definedName name="__________New1" hidden="1">{#N/A,#N/A,FALSE,"Aging Summary";#N/A,#N/A,FALSE,"Ratio Analysis";#N/A,#N/A,FALSE,"Test 120 Day Accts";#N/A,#N/A,FALSE,"Tickmarks"}</definedName>
    <definedName name="_________New1" hidden="1">{#N/A,#N/A,FALSE,"Aging Summary";#N/A,#N/A,FALSE,"Ratio Analysis";#N/A,#N/A,FALSE,"Test 120 Day Accts";#N/A,#N/A,FALSE,"Tickmarks"}</definedName>
    <definedName name="________New1" hidden="1">{#N/A,#N/A,FALSE,"Aging Summary";#N/A,#N/A,FALSE,"Ratio Analysis";#N/A,#N/A,FALSE,"Test 120 Day Accts";#N/A,#N/A,FALSE,"Tickmarks"}</definedName>
    <definedName name="_______New1" hidden="1">{#N/A,#N/A,FALSE,"Aging Summary";#N/A,#N/A,FALSE,"Ratio Analysis";#N/A,#N/A,FALSE,"Test 120 Day Accts";#N/A,#N/A,FALSE,"Tickmarks"}</definedName>
    <definedName name="______New1" hidden="1">{#N/A,#N/A,FALSE,"Aging Summary";#N/A,#N/A,FALSE,"Ratio Analysis";#N/A,#N/A,FALSE,"Test 120 Day Accts";#N/A,#N/A,FALSE,"Tickmarks"}</definedName>
    <definedName name="_____New1" hidden="1">{#N/A,#N/A,FALSE,"Aging Summary";#N/A,#N/A,FALSE,"Ratio Analysis";#N/A,#N/A,FALSE,"Test 120 Day Accts";#N/A,#N/A,FALSE,"Tickmarks"}</definedName>
    <definedName name="____New1" hidden="1">{#N/A,#N/A,FALSE,"Aging Summary";#N/A,#N/A,FALSE,"Ratio Analysis";#N/A,#N/A,FALSE,"Test 120 Day Accts";#N/A,#N/A,FALSE,"Tickmarks"}</definedName>
    <definedName name="___New1" hidden="1">{#N/A,#N/A,FALSE,"Aging Summary";#N/A,#N/A,FALSE,"Ratio Analysis";#N/A,#N/A,FALSE,"Test 120 Day Accts";#N/A,#N/A,FALSE,"Tickmarks"}</definedName>
    <definedName name="__New1" hidden="1">{#N/A,#N/A,FALSE,"Aging Summary";#N/A,#N/A,FALSE,"Ratio Analysis";#N/A,#N/A,FALSE,"Test 120 Day Accts";#N/A,#N/A,FALSE,"Tickmarks"}</definedName>
    <definedName name="_1__123Graph_ACHART_12" hidden="1">#REF!</definedName>
    <definedName name="_10__123Graph_ACHART_18" hidden="1">#REF!</definedName>
    <definedName name="_10__123Graph_BCHART_16" hidden="1">#REF!</definedName>
    <definedName name="_11__123Graph_BCHART_17" hidden="1">#REF!</definedName>
    <definedName name="_12__123Graph_ACHART_19" hidden="1">#REF!</definedName>
    <definedName name="_12__123Graph_BCHART_22" hidden="1">#REF!</definedName>
    <definedName name="_13__123Graph_CCHART_15" hidden="1">#REF!</definedName>
    <definedName name="_14__123Graph_ACHART_21" hidden="1">#REF!</definedName>
    <definedName name="_14__123Graph_CCHART_16" hidden="1">#REF!</definedName>
    <definedName name="_15__123Graph_CCHART_17" hidden="1">#REF!</definedName>
    <definedName name="_16__123Graph_ASEG_PIE" hidden="1">#REF!</definedName>
    <definedName name="_16__123Graph_CCHART_22" hidden="1">#REF!</definedName>
    <definedName name="_17__123Graph_CSEG_PIE" hidden="1">#REF!</definedName>
    <definedName name="_18__123Graph_BCHART_15" hidden="1">#REF!</definedName>
    <definedName name="_18__123Graph_DCHART_15" hidden="1">#REF!</definedName>
    <definedName name="_19__123Graph_DCHART_16" hidden="1">#REF!</definedName>
    <definedName name="_2__123Graph_ACHART_12" hidden="1">#REF!</definedName>
    <definedName name="_2__123Graph_ACHART_15" hidden="1">#REF!</definedName>
    <definedName name="_20__123Graph_BCHART_16" hidden="1">#REF!</definedName>
    <definedName name="_20__123Graph_DCHART_17" hidden="1">#REF!</definedName>
    <definedName name="_21__123Graph_DCHART_22" hidden="1">#REF!</definedName>
    <definedName name="_22__123Graph_BCHART_17" hidden="1">#REF!</definedName>
    <definedName name="_22__123Graph_ECHART_15" hidden="1">#REF!</definedName>
    <definedName name="_23__123Graph_ECHART_16" hidden="1">#REF!</definedName>
    <definedName name="_24__123Graph_BCHART_22" hidden="1">#REF!</definedName>
    <definedName name="_24__123Graph_ECHART_17" hidden="1">#REF!</definedName>
    <definedName name="_25__123Graph_ECHART_22" hidden="1">#REF!</definedName>
    <definedName name="_26__123Graph_CCHART_15" hidden="1">#REF!</definedName>
    <definedName name="_26__123Graph_FCHART_15" hidden="1">#REF!</definedName>
    <definedName name="_27__123Graph_FCHART_16" hidden="1">#REF!</definedName>
    <definedName name="_28__123Graph_CCHART_16" hidden="1">#REF!</definedName>
    <definedName name="_28__123Graph_FCHART_17" hidden="1">#REF!</definedName>
    <definedName name="_29__123Graph_FCHART_22" hidden="1">#REF!</definedName>
    <definedName name="_3__123Graph_ACHART_16" hidden="1">#REF!</definedName>
    <definedName name="_30__123Graph_CCHART_17" hidden="1">#REF!</definedName>
    <definedName name="_30__123Graph_XCHART_15" hidden="1">#REF!</definedName>
    <definedName name="_31__123Graph_XCHART_16" hidden="1">#REF!</definedName>
    <definedName name="_32__123Graph_CCHART_22" hidden="1">#REF!</definedName>
    <definedName name="_32__123Graph_XCHART_17" hidden="1">#REF!</definedName>
    <definedName name="_33__123Graph_XCHART_18" hidden="1">#REF!</definedName>
    <definedName name="_34__123Graph_CSEG_PIE" hidden="1">#REF!</definedName>
    <definedName name="_34__123Graph_XCHART_19" hidden="1">#REF!</definedName>
    <definedName name="_35__123Graph_XCHART_22" hidden="1">#REF!</definedName>
    <definedName name="_36__123Graph_DCHART_15" hidden="1">#REF!</definedName>
    <definedName name="_36__123Graph_XSEG_PIE" hidden="1">#REF!</definedName>
    <definedName name="_38__123Graph_DCHART_16" hidden="1">#REF!</definedName>
    <definedName name="_4__123Graph_ACHART_15" hidden="1">#REF!</definedName>
    <definedName name="_4__123Graph_ACHART_17" hidden="1">#REF!</definedName>
    <definedName name="_40__123Graph_DCHART_17" hidden="1">#REF!</definedName>
    <definedName name="_42__123Graph_DCHART_22" hidden="1">#REF!</definedName>
    <definedName name="_44__123Graph_ECHART_15" hidden="1">#REF!</definedName>
    <definedName name="_46__123Graph_ECHART_16" hidden="1">#REF!</definedName>
    <definedName name="_48__123Graph_ECHART_17" hidden="1">#REF!</definedName>
    <definedName name="_5__123Graph_ACHART_18" hidden="1">#REF!</definedName>
    <definedName name="_50__123Graph_ECHART_22" hidden="1">#REF!</definedName>
    <definedName name="_52__123Graph_FCHART_15" hidden="1">#REF!</definedName>
    <definedName name="_54__123Graph_FCHART_16" hidden="1">#REF!</definedName>
    <definedName name="_56__123Graph_FCHART_17" hidden="1">#REF!</definedName>
    <definedName name="_58__123Graph_FCHART_22" hidden="1">#REF!</definedName>
    <definedName name="_6__123Graph_ACHART_16" hidden="1">#REF!</definedName>
    <definedName name="_6__123Graph_ACHART_19" hidden="1">#REF!</definedName>
    <definedName name="_60__123Graph_XCHART_15" hidden="1">#REF!</definedName>
    <definedName name="_62__123Graph_XCHART_16" hidden="1">#REF!</definedName>
    <definedName name="_64__123Graph_XCHART_17" hidden="1">#REF!</definedName>
    <definedName name="_66__123Graph_XCHART_18" hidden="1">#REF!</definedName>
    <definedName name="_68__123Graph_XCHART_19" hidden="1">#REF!</definedName>
    <definedName name="_7__123Graph_ACHART_21" hidden="1">#REF!</definedName>
    <definedName name="_70__123Graph_XCHART_22" hidden="1">#REF!</definedName>
    <definedName name="_72__123Graph_XSEG_PIE" hidden="1">#REF!</definedName>
    <definedName name="_8__123Graph_ACHART_17" hidden="1">#REF!</definedName>
    <definedName name="_8__123Graph_ASEG_PIE" hidden="1">#REF!</definedName>
    <definedName name="_9__123Graph_BCHART_15"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Key1" hidden="1">#REF!</definedName>
    <definedName name="_New1" hidden="1">{#N/A,#N/A,FALSE,"Aging Summary";#N/A,#N/A,FALSE,"Ratio Analysis";#N/A,#N/A,FALSE,"Test 120 Day Accts";#N/A,#N/A,FALSE,"Tickmarks"}</definedName>
    <definedName name="_Order1" hidden="1">255</definedName>
    <definedName name="_Sort" hidden="1">#REF!</definedName>
    <definedName name="_Table1_In1" hidden="1">#REF!</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 hidden="1">{#N/A,#N/A,FALSE,"Aging Summary";#N/A,#N/A,FALSE,"Ratio Analysis";#N/A,#N/A,FALSE,"Test 120 Day Accts";#N/A,#N/A,FALSE,"Tickmarks"}</definedName>
    <definedName name="AccessDatabase" hidden="1">"C:\AA-MEDIUM PROJECTS\Khaleej Times - GO 14017\Submittals Status.mdb"</definedName>
    <definedName name="AS2DocOpenMode" hidden="1">"AS2DocumentEdit"</definedName>
    <definedName name="b" hidden="1">{#N/A,#N/A,FALSE,"Aging Summary";#N/A,#N/A,FALSE,"Ratio Analysis";#N/A,#N/A,FALSE,"Test 120 Day Accts";#N/A,#N/A,FALSE,"Tickmarks"}</definedName>
    <definedName name="Balust" hidden="1">{#N/A,#N/A,FALSE,"Aging Summary";#N/A,#N/A,FALSE,"Ratio Analysis";#N/A,#N/A,FALSE,"Test 120 Day Accts";#N/A,#N/A,FALSE,"Tickmarks"}</definedName>
    <definedName name="Bay_Ambulance_Clean">'[1]Standard Room List'!#REF!</definedName>
    <definedName name="Bay_Ambulance_Park">'[1]Standard Room List'!#REF!</definedName>
    <definedName name="Bay_BloodBank">#REF!</definedName>
    <definedName name="Bay_Endoscopy">#REF!</definedName>
    <definedName name="Bay_Equipment">#REF!</definedName>
    <definedName name="Bay_Linen">#REF!</definedName>
    <definedName name="Bay_MobileImaging">#REF!</definedName>
    <definedName name="Bay_Resus">#REF!</definedName>
    <definedName name="Bay_Resustroll">'[1]Standard Room List'!$D$316</definedName>
    <definedName name="bbbb" hidden="1">{#N/A,#N/A,FALSE,"Aging Summary";#N/A,#N/A,FALSE,"Ratio Analysis";#N/A,#N/A,FALSE,"Test 120 Day Accts";#N/A,#N/A,FALSE,"Tickmarks"}</definedName>
    <definedName name="BMGHIndex" hidden="1">"O"</definedName>
    <definedName name="Cath_Lab">#REF!</definedName>
    <definedName name="cc" hidden="1">{#N/A,#N/A,FALSE,"Aging Summary";#N/A,#N/A,FALSE,"Ratio Analysis";#N/A,#N/A,FALSE,"Test 120 Day Accts";#N/A,#N/A,FALSE,"Tickmarks"}</definedName>
    <definedName name="ccc" hidden="1">{#N/A,#N/A,FALSE,"Aging Summary";#N/A,#N/A,FALSE,"Ratio Analysis";#N/A,#N/A,FALSE,"Test 120 Day Accts";#N/A,#N/A,FALSE,"Tickmarks"}</definedName>
    <definedName name="Change_ambulant">#REF!</definedName>
    <definedName name="Clean_Supply">#REF!</definedName>
    <definedName name="Cleaners_Room">#REF!</definedName>
    <definedName name="Consult_Exam">#REF!</definedName>
    <definedName name="Control_Room">#REF!</definedName>
    <definedName name="Data2">#REF!</definedName>
    <definedName name="Datacollection" hidden="1">{#N/A,#N/A,FALSE,"Aging Summary";#N/A,#N/A,FALSE,"Ratio Analysis";#N/A,#N/A,FALSE,"Test 120 Day Accts";#N/A,#N/A,FALSE,"Tickmarks"}</definedName>
    <definedName name="ddd" hidden="1">{#N/A,#N/A,FALSE,"Aging Summary";#N/A,#N/A,FALSE,"Ratio Analysis";#N/A,#N/A,FALSE,"Test 120 Day Accts";#N/A,#N/A,FALSE,"Tickmarks"}</definedName>
    <definedName name="ddddd" hidden="1">{"Legal - Summary",#N/A,TRUE,"Casino Summary";"Legal - Tables 2002",#N/A,TRUE,"Tables 2002";"Legal - Cas Mkt Summ",#N/A,TRUE,"Casino Mkt Summary";"Legal - Hard Count",#N/A,TRUE,"Hard Ct.";"Legal - Slots",#N/A,TRUE,"Slots";"Legal - Slot Mkt",#N/A,TRUE,"Slot Marketing";"Legal - Soft Count",#N/A,TRUE,"Soft Ct.";"Legal - Race &amp; Sports",#N/A,TRUE,"R &amp; S";"Legal - Cas Admin Summ",#N/A,TRUE,"Cas Adm Summ";"Legal - Credit",#N/A,TRUE,"Credit";"Legal - Cage",#N/A,TRUE,"Cage";"Legal - Coll",#N/A,TRUE,"Collections";"Legal - Cas Admin",#N/A,TRUE,"Cas Adm";"Legal - Surv",#N/A,TRUE,"Surveill"}</definedName>
    <definedName name="Dirty_Utility">#REF!</definedName>
    <definedName name="Endo_Procedure">#REF!</definedName>
    <definedName name="Ensuite_large">#REF!</definedName>
    <definedName name="Exit_bay">#REF!</definedName>
    <definedName name="Findit" hidden="1">{#N/A,#N/A,FALSE,"Aging Summary";#N/A,#N/A,FALSE,"Ratio Analysis";#N/A,#N/A,FALSE,"Test 120 Day Accts";#N/A,#N/A,FALSE,"Tickmarks"}</definedName>
    <definedName name="Hold_disposal">#REF!</definedName>
    <definedName name="Holding_bay">#REF!</definedName>
    <definedName name="HTML_CodePage" hidden="1">9</definedName>
    <definedName name="HTML_Control" hidden="1">{"'Break down'!$A$4"}</definedName>
    <definedName name="HTML_Description" hidden="1">""</definedName>
    <definedName name="HTML_Email" hidden="1">""</definedName>
    <definedName name="HTML_Header" hidden="1">"Break down"</definedName>
    <definedName name="HTML_LastUpdate" hidden="1">"6/7/98"</definedName>
    <definedName name="HTML_LineAfter" hidden="1">FALSE</definedName>
    <definedName name="HTML_LineBefore" hidden="1">FALSE</definedName>
    <definedName name="HTML_Name" hidden="1">"PAUL MATHEW"</definedName>
    <definedName name="HTML_OBDlg2" hidden="1">TRUE</definedName>
    <definedName name="HTML_OBDlg4" hidden="1">TRUE</definedName>
    <definedName name="HTML_OS" hidden="1">0</definedName>
    <definedName name="HTML_PathFile" hidden="1">"C:\WINDOWS\MSAPPS\MyHTML.htm"</definedName>
    <definedName name="HTML_Title" hidden="1">"Break_down"</definedName>
    <definedName name="Imaging_Control_Sngl">'[1]Standard Room List'!$D$113</definedName>
    <definedName name="Imaging_MRI_Rm">'[1]Standard Room List'!$D$128</definedName>
    <definedName name="Imaging_Technical_Small">'[1]Standard Room List'!$D$137</definedName>
    <definedName name="Imaging_Viewing">#REF!</definedName>
    <definedName name="Intervention_Room">#REF!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41514.4074768519</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39224.667337963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_Suite">#REF!</definedName>
    <definedName name="jhkjh" hidden="1">{#N/A,#N/A,FALSE,"Aging Summary";#N/A,#N/A,FALSE,"Ratio Analysis";#N/A,#N/A,FALSE,"Test 120 Day Accts";#N/A,#N/A,FALSE,"Tickmarks"}</definedName>
    <definedName name="jkljljl" hidden="1">{"Legal - Summary",#N/A,TRUE,"Casino Summary";"Legal - Tables 2002",#N/A,TRUE,"Tables 2002";"Legal - Cas Mkt Summ",#N/A,TRUE,"Casino Mkt Summary";"Legal - Hard Count",#N/A,TRUE,"Hard Ct.";"Legal - Slots",#N/A,TRUE,"Slots";"Legal - Slot Mkt",#N/A,TRUE,"Slot Marketing";"Legal - Soft Count",#N/A,TRUE,"Soft Ct.";"Legal - Race &amp; Sports",#N/A,TRUE,"R &amp; S";"Legal - Cas Admin Summ",#N/A,TRUE,"Cas Adm Summ";"Legal - Credit",#N/A,TRUE,"Credit";"Legal - Cage",#N/A,TRUE,"Cage";"Legal - Coll",#N/A,TRUE,"Collections";"Legal - Cas Admin",#N/A,TRUE,"Cas Adm";"Legal - Surv",#N/A,TRUE,"Surveill"}</definedName>
    <definedName name="kk" hidden="1">{#N/A,#N/A,FALSE,"Aging Summary";#N/A,#N/A,FALSE,"Ratio Analysis";#N/A,#N/A,FALSE,"Test 120 Day Accts";#N/A,#N/A,FALSE,"Tickmarks"}</definedName>
    <definedName name="kkk" hidden="1">{"Legal - Summary",#N/A,TRUE,"Casino Summary";"Legal - Tables 2002",#N/A,TRUE,"Tables 2002";"Legal - Cas Mkt Summ",#N/A,TRUE,"Casino Mkt Summary";"Legal - Hard Count",#N/A,TRUE,"Hard Ct.";"Legal - Slots",#N/A,TRUE,"Slots";"Legal - Slot Mkt",#N/A,TRUE,"Slot Marketing";"Legal - Soft Count",#N/A,TRUE,"Soft Ct.";"Legal - Race &amp; Sports",#N/A,TRUE,"R &amp; S";"Legal - Cas Admin Summ",#N/A,TRUE,"Cas Adm Summ";"Legal - Credit",#N/A,TRUE,"Credit";"Legal - Cage",#N/A,TRUE,"Cage";"Legal - Coll",#N/A,TRUE,"Collections";"Legal - Cas Admin",#N/A,TRUE,"Cas Adm";"Legal - Surv",#N/A,TRUE,"Surveill"}</definedName>
    <definedName name="kkkk" hidden="1">{"Letter - Cas Sum",#N/A,TRUE,"Casino Summary";"Letter - Table 2002",#N/A,TRUE,"Tables 2002";"Letter - Cas Mkt",#N/A,TRUE,"Casino Mkt Summary";"Letter - Slots",#N/A,TRUE,"Slots";"Letter - Slot Mkt",#N/A,TRUE,"Slot Marketing";"Letter - Soft Count",#N/A,TRUE,"Soft Ct.";"Letter - Hard Count",#N/A,TRUE,"Hard Ct.";"Legal - R&amp;S",#N/A,TRUE,"R &amp; S";"Letter - Cas Admin",#N/A,TRUE,"Cas Adm Summ";"Letter - Credit",#N/A,TRUE,"Credit";"Letter - Cage",#N/A,TRUE,"Cage";"Letter - Coll",#N/A,TRUE,"Collections";"Letter - Cas Admin",#N/A,TRUE,"Cas Adm";"Letter - Surv",#N/A,TRUE,"Surveill"}</definedName>
    <definedName name="lkj" hidden="1">{#N/A,#N/A,FALSE,"Aging Summary";#N/A,#N/A,FALSE,"Ratio Analysis";#N/A,#N/A,FALSE,"Test 120 Day Accts";#N/A,#N/A,FALSE,"Tickmarks"}</definedName>
    <definedName name="lkk" hidden="1">{#N/A,#N/A,FALSE,"Aging Summary";#N/A,#N/A,FALSE,"Ratio Analysis";#N/A,#N/A,FALSE,"Test 120 Day Accts";#N/A,#N/A,FALSE,"Tickmarks"}</definedName>
    <definedName name="Lockers">#REF!</definedName>
    <definedName name="m" hidden="1">{#N/A,#N/A,FALSE,"Aging Summary";#N/A,#N/A,FALSE,"Ratio Analysis";#N/A,#N/A,FALSE,"Test 120 Day Accts";#N/A,#N/A,FALSE,"Tickmarks"}</definedName>
    <definedName name="Medicines_Prep">#REF!</definedName>
    <definedName name="mm" hidden="1">{#N/A,#N/A,FALSE,"Aging Summary";#N/A,#N/A,FALSE,"Ratio Analysis";#N/A,#N/A,FALSE,"Test 120 Day Accts";#N/A,#N/A,FALSE,"Tickmarks"}</definedName>
    <definedName name="mmm" hidden="1">{#N/A,#N/A,FALSE,"Aging Summary";#N/A,#N/A,FALSE,"Ratio Analysis";#N/A,#N/A,FALSE,"Test 120 Day Accts";#N/A,#N/A,FALSE,"Tickmarks"}</definedName>
    <definedName name="mmmm" hidden="1">{#N/A,#N/A,FALSE,"Aging Summary";#N/A,#N/A,FALSE,"Ratio Analysis";#N/A,#N/A,FALSE,"Test 120 Day Accts";#N/A,#N/A,FALSE,"Tickmarks"}</definedName>
    <definedName name="mmmmm" hidden="1">{#N/A,#N/A,FALSE,"Aging Summary";#N/A,#N/A,FALSE,"Ratio Analysis";#N/A,#N/A,FALSE,"Test 120 Day Accts";#N/A,#N/A,FALSE,"Tickmarks"}</definedName>
    <definedName name="mmmmmmm" hidden="1">{#N/A,#N/A,FALSE,"Aging Summary";#N/A,#N/A,FALSE,"Ratio Analysis";#N/A,#N/A,FALSE,"Test 120 Day Accts";#N/A,#N/A,FALSE,"Tickmarks"}</definedName>
    <definedName name="mmmmmmmm" hidden="1">{#N/A,#N/A,FALSE,"Aging Summary";#N/A,#N/A,FALSE,"Ratio Analysis";#N/A,#N/A,FALSE,"Test 120 Day Accts";#N/A,#N/A,FALSE,"Tickmarks"}</definedName>
    <definedName name="New" hidden="1">{#N/A,#N/A,FALSE,"Aging Summary";#N/A,#N/A,FALSE,"Ratio Analysis";#N/A,#N/A,FALSE,"Test 120 Day Accts";#N/A,#N/A,FALSE,"Tickmarks"}</definedName>
    <definedName name="OPD_Plaster">'[1]Standard Room List'!#REF!</definedName>
    <definedName name="Pantry">#REF!</definedName>
    <definedName name="Patient_Cabin">#REF!</definedName>
    <definedName name="Patient_CabinLarge">#REF!</definedName>
    <definedName name="Percent2" hidden="1">{#N/A,#N/A,FALSE,"Aging Summary";#N/A,#N/A,FALSE,"Ratio Analysis";#N/A,#N/A,FALSE,"Test 120 Day Accts";#N/A,#N/A,FALSE,"Tickmarks"}</definedName>
    <definedName name="Pneumatic_Tube">#REF!</definedName>
    <definedName name="POCT">#REF!</definedName>
    <definedName name="ppp" hidden="1">#REF!</definedName>
    <definedName name="Prep_Room">#REF!</definedName>
    <definedName name="qq" hidden="1">{#N/A,#N/A,FALSE,"Aging Summary";#N/A,#N/A,FALSE,"Ratio Analysis";#N/A,#N/A,FALSE,"Test 120 Day Accts";#N/A,#N/A,FALSE,"Tickmarks"}</definedName>
    <definedName name="Reception_2ppl">#REF!</definedName>
    <definedName name="Reporting_Roo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crub">#REF!</definedName>
    <definedName name="SCS_CE_Dual">'[1]Standard Room List'!$D$14</definedName>
    <definedName name="SCS_Cleaner_Cup">'[1]Standard Room List'!$D$12</definedName>
    <definedName name="SCS_Cleaner_Rm">'[1]Standard Room List'!$D$13</definedName>
    <definedName name="SCS_Cleansupply_Med">'[1]Standard Room List'!$D$9</definedName>
    <definedName name="SCS_Dirtyutil_Med">'[1]Standard Room List'!$D$18</definedName>
    <definedName name="SCS_Disphol_Med">'[1]Standard Room List'!$D$20</definedName>
    <definedName name="SCS_Interview">'[1]Standard Room List'!$D$26</definedName>
    <definedName name="SCS_MDT_15">'[1]Standard Room List'!$D$30</definedName>
    <definedName name="SCS_Treatment_Stand">'[1]Standard Room List'!$D$39</definedName>
    <definedName name="Self_CheckIn">#REF!</definedName>
    <definedName name="Seminar_30ppl">#REF!</definedName>
    <definedName name="Service_Room">#REF!</definedName>
    <definedName name="Shower_Staff">#REF!</definedName>
    <definedName name="SRS_Bay_Wheelstor">'[1]Standard Room List'!$D$43</definedName>
    <definedName name="SRS_Change_Accesspt">'[1]Standard Room List'!$D$44</definedName>
    <definedName name="SRS_Change_Ambpt">'[1]Standard Room List'!$D$45</definedName>
    <definedName name="SRS_Locker_4">'[1]Standard Room List'!$D$54</definedName>
    <definedName name="SRS_Pantry_Small">'[1]Standard Room List'!$D$60</definedName>
    <definedName name="SRS_Selfcheckin">'[1]Standard Room List'!$D$62</definedName>
    <definedName name="SRS_Staff_Shower">'[1]Standard Room List'!$D$69</definedName>
    <definedName name="SRS_Staffbase_pp">'[1]Standard Room List'!$D$65</definedName>
    <definedName name="SRS_Staffchange_pp">'[1]Standard Room List'!$D$67</definedName>
    <definedName name="SRS_Staffrestbev_pp">'[1]Standard Room List'!$D$68</definedName>
    <definedName name="SRS_Wait_Amb_pp">'[1]Standard Room List'!$D$75</definedName>
    <definedName name="SRS_Wait_Wheel_pp">'[1]Standard Room List'!$D$74</definedName>
    <definedName name="SRS_WC_Access">'[1]Standard Room List'!$D$76</definedName>
    <definedName name="SRS_WC_Amb">'[1]Standard Room List'!$D$77</definedName>
    <definedName name="SRS_WC_Shower_Assist">'[1]Standard Room List'!$D$81</definedName>
    <definedName name="Staff_Base2ppl">#REF!</definedName>
    <definedName name="Staff_ChangePP">#REF!</definedName>
    <definedName name="Staff_Office_1">'[1]Standard Room List'!$D$235</definedName>
    <definedName name="Staff_RoomPP">#REF!</definedName>
    <definedName name="Staff_Workstn_pp">'[1]Standard Room List'!$D$238</definedName>
    <definedName name="standardrooms">#REF!</definedName>
    <definedName name="Store_10">'[1]Standard Room List'!$D$329</definedName>
    <definedName name="Store_20">'[1]Standard Room List'!$D$331</definedName>
    <definedName name="Store_5">'[1]Standard Room List'!$D$334</definedName>
    <definedName name="Store_Large">#REF!</definedName>
    <definedName name="Store_Medium">#REF!</definedName>
    <definedName name="Store_Small">#REF!</definedName>
    <definedName name="temp" hidden="1">{"'Break down'!$A$4"}</definedName>
    <definedName name="test" hidden="1">{#N/A,#N/A,FALSE,"Aging Summary";#N/A,#N/A,FALSE,"Ratio Analysis";#N/A,#N/A,FALSE,"Test 120 Day Accts";#N/A,#N/A,FALSE,"Tickmarks"}</definedName>
    <definedName name="Theatre_Emergency">#REF!</definedName>
    <definedName name="Theatre_Hybrid">#REF!</definedName>
    <definedName name="Theatre_Obstetric">#REF!</definedName>
    <definedName name="Theatre_Standard">#REF!</definedName>
    <definedName name="Theatres_viewing">'[1]Standard Room List'!#REF!</definedName>
    <definedName name="treeList" hidden="1">"10000000000000000000000000000000000000000000000000000000000000000000000000000000000000000000000000000000000000000000000000000000000000000000000000000000000000000000000000000000000000000000000000000000"</definedName>
    <definedName name="v" hidden="1">{#N/A,#N/A,FALSE,"Aging Summary";#N/A,#N/A,FALSE,"Ratio Analysis";#N/A,#N/A,FALSE,"Test 120 Day Accts";#N/A,#N/A,FALSE,"Tickmarks"}</definedName>
    <definedName name="Wait_pp">#REF!</definedName>
    <definedName name="WC_Accessible">#REF!</definedName>
    <definedName name="WC_Ambulant">#REF!</definedName>
    <definedName name="WC_Shower_Ambulant">#REF!</definedName>
    <definedName name="WC_Shower_Assisted">#REF!</definedName>
    <definedName name="WC_Staff">#REF!</definedName>
    <definedName name="Workstation_pp">#REF!</definedName>
    <definedName name="wrn.Aging._.and._.Trend._.Analysis." hidden="1">{#N/A,#N/A,FALSE,"Aging Summary";#N/A,#N/A,FALSE,"Ratio Analysis";#N/A,#N/A,FALSE,"Test 120 Day Accts";#N/A,#N/A,FALSE,"Tickmarks"}</definedName>
    <definedName name="wrn.Legal." hidden="1">{"Legal - Summary",#N/A,TRUE,"Casino Summary";"Legal - Tables 2002",#N/A,TRUE,"Tables 2002";"Legal - Cas Mkt Summ",#N/A,TRUE,"Casino Mkt Summary";"Legal - Hard Count",#N/A,TRUE,"Hard Ct.";"Legal - Slots",#N/A,TRUE,"Slots";"Legal - Slot Mkt",#N/A,TRUE,"Slot Marketing";"Legal - Soft Count",#N/A,TRUE,"Soft Ct.";"Legal - Race &amp; Sports",#N/A,TRUE,"R &amp; S";"Legal - Cas Admin Summ",#N/A,TRUE,"Cas Adm Summ";"Legal - Credit",#N/A,TRUE,"Credit";"Legal - Cage",#N/A,TRUE,"Cage";"Legal - Coll",#N/A,TRUE,"Collections";"Legal - Cas Admin",#N/A,TRUE,"Cas Adm";"Legal - Surv",#N/A,TRUE,"Surveill"}</definedName>
    <definedName name="wrn.Letter." hidden="1">{"Letter - Cas Sum",#N/A,TRUE,"Casino Summary";"Letter - Table 2002",#N/A,TRUE,"Tables 2002";"Letter - Cas Mkt",#N/A,TRUE,"Casino Mkt Summary";"Letter - Slots",#N/A,TRUE,"Slots";"Letter - Slot Mkt",#N/A,TRUE,"Slot Marketing";"Letter - Soft Count",#N/A,TRUE,"Soft Ct.";"Letter - Hard Count",#N/A,TRUE,"Hard Ct.";"Legal - R&amp;S",#N/A,TRUE,"R &amp; S";"Letter - Cas Admin",#N/A,TRUE,"Cas Adm Summ";"Letter - Credit",#N/A,TRUE,"Credit";"Letter - Cage",#N/A,TRUE,"Cage";"Letter - Coll",#N/A,TRUE,"Collections";"Letter - Cas Admin",#N/A,TRUE,"Cas Adm";"Letter - Surv",#N/A,TRUE,"Surveill"}</definedName>
    <definedName name="wrn.offices." hidden="1">{"off p1",#N/A,TRUE,"Regions";"off p2",#N/A,TRUE,"Regions";"off p3",#N/A,TRUE,"Regions";"off p4",#N/A,TRUE,"Regions"}</definedName>
    <definedName name="wrn.print." hidden="1">{"page1",#N/A,FALSE,"Sheet1";"page2",#N/A,FALSE,"Sheet1"}</definedName>
    <definedName name="wrn.retail." hidden="1">{"retail page1",#N/A,FALSE,"Regions";"retail page2",#N/A,FALSE,"Regions";"retail page3",#N/A,FALSE,"Regions";"retail page4",#N/A,FALSE,"Regions"}</definedName>
    <definedName name="wrn.retail2." hidden="1">{"retail page1",#N/A,FALSE,"Regions";"retail page2",#N/A,FALSE,"Regions";"retail page3",#N/A,FALSE,"Regions";"retail page4",#N/A,FALSE,"Regions"}</definedName>
    <definedName name="wrn.ruth." hidden="1">{"retail p1",#N/A,FALSE,"Regions"}</definedName>
    <definedName name="wrn.ruth2." hidden="1">{"retail p1",#N/A,FALSE,"Regions"}</definedName>
    <definedName name="www"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11" l="1"/>
  <c r="H87" i="11"/>
  <c r="H86" i="11"/>
  <c r="H87" i="10" l="1"/>
  <c r="H86" i="10"/>
  <c r="H85" i="10"/>
  <c r="H74" i="9"/>
  <c r="H73" i="9"/>
  <c r="I57" i="5"/>
  <c r="I5" i="5"/>
  <c r="I28" i="5"/>
  <c r="H216" i="6" l="1"/>
  <c r="H214" i="6"/>
  <c r="H210" i="6"/>
  <c r="H209" i="6"/>
  <c r="H196" i="6"/>
  <c r="H184" i="6"/>
  <c r="H174" i="6"/>
  <c r="H163" i="6"/>
  <c r="H157" i="6"/>
  <c r="H148" i="6"/>
  <c r="H147" i="6"/>
  <c r="H132" i="6"/>
  <c r="H122" i="6"/>
  <c r="H118" i="6"/>
  <c r="H110" i="6"/>
  <c r="H102" i="6"/>
  <c r="H93" i="6"/>
  <c r="H86" i="6"/>
  <c r="H77" i="6"/>
  <c r="H76" i="6"/>
  <c r="H63" i="6"/>
  <c r="H58" i="6"/>
  <c r="H48" i="6"/>
  <c r="H39" i="6"/>
  <c r="H29" i="6"/>
  <c r="H25" i="6"/>
  <c r="F15" i="9"/>
  <c r="F19" i="2"/>
  <c r="H122" i="2"/>
  <c r="H118" i="2"/>
  <c r="H117" i="2"/>
  <c r="H103" i="2"/>
  <c r="H93" i="2"/>
  <c r="H89" i="2"/>
  <c r="H81" i="2"/>
  <c r="H73" i="2"/>
  <c r="H63" i="2"/>
  <c r="H50" i="2"/>
  <c r="H45" i="2"/>
  <c r="H35" i="2"/>
  <c r="H17" i="2"/>
  <c r="H44" i="11"/>
  <c r="H42" i="10"/>
  <c r="H37" i="9"/>
  <c r="G14" i="9"/>
  <c r="H14" i="9" s="1"/>
  <c r="G13" i="9"/>
  <c r="G216" i="15" l="1"/>
  <c r="H216" i="15" s="1"/>
  <c r="G215" i="15"/>
  <c r="H215" i="15" s="1"/>
  <c r="G214" i="15"/>
  <c r="H214" i="15" s="1"/>
  <c r="G213" i="15"/>
  <c r="G212" i="15"/>
  <c r="F212" i="15"/>
  <c r="F213" i="15" s="1"/>
  <c r="G211" i="15"/>
  <c r="H211" i="15" s="1"/>
  <c r="G210" i="15"/>
  <c r="H210" i="15" s="1"/>
  <c r="G208" i="15"/>
  <c r="F208" i="15"/>
  <c r="F209" i="15" s="1"/>
  <c r="H209" i="15" s="1"/>
  <c r="G207" i="15"/>
  <c r="H207" i="15" s="1"/>
  <c r="G206" i="15"/>
  <c r="H206" i="15" s="1"/>
  <c r="G205" i="15"/>
  <c r="H205" i="15" s="1"/>
  <c r="G203" i="15"/>
  <c r="H203" i="15" s="1"/>
  <c r="G202" i="15"/>
  <c r="H202" i="15" s="1"/>
  <c r="G201" i="15"/>
  <c r="H201" i="15" s="1"/>
  <c r="G200" i="15"/>
  <c r="H200" i="15" s="1"/>
  <c r="G199" i="15"/>
  <c r="H199" i="15" s="1"/>
  <c r="G198" i="15"/>
  <c r="H198" i="15" s="1"/>
  <c r="G197" i="15"/>
  <c r="H197" i="15" s="1"/>
  <c r="G196" i="15"/>
  <c r="H196" i="15" s="1"/>
  <c r="G195" i="15"/>
  <c r="H195" i="15" s="1"/>
  <c r="G194" i="15"/>
  <c r="H194" i="15" s="1"/>
  <c r="G193" i="15"/>
  <c r="H193" i="15" s="1"/>
  <c r="G191" i="15"/>
  <c r="H191" i="15" s="1"/>
  <c r="G190" i="15"/>
  <c r="H190" i="15" s="1"/>
  <c r="G189" i="15"/>
  <c r="H189" i="15" s="1"/>
  <c r="G188" i="15"/>
  <c r="H188" i="15" s="1"/>
  <c r="G187" i="15"/>
  <c r="H187" i="15" s="1"/>
  <c r="G186" i="15"/>
  <c r="H186" i="15" s="1"/>
  <c r="G185" i="15"/>
  <c r="H185" i="15" s="1"/>
  <c r="G184" i="15"/>
  <c r="H184" i="15" s="1"/>
  <c r="G183" i="15"/>
  <c r="H183" i="15" s="1"/>
  <c r="G181" i="15"/>
  <c r="H181" i="15" s="1"/>
  <c r="G180" i="15"/>
  <c r="H180" i="15" s="1"/>
  <c r="G179" i="15"/>
  <c r="H179" i="15" s="1"/>
  <c r="G178" i="15"/>
  <c r="H178" i="15" s="1"/>
  <c r="G177" i="15"/>
  <c r="H177" i="15" s="1"/>
  <c r="H176" i="15"/>
  <c r="G175" i="15"/>
  <c r="H175" i="15" s="1"/>
  <c r="G174" i="15"/>
  <c r="H174" i="15" s="1"/>
  <c r="G173" i="15"/>
  <c r="H173" i="15" s="1"/>
  <c r="G172" i="15"/>
  <c r="H172" i="15" s="1"/>
  <c r="G170" i="15"/>
  <c r="H170" i="15" s="1"/>
  <c r="G169" i="15"/>
  <c r="H169" i="15" s="1"/>
  <c r="G168" i="15"/>
  <c r="H168" i="15" s="1"/>
  <c r="G167" i="15"/>
  <c r="H167" i="15" s="1"/>
  <c r="G166" i="15"/>
  <c r="F166" i="15"/>
  <c r="G164" i="15"/>
  <c r="H164" i="15" s="1"/>
  <c r="G163" i="15"/>
  <c r="H163" i="15" s="1"/>
  <c r="G162" i="15"/>
  <c r="H162" i="15" s="1"/>
  <c r="G161" i="15"/>
  <c r="H161" i="15" s="1"/>
  <c r="G160" i="15"/>
  <c r="H160" i="15" s="1"/>
  <c r="G159" i="15"/>
  <c r="F159" i="15"/>
  <c r="H159" i="15" s="1"/>
  <c r="G158" i="15"/>
  <c r="H158" i="15" s="1"/>
  <c r="F150" i="15"/>
  <c r="F146" i="15"/>
  <c r="F77" i="15"/>
  <c r="F78" i="15" s="1"/>
  <c r="G115" i="15"/>
  <c r="H115" i="15" s="1"/>
  <c r="G114" i="15"/>
  <c r="H114" i="15" s="1"/>
  <c r="G113" i="15"/>
  <c r="H113" i="15" s="1"/>
  <c r="G112" i="15"/>
  <c r="H112" i="15" s="1"/>
  <c r="G111" i="15"/>
  <c r="H111" i="15" s="1"/>
  <c r="G110" i="15"/>
  <c r="H110" i="15" s="1"/>
  <c r="G109" i="15"/>
  <c r="H109" i="15" s="1"/>
  <c r="G107" i="15"/>
  <c r="H107" i="15" s="1"/>
  <c r="G106" i="15"/>
  <c r="H106" i="15" s="1"/>
  <c r="G105" i="15"/>
  <c r="H105" i="15" s="1"/>
  <c r="G104" i="15"/>
  <c r="H104" i="15" s="1"/>
  <c r="G103" i="15"/>
  <c r="H103" i="15" s="1"/>
  <c r="G102" i="15"/>
  <c r="H102" i="15" s="1"/>
  <c r="G101" i="15"/>
  <c r="H101" i="15" s="1"/>
  <c r="G99" i="15"/>
  <c r="H99" i="15" s="1"/>
  <c r="G98" i="15"/>
  <c r="H98" i="15" s="1"/>
  <c r="G97" i="15"/>
  <c r="H97" i="15" s="1"/>
  <c r="G96" i="15"/>
  <c r="H96" i="15" s="1"/>
  <c r="G95" i="15"/>
  <c r="H95" i="15" s="1"/>
  <c r="G94" i="15"/>
  <c r="H94" i="15" s="1"/>
  <c r="G93" i="15"/>
  <c r="H93" i="15" s="1"/>
  <c r="G92" i="15"/>
  <c r="H92" i="15" s="1"/>
  <c r="G90" i="15"/>
  <c r="H90" i="15" s="1"/>
  <c r="G89" i="15"/>
  <c r="H89" i="15" s="1"/>
  <c r="G88" i="15"/>
  <c r="H88" i="15" s="1"/>
  <c r="G87" i="15"/>
  <c r="H87" i="15" s="1"/>
  <c r="G86" i="15"/>
  <c r="G85" i="15"/>
  <c r="F85" i="15"/>
  <c r="G83" i="15"/>
  <c r="H83" i="15" s="1"/>
  <c r="G82" i="15"/>
  <c r="H82" i="15" s="1"/>
  <c r="G81" i="15"/>
  <c r="H81" i="15" s="1"/>
  <c r="G80" i="15"/>
  <c r="H80" i="15" s="1"/>
  <c r="G79" i="15"/>
  <c r="H79" i="15" s="1"/>
  <c r="G78" i="15"/>
  <c r="G77" i="15"/>
  <c r="G73" i="15"/>
  <c r="H73" i="15" s="1"/>
  <c r="G72" i="15"/>
  <c r="H72" i="15" s="1"/>
  <c r="G71" i="15"/>
  <c r="H71" i="15" s="1"/>
  <c r="G70" i="15"/>
  <c r="G69" i="15"/>
  <c r="F69" i="15"/>
  <c r="G68" i="15"/>
  <c r="H68" i="15" s="1"/>
  <c r="G67" i="15"/>
  <c r="H67" i="15" s="1"/>
  <c r="G65" i="15"/>
  <c r="F65" i="15"/>
  <c r="F66" i="15" s="1"/>
  <c r="H66" i="15" s="1"/>
  <c r="G64" i="15"/>
  <c r="H64" i="15" s="1"/>
  <c r="G63" i="15"/>
  <c r="H63" i="15" s="1"/>
  <c r="G62" i="15"/>
  <c r="H62" i="15" s="1"/>
  <c r="G60" i="15"/>
  <c r="H60" i="15" s="1"/>
  <c r="G59" i="15"/>
  <c r="H59" i="15" s="1"/>
  <c r="G58" i="15"/>
  <c r="H58" i="15" s="1"/>
  <c r="G57" i="15"/>
  <c r="H57" i="15" s="1"/>
  <c r="G55" i="15"/>
  <c r="H55" i="15" s="1"/>
  <c r="G54" i="15"/>
  <c r="H54" i="15" s="1"/>
  <c r="G53" i="15"/>
  <c r="H53" i="15" s="1"/>
  <c r="G52" i="15"/>
  <c r="H52" i="15" s="1"/>
  <c r="G51" i="15"/>
  <c r="H51" i="15" s="1"/>
  <c r="G50" i="15"/>
  <c r="H50" i="15" s="1"/>
  <c r="G49" i="15"/>
  <c r="H49" i="15" s="1"/>
  <c r="G48" i="15"/>
  <c r="H48" i="15" s="1"/>
  <c r="G47" i="15"/>
  <c r="H47" i="15" s="1"/>
  <c r="G45" i="15"/>
  <c r="H45" i="15" s="1"/>
  <c r="G44" i="15"/>
  <c r="H44" i="15" s="1"/>
  <c r="G43" i="15"/>
  <c r="H43" i="15" s="1"/>
  <c r="G42" i="15"/>
  <c r="H42" i="15" s="1"/>
  <c r="G41" i="15"/>
  <c r="H41" i="15" s="1"/>
  <c r="G40" i="15"/>
  <c r="H40" i="15" s="1"/>
  <c r="G39" i="15"/>
  <c r="H39" i="15" s="1"/>
  <c r="G38" i="15"/>
  <c r="H38" i="15" s="1"/>
  <c r="G36" i="15"/>
  <c r="H36" i="15" s="1"/>
  <c r="G35" i="15"/>
  <c r="H35" i="15" s="1"/>
  <c r="G34" i="15"/>
  <c r="H34" i="15" s="1"/>
  <c r="G33" i="15"/>
  <c r="H33" i="15" s="1"/>
  <c r="G32" i="15"/>
  <c r="H32" i="15" s="1"/>
  <c r="G31" i="15"/>
  <c r="G30" i="15"/>
  <c r="F30" i="15"/>
  <c r="F31" i="15" s="1"/>
  <c r="F204" i="6"/>
  <c r="F200" i="6"/>
  <c r="F158" i="6"/>
  <c r="G176" i="6"/>
  <c r="H176" i="6" s="1"/>
  <c r="F142" i="6"/>
  <c r="F79" i="6"/>
  <c r="F80" i="6" s="1"/>
  <c r="F138" i="6"/>
  <c r="F66" i="2"/>
  <c r="G121" i="6"/>
  <c r="H121" i="6" s="1"/>
  <c r="G120" i="6"/>
  <c r="H120" i="6" s="1"/>
  <c r="G119" i="6"/>
  <c r="H119" i="6" s="1"/>
  <c r="G117" i="6"/>
  <c r="H117" i="6" s="1"/>
  <c r="G116" i="6"/>
  <c r="H116" i="6" s="1"/>
  <c r="G115" i="6"/>
  <c r="H115" i="6" s="1"/>
  <c r="G114" i="6"/>
  <c r="H114" i="6" s="1"/>
  <c r="G113" i="6"/>
  <c r="H113" i="6" s="1"/>
  <c r="G112" i="6"/>
  <c r="H112" i="6" s="1"/>
  <c r="G111" i="6"/>
  <c r="H111" i="6" s="1"/>
  <c r="G109" i="6"/>
  <c r="H109" i="6" s="1"/>
  <c r="G108" i="6"/>
  <c r="H108" i="6" s="1"/>
  <c r="G107" i="6"/>
  <c r="H107" i="6" s="1"/>
  <c r="G106" i="6"/>
  <c r="H106" i="6" s="1"/>
  <c r="G105" i="6"/>
  <c r="H105" i="6" s="1"/>
  <c r="G104" i="6"/>
  <c r="H104" i="6" s="1"/>
  <c r="G103" i="6"/>
  <c r="H103" i="6" s="1"/>
  <c r="F87" i="6"/>
  <c r="G85" i="6"/>
  <c r="H85" i="6" s="1"/>
  <c r="G84" i="6"/>
  <c r="H84" i="6" s="1"/>
  <c r="G83" i="6"/>
  <c r="H83" i="6" s="1"/>
  <c r="G82" i="6"/>
  <c r="H82" i="6" s="1"/>
  <c r="G81" i="6"/>
  <c r="H81" i="6" s="1"/>
  <c r="G80" i="6"/>
  <c r="G79" i="6"/>
  <c r="G75" i="2"/>
  <c r="H75" i="2" s="1"/>
  <c r="G75" i="6"/>
  <c r="H75" i="6" s="1"/>
  <c r="G74" i="6"/>
  <c r="H74" i="6" s="1"/>
  <c r="G73" i="6"/>
  <c r="H73" i="6" s="1"/>
  <c r="G72" i="6"/>
  <c r="G71" i="6"/>
  <c r="F71" i="6"/>
  <c r="F72" i="6" s="1"/>
  <c r="G70" i="6"/>
  <c r="H70" i="6" s="1"/>
  <c r="G69" i="6"/>
  <c r="H69" i="6" s="1"/>
  <c r="G67" i="6"/>
  <c r="F67" i="6"/>
  <c r="F68" i="6" s="1"/>
  <c r="H68" i="6" s="1"/>
  <c r="G66" i="6"/>
  <c r="H66" i="6" s="1"/>
  <c r="G65" i="6"/>
  <c r="H65" i="6" s="1"/>
  <c r="G64" i="6"/>
  <c r="H64" i="6" s="1"/>
  <c r="G62" i="6"/>
  <c r="H62" i="6" s="1"/>
  <c r="G61" i="6"/>
  <c r="H61" i="6" s="1"/>
  <c r="G60" i="6"/>
  <c r="H60" i="6" s="1"/>
  <c r="G59" i="6"/>
  <c r="H59" i="6" s="1"/>
  <c r="G57" i="6"/>
  <c r="H57" i="6" s="1"/>
  <c r="G56" i="6"/>
  <c r="H56" i="6" s="1"/>
  <c r="G55" i="6"/>
  <c r="H55" i="6" s="1"/>
  <c r="G54" i="6"/>
  <c r="H54" i="6" s="1"/>
  <c r="G53" i="6"/>
  <c r="H53" i="6" s="1"/>
  <c r="G52" i="6"/>
  <c r="H52" i="6" s="1"/>
  <c r="G51" i="6"/>
  <c r="H51" i="6" s="1"/>
  <c r="G50" i="6"/>
  <c r="H50" i="6" s="1"/>
  <c r="G49" i="6"/>
  <c r="H49" i="6" s="1"/>
  <c r="G47" i="6"/>
  <c r="H47" i="6" s="1"/>
  <c r="G46" i="6"/>
  <c r="H46" i="6" s="1"/>
  <c r="G45" i="6"/>
  <c r="H45" i="6" s="1"/>
  <c r="G44" i="6"/>
  <c r="H44" i="6" s="1"/>
  <c r="G43" i="6"/>
  <c r="H43" i="6" s="1"/>
  <c r="G42" i="6"/>
  <c r="H42" i="6" s="1"/>
  <c r="G41" i="6"/>
  <c r="H41" i="6" s="1"/>
  <c r="G40" i="6"/>
  <c r="H40" i="6" s="1"/>
  <c r="G38" i="6"/>
  <c r="H38" i="6" s="1"/>
  <c r="G37" i="6"/>
  <c r="H37" i="6" s="1"/>
  <c r="G36" i="6"/>
  <c r="H36" i="6" s="1"/>
  <c r="G35" i="6"/>
  <c r="H35" i="6" s="1"/>
  <c r="G34" i="6"/>
  <c r="H34" i="6" s="1"/>
  <c r="G33" i="6"/>
  <c r="G32" i="6"/>
  <c r="F32" i="6"/>
  <c r="F33" i="6" s="1"/>
  <c r="G13" i="2"/>
  <c r="H13" i="2" s="1"/>
  <c r="G105" i="2"/>
  <c r="H105" i="2" s="1"/>
  <c r="F54" i="2"/>
  <c r="G52" i="2"/>
  <c r="H52" i="2" s="1"/>
  <c r="G33" i="2"/>
  <c r="H33" i="2" s="1"/>
  <c r="H85" i="15" l="1"/>
  <c r="H166" i="15"/>
  <c r="H171" i="15" s="1"/>
  <c r="E74" i="5" s="1"/>
  <c r="H208" i="15"/>
  <c r="H212" i="15"/>
  <c r="E37" i="5"/>
  <c r="E39" i="5"/>
  <c r="E32" i="5"/>
  <c r="E31" i="5"/>
  <c r="E30" i="5"/>
  <c r="E38" i="5"/>
  <c r="H67" i="6"/>
  <c r="H213" i="15"/>
  <c r="H204" i="15"/>
  <c r="E77" i="5" s="1"/>
  <c r="H165" i="15"/>
  <c r="E73" i="5" s="1"/>
  <c r="H182" i="15"/>
  <c r="E75" i="5" s="1"/>
  <c r="H192" i="15"/>
  <c r="E76" i="5" s="1"/>
  <c r="H78" i="15"/>
  <c r="H65" i="15"/>
  <c r="H69" i="15"/>
  <c r="H77" i="15"/>
  <c r="H84" i="15" s="1"/>
  <c r="E64" i="5" s="1"/>
  <c r="H46" i="15"/>
  <c r="E60" i="5" s="1"/>
  <c r="H31" i="15"/>
  <c r="H61" i="15"/>
  <c r="E62" i="5" s="1"/>
  <c r="F70" i="15"/>
  <c r="H70" i="15" s="1"/>
  <c r="H116" i="15"/>
  <c r="E68" i="5" s="1"/>
  <c r="H108" i="15"/>
  <c r="E67" i="5" s="1"/>
  <c r="H100" i="15"/>
  <c r="E66" i="5" s="1"/>
  <c r="H56" i="15"/>
  <c r="E61" i="5" s="1"/>
  <c r="F86" i="15"/>
  <c r="H86" i="15" s="1"/>
  <c r="H30" i="15"/>
  <c r="H80" i="6"/>
  <c r="H33" i="6"/>
  <c r="H79" i="6"/>
  <c r="H71" i="6"/>
  <c r="H72" i="6"/>
  <c r="H32" i="6"/>
  <c r="H91" i="15" l="1"/>
  <c r="E65" i="5" s="1"/>
  <c r="H217" i="15"/>
  <c r="E78" i="5" s="1"/>
  <c r="E29" i="5"/>
  <c r="E34" i="5"/>
  <c r="E33" i="5"/>
  <c r="H218" i="15"/>
  <c r="H37" i="15"/>
  <c r="E59" i="5" s="1"/>
  <c r="H74" i="15"/>
  <c r="E63" i="5" s="1"/>
  <c r="H75" i="15" l="1"/>
  <c r="G48" i="9"/>
  <c r="F15" i="11"/>
  <c r="F16" i="11" s="1"/>
  <c r="F15" i="10"/>
  <c r="G34" i="10"/>
  <c r="F151" i="15"/>
  <c r="G145" i="15"/>
  <c r="H145" i="15" s="1"/>
  <c r="G140" i="15"/>
  <c r="H140" i="15" s="1"/>
  <c r="G141" i="15"/>
  <c r="H141" i="15" s="1"/>
  <c r="G142" i="15"/>
  <c r="H142" i="15" s="1"/>
  <c r="G143" i="15"/>
  <c r="H143" i="15" s="1"/>
  <c r="G144" i="15"/>
  <c r="H144" i="15" s="1"/>
  <c r="G146" i="15"/>
  <c r="G148" i="15"/>
  <c r="H148" i="15" s="1"/>
  <c r="G149" i="15"/>
  <c r="H149" i="15" s="1"/>
  <c r="G150" i="15"/>
  <c r="G151" i="15"/>
  <c r="G152" i="15"/>
  <c r="H152" i="15" s="1"/>
  <c r="G153" i="15"/>
  <c r="H153" i="15" s="1"/>
  <c r="G154" i="15"/>
  <c r="H154" i="15" s="1"/>
  <c r="G123" i="15"/>
  <c r="H123" i="15" s="1"/>
  <c r="G122" i="15"/>
  <c r="H122" i="15" s="1"/>
  <c r="G125" i="15"/>
  <c r="H125" i="15" s="1"/>
  <c r="G126" i="15"/>
  <c r="H126" i="15" s="1"/>
  <c r="G127" i="15"/>
  <c r="H127" i="15" s="1"/>
  <c r="G24" i="15"/>
  <c r="H24" i="15" s="1"/>
  <c r="G25" i="15"/>
  <c r="H25" i="15" s="1"/>
  <c r="G26" i="15"/>
  <c r="H26" i="15" s="1"/>
  <c r="G21" i="15"/>
  <c r="H21" i="15" s="1"/>
  <c r="G19" i="15"/>
  <c r="H19" i="15" s="1"/>
  <c r="G206" i="6"/>
  <c r="H206" i="6" s="1"/>
  <c r="G207" i="6"/>
  <c r="H207" i="6" s="1"/>
  <c r="G208" i="6"/>
  <c r="H208" i="6" s="1"/>
  <c r="F205" i="6"/>
  <c r="F201" i="6"/>
  <c r="H201" i="6" s="1"/>
  <c r="G193" i="6"/>
  <c r="H193" i="6" s="1"/>
  <c r="G175" i="6"/>
  <c r="H175" i="6" s="1"/>
  <c r="G170" i="6"/>
  <c r="H170" i="6" s="1"/>
  <c r="H168" i="6"/>
  <c r="F151" i="6"/>
  <c r="G129" i="6"/>
  <c r="H129" i="6" s="1"/>
  <c r="G100" i="2"/>
  <c r="H100" i="2" s="1"/>
  <c r="G144" i="6"/>
  <c r="H144" i="6" s="1"/>
  <c r="G145" i="6"/>
  <c r="H145" i="6" s="1"/>
  <c r="G146" i="6"/>
  <c r="H146" i="6" s="1"/>
  <c r="F143" i="6"/>
  <c r="F139" i="6"/>
  <c r="H139" i="6" s="1"/>
  <c r="G101" i="2"/>
  <c r="H101" i="2" s="1"/>
  <c r="G43" i="2"/>
  <c r="H43" i="2" s="1"/>
  <c r="G97" i="6"/>
  <c r="H97" i="6" s="1"/>
  <c r="G98" i="6"/>
  <c r="H98" i="6" s="1"/>
  <c r="G21" i="6"/>
  <c r="H21" i="6" s="1"/>
  <c r="G23" i="6"/>
  <c r="H23" i="6" s="1"/>
  <c r="G16" i="2"/>
  <c r="H16" i="2" s="1"/>
  <c r="F108" i="2"/>
  <c r="F109" i="2" s="1"/>
  <c r="H109" i="2" s="1"/>
  <c r="G92" i="2"/>
  <c r="H92" i="2" s="1"/>
  <c r="G116" i="2"/>
  <c r="H116" i="2" s="1"/>
  <c r="G115" i="2"/>
  <c r="H115" i="2" s="1"/>
  <c r="G114" i="2"/>
  <c r="H114" i="2" s="1"/>
  <c r="F112" i="2"/>
  <c r="F113" i="2" s="1"/>
  <c r="G96" i="2"/>
  <c r="H96" i="2" s="1"/>
  <c r="G76" i="2"/>
  <c r="G77" i="2"/>
  <c r="G15" i="2"/>
  <c r="H15" i="2" s="1"/>
  <c r="G14" i="2"/>
  <c r="H14" i="2" s="1"/>
  <c r="G62" i="2"/>
  <c r="H62" i="2" s="1"/>
  <c r="G61" i="2"/>
  <c r="H61" i="2" s="1"/>
  <c r="G60" i="2"/>
  <c r="H60" i="2" s="1"/>
  <c r="F58" i="2"/>
  <c r="F59" i="2" s="1"/>
  <c r="F55" i="2"/>
  <c r="H55" i="2" s="1"/>
  <c r="G32" i="2"/>
  <c r="H32" i="2" s="1"/>
  <c r="G30" i="2"/>
  <c r="H30" i="2" s="1"/>
  <c r="H146" i="15" l="1"/>
  <c r="F147" i="15"/>
  <c r="H147" i="15" s="1"/>
  <c r="H150" i="15"/>
  <c r="H151" i="15"/>
  <c r="H128" i="15"/>
  <c r="E70" i="5" s="1"/>
  <c r="H27" i="15"/>
  <c r="H155" i="15" l="1"/>
  <c r="G38" i="11"/>
  <c r="H38" i="11" s="1"/>
  <c r="G46" i="10"/>
  <c r="H46" i="10" s="1"/>
  <c r="G34" i="9"/>
  <c r="H34" i="9" s="1"/>
  <c r="E72" i="5" l="1"/>
  <c r="H23" i="11"/>
  <c r="H23" i="10"/>
  <c r="G23" i="9"/>
  <c r="H23" i="9" s="1"/>
  <c r="G30" i="9" l="1"/>
  <c r="H30" i="9" s="1"/>
  <c r="H30" i="11" l="1"/>
  <c r="H30" i="10"/>
  <c r="H24" i="9"/>
  <c r="G39" i="11"/>
  <c r="H39" i="11" s="1"/>
  <c r="G80" i="11"/>
  <c r="G79" i="10" l="1"/>
  <c r="G38" i="10"/>
  <c r="H38" i="10" s="1"/>
  <c r="G32" i="9"/>
  <c r="H32" i="9" s="1"/>
  <c r="G66" i="9" l="1"/>
  <c r="G22" i="9" l="1"/>
  <c r="H22" i="9" s="1"/>
  <c r="G60" i="10"/>
  <c r="H60" i="10" s="1"/>
  <c r="G49" i="9"/>
  <c r="H49" i="9" s="1"/>
  <c r="G88" i="10"/>
  <c r="G89" i="10"/>
  <c r="G90" i="10"/>
  <c r="G69" i="11"/>
  <c r="G68" i="10"/>
  <c r="G46" i="2"/>
  <c r="G55" i="9"/>
  <c r="G61" i="9" l="1"/>
  <c r="G62" i="9"/>
  <c r="G69" i="9"/>
  <c r="G70" i="9"/>
  <c r="G71" i="9"/>
  <c r="G75" i="9"/>
  <c r="H75" i="9" s="1"/>
  <c r="G76" i="9"/>
  <c r="H76" i="9" s="1"/>
  <c r="G77" i="9"/>
  <c r="G60" i="9"/>
  <c r="G89" i="6"/>
  <c r="G90" i="6"/>
  <c r="G91" i="6"/>
  <c r="G92" i="6"/>
  <c r="H90" i="11"/>
  <c r="H89" i="10"/>
  <c r="H89" i="11"/>
  <c r="H88" i="10"/>
  <c r="H103" i="16"/>
  <c r="F103" i="16"/>
  <c r="H102" i="16"/>
  <c r="F102" i="16"/>
  <c r="H101" i="16"/>
  <c r="F101" i="16"/>
  <c r="H100" i="16"/>
  <c r="F100" i="16"/>
  <c r="H99" i="16"/>
  <c r="F99" i="16"/>
  <c r="H98" i="16"/>
  <c r="F98" i="16"/>
  <c r="H97" i="16"/>
  <c r="F97" i="16"/>
  <c r="H96" i="16"/>
  <c r="F96" i="16"/>
  <c r="H95" i="16"/>
  <c r="F95" i="16"/>
  <c r="H94" i="16"/>
  <c r="F94" i="16"/>
  <c r="H93" i="16"/>
  <c r="F93" i="16"/>
  <c r="H92" i="16"/>
  <c r="F92" i="16"/>
  <c r="H91" i="16"/>
  <c r="F91" i="16"/>
  <c r="H90" i="16"/>
  <c r="F90" i="16"/>
  <c r="H89" i="16"/>
  <c r="F89" i="16"/>
  <c r="H88" i="16"/>
  <c r="F88" i="16"/>
  <c r="H87" i="16"/>
  <c r="F87" i="16"/>
  <c r="H86" i="16"/>
  <c r="F86" i="16"/>
  <c r="H85" i="16"/>
  <c r="F85" i="16"/>
  <c r="H84" i="16"/>
  <c r="F84" i="16"/>
  <c r="H83" i="16"/>
  <c r="F83" i="16"/>
  <c r="H82" i="16"/>
  <c r="F82" i="16"/>
  <c r="H81" i="16"/>
  <c r="F81" i="16"/>
  <c r="H80" i="16"/>
  <c r="F80" i="16"/>
  <c r="H79" i="16"/>
  <c r="F79" i="16"/>
  <c r="H78" i="16"/>
  <c r="F78" i="16"/>
  <c r="H77" i="16"/>
  <c r="F77" i="16"/>
  <c r="H76" i="16"/>
  <c r="F76" i="16"/>
  <c r="H75" i="16"/>
  <c r="F75" i="16"/>
  <c r="H74" i="16"/>
  <c r="F74" i="16"/>
  <c r="H73" i="16"/>
  <c r="F73" i="16"/>
  <c r="H72" i="16"/>
  <c r="F72" i="16"/>
  <c r="H71" i="16"/>
  <c r="F71" i="16"/>
  <c r="H70" i="16"/>
  <c r="F70" i="16"/>
  <c r="H69" i="16"/>
  <c r="F69" i="16"/>
  <c r="H68" i="16"/>
  <c r="F68" i="16"/>
  <c r="H67" i="16"/>
  <c r="F67" i="16"/>
  <c r="H66" i="16"/>
  <c r="F66" i="16"/>
  <c r="H65" i="16"/>
  <c r="F65" i="16"/>
  <c r="H64" i="16"/>
  <c r="F64" i="16"/>
  <c r="H63" i="16"/>
  <c r="F63" i="16"/>
  <c r="H62" i="16"/>
  <c r="F62" i="16"/>
  <c r="H61" i="16"/>
  <c r="F61" i="16"/>
  <c r="H60" i="16"/>
  <c r="F60" i="16"/>
  <c r="H59" i="16"/>
  <c r="F59" i="16"/>
  <c r="H58" i="16"/>
  <c r="F58" i="16"/>
  <c r="H57" i="16"/>
  <c r="F57" i="16"/>
  <c r="H56" i="16"/>
  <c r="F56" i="16"/>
  <c r="H55" i="16"/>
  <c r="F55" i="16"/>
  <c r="H54" i="16"/>
  <c r="F54" i="16"/>
  <c r="H53" i="16"/>
  <c r="F53" i="16"/>
  <c r="H52" i="16"/>
  <c r="F52" i="16"/>
  <c r="H51" i="16"/>
  <c r="F51" i="16"/>
  <c r="H50" i="16"/>
  <c r="F50" i="16"/>
  <c r="H49" i="16"/>
  <c r="F49" i="16"/>
  <c r="H48" i="16"/>
  <c r="F48" i="16"/>
  <c r="H47" i="16"/>
  <c r="F47" i="16"/>
  <c r="H46" i="16"/>
  <c r="F46" i="16"/>
  <c r="H45" i="16"/>
  <c r="F45" i="16"/>
  <c r="H44" i="16"/>
  <c r="F44" i="16"/>
  <c r="H43" i="16"/>
  <c r="F43" i="16"/>
  <c r="H42" i="16"/>
  <c r="F42" i="16"/>
  <c r="H41" i="16"/>
  <c r="F41" i="16"/>
  <c r="H40" i="16"/>
  <c r="F40" i="16"/>
  <c r="H39" i="16"/>
  <c r="F39" i="16"/>
  <c r="H38" i="16"/>
  <c r="F38" i="16"/>
  <c r="H37" i="16"/>
  <c r="F37" i="16"/>
  <c r="H36" i="16"/>
  <c r="F36" i="16"/>
  <c r="H35" i="16"/>
  <c r="F35" i="16"/>
  <c r="H34" i="16"/>
  <c r="F34" i="16"/>
  <c r="H33" i="16"/>
  <c r="F33" i="16"/>
  <c r="H32" i="16"/>
  <c r="F32" i="16"/>
  <c r="H31" i="16"/>
  <c r="F31" i="16"/>
  <c r="H30" i="16"/>
  <c r="F30" i="16"/>
  <c r="H29" i="16"/>
  <c r="F29" i="16"/>
  <c r="H28" i="16"/>
  <c r="F28" i="16"/>
  <c r="H27" i="16"/>
  <c r="F27" i="16"/>
  <c r="H26" i="16"/>
  <c r="F26" i="16"/>
  <c r="H25" i="16"/>
  <c r="F25" i="16"/>
  <c r="H24" i="16"/>
  <c r="F24" i="16"/>
  <c r="H23" i="16"/>
  <c r="F23" i="16"/>
  <c r="H22" i="16"/>
  <c r="F22" i="16"/>
  <c r="H21" i="16"/>
  <c r="F21" i="16"/>
  <c r="H20" i="16"/>
  <c r="F20" i="16"/>
  <c r="H19" i="16"/>
  <c r="F19" i="16"/>
  <c r="H18" i="16"/>
  <c r="F18" i="16"/>
  <c r="H17" i="16"/>
  <c r="F17" i="16"/>
  <c r="H16" i="16"/>
  <c r="F16" i="16"/>
  <c r="H15" i="16"/>
  <c r="F15" i="16"/>
  <c r="H14" i="16"/>
  <c r="F14" i="16"/>
  <c r="H13" i="16"/>
  <c r="F13" i="16"/>
  <c r="H12" i="16"/>
  <c r="F12" i="16"/>
  <c r="H11" i="16"/>
  <c r="F11" i="16"/>
  <c r="H10" i="16"/>
  <c r="F10" i="16"/>
  <c r="H9" i="16"/>
  <c r="F9" i="16"/>
  <c r="H8" i="16"/>
  <c r="F8" i="16"/>
  <c r="H7" i="16"/>
  <c r="F7" i="16"/>
  <c r="H6" i="16"/>
  <c r="F6" i="16"/>
  <c r="H5" i="16"/>
  <c r="F5" i="16"/>
  <c r="H4" i="16"/>
  <c r="F4" i="16"/>
  <c r="G67" i="11"/>
  <c r="H67" i="11" s="1"/>
  <c r="G66" i="10"/>
  <c r="H66" i="10" s="1"/>
  <c r="H53" i="9"/>
  <c r="G221" i="15"/>
  <c r="H221" i="15" s="1"/>
  <c r="G213" i="6"/>
  <c r="H213" i="6" s="1"/>
  <c r="G121" i="2"/>
  <c r="H121" i="2" s="1"/>
  <c r="G120" i="2"/>
  <c r="G22" i="11"/>
  <c r="H22" i="11" s="1"/>
  <c r="G22" i="10"/>
  <c r="H22" i="10" s="1"/>
  <c r="G21" i="9"/>
  <c r="H21" i="9" s="1"/>
  <c r="G39" i="9"/>
  <c r="H39" i="9" s="1"/>
  <c r="G48" i="11" l="1"/>
  <c r="H48" i="11" s="1"/>
  <c r="G47" i="10"/>
  <c r="H47" i="10" s="1"/>
  <c r="G131" i="15"/>
  <c r="H131" i="15" s="1"/>
  <c r="G125" i="6"/>
  <c r="H125" i="6" s="1"/>
  <c r="G21" i="11"/>
  <c r="H21" i="11" s="1"/>
  <c r="G21" i="10"/>
  <c r="H21" i="10" s="1"/>
  <c r="F16" i="10"/>
  <c r="F16" i="9"/>
  <c r="G135" i="15"/>
  <c r="H135" i="15" s="1"/>
  <c r="G136" i="15"/>
  <c r="H136" i="15" s="1"/>
  <c r="G121" i="15"/>
  <c r="H121" i="15" s="1"/>
  <c r="G120" i="15"/>
  <c r="H120" i="15" s="1"/>
  <c r="G119" i="15"/>
  <c r="H119" i="15" s="1"/>
  <c r="G118" i="15"/>
  <c r="H118" i="15" s="1"/>
  <c r="G117" i="15"/>
  <c r="H117" i="15" s="1"/>
  <c r="G220" i="15"/>
  <c r="H220" i="15" s="1"/>
  <c r="G138" i="15"/>
  <c r="H138" i="15" s="1"/>
  <c r="G137" i="15"/>
  <c r="H137" i="15" s="1"/>
  <c r="G134" i="15"/>
  <c r="H134" i="15" s="1"/>
  <c r="G133" i="15"/>
  <c r="H133" i="15" s="1"/>
  <c r="G132" i="15"/>
  <c r="H132" i="15" s="1"/>
  <c r="G130" i="15"/>
  <c r="H130" i="15" s="1"/>
  <c r="G129" i="15"/>
  <c r="H129" i="15" s="1"/>
  <c r="G22" i="15"/>
  <c r="H22" i="15" s="1"/>
  <c r="G20" i="15"/>
  <c r="H20" i="15" s="1"/>
  <c r="G18" i="15"/>
  <c r="H18" i="15" s="1"/>
  <c r="G17" i="15"/>
  <c r="H17" i="15" s="1"/>
  <c r="G16" i="15"/>
  <c r="H16" i="15" s="1"/>
  <c r="G15" i="15"/>
  <c r="H15" i="15" s="1"/>
  <c r="G14" i="15"/>
  <c r="H14" i="15" s="1"/>
  <c r="G13" i="15"/>
  <c r="H13" i="15" s="1"/>
  <c r="G12" i="15"/>
  <c r="H12" i="15" s="1"/>
  <c r="G11" i="15"/>
  <c r="G10" i="15"/>
  <c r="H10" i="15" s="1"/>
  <c r="G9" i="15"/>
  <c r="H9" i="15" s="1"/>
  <c r="G28" i="6"/>
  <c r="H28" i="6" s="1"/>
  <c r="G24" i="6"/>
  <c r="H24" i="6" s="1"/>
  <c r="G27" i="6"/>
  <c r="H27" i="6" s="1"/>
  <c r="G26" i="6"/>
  <c r="H26" i="6" s="1"/>
  <c r="G22" i="6"/>
  <c r="H22" i="6" s="1"/>
  <c r="G20" i="6"/>
  <c r="H20" i="6" s="1"/>
  <c r="G15" i="6"/>
  <c r="H15" i="6" s="1"/>
  <c r="G14" i="6"/>
  <c r="H14" i="6" s="1"/>
  <c r="G13" i="6"/>
  <c r="G199" i="6"/>
  <c r="H199" i="6" s="1"/>
  <c r="G195" i="6"/>
  <c r="H195" i="6" s="1"/>
  <c r="G194" i="6"/>
  <c r="H194" i="6" s="1"/>
  <c r="G192" i="6"/>
  <c r="H192" i="6" s="1"/>
  <c r="G191" i="6"/>
  <c r="H191" i="6" s="1"/>
  <c r="G183" i="6"/>
  <c r="H183" i="6" s="1"/>
  <c r="G182" i="6"/>
  <c r="H182" i="6" s="1"/>
  <c r="G190" i="6"/>
  <c r="H190" i="6" s="1"/>
  <c r="G189" i="6"/>
  <c r="H189" i="6" s="1"/>
  <c r="G188" i="6"/>
  <c r="H188" i="6" s="1"/>
  <c r="G187" i="6"/>
  <c r="H187" i="6" s="1"/>
  <c r="G186" i="6"/>
  <c r="H186" i="6" s="1"/>
  <c r="G185" i="6"/>
  <c r="H185" i="6" s="1"/>
  <c r="G173" i="6"/>
  <c r="H173" i="6" s="1"/>
  <c r="G172" i="6"/>
  <c r="H172" i="6" s="1"/>
  <c r="G181" i="6"/>
  <c r="H181" i="6" s="1"/>
  <c r="G180" i="6"/>
  <c r="H180" i="6" s="1"/>
  <c r="G179" i="6"/>
  <c r="H179" i="6" s="1"/>
  <c r="G178" i="6"/>
  <c r="H178" i="6" s="1"/>
  <c r="G177" i="6"/>
  <c r="H177" i="6" s="1"/>
  <c r="G162" i="6"/>
  <c r="H162" i="6" s="1"/>
  <c r="G161" i="6"/>
  <c r="H161" i="6" s="1"/>
  <c r="G160" i="6"/>
  <c r="H160" i="6" s="1"/>
  <c r="G159" i="6"/>
  <c r="H159" i="6" s="1"/>
  <c r="G158" i="6"/>
  <c r="G205" i="6"/>
  <c r="G204" i="6"/>
  <c r="G203" i="6"/>
  <c r="H203" i="6" s="1"/>
  <c r="G202" i="6"/>
  <c r="H202" i="6" s="1"/>
  <c r="G200" i="6"/>
  <c r="G198" i="6"/>
  <c r="H198" i="6" s="1"/>
  <c r="G197" i="6"/>
  <c r="H197" i="6" s="1"/>
  <c r="G171" i="6"/>
  <c r="H171" i="6" s="1"/>
  <c r="G167" i="6"/>
  <c r="H167" i="6" s="1"/>
  <c r="G169" i="6"/>
  <c r="H169" i="6" s="1"/>
  <c r="G166" i="6"/>
  <c r="H166" i="6" s="1"/>
  <c r="G165" i="6"/>
  <c r="H165" i="6" s="1"/>
  <c r="G164" i="6"/>
  <c r="H164" i="6" s="1"/>
  <c r="G156" i="6"/>
  <c r="H156" i="6" s="1"/>
  <c r="G155" i="6"/>
  <c r="H155" i="6" s="1"/>
  <c r="G154" i="6"/>
  <c r="H154" i="6" s="1"/>
  <c r="G153" i="6"/>
  <c r="H153" i="6" s="1"/>
  <c r="G152" i="6"/>
  <c r="H152" i="6" s="1"/>
  <c r="G151" i="6"/>
  <c r="G150" i="6"/>
  <c r="H150" i="6" s="1"/>
  <c r="G137" i="6"/>
  <c r="H137" i="6" s="1"/>
  <c r="G134" i="6"/>
  <c r="H134" i="6" s="1"/>
  <c r="G101" i="6"/>
  <c r="H101" i="6" s="1"/>
  <c r="G100" i="6"/>
  <c r="H100" i="6" s="1"/>
  <c r="G99" i="6"/>
  <c r="H99" i="6" s="1"/>
  <c r="G96" i="6"/>
  <c r="H96" i="6" s="1"/>
  <c r="G95" i="6"/>
  <c r="H95" i="6" s="1"/>
  <c r="G94" i="6"/>
  <c r="H94" i="6" s="1"/>
  <c r="H92" i="6"/>
  <c r="H91" i="6"/>
  <c r="H90" i="6"/>
  <c r="H89" i="6"/>
  <c r="G88" i="6"/>
  <c r="G87" i="6"/>
  <c r="G19" i="6"/>
  <c r="H19" i="6" s="1"/>
  <c r="G18" i="6"/>
  <c r="H18" i="6" s="1"/>
  <c r="G17" i="6"/>
  <c r="H17" i="6" s="1"/>
  <c r="G16" i="6"/>
  <c r="H16" i="6" s="1"/>
  <c r="G12" i="6"/>
  <c r="H12" i="6" s="1"/>
  <c r="G11" i="6"/>
  <c r="H11" i="6" s="1"/>
  <c r="G212" i="6"/>
  <c r="H212" i="6" s="1"/>
  <c r="E48" i="5" s="1"/>
  <c r="G143" i="6"/>
  <c r="G142" i="6"/>
  <c r="G141" i="6"/>
  <c r="H141" i="6" s="1"/>
  <c r="G140" i="6"/>
  <c r="H140" i="6" s="1"/>
  <c r="G138" i="6"/>
  <c r="H138" i="6" s="1"/>
  <c r="G136" i="6"/>
  <c r="H136" i="6" s="1"/>
  <c r="G135" i="6"/>
  <c r="H135" i="6" s="1"/>
  <c r="G133" i="6"/>
  <c r="H133" i="6" s="1"/>
  <c r="G131" i="6"/>
  <c r="H131" i="6" s="1"/>
  <c r="G130" i="6"/>
  <c r="H130" i="6" s="1"/>
  <c r="G128" i="6"/>
  <c r="H128" i="6" s="1"/>
  <c r="G127" i="6"/>
  <c r="H127" i="6" s="1"/>
  <c r="G126" i="6"/>
  <c r="H126" i="6" s="1"/>
  <c r="G124" i="6"/>
  <c r="H124" i="6" s="1"/>
  <c r="G123" i="6"/>
  <c r="H123" i="6" s="1"/>
  <c r="H120" i="2"/>
  <c r="G91" i="2"/>
  <c r="H91" i="2" s="1"/>
  <c r="G90" i="2"/>
  <c r="H90" i="2" s="1"/>
  <c r="G107" i="2"/>
  <c r="H107" i="2" s="1"/>
  <c r="G88" i="2"/>
  <c r="H88" i="2" s="1"/>
  <c r="G87" i="2"/>
  <c r="H87" i="2" s="1"/>
  <c r="G80" i="2"/>
  <c r="H80" i="2" s="1"/>
  <c r="G79" i="2"/>
  <c r="H79" i="2" s="1"/>
  <c r="F67" i="2"/>
  <c r="G86" i="2"/>
  <c r="H86" i="2" s="1"/>
  <c r="G85" i="2"/>
  <c r="H85" i="2" s="1"/>
  <c r="G84" i="2"/>
  <c r="H84" i="2" s="1"/>
  <c r="G83" i="2"/>
  <c r="H83" i="2" s="1"/>
  <c r="G82" i="2"/>
  <c r="H82" i="2" s="1"/>
  <c r="G113" i="2"/>
  <c r="G112" i="2"/>
  <c r="G111" i="2"/>
  <c r="H111" i="2" s="1"/>
  <c r="G110" i="2"/>
  <c r="H110" i="2" s="1"/>
  <c r="G108" i="2"/>
  <c r="G106" i="2"/>
  <c r="H106" i="2" s="1"/>
  <c r="G104" i="2"/>
  <c r="H104" i="2" s="1"/>
  <c r="G102" i="2"/>
  <c r="H102" i="2" s="1"/>
  <c r="G99" i="2"/>
  <c r="H99" i="2" s="1"/>
  <c r="G98" i="2"/>
  <c r="H98" i="2" s="1"/>
  <c r="G97" i="2"/>
  <c r="H97" i="2" s="1"/>
  <c r="G95" i="2"/>
  <c r="H95" i="2" s="1"/>
  <c r="G94" i="2"/>
  <c r="H94" i="2" s="1"/>
  <c r="G78" i="2"/>
  <c r="H78" i="2" s="1"/>
  <c r="H77" i="2"/>
  <c r="H76" i="2"/>
  <c r="G74" i="2"/>
  <c r="H74" i="2" s="1"/>
  <c r="G72" i="2"/>
  <c r="H72" i="2" s="1"/>
  <c r="G71" i="2"/>
  <c r="H71" i="2" s="1"/>
  <c r="G70" i="2"/>
  <c r="H70" i="2" s="1"/>
  <c r="G69" i="2"/>
  <c r="H69" i="2" s="1"/>
  <c r="G68" i="2"/>
  <c r="H68" i="2" s="1"/>
  <c r="G67" i="2"/>
  <c r="G66" i="2"/>
  <c r="G59" i="2"/>
  <c r="G58" i="2"/>
  <c r="G57" i="2"/>
  <c r="H57" i="2" s="1"/>
  <c r="G56" i="2"/>
  <c r="H56" i="2" s="1"/>
  <c r="G54" i="2"/>
  <c r="G53" i="2"/>
  <c r="H53" i="2" s="1"/>
  <c r="G51" i="2"/>
  <c r="H51" i="2" s="1"/>
  <c r="G49" i="2"/>
  <c r="H49" i="2" s="1"/>
  <c r="G48" i="2"/>
  <c r="H48" i="2" s="1"/>
  <c r="G47" i="2"/>
  <c r="H47" i="2" s="1"/>
  <c r="H46" i="2"/>
  <c r="G44" i="2"/>
  <c r="H44" i="2" s="1"/>
  <c r="G42" i="2"/>
  <c r="H42" i="2" s="1"/>
  <c r="G41" i="2"/>
  <c r="H41" i="2" s="1"/>
  <c r="G40" i="2"/>
  <c r="H40" i="2" s="1"/>
  <c r="G39" i="2"/>
  <c r="H39" i="2" s="1"/>
  <c r="G38" i="2"/>
  <c r="H38" i="2" s="1"/>
  <c r="G37" i="2"/>
  <c r="H37" i="2" s="1"/>
  <c r="G36" i="2"/>
  <c r="H36" i="2" s="1"/>
  <c r="G34" i="2"/>
  <c r="H34" i="2" s="1"/>
  <c r="G31" i="2"/>
  <c r="H31" i="2" s="1"/>
  <c r="G29" i="2"/>
  <c r="H29" i="2" s="1"/>
  <c r="G28" i="2"/>
  <c r="H28" i="2" s="1"/>
  <c r="G27" i="2"/>
  <c r="H27" i="2" s="1"/>
  <c r="G25" i="2"/>
  <c r="H25" i="2" s="1"/>
  <c r="G24" i="2"/>
  <c r="H24" i="2" s="1"/>
  <c r="G23" i="2"/>
  <c r="H23" i="2" s="1"/>
  <c r="G22" i="2"/>
  <c r="H22" i="2" s="1"/>
  <c r="G21" i="2"/>
  <c r="H21" i="2" s="1"/>
  <c r="G20" i="2"/>
  <c r="G19" i="2"/>
  <c r="F20" i="2"/>
  <c r="G12" i="2"/>
  <c r="H12" i="2" s="1"/>
  <c r="G11" i="2"/>
  <c r="H11" i="2" s="1"/>
  <c r="G10" i="2"/>
  <c r="H10" i="2" s="1"/>
  <c r="G9" i="2"/>
  <c r="H9" i="2" s="1"/>
  <c r="G8" i="2"/>
  <c r="H8" i="2" s="1"/>
  <c r="G33" i="9"/>
  <c r="H33" i="9" s="1"/>
  <c r="G75" i="11"/>
  <c r="H75" i="11" s="1"/>
  <c r="G76" i="11"/>
  <c r="H76" i="11" s="1"/>
  <c r="G83" i="11"/>
  <c r="G84" i="11"/>
  <c r="H84" i="11" s="1"/>
  <c r="G85" i="11"/>
  <c r="H85" i="11" s="1"/>
  <c r="G91" i="11"/>
  <c r="G74" i="11"/>
  <c r="H74" i="11" s="1"/>
  <c r="G70" i="11"/>
  <c r="H70" i="11" s="1"/>
  <c r="G71" i="11"/>
  <c r="H71" i="11" s="1"/>
  <c r="G72" i="11"/>
  <c r="H72" i="11" s="1"/>
  <c r="H69" i="11"/>
  <c r="G51" i="11"/>
  <c r="H51" i="11" s="1"/>
  <c r="G52" i="11"/>
  <c r="H52" i="11" s="1"/>
  <c r="G53" i="11"/>
  <c r="H53" i="11" s="1"/>
  <c r="G54" i="11"/>
  <c r="H54" i="11" s="1"/>
  <c r="G55" i="11"/>
  <c r="H55" i="11" s="1"/>
  <c r="G56" i="11"/>
  <c r="H56" i="11" s="1"/>
  <c r="G40" i="11"/>
  <c r="H40" i="11" s="1"/>
  <c r="G57" i="11"/>
  <c r="H57" i="11" s="1"/>
  <c r="G58" i="11"/>
  <c r="H58" i="11" s="1"/>
  <c r="G59" i="11"/>
  <c r="H59" i="11" s="1"/>
  <c r="H60" i="11"/>
  <c r="G61" i="11"/>
  <c r="H61" i="11" s="1"/>
  <c r="G62" i="11"/>
  <c r="H62" i="11" s="1"/>
  <c r="G63" i="11"/>
  <c r="H63" i="11" s="1"/>
  <c r="G64" i="11"/>
  <c r="H64" i="11" s="1"/>
  <c r="G65" i="11"/>
  <c r="H65" i="11" s="1"/>
  <c r="G66" i="11"/>
  <c r="H66" i="11" s="1"/>
  <c r="G50" i="11"/>
  <c r="H50" i="11" s="1"/>
  <c r="G33" i="11"/>
  <c r="H33" i="11" s="1"/>
  <c r="G34" i="11"/>
  <c r="H34" i="11" s="1"/>
  <c r="G35" i="11"/>
  <c r="H35" i="11" s="1"/>
  <c r="G36" i="11"/>
  <c r="H36" i="11" s="1"/>
  <c r="G37" i="11"/>
  <c r="H37" i="11" s="1"/>
  <c r="G41" i="11"/>
  <c r="H41" i="11" s="1"/>
  <c r="G42" i="11"/>
  <c r="H42" i="11" s="1"/>
  <c r="G43" i="11"/>
  <c r="H43" i="11" s="1"/>
  <c r="G45" i="11"/>
  <c r="H45" i="11" s="1"/>
  <c r="G46" i="11"/>
  <c r="H46" i="11" s="1"/>
  <c r="G47" i="11"/>
  <c r="H47" i="11" s="1"/>
  <c r="G32" i="11"/>
  <c r="H32" i="11" s="1"/>
  <c r="G10" i="11"/>
  <c r="H10" i="11" s="1"/>
  <c r="G11" i="11"/>
  <c r="H11" i="11" s="1"/>
  <c r="G12" i="11"/>
  <c r="H12" i="11" s="1"/>
  <c r="G13" i="11"/>
  <c r="H13" i="11" s="1"/>
  <c r="G14" i="11"/>
  <c r="H14" i="11" s="1"/>
  <c r="G15" i="11"/>
  <c r="G16" i="11"/>
  <c r="G17" i="11"/>
  <c r="H17" i="11" s="1"/>
  <c r="G18" i="11"/>
  <c r="H18" i="11" s="1"/>
  <c r="G19" i="11"/>
  <c r="H19" i="11" s="1"/>
  <c r="G20" i="11"/>
  <c r="H20" i="11" s="1"/>
  <c r="G24" i="11"/>
  <c r="H24" i="11" s="1"/>
  <c r="G25" i="11"/>
  <c r="H25" i="11" s="1"/>
  <c r="G26" i="11"/>
  <c r="H26" i="11" s="1"/>
  <c r="G27" i="11"/>
  <c r="H27" i="11" s="1"/>
  <c r="G28" i="11"/>
  <c r="H28" i="11" s="1"/>
  <c r="G29" i="11"/>
  <c r="H29" i="11" s="1"/>
  <c r="G9" i="11"/>
  <c r="H9" i="11" s="1"/>
  <c r="G74" i="10"/>
  <c r="H74" i="10" s="1"/>
  <c r="G75" i="10"/>
  <c r="H75" i="10" s="1"/>
  <c r="G82" i="10"/>
  <c r="G83" i="10"/>
  <c r="H83" i="10" s="1"/>
  <c r="G84" i="10"/>
  <c r="H84" i="10" s="1"/>
  <c r="G73" i="10"/>
  <c r="H73" i="10" s="1"/>
  <c r="G69" i="10"/>
  <c r="H69" i="10" s="1"/>
  <c r="G70" i="10"/>
  <c r="H70" i="10" s="1"/>
  <c r="G71" i="10"/>
  <c r="H71" i="10" s="1"/>
  <c r="H68" i="10"/>
  <c r="G50" i="10"/>
  <c r="H50" i="10" s="1"/>
  <c r="G51" i="10"/>
  <c r="H51" i="10" s="1"/>
  <c r="G52" i="10"/>
  <c r="H52" i="10" s="1"/>
  <c r="G53" i="10"/>
  <c r="H53" i="10" s="1"/>
  <c r="G54" i="10"/>
  <c r="H54" i="10" s="1"/>
  <c r="G55" i="10"/>
  <c r="H55" i="10" s="1"/>
  <c r="G45" i="10"/>
  <c r="H45" i="10" s="1"/>
  <c r="G56" i="10"/>
  <c r="H56" i="10" s="1"/>
  <c r="G57" i="10"/>
  <c r="H57" i="10" s="1"/>
  <c r="G58" i="10"/>
  <c r="H58" i="10" s="1"/>
  <c r="H59" i="10"/>
  <c r="G61" i="10"/>
  <c r="H61" i="10" s="1"/>
  <c r="G62" i="10"/>
  <c r="H62" i="10" s="1"/>
  <c r="G63" i="10"/>
  <c r="H63" i="10" s="1"/>
  <c r="G64" i="10"/>
  <c r="H64" i="10" s="1"/>
  <c r="G65" i="10"/>
  <c r="H65" i="10" s="1"/>
  <c r="G49" i="10"/>
  <c r="H49" i="10" s="1"/>
  <c r="G33" i="10"/>
  <c r="H33" i="10" s="1"/>
  <c r="H34" i="10"/>
  <c r="G35" i="10"/>
  <c r="H35" i="10" s="1"/>
  <c r="G36" i="10"/>
  <c r="H36" i="10" s="1"/>
  <c r="G37" i="10"/>
  <c r="H37" i="10" s="1"/>
  <c r="G39" i="10"/>
  <c r="H39" i="10" s="1"/>
  <c r="G40" i="10"/>
  <c r="H40" i="10" s="1"/>
  <c r="G41" i="10"/>
  <c r="H41" i="10" s="1"/>
  <c r="G43" i="10"/>
  <c r="H43" i="10" s="1"/>
  <c r="G44" i="10"/>
  <c r="H44" i="10" s="1"/>
  <c r="G32" i="10"/>
  <c r="H32" i="10" s="1"/>
  <c r="G29" i="10"/>
  <c r="H29" i="10" s="1"/>
  <c r="G10" i="10"/>
  <c r="H10" i="10" s="1"/>
  <c r="G11" i="10"/>
  <c r="H11" i="10" s="1"/>
  <c r="G12" i="10"/>
  <c r="H12" i="10" s="1"/>
  <c r="G13" i="10"/>
  <c r="H13" i="10" s="1"/>
  <c r="G14" i="10"/>
  <c r="H14" i="10" s="1"/>
  <c r="G15" i="10"/>
  <c r="G16" i="10"/>
  <c r="G17" i="10"/>
  <c r="H17" i="10" s="1"/>
  <c r="G18" i="10"/>
  <c r="H18" i="10" s="1"/>
  <c r="G19" i="10"/>
  <c r="H19" i="10" s="1"/>
  <c r="G20" i="10"/>
  <c r="H20" i="10" s="1"/>
  <c r="G24" i="10"/>
  <c r="H24" i="10" s="1"/>
  <c r="G25" i="10"/>
  <c r="H25" i="10" s="1"/>
  <c r="G26" i="10"/>
  <c r="H26" i="10" s="1"/>
  <c r="G27" i="10"/>
  <c r="H27" i="10" s="1"/>
  <c r="G28" i="10"/>
  <c r="H28" i="10" s="1"/>
  <c r="G9" i="10"/>
  <c r="H9" i="10" s="1"/>
  <c r="H61" i="9"/>
  <c r="H62" i="9"/>
  <c r="H70" i="9"/>
  <c r="H71" i="9"/>
  <c r="H60" i="9"/>
  <c r="G56" i="9"/>
  <c r="H56" i="9" s="1"/>
  <c r="G57" i="9"/>
  <c r="H57" i="9" s="1"/>
  <c r="G58" i="9"/>
  <c r="H58" i="9" s="1"/>
  <c r="H55" i="9"/>
  <c r="G42" i="9"/>
  <c r="H42" i="9" s="1"/>
  <c r="G43" i="9"/>
  <c r="H43" i="9" s="1"/>
  <c r="G44" i="9"/>
  <c r="H44" i="9" s="1"/>
  <c r="G45" i="9"/>
  <c r="H45" i="9" s="1"/>
  <c r="G46" i="9"/>
  <c r="H46" i="9" s="1"/>
  <c r="G47" i="9"/>
  <c r="H47" i="9" s="1"/>
  <c r="H48" i="9"/>
  <c r="G50" i="9"/>
  <c r="H50" i="9" s="1"/>
  <c r="G51" i="9"/>
  <c r="H51" i="9" s="1"/>
  <c r="G52" i="9"/>
  <c r="H52" i="9" s="1"/>
  <c r="G41" i="9"/>
  <c r="H41" i="9" s="1"/>
  <c r="G27" i="9"/>
  <c r="H27" i="9" s="1"/>
  <c r="G28" i="9"/>
  <c r="H28" i="9" s="1"/>
  <c r="G29" i="9"/>
  <c r="H29" i="9" s="1"/>
  <c r="G31" i="9"/>
  <c r="H31" i="9" s="1"/>
  <c r="G35" i="9"/>
  <c r="H35" i="9" s="1"/>
  <c r="G36" i="9"/>
  <c r="H36" i="9" s="1"/>
  <c r="G38" i="9"/>
  <c r="H38" i="9" s="1"/>
  <c r="G26" i="9"/>
  <c r="H26" i="9" s="1"/>
  <c r="G10" i="9"/>
  <c r="H10" i="9" s="1"/>
  <c r="G11" i="9"/>
  <c r="H11" i="9" s="1"/>
  <c r="G12" i="9"/>
  <c r="H12" i="9" s="1"/>
  <c r="H13" i="9"/>
  <c r="G15" i="9"/>
  <c r="G16" i="9"/>
  <c r="G17" i="9"/>
  <c r="H17" i="9" s="1"/>
  <c r="G18" i="9"/>
  <c r="H18" i="9" s="1"/>
  <c r="G19" i="9"/>
  <c r="H19" i="9" s="1"/>
  <c r="G20" i="9"/>
  <c r="H20" i="9" s="1"/>
  <c r="G9" i="9"/>
  <c r="H9" i="9" s="1"/>
  <c r="H59" i="9" l="1"/>
  <c r="N8" i="5" s="1"/>
  <c r="R8" i="5" s="1"/>
  <c r="H40" i="9"/>
  <c r="H54" i="9"/>
  <c r="N7" i="5" s="1"/>
  <c r="R7" i="5" s="1"/>
  <c r="E44" i="5"/>
  <c r="E40" i="5"/>
  <c r="E45" i="5"/>
  <c r="E46" i="5"/>
  <c r="E36" i="5"/>
  <c r="I36" i="5" s="1"/>
  <c r="H49" i="11"/>
  <c r="N58" i="5" s="1"/>
  <c r="R58" i="5" s="1"/>
  <c r="H48" i="10"/>
  <c r="N28" i="5" s="1"/>
  <c r="R28" i="5" s="1"/>
  <c r="N6" i="5"/>
  <c r="E15" i="5"/>
  <c r="I15" i="5" s="1"/>
  <c r="H139" i="15"/>
  <c r="H124" i="15"/>
  <c r="E69" i="5" s="1"/>
  <c r="E5" i="5"/>
  <c r="E8" i="5"/>
  <c r="E14" i="5"/>
  <c r="I14" i="5" s="1"/>
  <c r="E13" i="5"/>
  <c r="E7" i="5"/>
  <c r="E9" i="5"/>
  <c r="H72" i="10"/>
  <c r="N30" i="5" s="1"/>
  <c r="R30" i="5" s="1"/>
  <c r="H73" i="11"/>
  <c r="N60" i="5" s="1"/>
  <c r="R60" i="5" s="1"/>
  <c r="H68" i="11"/>
  <c r="H67" i="10"/>
  <c r="N29" i="5" s="1"/>
  <c r="R29" i="5" s="1"/>
  <c r="I37" i="5"/>
  <c r="I68" i="5"/>
  <c r="I75" i="5"/>
  <c r="I70" i="5"/>
  <c r="I77" i="5"/>
  <c r="I66" i="5"/>
  <c r="I62" i="5"/>
  <c r="E58" i="5"/>
  <c r="I58" i="5" s="1"/>
  <c r="I76" i="5"/>
  <c r="H222" i="15"/>
  <c r="E17" i="5"/>
  <c r="I61" i="5"/>
  <c r="H69" i="9"/>
  <c r="H72" i="9"/>
  <c r="H63" i="9"/>
  <c r="H78" i="9" s="1"/>
  <c r="H77" i="11"/>
  <c r="H92" i="11" s="1"/>
  <c r="H83" i="11"/>
  <c r="H91" i="11"/>
  <c r="H15" i="10"/>
  <c r="H90" i="10"/>
  <c r="H76" i="10"/>
  <c r="H91" i="10" s="1"/>
  <c r="H82" i="10"/>
  <c r="H16" i="11"/>
  <c r="H77" i="9"/>
  <c r="H11" i="15"/>
  <c r="H23" i="15" s="1"/>
  <c r="H28" i="15" s="1"/>
  <c r="H13" i="6"/>
  <c r="H151" i="6"/>
  <c r="E42" i="5" s="1"/>
  <c r="H158" i="6"/>
  <c r="E43" i="5" s="1"/>
  <c r="H200" i="6"/>
  <c r="H205" i="6"/>
  <c r="H204" i="6"/>
  <c r="F88" i="6"/>
  <c r="H88" i="6" s="1"/>
  <c r="H87" i="6"/>
  <c r="H143" i="6"/>
  <c r="H142" i="6"/>
  <c r="E41" i="5" s="1"/>
  <c r="H20" i="2"/>
  <c r="H112" i="2"/>
  <c r="H54" i="2"/>
  <c r="H19" i="2"/>
  <c r="H26" i="2" s="1"/>
  <c r="H64" i="2" s="1"/>
  <c r="H124" i="2" s="1"/>
  <c r="H67" i="2"/>
  <c r="H66" i="2"/>
  <c r="H108" i="2"/>
  <c r="H58" i="2"/>
  <c r="H113" i="2"/>
  <c r="H59" i="2"/>
  <c r="H15" i="11"/>
  <c r="H16" i="10"/>
  <c r="H16" i="9"/>
  <c r="H15" i="9"/>
  <c r="H80" i="9" l="1"/>
  <c r="N31" i="5"/>
  <c r="R31" i="5" s="1"/>
  <c r="H25" i="9"/>
  <c r="E71" i="5"/>
  <c r="I71" i="5" s="1"/>
  <c r="H156" i="15"/>
  <c r="H224" i="15" s="1"/>
  <c r="E79" i="5"/>
  <c r="I79" i="5" s="1"/>
  <c r="E47" i="5"/>
  <c r="E35" i="5"/>
  <c r="H31" i="10"/>
  <c r="I69" i="5"/>
  <c r="H30" i="6"/>
  <c r="E12" i="5"/>
  <c r="H31" i="11"/>
  <c r="N59" i="5"/>
  <c r="R59" i="5" s="1"/>
  <c r="I34" i="5"/>
  <c r="E27" i="5"/>
  <c r="I64" i="5"/>
  <c r="I78" i="5"/>
  <c r="I74" i="5"/>
  <c r="I65" i="5"/>
  <c r="I73" i="5"/>
  <c r="E57" i="5"/>
  <c r="I59" i="5"/>
  <c r="I60" i="5"/>
  <c r="E28" i="5"/>
  <c r="I67" i="5"/>
  <c r="R6" i="5"/>
  <c r="E6" i="5" l="1"/>
  <c r="E11" i="5"/>
  <c r="E16" i="5"/>
  <c r="E10" i="5"/>
  <c r="H93" i="10"/>
  <c r="I35" i="5"/>
  <c r="N27" i="5"/>
  <c r="R27" i="5" s="1"/>
  <c r="R32" i="5" s="1"/>
  <c r="R34" i="5" s="1"/>
  <c r="N57" i="5"/>
  <c r="R57" i="5" s="1"/>
  <c r="N9" i="5"/>
  <c r="R9" i="5" s="1"/>
  <c r="I63" i="5"/>
  <c r="N5" i="5"/>
  <c r="R5" i="5" s="1"/>
  <c r="R10" i="5" l="1"/>
  <c r="R11" i="5" s="1"/>
  <c r="R33" i="5"/>
  <c r="R35" i="5" s="1"/>
  <c r="R37" i="5" s="1"/>
  <c r="R12" i="5" l="1"/>
  <c r="R13" i="5" s="1"/>
  <c r="R15" i="5" s="1"/>
  <c r="I41" i="5"/>
  <c r="I40" i="5"/>
  <c r="I39" i="5"/>
  <c r="I38" i="5"/>
  <c r="I33" i="5"/>
  <c r="I32" i="5"/>
  <c r="I31" i="5"/>
  <c r="I30" i="5"/>
  <c r="I29" i="5"/>
  <c r="I9" i="5" l="1"/>
  <c r="I45" i="5"/>
  <c r="I44" i="5"/>
  <c r="I46" i="5"/>
  <c r="I42" i="5" l="1"/>
  <c r="I48" i="5"/>
  <c r="I72" i="5"/>
  <c r="I43" i="5"/>
  <c r="I80" i="5" l="1"/>
  <c r="I27" i="5"/>
  <c r="I47" i="5"/>
  <c r="I82" i="5" l="1"/>
  <c r="I81" i="5"/>
  <c r="I49" i="5"/>
  <c r="I83" i="5" l="1"/>
  <c r="I51" i="5"/>
  <c r="I50" i="5"/>
  <c r="I12" i="5"/>
  <c r="I17" i="5"/>
  <c r="I13" i="5"/>
  <c r="I11" i="5"/>
  <c r="I52" i="5" l="1"/>
  <c r="I16" i="5"/>
  <c r="I7" i="5" l="1"/>
  <c r="I8" i="5" l="1"/>
  <c r="I10" i="5"/>
  <c r="I6" i="5" l="1"/>
  <c r="I18" i="5" s="1"/>
  <c r="I19" i="5" l="1"/>
  <c r="I20" i="5"/>
  <c r="I21" i="5" l="1"/>
  <c r="N61" i="5" l="1"/>
  <c r="R61" i="5" s="1"/>
  <c r="R62" i="5" s="1"/>
  <c r="H94" i="11" l="1"/>
  <c r="R64" i="5"/>
  <c r="R63" i="5"/>
  <c r="R65" i="5" l="1"/>
  <c r="R67" i="5" s="1"/>
</calcChain>
</file>

<file path=xl/sharedStrings.xml><?xml version="1.0" encoding="utf-8"?>
<sst xmlns="http://schemas.openxmlformats.org/spreadsheetml/2006/main" count="3020" uniqueCount="423">
  <si>
    <t>Neighbourhood Health Centres</t>
  </si>
  <si>
    <t>Design Typologies - Schedules of Accommodation</t>
  </si>
  <si>
    <t>30k GP Population - Basis for the designs</t>
  </si>
  <si>
    <t xml:space="preserve">Date: </t>
  </si>
  <si>
    <r>
      <t xml:space="preserve">Note: </t>
    </r>
    <r>
      <rPr>
        <sz val="11"/>
        <color theme="1"/>
        <rFont val="Aptos Narrow"/>
        <family val="2"/>
        <scheme val="minor"/>
      </rPr>
      <t xml:space="preserve">The schedule and assumptions are iterative, are based on the information available to date and therefore are subject to change. </t>
    </r>
  </si>
  <si>
    <t>No.</t>
  </si>
  <si>
    <t>Category</t>
  </si>
  <si>
    <t>Assumption</t>
  </si>
  <si>
    <t>ALL</t>
  </si>
  <si>
    <r>
      <t xml:space="preserve">Functional content is indicative and based on the current iteration of the activity model. Functional content reflects the following assumptions for the unintegrated and integrated models respectively:
•  Both models reflect the modelled requirements for a GP population of 30,000, a Community Care population of 50,000, and an 'Other' (e.g. diagnostics etc.) of 100,000.
•  The </t>
    </r>
    <r>
      <rPr>
        <b/>
        <sz val="11"/>
        <color theme="1"/>
        <rFont val="Aptos Narrow"/>
        <family val="2"/>
        <scheme val="minor"/>
      </rPr>
      <t xml:space="preserve">unintegrated model </t>
    </r>
    <r>
      <rPr>
        <sz val="11"/>
        <color theme="1"/>
        <rFont val="Aptos Narrow"/>
        <family val="2"/>
        <scheme val="minor"/>
      </rPr>
      <t xml:space="preserve">is set to the following parameters: 50 operational hours per week, 50 operational weeks per annum, with the majority of services operating at 60% utilisation (Secondary care, community care and Minor Injuries assumed to operate at 80% utilisation).
•  The </t>
    </r>
    <r>
      <rPr>
        <b/>
        <sz val="11"/>
        <color theme="1"/>
        <rFont val="Aptos Narrow"/>
        <family val="2"/>
        <scheme val="minor"/>
      </rPr>
      <t>integrated model</t>
    </r>
    <r>
      <rPr>
        <sz val="11"/>
        <color theme="1"/>
        <rFont val="Aptos Narrow"/>
        <family val="2"/>
        <scheme val="minor"/>
      </rPr>
      <t xml:space="preserve"> is set to the following parameters: 72 operational hours per week, 50 operational weeks per annum for Frailty and GP services, with all other services operating for 52 weeks per annum, and all services operating at 80% utilisation.
</t>
    </r>
  </si>
  <si>
    <t>Where available, all standard room sizes have been aligned with the updated HBN 00-03 and HBN 11-01.</t>
  </si>
  <si>
    <t>Consultation/examination and Consultation/treatment rooms have been planned based on a ratio of 80:20; in some cases, this has been rounded up/down to support the design. Treatment rooms have been based on a ratio of 70:30 Standard: Bariatric.</t>
  </si>
  <si>
    <t xml:space="preserve">The following departmental uplifts have been assumed based on updated guidance and recent project experience:
• Circulation: 35% for clinical areas, including clinical and non-clinical support zones, and 25% for non-clinical areas (i.e. staff and public zones)
• Engineering: Has been standardised at 5% for all services
• Planning: Has been standardised at 11% for all services
The following whole building uplifts have been assumed:
• Communication: Has been standardised at 12% for all services
• Plant: Has been standardised at 23% for all services
</t>
  </si>
  <si>
    <r>
      <t xml:space="preserve">The </t>
    </r>
    <r>
      <rPr>
        <b/>
        <sz val="11"/>
        <color theme="1"/>
        <rFont val="Aptos Narrow"/>
        <family val="2"/>
        <scheme val="minor"/>
      </rPr>
      <t>unintegrated schedule</t>
    </r>
    <r>
      <rPr>
        <sz val="11"/>
        <color theme="1"/>
        <rFont val="Aptos Narrow"/>
        <family val="2"/>
        <scheme val="minor"/>
      </rPr>
      <t xml:space="preserve"> is based on the following assumptions:
• Where clinical activity/specificity permits, services have been briefed as a distinct service zone and/or department (e.g. GP services, some aspects of CMH).
• Where appropriate, some services may share clinical and non-clinical support functions and/or staff support areas to reduce the unnecessary duplication of space. This has been assumed for services with high potential of cross-MDT collaboration and/or where low service activity does not justify the service as being a distinct(i.e. separate) department. 
• Where appropriate, some services may share waiting/reception functions to reduce the unnecessary duplication of reception/public amenities. This has been assumed for services with patients of similar acuity/need and where there is a high potential of cross-MDT collaboration. Where adult and paediatric services are provided, flows should be separated and discrete/separate waiting areas should be provided.
• Whilst services may share some support functions, the schedule has assumed distinct clinical zones for each service which comprise of key clinical functional content based on the activity model (i.e. clinical rooms are not shared).
The </t>
    </r>
    <r>
      <rPr>
        <b/>
        <sz val="11"/>
        <color theme="1"/>
        <rFont val="Aptos Narrow"/>
        <family val="2"/>
        <scheme val="minor"/>
      </rPr>
      <t>integrated schedule</t>
    </r>
    <r>
      <rPr>
        <sz val="11"/>
        <color theme="1"/>
        <rFont val="Aptos Narrow"/>
        <family val="2"/>
        <scheme val="minor"/>
      </rPr>
      <t xml:space="preserve"> is based on the following assumptions:
• Generic clinical rooms will be shared by all services such that no one service will 'own' a space. It is recognised that some services (based on national requirements and/or to support patient safety, experience) may require speciality-specific accommodation and/or a distinct zone (e.g. mental health services). The nuances of an integrated model/schedule will be worked through in later iterations. 
• All services will share waiting spaces, clinical and non-clinical support functions, and staff support areas (where appropriate) to support a truly integrated model. Where paediatric services and adult services are provided, flows should be appropriately separated either through the design or through list planning. </t>
    </r>
  </si>
  <si>
    <t>Virtual consultation allowance</t>
  </si>
  <si>
    <t>The number of virtual consultation booths provided is based on the modelling, and assumes 70% of the modelled output will be carried out within dedicated virtual consultation booths, and 30% will be carried out within quiet rooms in the Staff zone.</t>
  </si>
  <si>
    <t>Staff administration allowance</t>
  </si>
  <si>
    <t>The schedule assumes 0.5 x hot desk per generic clinical room (including group rooms and phlebotomy (where provided)) for core services, and 0.6 x hot desk per generic clinical room for core+ and core++ models. It is assumed 20% of admin may be carried out within clinical spaces based on the 80% assumed room utilisation and 20% may be carried out within touchdown spaces. Staff may also utilise the collaboration area, quiet room(s) and interview rooms for administrative functions.</t>
  </si>
  <si>
    <t xml:space="preserve">The schedule does not assume/provide clinical touchdown spaces for staff in the unintegrated model due to the lower utilisation / reduced assumed movement of staff between rooms. Staff may utilise the hot desks provided, otherwise it is assumed staff will write up clinical notes/carry out essential clinical admin within the generic clinical room in between clinic sessions. </t>
  </si>
  <si>
    <t xml:space="preserve">The schedule assumes/provides clinical touchdown spaces for staff in the integrated model(s) only. It is assumed given the integrated nature, sharing of rooms and higher utilisation of this model, staff will require additional touchdown spaces to write up clinical notes/carry out essential admin in between clinic sessions - an uplift of 20% (based on number of clinical rooms) has been provided. </t>
  </si>
  <si>
    <t>Staff welfare and support allowance</t>
  </si>
  <si>
    <t xml:space="preserve">The schedule assumes 40% occupancy for staff rest areas, based on the assumed number of staff working with 10% (rounded up) of this being provided as wheelchair places. </t>
  </si>
  <si>
    <t>The schedules assumes 1 x per person allowance for staff changing/shower/lockers per generic clinical room, including group rooms and phlebotomy (where provided).</t>
  </si>
  <si>
    <t>Waiting allowance</t>
  </si>
  <si>
    <r>
      <t xml:space="preserve">The schedule assumes 2 x people waiting per generic clinical room, and 8 people waiting per group room. A separate children's/play area allowance has been included, and is based on either 10% of the total waiting allowance (rounded up) </t>
    </r>
    <r>
      <rPr>
        <b/>
        <sz val="11"/>
        <color theme="1"/>
        <rFont val="Aptos Narrow"/>
        <family val="2"/>
        <scheme val="minor"/>
      </rPr>
      <t>or</t>
    </r>
    <r>
      <rPr>
        <sz val="11"/>
        <color theme="1"/>
        <rFont val="Aptos Narrow"/>
        <family val="2"/>
        <scheme val="minor"/>
      </rPr>
      <t xml:space="preserve"> a minimum of 6m2 has been provided, whichever is larger.</t>
    </r>
  </si>
  <si>
    <t>Reception / Self-check-in allowance</t>
  </si>
  <si>
    <t>The number of reception desk spaces / self-check-in kiosks have been based on an allocation of 1 per 35 people waiting. In some cases, e.g. mental health, self-check-in kiosks have been omitted.</t>
  </si>
  <si>
    <t>1a) Unintegrated - Core</t>
  </si>
  <si>
    <t>2a) Integrated - Core</t>
  </si>
  <si>
    <t>Departmental Uplifts</t>
  </si>
  <si>
    <t>Service</t>
  </si>
  <si>
    <t>Zone</t>
  </si>
  <si>
    <t>Key Functional Content</t>
  </si>
  <si>
    <r>
      <t>NDA (m</t>
    </r>
    <r>
      <rPr>
        <b/>
        <vertAlign val="superscript"/>
        <sz val="10"/>
        <color theme="0"/>
        <rFont val="Arial"/>
        <family val="2"/>
      </rPr>
      <t>2</t>
    </r>
    <r>
      <rPr>
        <b/>
        <sz val="10"/>
        <color theme="0"/>
        <rFont val="Arial"/>
        <family val="2"/>
      </rPr>
      <t>)</t>
    </r>
  </si>
  <si>
    <t>Planning</t>
  </si>
  <si>
    <t>Circulation</t>
  </si>
  <si>
    <t>Engineering</t>
  </si>
  <si>
    <r>
      <t>GDA(m</t>
    </r>
    <r>
      <rPr>
        <b/>
        <vertAlign val="superscript"/>
        <sz val="10"/>
        <color theme="0"/>
        <rFont val="Arial"/>
        <family val="2"/>
      </rPr>
      <t>2</t>
    </r>
    <r>
      <rPr>
        <b/>
        <sz val="10"/>
        <color theme="0"/>
        <rFont val="Arial"/>
        <family val="2"/>
      </rPr>
      <t>)</t>
    </r>
  </si>
  <si>
    <t>Main Entrance</t>
  </si>
  <si>
    <t>Public</t>
  </si>
  <si>
    <t>GP Services</t>
  </si>
  <si>
    <t>Clincal Zone</t>
  </si>
  <si>
    <t>Clinical</t>
  </si>
  <si>
    <t>Clinical and Non-clinical Support</t>
  </si>
  <si>
    <t>Hot Zone</t>
  </si>
  <si>
    <t>Hot zone</t>
  </si>
  <si>
    <t>Staff Support</t>
  </si>
  <si>
    <t>Subtotal</t>
  </si>
  <si>
    <t>Community Care &amp; Secondary Shift Clinics</t>
  </si>
  <si>
    <t>Building uplifts</t>
  </si>
  <si>
    <t>Communication</t>
  </si>
  <si>
    <t>Community Care - Clinical</t>
  </si>
  <si>
    <t>Plant</t>
  </si>
  <si>
    <t>Secondary Shift - Clinical</t>
  </si>
  <si>
    <t>Total GIA</t>
  </si>
  <si>
    <t>Communiy &amp; Secondary - Shared Clinical</t>
  </si>
  <si>
    <t>As-drawn GIA</t>
  </si>
  <si>
    <t>% variation</t>
  </si>
  <si>
    <t>FM Hub</t>
  </si>
  <si>
    <t>Non-clinical support</t>
  </si>
  <si>
    <t>1b) Unintegrated - Core +</t>
  </si>
  <si>
    <t>2b) Integrated - Core +</t>
  </si>
  <si>
    <t>Main Entrance / Wider Neighbourhood Support</t>
  </si>
  <si>
    <t>Staff</t>
  </si>
  <si>
    <t>Community Care, Secondary Shift Clinics &amp; Family Hub</t>
  </si>
  <si>
    <t>Community &amp; Secondary - Public</t>
  </si>
  <si>
    <t>Family Hub - Public</t>
  </si>
  <si>
    <t>Family Hub - Clinical</t>
  </si>
  <si>
    <t>Community Mental Health &amp; Minor Injuries/Walk-in</t>
  </si>
  <si>
    <t>Community Mental Health - Public</t>
  </si>
  <si>
    <t>Minor Injuries - Public</t>
  </si>
  <si>
    <t>Community Mental Health - Clinical</t>
  </si>
  <si>
    <t>Minor Injuries - Clinical</t>
  </si>
  <si>
    <t>1c) Unintegrated - Core ++</t>
  </si>
  <si>
    <t>2c) Integrated - Core ++</t>
  </si>
  <si>
    <t>Community Care, Secondary Shift Clinics, Family Hub &amp; Diagnostics</t>
  </si>
  <si>
    <t>Diagnostics - Clinical</t>
  </si>
  <si>
    <t>Community, Secondary &amp; Diagnostics - Shared Clinical</t>
  </si>
  <si>
    <t>1a) Unintegrated - Core Services</t>
  </si>
  <si>
    <t xml:space="preserve">Core functional content driven by the modelling </t>
  </si>
  <si>
    <t>Typology</t>
  </si>
  <si>
    <t>Room name</t>
  </si>
  <si>
    <t>Quantity</t>
  </si>
  <si>
    <r>
      <t>Size (m</t>
    </r>
    <r>
      <rPr>
        <b/>
        <vertAlign val="superscript"/>
        <sz val="10"/>
        <color theme="0"/>
        <rFont val="Arial"/>
        <family val="2"/>
      </rPr>
      <t>2</t>
    </r>
    <r>
      <rPr>
        <b/>
        <sz val="10"/>
        <color theme="0"/>
        <rFont val="Arial"/>
        <family val="2"/>
      </rPr>
      <t>)</t>
    </r>
  </si>
  <si>
    <r>
      <t>Total size (m</t>
    </r>
    <r>
      <rPr>
        <b/>
        <vertAlign val="superscript"/>
        <sz val="10"/>
        <color theme="0"/>
        <rFont val="Arial"/>
        <family val="2"/>
      </rPr>
      <t>2</t>
    </r>
    <r>
      <rPr>
        <b/>
        <sz val="10"/>
        <color theme="0"/>
        <rFont val="Arial"/>
        <family val="2"/>
      </rPr>
      <t>)</t>
    </r>
  </si>
  <si>
    <t>Comments</t>
  </si>
  <si>
    <t>Core</t>
  </si>
  <si>
    <t>Lobby: Main Entrance (Small)</t>
  </si>
  <si>
    <t>External canopy shelter: Mobility scooter/pram (Small)</t>
  </si>
  <si>
    <t>External</t>
  </si>
  <si>
    <t>Changing places</t>
  </si>
  <si>
    <t>Nappy change room</t>
  </si>
  <si>
    <t>Infant feeding room</t>
  </si>
  <si>
    <t>Multi-faith room</t>
  </si>
  <si>
    <t>May be provided depending on local requirements.</t>
  </si>
  <si>
    <t>Patient information/resource centre</t>
  </si>
  <si>
    <t>Store: 10m2</t>
  </si>
  <si>
    <t>Third sector storage</t>
  </si>
  <si>
    <t>WC: Accessible</t>
  </si>
  <si>
    <t>Visitor WC</t>
  </si>
  <si>
    <t>General Practice (GP) Services</t>
  </si>
  <si>
    <t>Waiting area allowance: Per person</t>
  </si>
  <si>
    <t xml:space="preserve">Assumes 2 x people waiting per clinical room, and 8 x people waiting for group rooms. </t>
  </si>
  <si>
    <t>Waiting area allowance: Child/play area: Per person</t>
  </si>
  <si>
    <t>Assumes 10% allowance for child/play area, or a minimum of 6m2, whichever is larger.</t>
  </si>
  <si>
    <t>Reception: Per person</t>
  </si>
  <si>
    <t xml:space="preserve">Assumes 1 x reception space per 35 people. </t>
  </si>
  <si>
    <t>Self-check-in kiosk</t>
  </si>
  <si>
    <t>Assumes 1 x self-check-in per 35 people.</t>
  </si>
  <si>
    <t>WC: Semi-ambulant</t>
  </si>
  <si>
    <t>Includes specimen WCs.</t>
  </si>
  <si>
    <t>Interview/quiet room (Small)</t>
  </si>
  <si>
    <t>Clinical zone</t>
  </si>
  <si>
    <t>Consulting/examination room: Two-sided couch access</t>
  </si>
  <si>
    <t>Consultation/treatment room: Three-sided couch access</t>
  </si>
  <si>
    <t>Treatment room (Standard)</t>
  </si>
  <si>
    <t>Assume standard treatment room suffices.</t>
  </si>
  <si>
    <t>Treatment room (Bariatric)</t>
  </si>
  <si>
    <t>Group room</t>
  </si>
  <si>
    <t>Can be used flexibly as a seminar / MDT room</t>
  </si>
  <si>
    <t>Store: 5m2</t>
  </si>
  <si>
    <t>Group room storage (assume majority of equipment etc. stored in the room)</t>
  </si>
  <si>
    <t>Pantry/refreshment area</t>
  </si>
  <si>
    <t>Where more than 2 group rooms are provided</t>
  </si>
  <si>
    <t>Specimen WC: Independent wheelchair</t>
  </si>
  <si>
    <t>Clinical and non-clinical support zone</t>
  </si>
  <si>
    <t>Clean utility (Small)</t>
  </si>
  <si>
    <t>1 per 12 C/E rooms or 1 per 4 treatment rooms</t>
  </si>
  <si>
    <t>Dirty utility (Small)</t>
  </si>
  <si>
    <t>Near patient testing room</t>
  </si>
  <si>
    <t>Bay: Resus trolley</t>
  </si>
  <si>
    <t>Store: 8m2</t>
  </si>
  <si>
    <t>Clinical supplies</t>
  </si>
  <si>
    <t>Store: Ready to use gas cylinders</t>
  </si>
  <si>
    <t>General/equipment store</t>
  </si>
  <si>
    <t>Cleaner's room</t>
  </si>
  <si>
    <t>Disposal hold (Small)</t>
  </si>
  <si>
    <t>Staff shower/change: Gender neutral: Accessible</t>
  </si>
  <si>
    <t>Sluice</t>
  </si>
  <si>
    <t>Lobby: Entrance (small)</t>
  </si>
  <si>
    <t>Staff zone</t>
  </si>
  <si>
    <t>Virtual consultation pod</t>
  </si>
  <si>
    <t>Modelled outputs = 5, assume 70% carried out within dedicated booths, 30% carried out within quiet room</t>
  </si>
  <si>
    <t>Office: 1 person</t>
  </si>
  <si>
    <t>Practice managers</t>
  </si>
  <si>
    <t>Hot desk area: Per desk</t>
  </si>
  <si>
    <t>Assumes 0.6 x hot desks per clinical room with 40% carried out within clinical rooms (reflecting 60% room utilisation). Rounded to nearest whole number.</t>
  </si>
  <si>
    <t>Personal/team storage: Per person</t>
  </si>
  <si>
    <t>Staff WC: Ambulant</t>
  </si>
  <si>
    <t>Staff may also use specimen WCs.</t>
  </si>
  <si>
    <t>Staff WC: Accessible</t>
  </si>
  <si>
    <t>Staff rest and mini kitchen: Per person</t>
  </si>
  <si>
    <t xml:space="preserve">Assume 1 place per generic clinical room. </t>
  </si>
  <si>
    <t>Staff changing/shower/lockers: Per person</t>
  </si>
  <si>
    <t>Staff shower: Accessible</t>
  </si>
  <si>
    <t>Staff lockers: Per person</t>
  </si>
  <si>
    <t>Subtotal - GP Services</t>
  </si>
  <si>
    <t>Community Care and Secondary Shift Clinics</t>
  </si>
  <si>
    <t xml:space="preserve">Assumes 1 x self check-in per 35 people. </t>
  </si>
  <si>
    <t>Community Care Cluster</t>
  </si>
  <si>
    <t>Clinical Supplies.</t>
  </si>
  <si>
    <t>Equipment.</t>
  </si>
  <si>
    <t>Secondary Shift Clinics Cluster</t>
  </si>
  <si>
    <t>60% of required Treatment room provision.</t>
  </si>
  <si>
    <t xml:space="preserve">40% of required Treatment room provision. Bariatric provision. </t>
  </si>
  <si>
    <t>e.g. gynae patients</t>
  </si>
  <si>
    <t>Patient change: Wheelchair accessible</t>
  </si>
  <si>
    <t>1 per Treatment room.</t>
  </si>
  <si>
    <t>Recovery bay: Recliner/chair</t>
  </si>
  <si>
    <t>Clinical supplies.</t>
  </si>
  <si>
    <t>Shared Clinical zone</t>
  </si>
  <si>
    <t xml:space="preserve">Can be used flexibly as a seminar / MDT room. </t>
  </si>
  <si>
    <t>Scrub bay</t>
  </si>
  <si>
    <t>Shared, associated with treatment rooms. 1 per 4 treatment rooms.</t>
  </si>
  <si>
    <t>Bulk/general store.</t>
  </si>
  <si>
    <t>Combined total for Community Care and Secondary Shift Clinics. Modelled outputs = 6, assume 70% carried out within booths, 30% carried out within quiet room.</t>
  </si>
  <si>
    <t>Community Care team lead.</t>
  </si>
  <si>
    <t>Secondary Shift Clinics team lead.</t>
  </si>
  <si>
    <t>Assumes 0.8 x hot desks per clinical room with 20% carried out within clinical rooms (reflecting 80% room utilisation). Rounded to nearest whole number.</t>
  </si>
  <si>
    <t>Assume 1 place per generic clinical room. Combined allowance.</t>
  </si>
  <si>
    <t>Subtotal - Community Care &amp; Secondary Shift Clinics</t>
  </si>
  <si>
    <t>Non-clinical support zone</t>
  </si>
  <si>
    <t>Disposal hold: 1700 litres</t>
  </si>
  <si>
    <t>Shared across building.</t>
  </si>
  <si>
    <t>IT server/comms room (Small)</t>
  </si>
  <si>
    <t>Total</t>
  </si>
  <si>
    <t>2a) Integrated - Core Services</t>
  </si>
  <si>
    <t>Lobby: Main Entrance (Medium)</t>
  </si>
  <si>
    <t>External canopy shelter: Mobility scooter/pram (Medium)</t>
  </si>
  <si>
    <t>1 per 35 waiting spaces.</t>
  </si>
  <si>
    <t>Community pharmacy (allowance)</t>
  </si>
  <si>
    <t>60% of required C/E room provision.</t>
  </si>
  <si>
    <t>40% of required C/E room provision.</t>
  </si>
  <si>
    <t>70% of required Treatment room provision.</t>
  </si>
  <si>
    <t>Bariatric</t>
  </si>
  <si>
    <t>Group room storage</t>
  </si>
  <si>
    <t>Where more than 2 group rooms are provided.</t>
  </si>
  <si>
    <t>Bay: Beverage</t>
  </si>
  <si>
    <t>Patient change: Ambulant</t>
  </si>
  <si>
    <t>30% provision for treatment rooms.</t>
  </si>
  <si>
    <t>Associated with treatment rooms. ~ 1 per 4</t>
  </si>
  <si>
    <t>Clinical and non-clinical support</t>
  </si>
  <si>
    <t>1 per 4 treatment rooms</t>
  </si>
  <si>
    <t>Specimen reception</t>
  </si>
  <si>
    <t>Store: 15m2</t>
  </si>
  <si>
    <t>General store</t>
  </si>
  <si>
    <t>Equipment</t>
  </si>
  <si>
    <t>Assumes 1 per floor.</t>
  </si>
  <si>
    <t>Modelled outputs = 6, Assume 70% carried out within booths, 30% within quiet rooms</t>
  </si>
  <si>
    <t>Office: 2 people</t>
  </si>
  <si>
    <t>Community care/secondary shift</t>
  </si>
  <si>
    <t>Office: 1 Person</t>
  </si>
  <si>
    <t>GP Practice managers</t>
  </si>
  <si>
    <t>Shared workspace</t>
  </si>
  <si>
    <t>Assumes ~ 0.5 x admin space (hotdesk) per generic clinical room; 20% to be carried out within clinical rooms. 3 x located on ground floor</t>
  </si>
  <si>
    <t xml:space="preserve"> -</t>
  </si>
  <si>
    <t>1 x provided per workspace (13) included in above overall shared workspace allowance</t>
  </si>
  <si>
    <t>Photocopy/storage</t>
  </si>
  <si>
    <t>1 x included in above overall shared workspace allowance</t>
  </si>
  <si>
    <t>2 x included in above overall shared workspace allowance</t>
  </si>
  <si>
    <t>Quiet room</t>
  </si>
  <si>
    <t>Collaborative spaces</t>
  </si>
  <si>
    <t>Clinical touchdown: Per person</t>
  </si>
  <si>
    <t>Assumes 0.2 additional allowance per clinical room, rounded to nearest whole number.</t>
  </si>
  <si>
    <t>5nr Staff WCs total required for 60nr staff under BS 6465. (7nr if in individual self-contained cubicles)</t>
  </si>
  <si>
    <t>Staff rest: Ambulant dining/seating</t>
  </si>
  <si>
    <t>Assumes 60 clinical staff, and provides accommodation for 40% occupation = 24 total (3 x wheelchair places)</t>
  </si>
  <si>
    <t>Staff rest: Wheelchair places</t>
  </si>
  <si>
    <t>Staff kitchen</t>
  </si>
  <si>
    <t xml:space="preserve">Lockers BREEAM TRA 03 - 1nr locker per 10 staff. </t>
  </si>
  <si>
    <t>Assumes 1 space per generic clinical room. To include for BREEAM Green Travel provisions - male and female change with individual private cubicle in each and separate change</t>
  </si>
  <si>
    <t>1b) Unintegrated - Core+ Services</t>
  </si>
  <si>
    <t>Core+</t>
  </si>
  <si>
    <t>Main Entrance / Neighbourhood Support</t>
  </si>
  <si>
    <t>External.</t>
  </si>
  <si>
    <t>Assumes 1 per generic clinical space. Comfortable seating.</t>
  </si>
  <si>
    <t>1 per 35 people. Could also act as general help point/wayfinding for the building.</t>
  </si>
  <si>
    <t xml:space="preserve">The space may contain a mixture of tables, chairs, computer workstations and bookshelves. Display or leaflet stands or shelves may be provided. The size of the area will depend on the number/type of users, range of display 
information, whether the area is staffed or not, and whether it is an enclosed space or open bay. A suggestion for sizing the space would be 16 m2. This space will be used by:
• 1–2 patients 
• 1 staff member (if resourced)
• 1–2 others </t>
  </si>
  <si>
    <t>May be used for staff 1-to-1 and virtual consultations</t>
  </si>
  <si>
    <t>Virtual consultation rationalised. Modelled outputs = 5. Assume 70% carried out within dedicated pod, 30% carried out within quiet room.</t>
  </si>
  <si>
    <t>Small tea point/rest area for staff.</t>
  </si>
  <si>
    <t>Subtotal - Main entrance</t>
  </si>
  <si>
    <t>Community Care, Secondary Shift Clinics and Family Hub</t>
  </si>
  <si>
    <t>Family Hubs</t>
  </si>
  <si>
    <t>Public - Discrete zone</t>
  </si>
  <si>
    <t>Assume 30% allowance for child/play area.</t>
  </si>
  <si>
    <t>Clinical  zone</t>
  </si>
  <si>
    <t>2 per 12 C/E rooms or 1 per 4 treatment rooms</t>
  </si>
  <si>
    <t>Bulk/general store</t>
  </si>
  <si>
    <t>Total requirement for services = 8. Assume 70% carried out in dedicated booths, 30% carried out within quiet rooms.</t>
  </si>
  <si>
    <t>Family Hub lead.</t>
  </si>
  <si>
    <t>General administration. Assumes 0.8 x hot desk per generic clinical room to reflect 80% room utilisation. Combined allowance.</t>
  </si>
  <si>
    <t>Subtotal - Community Care, Secondary Shift Clinics &amp; Family Hub</t>
  </si>
  <si>
    <t>Community Mental Health &amp; Minor Injuries/Walk-ins</t>
  </si>
  <si>
    <t>Community Mental Health</t>
  </si>
  <si>
    <t>Assumes 2 x people waiting per clinical room, and 8 x people waiting for group rooms. Separation of adult / child mental health services required (if provided)</t>
  </si>
  <si>
    <t>Assume 10% allowance for child/play area or minimum 6m2, whichever is larger. Separation of adult / child mental health services required (if provided)</t>
  </si>
  <si>
    <t>1 per 35 people.</t>
  </si>
  <si>
    <t>Anti-ligature.</t>
  </si>
  <si>
    <t>Multisensory room</t>
  </si>
  <si>
    <t>Minor Injuries / Walk-in</t>
  </si>
  <si>
    <t xml:space="preserve">Assumes 2 per generic clinical space (incl. plaster room). </t>
  </si>
  <si>
    <t xml:space="preserve">Assume 10% allowance for child/play area or minimum 6m2, whichever is larger. </t>
  </si>
  <si>
    <t xml:space="preserve">Assumes two-sided access is sufficient. </t>
  </si>
  <si>
    <t>Group room storage.</t>
  </si>
  <si>
    <t>Observation room</t>
  </si>
  <si>
    <t>Adjacent to group room</t>
  </si>
  <si>
    <t>Anti-ligature</t>
  </si>
  <si>
    <t>Equipment/general store</t>
  </si>
  <si>
    <t>Plaster room</t>
  </si>
  <si>
    <t>Store: Plaster room</t>
  </si>
  <si>
    <t>Specimen WC: Independent Wheelchair</t>
  </si>
  <si>
    <t>Community Mental Health &amp; Minor Injuries / Walk-in</t>
  </si>
  <si>
    <t>Bay: Mobile imaging</t>
  </si>
  <si>
    <t>Make accessible</t>
  </si>
  <si>
    <t>Medicine store/preparation room</t>
  </si>
  <si>
    <t>Bay: Linen trolley</t>
  </si>
  <si>
    <t>Store: ready to use gas cylinders</t>
  </si>
  <si>
    <t>General/bulk store</t>
  </si>
  <si>
    <t>Combined allowance.</t>
  </si>
  <si>
    <t>CMH Team lead</t>
  </si>
  <si>
    <t>Minor Injuries Team lead</t>
  </si>
  <si>
    <t>Assumes  0.8 x per generic clinical space incl. plaster room</t>
  </si>
  <si>
    <t>Assumes ~ 1 per generic clinical space.</t>
  </si>
  <si>
    <t>Assumes 1 per generic clinical space.</t>
  </si>
  <si>
    <t>Subtotal - Community Mental Health &amp; Minor Injuries / Walk-in</t>
  </si>
  <si>
    <t>IT server/comms room (Medium)</t>
  </si>
  <si>
    <t>2b) Integrated - Core+ Services</t>
  </si>
  <si>
    <t>Assume 2 people per generic clinical space amd 8 people per group room</t>
  </si>
  <si>
    <t>Assume 10% of waiting for childrens/play area</t>
  </si>
  <si>
    <t>1 per 35 people</t>
  </si>
  <si>
    <t>Total WC allowance includes specimen/accessible WCs within clinical zone. 8nr patient WCs total required to meeting BS6465-1,</t>
  </si>
  <si>
    <t>Total WC allowance includes specimen/accessible WCs within clinical zone.</t>
  </si>
  <si>
    <t>Third sector storage.</t>
  </si>
  <si>
    <t>Public - Mental Health</t>
  </si>
  <si>
    <t>Anti ligature</t>
  </si>
  <si>
    <t>Mental health - adjoined to group room</t>
  </si>
  <si>
    <t>Assume 30% of treatment room activity</t>
  </si>
  <si>
    <t>Anti-ligature - Mental health</t>
  </si>
  <si>
    <t>Associated with treatment rooms, ~ 1 per 4</t>
  </si>
  <si>
    <t>Store: 20m2</t>
  </si>
  <si>
    <t>1 per floor</t>
  </si>
  <si>
    <t>Modelled output = 15; Assume 70% carried out within booths, 30% within quiet rooms</t>
  </si>
  <si>
    <t>Service managers / team leads</t>
  </si>
  <si>
    <t>Assumes ~ 0.6 admin space (hotdesk) per generic clinical room; 20% to be carried out within clinical rooms. 9 on ground floor</t>
  </si>
  <si>
    <t>1 x provided per workspace (22) included in above overall shared workspace allowance</t>
  </si>
  <si>
    <t>3 x included in above overall shared workspace allowance</t>
  </si>
  <si>
    <t>4 x included in above overall shared workspace allowance</t>
  </si>
  <si>
    <t>8nr Staff WCs total required to meet BS6465-1 for 98nr staff (10nr if in individual self-contained cubicles - 25% added for longer occupancy time to include handwashing)</t>
  </si>
  <si>
    <t>Assumes 98 staff, and provides accommodation for 40% occupation = 40 total (4 x wheelchair places)</t>
  </si>
  <si>
    <t>Assumes 1 per generic clinical room</t>
  </si>
  <si>
    <t>1b) Unintegrated - Core++ Services</t>
  </si>
  <si>
    <t>Reduced to 1 as people may receive support in the patient information/resource centre.</t>
  </si>
  <si>
    <t>Core++</t>
  </si>
  <si>
    <t>Diagnostics Cluster</t>
  </si>
  <si>
    <t>Incl. US room.</t>
  </si>
  <si>
    <t>Phlebotomy room</t>
  </si>
  <si>
    <t>Community Care, Secondary Shift Clinics and Diagnostics</t>
  </si>
  <si>
    <t>Shared, associated with treatment rooms. 1 per 4 treatment rooms</t>
  </si>
  <si>
    <t>Diagnostics lead.</t>
  </si>
  <si>
    <t>Subtotal - Community Care,  Secondary Shift Clinics, Family Hubs &amp; Diagnostics</t>
  </si>
  <si>
    <t>IT server/comms room (Large)</t>
  </si>
  <si>
    <t>2c) Integrated - Core++ Services</t>
  </si>
  <si>
    <t>Lobby: Main entrance (Large)</t>
  </si>
  <si>
    <t>Assumes 2 people per generic clinical space (incl. Phleb) and 8 per group room</t>
  </si>
  <si>
    <t>Assume 10% provision for childrens/play area</t>
  </si>
  <si>
    <t>~ 1 per 35 people</t>
  </si>
  <si>
    <t>Assume 1 per floor</t>
  </si>
  <si>
    <t>Assume ~30% of treatment room activity</t>
  </si>
  <si>
    <t>Store: 25m2</t>
  </si>
  <si>
    <t>General administration. Assumes ~ 0.6 per clinical space incl. phlebotomy; 20% carried out in clinical rooms</t>
  </si>
  <si>
    <t>1 x provided per workspace (28) included in above overall shared workspace allowance</t>
  </si>
  <si>
    <t>5 x included in above overall shared workspace allowance</t>
  </si>
  <si>
    <t>9nr Staff WCs total required under BS 6465 for 110nr staff (11nr if in self-contained washrooms)</t>
  </si>
  <si>
    <t>Assumes 110 staff, and provides accommodation for 40% occupation = 44 total (5 x wheelchair places)</t>
  </si>
  <si>
    <t>Lockers BREEAM TRA 03 - 1nr locker per 10 staff</t>
  </si>
  <si>
    <t>Assumes 1 per clinical space incl. phlebotomy.</t>
  </si>
  <si>
    <t>Generic Standard room name</t>
  </si>
  <si>
    <r>
      <t>Size (m</t>
    </r>
    <r>
      <rPr>
        <b/>
        <vertAlign val="superscript"/>
        <sz val="10"/>
        <color theme="1"/>
        <rFont val="Arial"/>
        <family val="2"/>
      </rPr>
      <t>2</t>
    </r>
    <r>
      <rPr>
        <b/>
        <sz val="10"/>
        <color theme="1"/>
        <rFont val="Arial"/>
        <family val="2"/>
      </rPr>
      <t>)</t>
    </r>
  </si>
  <si>
    <t>Allows two people with a baby to use this space comfortably. A parent/carer with a double buggy (1040 mm long by 800 mm wide) can manoeuvre in and out of this room. May be used as a multi-faith room in smaller schemes.</t>
  </si>
  <si>
    <t>Enables these spaces to have a mixture of seating – including easy and bariatric chairs – and to accommodate the necessary circulation space to manoeuvre in the waiting area, with 10% of spaces to be suitable for people in wheelchairs.</t>
  </si>
  <si>
    <t>Minimum recommended size of 6m2.</t>
  </si>
  <si>
    <t>Includes allowance for a local printer to be located here.</t>
  </si>
  <si>
    <t>Consulting room (Small)</t>
  </si>
  <si>
    <t xml:space="preserve">2–3 occupants.
 </t>
  </si>
  <si>
    <t>Consulting room (Medium)</t>
  </si>
  <si>
    <t>5–6 occupants. Can also support multidisciplinary team (MDT) activities.</t>
  </si>
  <si>
    <t>The consulting/examination room is intended as a flexible space for consultations and examinations, for use by a wide range of clinical specialties. The following procedures may take place in this room:
• non-invasive procedures, i.e. procedures that do not break the skin (for example, changing a dressing)
• minimally invasive procedures i.e. procedures that break or puncture the skin (for example, injections, taking 
blood)</t>
  </si>
  <si>
    <t>The room may also be used as a quiet space where difficult conversations can take place in a calm 
environment or to provide respite from over stimulation if sensory-sensitive. The room should have appropriate sound insulation.</t>
  </si>
  <si>
    <t>Interview/quiet room (Medium)</t>
  </si>
  <si>
    <t>E-consult pod with a glazed sliding door (generally for single occupancy but with provision for an additional supporting occupant)</t>
  </si>
  <si>
    <t>Virtual consultation room</t>
  </si>
  <si>
    <t>Up to 3 occupants</t>
  </si>
  <si>
    <t>Three-sided or all-round couch access</t>
  </si>
  <si>
    <t>Treatment room (Large)</t>
  </si>
  <si>
    <t>Three-sided couch access</t>
  </si>
  <si>
    <t>All-round couch access - bariatric activity</t>
  </si>
  <si>
    <t>For dressed patients</t>
  </si>
  <si>
    <t>Recovery bay: Trolley</t>
  </si>
  <si>
    <t>Gowned patients</t>
  </si>
  <si>
    <t>Bay: Wheelchair parking</t>
  </si>
  <si>
    <t>Bay: Vending machines</t>
  </si>
  <si>
    <t>Clinical measurement room</t>
  </si>
  <si>
    <t>Cleaner's cupboard</t>
  </si>
  <si>
    <t>Provided if more than 2 group rooms</t>
  </si>
  <si>
    <t>1 per specimen reception.</t>
  </si>
  <si>
    <t xml:space="preserve">Size based on number of seats. Assume 1 place per generic clincial room. </t>
  </si>
  <si>
    <t>General storage allowance</t>
  </si>
  <si>
    <t>2m2 per clinical room</t>
  </si>
  <si>
    <t>Clean utility (Medium)</t>
  </si>
  <si>
    <t>Dirty utility (Medium)</t>
  </si>
  <si>
    <t>Lobby: Entrance (Small)</t>
  </si>
  <si>
    <t>Number of people</t>
  </si>
  <si>
    <t>Number of Ambulant WCs</t>
  </si>
  <si>
    <t>Number of Accessible WCs</t>
  </si>
  <si>
    <t>BS6465-1 Total WC's General</t>
  </si>
  <si>
    <t>BS6465-1 Total WC's 50/50 M/F split (120%)</t>
  </si>
  <si>
    <t>Column1</t>
  </si>
  <si>
    <t>BS6465-1 Total WC's Separate with basin 25% uplift</t>
  </si>
  <si>
    <t>Column2</t>
  </si>
  <si>
    <t>Calculation</t>
  </si>
  <si>
    <t>Actual</t>
  </si>
  <si>
    <t>Above 100</t>
  </si>
  <si>
    <t>8 plus 1 for every unit or fraction of 25 persons</t>
  </si>
  <si>
    <t>Staff numbers</t>
  </si>
  <si>
    <t>Cycle Space</t>
  </si>
  <si>
    <t>Lockers</t>
  </si>
  <si>
    <t>Showers</t>
  </si>
  <si>
    <t>1 cycle space per 10 staff</t>
  </si>
  <si>
    <t>1-10 staff</t>
  </si>
  <si>
    <t>1 shower per 10 cycle space (100 staff)</t>
  </si>
  <si>
    <t>11-20</t>
  </si>
  <si>
    <t>1 locker per cycle space</t>
  </si>
  <si>
    <t>21-30</t>
  </si>
  <si>
    <t>31-40</t>
  </si>
  <si>
    <t>No of cycle spaces for healthcare</t>
  </si>
  <si>
    <t>41-50</t>
  </si>
  <si>
    <t>51-60</t>
  </si>
  <si>
    <t>61-70</t>
  </si>
  <si>
    <t>71-80</t>
  </si>
  <si>
    <t>81-90</t>
  </si>
  <si>
    <t>91-100</t>
  </si>
  <si>
    <t>101-110</t>
  </si>
  <si>
    <t>111-120</t>
  </si>
  <si>
    <t>121-130</t>
  </si>
  <si>
    <t>131-140</t>
  </si>
  <si>
    <t>141-150</t>
  </si>
  <si>
    <t>151-160</t>
  </si>
  <si>
    <t>161-170</t>
  </si>
  <si>
    <t>171-180</t>
  </si>
  <si>
    <t>181-190</t>
  </si>
  <si>
    <t>191-200</t>
  </si>
  <si>
    <t>201 210</t>
  </si>
  <si>
    <t>211-220</t>
  </si>
  <si>
    <t>221-230</t>
  </si>
  <si>
    <t>231-240</t>
  </si>
  <si>
    <t>241-250</t>
  </si>
  <si>
    <t>251-260</t>
  </si>
  <si>
    <t>261-270</t>
  </si>
  <si>
    <t>271-280</t>
  </si>
  <si>
    <t>281-290</t>
  </si>
  <si>
    <t>291-300</t>
  </si>
  <si>
    <t>Version number: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</si>
</sst>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0.0"/>
  </numFmts>
  <fonts count="29" x14ac:knownFonts="1">
    <font>
      <sz val="11"/>
      <color theme="1"/>
      <name val="Aptos Narrow"/>
      <family val="2"/>
      <scheme val="minor"/>
    </font>
    <font>
      <sz val="10"/>
      <color theme="0"/>
      <name val="Arial"/>
      <family val="2"/>
    </font>
    <font>
      <sz val="10"/>
      <color theme="1"/>
      <name val="Arial"/>
      <family val="2"/>
    </font>
    <font>
      <sz val="11"/>
      <color theme="1"/>
      <name val="Arial"/>
      <family val="2"/>
    </font>
    <font>
      <b/>
      <sz val="18"/>
      <color rgb="FF000000"/>
      <name val="Arial"/>
      <family val="2"/>
    </font>
    <font>
      <b/>
      <sz val="22"/>
      <color theme="5" tint="-0.499984740745262"/>
      <name val="Arial"/>
      <family val="2"/>
    </font>
    <font>
      <b/>
      <sz val="16"/>
      <color rgb="FFC00000"/>
      <name val="Arial"/>
      <family val="2"/>
    </font>
    <font>
      <b/>
      <sz val="36"/>
      <color theme="8"/>
      <name val="Arial"/>
      <family val="2"/>
    </font>
    <font>
      <b/>
      <sz val="36"/>
      <color rgb="FF005EB8"/>
      <name val="Arial"/>
      <family val="2"/>
    </font>
    <font>
      <b/>
      <sz val="24"/>
      <color theme="1"/>
      <name val="Arial"/>
      <family val="2"/>
    </font>
    <font>
      <sz val="14"/>
      <color rgb="FF000000"/>
      <name val="Arial"/>
      <family val="2"/>
    </font>
    <font>
      <sz val="16"/>
      <color rgb="FF000000"/>
      <name val="Arial"/>
      <family val="2"/>
    </font>
    <font>
      <sz val="18"/>
      <color rgb="FF000000"/>
      <name val="Arial"/>
      <family val="2"/>
    </font>
    <font>
      <sz val="14"/>
      <color theme="1"/>
      <name val="Arial"/>
      <family val="2"/>
    </font>
    <font>
      <b/>
      <sz val="14"/>
      <color theme="1"/>
      <name val="Arial"/>
      <family val="2"/>
    </font>
    <font>
      <b/>
      <sz val="11"/>
      <color theme="1"/>
      <name val="Arial"/>
      <family val="2"/>
    </font>
    <font>
      <sz val="20"/>
      <color theme="1"/>
      <name val="Arial"/>
      <family val="2"/>
    </font>
    <font>
      <b/>
      <sz val="10"/>
      <color theme="1"/>
      <name val="Arial"/>
      <family val="2"/>
    </font>
    <font>
      <b/>
      <sz val="10"/>
      <color theme="0"/>
      <name val="Arial"/>
      <family val="2"/>
    </font>
    <font>
      <sz val="10"/>
      <name val="Arial"/>
      <family val="2"/>
    </font>
    <font>
      <u/>
      <sz val="11"/>
      <color theme="10"/>
      <name val="Aptos Narrow"/>
      <family val="2"/>
      <scheme val="minor"/>
    </font>
    <font>
      <b/>
      <vertAlign val="superscript"/>
      <sz val="10"/>
      <color theme="0"/>
      <name val="Arial"/>
      <family val="2"/>
    </font>
    <font>
      <i/>
      <sz val="10"/>
      <color theme="1"/>
      <name val="Arial"/>
      <family val="2"/>
    </font>
    <font>
      <sz val="10"/>
      <color rgb="FFFF0000"/>
      <name val="Arial"/>
      <family val="2"/>
    </font>
    <font>
      <b/>
      <vertAlign val="superscript"/>
      <sz val="10"/>
      <color theme="1"/>
      <name val="Arial"/>
      <family val="2"/>
    </font>
    <font>
      <b/>
      <sz val="11"/>
      <color theme="1"/>
      <name val="Aptos Narrow"/>
      <family val="2"/>
      <scheme val="minor"/>
    </font>
    <font>
      <sz val="8"/>
      <name val="Aptos Narrow"/>
      <family val="2"/>
      <scheme val="minor"/>
    </font>
    <font>
      <b/>
      <sz val="18"/>
      <color theme="1"/>
      <name val="Arial"/>
      <family val="2"/>
    </font>
    <font>
      <i/>
      <sz val="10"/>
      <name val="Arial"/>
      <family val="2"/>
    </font>
  </fonts>
  <fills count="12">
    <fill>
      <patternFill patternType="none"/>
    </fill>
    <fill>
      <patternFill patternType="gray125"/>
    </fill>
    <fill>
      <patternFill patternType="solid">
        <fgColor rgb="FF003087"/>
        <bgColor indexed="64"/>
      </patternFill>
    </fill>
    <fill>
      <patternFill patternType="solid">
        <fgColor rgb="FF005EB8"/>
        <bgColor indexed="64"/>
      </patternFill>
    </fill>
    <fill>
      <patternFill patternType="solid">
        <fgColor rgb="FF0090CE"/>
        <bgColor indexed="64"/>
      </patternFill>
    </fill>
    <fill>
      <patternFill patternType="solid">
        <fgColor rgb="FF768692"/>
        <bgColor indexed="64"/>
      </patternFill>
    </fill>
    <fill>
      <patternFill patternType="solid">
        <fgColor rgb="FFE8EDEE"/>
        <bgColor indexed="64"/>
      </patternFill>
    </fill>
    <fill>
      <patternFill patternType="solid">
        <fgColor theme="0"/>
        <bgColor indexed="64"/>
      </patternFill>
    </fill>
    <fill>
      <patternFill patternType="solid">
        <fgColor rgb="FFFFFF00"/>
        <bgColor indexed="64"/>
      </patternFill>
    </fill>
    <fill>
      <patternFill patternType="solid">
        <fgColor rgb="FFCDDFF3"/>
        <bgColor indexed="64"/>
      </patternFill>
    </fill>
    <fill>
      <patternFill patternType="solid">
        <fgColor theme="0" tint="-4.9989318521683403E-2"/>
        <bgColor indexed="64"/>
      </patternFill>
    </fill>
    <fill>
      <patternFill patternType="solid">
        <fgColor rgb="FF425563"/>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indexed="64"/>
      </left>
      <right style="thin">
        <color theme="0" tint="-0.1499984740745262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14999847407452621"/>
      </left>
      <right style="thin">
        <color indexed="64"/>
      </right>
      <top/>
      <bottom/>
      <diagonal/>
    </border>
  </borders>
  <cellStyleXfs count="2">
    <xf numFmtId="0" fontId="0" fillId="0" borderId="0"/>
    <xf numFmtId="0" fontId="20" fillId="0" borderId="0" applyNumberFormat="0" applyFill="0" applyBorder="0" applyAlignment="0" applyProtection="0"/>
  </cellStyleXfs>
  <cellXfs count="286">
    <xf numFmtId="0" fontId="0" fillId="0" borderId="0" xfId="0"/>
    <xf numFmtId="0" fontId="1" fillId="0" borderId="0" xfId="0" applyFont="1"/>
    <xf numFmtId="0" fontId="2" fillId="0" borderId="0" xfId="0" applyFont="1"/>
    <xf numFmtId="0" fontId="3" fillId="0" borderId="0" xfId="0" applyFont="1"/>
    <xf numFmtId="0" fontId="3" fillId="7" borderId="0" xfId="0" applyFont="1" applyFill="1"/>
    <xf numFmtId="0" fontId="5" fillId="7" borderId="0" xfId="0" applyFont="1" applyFill="1" applyAlignment="1">
      <alignment horizontal="right"/>
    </xf>
    <xf numFmtId="0" fontId="6" fillId="7" borderId="0" xfId="0" applyFont="1" applyFill="1" applyAlignment="1">
      <alignment horizontal="right"/>
    </xf>
    <xf numFmtId="0" fontId="7" fillId="7" borderId="0" xfId="0" applyFont="1" applyFill="1" applyAlignment="1">
      <alignment vertical="center" wrapText="1"/>
    </xf>
    <xf numFmtId="164" fontId="11" fillId="7" borderId="0" xfId="0" applyNumberFormat="1" applyFont="1" applyFill="1" applyAlignment="1">
      <alignment vertical="center"/>
    </xf>
    <xf numFmtId="0" fontId="14" fillId="0" borderId="0" xfId="0" applyFont="1"/>
    <xf numFmtId="0" fontId="9" fillId="7" borderId="0" xfId="0" applyFont="1" applyFill="1"/>
    <xf numFmtId="0" fontId="15" fillId="7" borderId="0" xfId="0" applyFont="1" applyFill="1"/>
    <xf numFmtId="0" fontId="9" fillId="7" borderId="0" xfId="0" applyFont="1" applyFill="1" applyAlignment="1">
      <alignment vertical="center" wrapText="1"/>
    </xf>
    <xf numFmtId="0" fontId="16" fillId="7" borderId="0" xfId="0" applyFont="1" applyFill="1"/>
    <xf numFmtId="0" fontId="2" fillId="0" borderId="1" xfId="0" applyFont="1" applyBorder="1"/>
    <xf numFmtId="0" fontId="2" fillId="0" borderId="2" xfId="0" applyFont="1" applyBorder="1"/>
    <xf numFmtId="0" fontId="1" fillId="3" borderId="4" xfId="0" applyFont="1" applyFill="1" applyBorder="1"/>
    <xf numFmtId="0" fontId="1" fillId="3" borderId="5" xfId="0" applyFont="1" applyFill="1" applyBorder="1"/>
    <xf numFmtId="0" fontId="2" fillId="6" borderId="4" xfId="0" applyFont="1" applyFill="1" applyBorder="1"/>
    <xf numFmtId="0" fontId="2" fillId="3" borderId="4"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18" fillId="2" borderId="4" xfId="0" applyFont="1" applyFill="1" applyBorder="1"/>
    <xf numFmtId="0" fontId="2" fillId="6" borderId="7" xfId="0" applyFont="1" applyFill="1" applyBorder="1"/>
    <xf numFmtId="0" fontId="2" fillId="0" borderId="10" xfId="0" applyFont="1" applyBorder="1"/>
    <xf numFmtId="0" fontId="2" fillId="0" borderId="12" xfId="0" applyFont="1" applyBorder="1"/>
    <xf numFmtId="0" fontId="17" fillId="0" borderId="0" xfId="0" applyFont="1"/>
    <xf numFmtId="0" fontId="18" fillId="2" borderId="3" xfId="0" applyFont="1" applyFill="1" applyBorder="1"/>
    <xf numFmtId="0" fontId="18" fillId="2" borderId="5" xfId="0" applyFont="1" applyFill="1" applyBorder="1"/>
    <xf numFmtId="0" fontId="2" fillId="6" borderId="0" xfId="0" applyFont="1" applyFill="1" applyAlignment="1">
      <alignment horizontal="right"/>
    </xf>
    <xf numFmtId="9" fontId="2" fillId="0" borderId="0" xfId="0" applyNumberFormat="1" applyFont="1"/>
    <xf numFmtId="165" fontId="2" fillId="6" borderId="2" xfId="0" applyNumberFormat="1" applyFont="1" applyFill="1" applyBorder="1"/>
    <xf numFmtId="0" fontId="2" fillId="0" borderId="7" xfId="0" applyFont="1" applyBorder="1"/>
    <xf numFmtId="0" fontId="2" fillId="6" borderId="7" xfId="0" applyFont="1" applyFill="1" applyBorder="1" applyAlignment="1">
      <alignment horizontal="right"/>
    </xf>
    <xf numFmtId="9" fontId="2" fillId="0" borderId="7" xfId="0" applyNumberFormat="1" applyFont="1" applyBorder="1"/>
    <xf numFmtId="165" fontId="2" fillId="6" borderId="8" xfId="0" applyNumberFormat="1" applyFont="1" applyFill="1" applyBorder="1"/>
    <xf numFmtId="0" fontId="2" fillId="0" borderId="6" xfId="0" applyFont="1" applyBorder="1" applyAlignment="1">
      <alignment vertical="center"/>
    </xf>
    <xf numFmtId="0" fontId="2" fillId="0" borderId="16" xfId="0" applyFont="1" applyBorder="1" applyAlignment="1">
      <alignment vertical="center"/>
    </xf>
    <xf numFmtId="0" fontId="2" fillId="0" borderId="17" xfId="0" applyFont="1" applyBorder="1"/>
    <xf numFmtId="0" fontId="2" fillId="6" borderId="17" xfId="0" applyFont="1" applyFill="1" applyBorder="1" applyAlignment="1">
      <alignment horizontal="right"/>
    </xf>
    <xf numFmtId="9" fontId="2" fillId="0" borderId="17" xfId="0" applyNumberFormat="1" applyFont="1" applyBorder="1"/>
    <xf numFmtId="165" fontId="2" fillId="6" borderId="18" xfId="0" applyNumberFormat="1" applyFont="1" applyFill="1" applyBorder="1"/>
    <xf numFmtId="0" fontId="2" fillId="0" borderId="1" xfId="0" applyFont="1" applyBorder="1" applyAlignment="1">
      <alignment vertical="center"/>
    </xf>
    <xf numFmtId="0" fontId="1" fillId="4" borderId="3" xfId="0" applyFont="1" applyFill="1" applyBorder="1"/>
    <xf numFmtId="0" fontId="1" fillId="4" borderId="4" xfId="0" applyFont="1" applyFill="1" applyBorder="1"/>
    <xf numFmtId="0" fontId="18" fillId="4" borderId="4" xfId="0" applyFont="1" applyFill="1" applyBorder="1"/>
    <xf numFmtId="165" fontId="18" fillId="4" borderId="5" xfId="0" applyNumberFormat="1" applyFont="1" applyFill="1" applyBorder="1"/>
    <xf numFmtId="0" fontId="22" fillId="0" borderId="1" xfId="0" applyFont="1" applyBorder="1"/>
    <xf numFmtId="0" fontId="2" fillId="3" borderId="3" xfId="0" applyFont="1" applyFill="1" applyBorder="1"/>
    <xf numFmtId="0" fontId="18" fillId="3" borderId="4" xfId="0" applyFont="1" applyFill="1" applyBorder="1"/>
    <xf numFmtId="165" fontId="18" fillId="3" borderId="5" xfId="0" applyNumberFormat="1" applyFont="1" applyFill="1" applyBorder="1"/>
    <xf numFmtId="0" fontId="2" fillId="6" borderId="10" xfId="0" applyFont="1" applyFill="1" applyBorder="1" applyAlignment="1">
      <alignment horizontal="right"/>
    </xf>
    <xf numFmtId="9" fontId="2" fillId="0" borderId="10" xfId="0" applyNumberFormat="1" applyFont="1" applyBorder="1"/>
    <xf numFmtId="165" fontId="2" fillId="6" borderId="11" xfId="0" applyNumberFormat="1" applyFont="1" applyFill="1" applyBorder="1"/>
    <xf numFmtId="164" fontId="12" fillId="7" borderId="0" xfId="0" applyNumberFormat="1" applyFont="1" applyFill="1" applyAlignment="1">
      <alignment vertical="center"/>
    </xf>
    <xf numFmtId="0" fontId="23" fillId="0" borderId="0" xfId="0" applyFont="1"/>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center"/>
    </xf>
    <xf numFmtId="0" fontId="19" fillId="0" borderId="0" xfId="0" applyFont="1"/>
    <xf numFmtId="0" fontId="2" fillId="6" borderId="10" xfId="0" applyFont="1" applyFill="1" applyBorder="1"/>
    <xf numFmtId="0" fontId="2" fillId="6" borderId="0" xfId="0" applyFont="1" applyFill="1"/>
    <xf numFmtId="0" fontId="18" fillId="5" borderId="7" xfId="0" applyFont="1" applyFill="1" applyBorder="1" applyAlignment="1">
      <alignment vertical="center"/>
    </xf>
    <xf numFmtId="0" fontId="23" fillId="0" borderId="2" xfId="0" applyFont="1" applyBorder="1"/>
    <xf numFmtId="0" fontId="25" fillId="0" borderId="0" xfId="0" applyFont="1"/>
    <xf numFmtId="0" fontId="2" fillId="0" borderId="9" xfId="0" applyFont="1" applyBorder="1" applyAlignment="1">
      <alignment vertical="center"/>
    </xf>
    <xf numFmtId="0" fontId="18" fillId="0" borderId="0" xfId="0" applyFont="1"/>
    <xf numFmtId="165" fontId="18" fillId="0" borderId="0" xfId="0" applyNumberFormat="1" applyFont="1"/>
    <xf numFmtId="0" fontId="2" fillId="0" borderId="3" xfId="0" applyFont="1" applyBorder="1" applyAlignment="1">
      <alignment vertical="center"/>
    </xf>
    <xf numFmtId="0" fontId="2" fillId="0" borderId="4" xfId="0" applyFont="1" applyBorder="1"/>
    <xf numFmtId="9" fontId="2" fillId="0" borderId="4" xfId="0" applyNumberFormat="1" applyFont="1" applyBorder="1"/>
    <xf numFmtId="165" fontId="2" fillId="6" borderId="5" xfId="0" applyNumberFormat="1" applyFont="1" applyFill="1" applyBorder="1"/>
    <xf numFmtId="0" fontId="18" fillId="2" borderId="6" xfId="0" applyFont="1" applyFill="1" applyBorder="1"/>
    <xf numFmtId="0" fontId="18" fillId="2" borderId="7" xfId="0" applyFont="1" applyFill="1" applyBorder="1"/>
    <xf numFmtId="0" fontId="18" fillId="2" borderId="8" xfId="0" applyFont="1" applyFill="1" applyBorder="1"/>
    <xf numFmtId="0" fontId="0" fillId="8" borderId="0" xfId="0" applyFill="1"/>
    <xf numFmtId="0" fontId="0" fillId="0" borderId="0" xfId="0" applyAlignment="1">
      <alignment horizontal="center"/>
    </xf>
    <xf numFmtId="0" fontId="0" fillId="8" borderId="0" xfId="0" applyFill="1" applyAlignment="1">
      <alignment horizontal="center"/>
    </xf>
    <xf numFmtId="0" fontId="19" fillId="0" borderId="15" xfId="0" applyFont="1" applyBorder="1"/>
    <xf numFmtId="0" fontId="19" fillId="0" borderId="1" xfId="0" applyFont="1" applyBorder="1"/>
    <xf numFmtId="0" fontId="19" fillId="0" borderId="2" xfId="0" applyFont="1" applyBorder="1"/>
    <xf numFmtId="0" fontId="19" fillId="0" borderId="1" xfId="0" applyFont="1" applyBorder="1" applyAlignment="1">
      <alignment vertical="center"/>
    </xf>
    <xf numFmtId="0" fontId="19" fillId="0" borderId="2" xfId="0" applyFont="1" applyBorder="1" applyAlignment="1">
      <alignment vertical="center"/>
    </xf>
    <xf numFmtId="49" fontId="19" fillId="0" borderId="0" xfId="0" applyNumberFormat="1" applyFont="1"/>
    <xf numFmtId="0" fontId="19" fillId="0" borderId="26" xfId="0" applyFont="1" applyBorder="1"/>
    <xf numFmtId="0" fontId="19" fillId="0" borderId="27" xfId="0" applyFont="1" applyBorder="1"/>
    <xf numFmtId="0" fontId="19" fillId="0" borderId="6" xfId="0" applyFont="1" applyBorder="1"/>
    <xf numFmtId="0" fontId="19" fillId="0" borderId="7" xfId="0" applyFont="1" applyBorder="1"/>
    <xf numFmtId="0" fontId="19" fillId="0" borderId="8" xfId="0" applyFont="1" applyBorder="1"/>
    <xf numFmtId="0" fontId="19" fillId="0" borderId="13" xfId="0" applyFont="1" applyBorder="1"/>
    <xf numFmtId="0" fontId="19" fillId="0" borderId="31" xfId="0" applyFont="1" applyBorder="1"/>
    <xf numFmtId="0" fontId="19" fillId="0" borderId="12" xfId="0" applyFont="1" applyBorder="1"/>
    <xf numFmtId="0" fontId="17" fillId="0" borderId="0" xfId="0" applyFont="1" applyAlignment="1">
      <alignment horizontal="left" vertical="center"/>
    </xf>
    <xf numFmtId="0" fontId="17" fillId="0" borderId="0" xfId="0" applyFont="1" applyAlignment="1">
      <alignment horizontal="center" vertical="center"/>
    </xf>
    <xf numFmtId="49" fontId="19" fillId="0" borderId="0" xfId="0" applyNumberFormat="1" applyFont="1" applyAlignment="1">
      <alignment horizontal="left" vertical="center"/>
    </xf>
    <xf numFmtId="2" fontId="19" fillId="0" borderId="0" xfId="0" applyNumberFormat="1" applyFont="1" applyAlignment="1">
      <alignment horizontal="center" vertical="center"/>
    </xf>
    <xf numFmtId="2" fontId="19" fillId="0" borderId="0" xfId="0" applyNumberFormat="1" applyFont="1" applyAlignment="1">
      <alignment horizontal="center"/>
    </xf>
    <xf numFmtId="0" fontId="19" fillId="0" borderId="0" xfId="0" applyFont="1" applyAlignment="1">
      <alignment horizontal="center"/>
    </xf>
    <xf numFmtId="49" fontId="0" fillId="0" borderId="0" xfId="0" applyNumberFormat="1"/>
    <xf numFmtId="0" fontId="2" fillId="0" borderId="27" xfId="0" applyFont="1" applyBorder="1"/>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lignment horizontal="left" vertical="top" wrapText="1"/>
    </xf>
    <xf numFmtId="0" fontId="19" fillId="0" borderId="0" xfId="0" applyFont="1" applyAlignment="1">
      <alignment horizontal="left" vertical="top"/>
    </xf>
    <xf numFmtId="165" fontId="18" fillId="2" borderId="4" xfId="0" applyNumberFormat="1" applyFont="1" applyFill="1" applyBorder="1"/>
    <xf numFmtId="0" fontId="19" fillId="0" borderId="28" xfId="0" applyFont="1" applyBorder="1"/>
    <xf numFmtId="0" fontId="19" fillId="0" borderId="24" xfId="0" applyFont="1" applyBorder="1"/>
    <xf numFmtId="0" fontId="19" fillId="0" borderId="14" xfId="0" applyFont="1" applyBorder="1"/>
    <xf numFmtId="0" fontId="19" fillId="0" borderId="29" xfId="0" applyFont="1" applyBorder="1"/>
    <xf numFmtId="0" fontId="2" fillId="0" borderId="2" xfId="0" applyFont="1" applyBorder="1" applyAlignment="1">
      <alignment vertical="center" wrapText="1"/>
    </xf>
    <xf numFmtId="165" fontId="2" fillId="6" borderId="0" xfId="0" applyNumberFormat="1" applyFont="1" applyFill="1" applyAlignment="1">
      <alignment horizontal="right"/>
    </xf>
    <xf numFmtId="0" fontId="19" fillId="0" borderId="2" xfId="0" applyFont="1" applyBorder="1" applyAlignment="1">
      <alignment vertical="center" wrapText="1"/>
    </xf>
    <xf numFmtId="0" fontId="17" fillId="6" borderId="3" xfId="0" applyFont="1" applyFill="1" applyBorder="1" applyAlignment="1">
      <alignment horizontal="center"/>
    </xf>
    <xf numFmtId="0" fontId="2" fillId="3" borderId="5" xfId="0" applyFont="1" applyFill="1" applyBorder="1"/>
    <xf numFmtId="0" fontId="1" fillId="3" borderId="3" xfId="0" applyFont="1" applyFill="1" applyBorder="1" applyAlignment="1">
      <alignment horizontal="center"/>
    </xf>
    <xf numFmtId="0" fontId="2" fillId="5" borderId="6" xfId="0" applyFont="1" applyFill="1" applyBorder="1" applyAlignment="1">
      <alignment horizontal="center"/>
    </xf>
    <xf numFmtId="0" fontId="1" fillId="5" borderId="7" xfId="0" applyFont="1" applyFill="1" applyBorder="1"/>
    <xf numFmtId="0" fontId="18" fillId="5" borderId="7" xfId="0" applyFont="1" applyFill="1" applyBorder="1"/>
    <xf numFmtId="165" fontId="18" fillId="5" borderId="7" xfId="0" applyNumberFormat="1" applyFont="1" applyFill="1" applyBorder="1"/>
    <xf numFmtId="0" fontId="1" fillId="5" borderId="8" xfId="0" applyFont="1" applyFill="1" applyBorder="1"/>
    <xf numFmtId="0" fontId="2" fillId="0" borderId="0" xfId="0" applyFont="1" applyAlignment="1">
      <alignment horizontal="center" vertical="center"/>
    </xf>
    <xf numFmtId="0" fontId="17" fillId="6" borderId="4" xfId="0" applyFont="1" applyFill="1" applyBorder="1"/>
    <xf numFmtId="0" fontId="18" fillId="2" borderId="4" xfId="0" applyFont="1" applyFill="1" applyBorder="1" applyAlignment="1">
      <alignment vertical="center"/>
    </xf>
    <xf numFmtId="165" fontId="18" fillId="2" borderId="4" xfId="0" applyNumberFormat="1" applyFont="1" applyFill="1" applyBorder="1" applyAlignment="1">
      <alignment vertical="center"/>
    </xf>
    <xf numFmtId="0" fontId="18" fillId="3" borderId="3" xfId="0" applyFont="1" applyFill="1" applyBorder="1"/>
    <xf numFmtId="0" fontId="17" fillId="6" borderId="3" xfId="0" applyFont="1" applyFill="1" applyBorder="1"/>
    <xf numFmtId="0" fontId="17" fillId="6" borderId="5" xfId="0" applyFont="1" applyFill="1" applyBorder="1"/>
    <xf numFmtId="0" fontId="17" fillId="6" borderId="6" xfId="0" applyFont="1" applyFill="1" applyBorder="1" applyAlignment="1">
      <alignment horizontal="center"/>
    </xf>
    <xf numFmtId="0" fontId="17" fillId="6" borderId="7" xfId="0" applyFont="1" applyFill="1" applyBorder="1"/>
    <xf numFmtId="165" fontId="17" fillId="6" borderId="7" xfId="0" applyNumberFormat="1" applyFont="1" applyFill="1" applyBorder="1"/>
    <xf numFmtId="0" fontId="17" fillId="6" borderId="8" xfId="0" applyFont="1" applyFill="1" applyBorder="1"/>
    <xf numFmtId="0" fontId="17" fillId="3" borderId="3" xfId="0" applyFont="1" applyFill="1" applyBorder="1" applyAlignment="1">
      <alignment horizontal="center"/>
    </xf>
    <xf numFmtId="0" fontId="17" fillId="3" borderId="4" xfId="0" applyFont="1" applyFill="1" applyBorder="1"/>
    <xf numFmtId="0" fontId="17" fillId="3" borderId="5" xfId="0" applyFont="1" applyFill="1" applyBorder="1"/>
    <xf numFmtId="0" fontId="17" fillId="6" borderId="6" xfId="0" applyFont="1" applyFill="1" applyBorder="1"/>
    <xf numFmtId="0" fontId="17" fillId="5" borderId="6" xfId="0" applyFont="1" applyFill="1" applyBorder="1"/>
    <xf numFmtId="0" fontId="18" fillId="5" borderId="8" xfId="0" applyFont="1" applyFill="1" applyBorder="1"/>
    <xf numFmtId="0" fontId="17" fillId="3" borderId="3" xfId="0" applyFont="1" applyFill="1" applyBorder="1"/>
    <xf numFmtId="0" fontId="17" fillId="2" borderId="3" xfId="0" applyFont="1" applyFill="1" applyBorder="1"/>
    <xf numFmtId="0" fontId="17" fillId="2" borderId="4" xfId="0" applyFont="1" applyFill="1" applyBorder="1" applyAlignment="1">
      <alignment vertical="center"/>
    </xf>
    <xf numFmtId="0" fontId="17" fillId="2" borderId="5" xfId="0" applyFont="1" applyFill="1" applyBorder="1" applyAlignment="1">
      <alignment vertical="center"/>
    </xf>
    <xf numFmtId="0" fontId="2" fillId="9" borderId="0" xfId="0" applyFont="1" applyFill="1"/>
    <xf numFmtId="0" fontId="2" fillId="9" borderId="19" xfId="0" applyFont="1" applyFill="1" applyBorder="1"/>
    <xf numFmtId="0" fontId="18" fillId="3" borderId="3" xfId="0" applyFont="1" applyFill="1" applyBorder="1" applyAlignment="1">
      <alignment horizontal="center"/>
    </xf>
    <xf numFmtId="0" fontId="18" fillId="3" borderId="5" xfId="0" applyFont="1" applyFill="1" applyBorder="1"/>
    <xf numFmtId="165" fontId="17" fillId="6" borderId="4" xfId="0" applyNumberFormat="1" applyFont="1" applyFill="1" applyBorder="1"/>
    <xf numFmtId="0" fontId="18" fillId="2" borderId="3" xfId="0" applyFont="1" applyFill="1" applyBorder="1" applyAlignment="1">
      <alignment horizontal="center"/>
    </xf>
    <xf numFmtId="0" fontId="19" fillId="9" borderId="0" xfId="0" applyFont="1" applyFill="1"/>
    <xf numFmtId="1" fontId="19" fillId="0" borderId="0" xfId="0" applyNumberFormat="1" applyFont="1"/>
    <xf numFmtId="0" fontId="19" fillId="0" borderId="0" xfId="0" applyFont="1" applyAlignment="1">
      <alignment vertical="center"/>
    </xf>
    <xf numFmtId="0" fontId="2" fillId="0" borderId="0" xfId="0" applyFont="1" applyAlignment="1">
      <alignment vertical="center"/>
    </xf>
    <xf numFmtId="1" fontId="2" fillId="0" borderId="0" xfId="0" applyNumberFormat="1" applyFont="1" applyAlignment="1">
      <alignment vertical="center"/>
    </xf>
    <xf numFmtId="165" fontId="2" fillId="0" borderId="0" xfId="0" applyNumberFormat="1" applyFont="1" applyAlignment="1">
      <alignment vertical="center"/>
    </xf>
    <xf numFmtId="0" fontId="19" fillId="9" borderId="0" xfId="0" applyFont="1" applyFill="1" applyAlignment="1">
      <alignment vertical="center"/>
    </xf>
    <xf numFmtId="1" fontId="19" fillId="0" borderId="0" xfId="0" applyNumberFormat="1" applyFont="1" applyAlignment="1">
      <alignment vertical="center"/>
    </xf>
    <xf numFmtId="0" fontId="19" fillId="0" borderId="26" xfId="0" applyFont="1" applyBorder="1" applyAlignment="1">
      <alignment vertical="center"/>
    </xf>
    <xf numFmtId="0" fontId="19" fillId="0" borderId="12" xfId="0" applyFont="1" applyBorder="1" applyAlignment="1">
      <alignment vertical="center"/>
    </xf>
    <xf numFmtId="0" fontId="19" fillId="0" borderId="20" xfId="0" applyFont="1" applyBorder="1" applyAlignment="1">
      <alignment vertical="center"/>
    </xf>
    <xf numFmtId="0" fontId="19" fillId="0" borderId="22" xfId="0" applyFont="1" applyBorder="1" applyAlignment="1">
      <alignment vertical="center"/>
    </xf>
    <xf numFmtId="0" fontId="19" fillId="0" borderId="27" xfId="0" applyFont="1" applyBorder="1" applyAlignment="1">
      <alignment vertical="center" wrapText="1"/>
    </xf>
    <xf numFmtId="0" fontId="19" fillId="0" borderId="14" xfId="0" applyFont="1" applyBorder="1" applyAlignment="1">
      <alignment vertical="center"/>
    </xf>
    <xf numFmtId="0" fontId="19" fillId="0" borderId="21" xfId="0" applyFont="1" applyBorder="1" applyAlignment="1">
      <alignment vertical="center"/>
    </xf>
    <xf numFmtId="0" fontId="19" fillId="0" borderId="23" xfId="0" applyFont="1" applyBorder="1" applyAlignment="1">
      <alignment vertical="center"/>
    </xf>
    <xf numFmtId="0" fontId="19" fillId="0" borderId="29" xfId="0" applyFont="1" applyBorder="1" applyAlignment="1">
      <alignment vertical="center" wrapText="1"/>
    </xf>
    <xf numFmtId="0" fontId="19" fillId="0" borderId="13" xfId="0" applyFont="1" applyBorder="1" applyAlignment="1">
      <alignment vertical="center"/>
    </xf>
    <xf numFmtId="0" fontId="19" fillId="0" borderId="28" xfId="0" applyFont="1" applyBorder="1" applyAlignment="1">
      <alignment vertical="center"/>
    </xf>
    <xf numFmtId="0" fontId="19" fillId="0" borderId="30" xfId="0" applyFont="1" applyBorder="1" applyAlignment="1">
      <alignment vertical="center"/>
    </xf>
    <xf numFmtId="0" fontId="19" fillId="0" borderId="24" xfId="0" applyFont="1" applyBorder="1" applyAlignment="1">
      <alignment vertical="center"/>
    </xf>
    <xf numFmtId="0" fontId="17" fillId="10" borderId="4" xfId="0" applyFont="1" applyFill="1" applyBorder="1"/>
    <xf numFmtId="0" fontId="19" fillId="0" borderId="31" xfId="0" applyFont="1" applyBorder="1" applyAlignment="1">
      <alignment vertical="center" wrapText="1"/>
    </xf>
    <xf numFmtId="0" fontId="19" fillId="0" borderId="36" xfId="0" applyFont="1" applyBorder="1" applyAlignment="1">
      <alignment vertical="center" wrapText="1"/>
    </xf>
    <xf numFmtId="0" fontId="19" fillId="9" borderId="14" xfId="0" applyFont="1" applyFill="1" applyBorder="1" applyAlignment="1">
      <alignment vertical="center"/>
    </xf>
    <xf numFmtId="0" fontId="19" fillId="9" borderId="12" xfId="0" applyFont="1" applyFill="1" applyBorder="1" applyAlignment="1">
      <alignment vertical="center"/>
    </xf>
    <xf numFmtId="0" fontId="19" fillId="0" borderId="13" xfId="0" applyFont="1" applyBorder="1" applyAlignment="1">
      <alignment vertical="center" wrapText="1"/>
    </xf>
    <xf numFmtId="0" fontId="19" fillId="0" borderId="25" xfId="0" applyFont="1" applyBorder="1" applyAlignment="1">
      <alignment vertical="center"/>
    </xf>
    <xf numFmtId="0" fontId="19" fillId="0" borderId="24" xfId="0"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19" fillId="9" borderId="13" xfId="0" applyFont="1" applyFill="1" applyBorder="1" applyAlignment="1">
      <alignment vertical="center"/>
    </xf>
    <xf numFmtId="0" fontId="2" fillId="0" borderId="13" xfId="0" applyFont="1" applyBorder="1" applyAlignment="1">
      <alignment vertical="center"/>
    </xf>
    <xf numFmtId="0" fontId="1" fillId="0" borderId="31" xfId="0" applyFont="1" applyBorder="1" applyAlignment="1">
      <alignment vertical="center" wrapText="1"/>
    </xf>
    <xf numFmtId="0" fontId="2" fillId="0" borderId="12" xfId="0" applyFont="1" applyBorder="1" applyAlignment="1">
      <alignment vertical="center"/>
    </xf>
    <xf numFmtId="0" fontId="2" fillId="0" borderId="27" xfId="0" applyFont="1" applyBorder="1" applyAlignment="1">
      <alignment vertical="center" wrapText="1"/>
    </xf>
    <xf numFmtId="0" fontId="2" fillId="0" borderId="24" xfId="0" applyFont="1" applyBorder="1" applyAlignment="1">
      <alignment vertical="center"/>
    </xf>
    <xf numFmtId="0" fontId="2" fillId="0" borderId="14" xfId="0" applyFont="1" applyBorder="1" applyAlignment="1">
      <alignment vertical="center"/>
    </xf>
    <xf numFmtId="0" fontId="1" fillId="0" borderId="2" xfId="0" applyFont="1" applyBorder="1" applyAlignment="1">
      <alignment vertical="center" wrapText="1"/>
    </xf>
    <xf numFmtId="0" fontId="2" fillId="0" borderId="31" xfId="0" applyFont="1" applyBorder="1" applyAlignment="1">
      <alignment vertical="center" wrapText="1"/>
    </xf>
    <xf numFmtId="0" fontId="1" fillId="0" borderId="27" xfId="0" applyFont="1" applyBorder="1" applyAlignment="1">
      <alignment vertical="center" wrapText="1"/>
    </xf>
    <xf numFmtId="0" fontId="1" fillId="0" borderId="29" xfId="0" applyFont="1" applyBorder="1" applyAlignment="1">
      <alignment vertical="center" wrapText="1"/>
    </xf>
    <xf numFmtId="0" fontId="19" fillId="0" borderId="32" xfId="0" applyFont="1" applyBorder="1" applyAlignment="1">
      <alignment vertical="center"/>
    </xf>
    <xf numFmtId="1" fontId="19" fillId="0" borderId="12" xfId="0" applyNumberFormat="1" applyFont="1" applyBorder="1" applyAlignment="1">
      <alignment vertical="center"/>
    </xf>
    <xf numFmtId="0" fontId="17" fillId="6" borderId="3" xfId="0" applyFont="1" applyFill="1" applyBorder="1" applyAlignment="1">
      <alignment horizontal="center" vertical="center"/>
    </xf>
    <xf numFmtId="0" fontId="17" fillId="6" borderId="6" xfId="0" applyFont="1" applyFill="1" applyBorder="1" applyAlignment="1">
      <alignment horizontal="center" vertical="center"/>
    </xf>
    <xf numFmtId="0" fontId="17" fillId="5" borderId="6" xfId="0" applyFont="1" applyFill="1" applyBorder="1" applyAlignment="1">
      <alignment horizontal="center" vertical="center"/>
    </xf>
    <xf numFmtId="0" fontId="17" fillId="3" borderId="3" xfId="0" applyFont="1" applyFill="1" applyBorder="1" applyAlignment="1">
      <alignment horizontal="center" vertical="center"/>
    </xf>
    <xf numFmtId="0" fontId="17" fillId="9" borderId="4" xfId="0" applyFont="1" applyFill="1" applyBorder="1"/>
    <xf numFmtId="0" fontId="18" fillId="3" borderId="4" xfId="0" applyFont="1" applyFill="1" applyBorder="1" applyAlignment="1">
      <alignment vertical="center"/>
    </xf>
    <xf numFmtId="0" fontId="18" fillId="3" borderId="5" xfId="0" applyFont="1" applyFill="1" applyBorder="1" applyAlignment="1">
      <alignment vertical="center" wrapText="1"/>
    </xf>
    <xf numFmtId="0" fontId="17" fillId="6" borderId="4" xfId="0" applyFont="1" applyFill="1" applyBorder="1" applyAlignment="1">
      <alignment vertical="center"/>
    </xf>
    <xf numFmtId="0" fontId="17" fillId="6" borderId="5" xfId="0" applyFont="1" applyFill="1" applyBorder="1" applyAlignment="1">
      <alignment vertical="center" wrapText="1"/>
    </xf>
    <xf numFmtId="0" fontId="17" fillId="6" borderId="7" xfId="0" applyFont="1" applyFill="1" applyBorder="1" applyAlignment="1">
      <alignment vertical="center"/>
    </xf>
    <xf numFmtId="0" fontId="17" fillId="6" borderId="8" xfId="0" applyFont="1" applyFill="1" applyBorder="1" applyAlignment="1">
      <alignment vertical="center" wrapText="1"/>
    </xf>
    <xf numFmtId="0" fontId="17" fillId="5" borderId="7" xfId="0" applyFont="1" applyFill="1" applyBorder="1" applyAlignment="1">
      <alignment vertical="center"/>
    </xf>
    <xf numFmtId="0" fontId="17" fillId="5" borderId="8" xfId="0" applyFont="1" applyFill="1" applyBorder="1" applyAlignment="1">
      <alignment vertical="center" wrapText="1"/>
    </xf>
    <xf numFmtId="0" fontId="17" fillId="10" borderId="3" xfId="0" applyFont="1" applyFill="1" applyBorder="1" applyAlignment="1">
      <alignment horizontal="center"/>
    </xf>
    <xf numFmtId="0" fontId="17" fillId="10" borderId="5" xfId="0" applyFont="1" applyFill="1" applyBorder="1"/>
    <xf numFmtId="0" fontId="17" fillId="2" borderId="3" xfId="0" applyFont="1" applyFill="1" applyBorder="1" applyAlignment="1">
      <alignment horizontal="center"/>
    </xf>
    <xf numFmtId="0" fontId="17" fillId="2" borderId="4" xfId="0" applyFont="1" applyFill="1" applyBorder="1"/>
    <xf numFmtId="0" fontId="17" fillId="2" borderId="5" xfId="0" applyFont="1" applyFill="1" applyBorder="1"/>
    <xf numFmtId="0" fontId="18" fillId="2" borderId="3" xfId="0" applyFont="1" applyFill="1" applyBorder="1" applyAlignment="1">
      <alignment horizontal="center" vertical="center"/>
    </xf>
    <xf numFmtId="0" fontId="18" fillId="3" borderId="3" xfId="0" applyFont="1" applyFill="1" applyBorder="1" applyAlignment="1">
      <alignment horizontal="center" vertical="center"/>
    </xf>
    <xf numFmtId="0" fontId="17" fillId="2" borderId="3" xfId="0" applyFont="1" applyFill="1" applyBorder="1" applyAlignment="1">
      <alignment horizontal="center" vertical="center"/>
    </xf>
    <xf numFmtId="0" fontId="17" fillId="10" borderId="3" xfId="0" applyFont="1" applyFill="1" applyBorder="1" applyAlignment="1">
      <alignment vertical="center"/>
    </xf>
    <xf numFmtId="0" fontId="2" fillId="0" borderId="33" xfId="0" applyFont="1" applyBorder="1"/>
    <xf numFmtId="0" fontId="2" fillId="9" borderId="13" xfId="0" applyFont="1" applyFill="1" applyBorder="1"/>
    <xf numFmtId="0" fontId="2" fillId="9" borderId="12" xfId="0" applyFont="1" applyFill="1" applyBorder="1"/>
    <xf numFmtId="0" fontId="2" fillId="0" borderId="30" xfId="0" applyFont="1" applyBorder="1"/>
    <xf numFmtId="0" fontId="2" fillId="0" borderId="13" xfId="0" applyFont="1" applyBorder="1"/>
    <xf numFmtId="0" fontId="2" fillId="0" borderId="32" xfId="0" applyFont="1" applyBorder="1"/>
    <xf numFmtId="0" fontId="2" fillId="0" borderId="14" xfId="0" applyFont="1" applyBorder="1"/>
    <xf numFmtId="0" fontId="2" fillId="0" borderId="29" xfId="0" applyFont="1" applyBorder="1"/>
    <xf numFmtId="0" fontId="2" fillId="0" borderId="31" xfId="0" applyFont="1" applyBorder="1"/>
    <xf numFmtId="0" fontId="17" fillId="10" borderId="4" xfId="0" applyFont="1" applyFill="1" applyBorder="1" applyAlignment="1">
      <alignment vertical="center"/>
    </xf>
    <xf numFmtId="0" fontId="17" fillId="10" borderId="5" xfId="0" applyFont="1" applyFill="1" applyBorder="1" applyAlignment="1">
      <alignment vertical="center" wrapText="1"/>
    </xf>
    <xf numFmtId="0" fontId="1" fillId="4" borderId="10" xfId="0" applyFont="1" applyFill="1" applyBorder="1"/>
    <xf numFmtId="0" fontId="18" fillId="3" borderId="7" xfId="0" applyFont="1" applyFill="1" applyBorder="1"/>
    <xf numFmtId="165" fontId="18" fillId="3" borderId="8" xfId="0" applyNumberFormat="1" applyFont="1" applyFill="1" applyBorder="1"/>
    <xf numFmtId="0" fontId="18" fillId="11" borderId="3" xfId="0" applyFont="1" applyFill="1" applyBorder="1"/>
    <xf numFmtId="0" fontId="18" fillId="11" borderId="5" xfId="0" applyFont="1" applyFill="1" applyBorder="1"/>
    <xf numFmtId="0" fontId="18" fillId="5" borderId="3" xfId="0" applyFont="1" applyFill="1" applyBorder="1"/>
    <xf numFmtId="10" fontId="18" fillId="5" borderId="5" xfId="0" applyNumberFormat="1" applyFont="1" applyFill="1" applyBorder="1"/>
    <xf numFmtId="0" fontId="0" fillId="2" borderId="11" xfId="0" applyFill="1" applyBorder="1" applyAlignment="1">
      <alignment horizontal="center" vertical="center"/>
    </xf>
    <xf numFmtId="0" fontId="0" fillId="2" borderId="34" xfId="0" applyFill="1" applyBorder="1" applyAlignment="1">
      <alignment vertical="center"/>
    </xf>
    <xf numFmtId="0" fontId="0" fillId="2" borderId="9" xfId="0" applyFill="1" applyBorder="1" applyAlignment="1">
      <alignment vertical="center"/>
    </xf>
    <xf numFmtId="0" fontId="0" fillId="6" borderId="5" xfId="0" applyFill="1" applyBorder="1" applyAlignment="1">
      <alignment horizontal="center" vertical="center"/>
    </xf>
    <xf numFmtId="0" fontId="0" fillId="6" borderId="19" xfId="0" applyFill="1" applyBorder="1" applyAlignment="1">
      <alignment horizontal="left" vertical="center"/>
    </xf>
    <xf numFmtId="14" fontId="0" fillId="6" borderId="3" xfId="0" applyNumberFormat="1" applyFill="1" applyBorder="1" applyAlignment="1">
      <alignment horizontal="left" vertical="center" wrapText="1"/>
    </xf>
    <xf numFmtId="0" fontId="0" fillId="0" borderId="5" xfId="0" applyBorder="1" applyAlignment="1">
      <alignment horizontal="center" vertical="center"/>
    </xf>
    <xf numFmtId="0" fontId="0" fillId="0" borderId="19" xfId="0" applyBorder="1" applyAlignment="1">
      <alignment horizontal="left" vertical="center"/>
    </xf>
    <xf numFmtId="14" fontId="0" fillId="0" borderId="3" xfId="0" applyNumberFormat="1" applyBorder="1" applyAlignment="1">
      <alignment horizontal="left" vertical="center"/>
    </xf>
    <xf numFmtId="14" fontId="0" fillId="0" borderId="3" xfId="0" applyNumberFormat="1" applyBorder="1" applyAlignment="1">
      <alignment horizontal="left" vertical="center" wrapText="1"/>
    </xf>
    <xf numFmtId="0" fontId="0" fillId="6" borderId="19" xfId="0" applyFill="1" applyBorder="1" applyAlignment="1">
      <alignment horizontal="left"/>
    </xf>
    <xf numFmtId="14" fontId="0" fillId="6" borderId="3" xfId="0" applyNumberFormat="1" applyFill="1" applyBorder="1" applyAlignment="1">
      <alignment horizontal="left" vertical="center"/>
    </xf>
    <xf numFmtId="0" fontId="0" fillId="6" borderId="8" xfId="0" applyFill="1" applyBorder="1" applyAlignment="1">
      <alignment horizontal="center" vertical="center"/>
    </xf>
    <xf numFmtId="0" fontId="0" fillId="6" borderId="33" xfId="0" applyFill="1" applyBorder="1" applyAlignment="1">
      <alignment horizontal="left"/>
    </xf>
    <xf numFmtId="14" fontId="0" fillId="6" borderId="6" xfId="0" applyNumberFormat="1" applyFill="1" applyBorder="1" applyAlignment="1">
      <alignment horizontal="left" vertical="center"/>
    </xf>
    <xf numFmtId="0" fontId="28" fillId="0" borderId="0" xfId="0" applyFont="1" applyAlignment="1">
      <alignment horizontal="right"/>
    </xf>
    <xf numFmtId="1" fontId="19" fillId="0" borderId="0" xfId="0" applyNumberFormat="1" applyFont="1" applyAlignment="1">
      <alignment horizontal="right"/>
    </xf>
    <xf numFmtId="165" fontId="19" fillId="0" borderId="0" xfId="0" applyNumberFormat="1" applyFont="1"/>
    <xf numFmtId="0" fontId="28" fillId="0" borderId="2" xfId="0" applyFont="1" applyBorder="1"/>
    <xf numFmtId="0" fontId="19" fillId="0" borderId="0" xfId="0" applyFont="1" applyAlignment="1">
      <alignment horizontal="right"/>
    </xf>
    <xf numFmtId="1" fontId="28" fillId="0" borderId="0" xfId="0" applyNumberFormat="1" applyFont="1" applyAlignment="1">
      <alignment horizontal="right"/>
    </xf>
    <xf numFmtId="164" fontId="12" fillId="7" borderId="0" xfId="0" applyNumberFormat="1" applyFont="1" applyFill="1" applyAlignment="1">
      <alignment horizontal="left" vertical="center"/>
    </xf>
    <xf numFmtId="0" fontId="13" fillId="7" borderId="0" xfId="0" applyFont="1" applyFill="1" applyAlignment="1">
      <alignment horizontal="left"/>
    </xf>
    <xf numFmtId="0" fontId="4" fillId="0" borderId="0" xfId="0" applyFont="1" applyAlignment="1">
      <alignment horizontal="center"/>
    </xf>
    <xf numFmtId="0" fontId="8" fillId="7" borderId="0" xfId="0" applyFont="1" applyFill="1" applyAlignment="1">
      <alignment horizontal="left" vertical="center" wrapText="1"/>
    </xf>
    <xf numFmtId="0" fontId="10" fillId="7" borderId="0" xfId="0" applyFont="1" applyFill="1" applyAlignment="1">
      <alignment horizontal="left" vertical="center"/>
    </xf>
    <xf numFmtId="164" fontId="12" fillId="7" borderId="0" xfId="0" applyNumberFormat="1" applyFont="1" applyFill="1" applyAlignment="1">
      <alignment horizontal="left" vertical="center"/>
    </xf>
    <xf numFmtId="0" fontId="27" fillId="7" borderId="0" xfId="0" applyFont="1" applyFill="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17" fillId="6" borderId="3" xfId="0" applyFont="1" applyFill="1" applyBorder="1" applyAlignment="1">
      <alignment horizontal="center"/>
    </xf>
    <xf numFmtId="0" fontId="17" fillId="6" borderId="4" xfId="0" applyFont="1" applyFill="1" applyBorder="1" applyAlignment="1">
      <alignment horizontal="center"/>
    </xf>
    <xf numFmtId="0" fontId="17" fillId="6" borderId="5" xfId="0" applyFont="1" applyFill="1" applyBorder="1" applyAlignment="1">
      <alignment horizontal="center"/>
    </xf>
    <xf numFmtId="0" fontId="2" fillId="0" borderId="1" xfId="0" applyFont="1" applyBorder="1" applyAlignment="1">
      <alignmen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8" fillId="5" borderId="4" xfId="0" applyFont="1" applyFill="1" applyBorder="1" applyAlignment="1">
      <alignment horizontal="right"/>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18" fillId="5" borderId="4" xfId="1" applyFont="1" applyFill="1" applyBorder="1" applyAlignment="1">
      <alignment horizontal="right" vertical="center"/>
    </xf>
    <xf numFmtId="0" fontId="19" fillId="0" borderId="2" xfId="0" applyFont="1" applyBorder="1" applyAlignment="1">
      <alignment horizontal="left" vertical="center"/>
    </xf>
    <xf numFmtId="0" fontId="19" fillId="0" borderId="35" xfId="0" applyFont="1" applyBorder="1" applyAlignment="1">
      <alignment horizontal="center" vertical="center"/>
    </xf>
    <xf numFmtId="0" fontId="2" fillId="0" borderId="1" xfId="0" applyFont="1" applyBorder="1" applyAlignment="1">
      <alignment horizontal="center" vertical="center"/>
    </xf>
  </cellXfs>
  <cellStyles count="2">
    <cellStyle name="Hyperlink" xfId="1" builtinId="8"/>
    <cellStyle name="Normal" xfId="0" builtinId="0"/>
  </cellStyles>
  <dxfs count="16">
    <dxf>
      <numFmt numFmtId="30" formatCode="@"/>
    </dxf>
    <dxf>
      <border diagonalUp="0" diagonalDown="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dxf>
    <dxf>
      <numFmt numFmtId="19" formatCode="dd/mm/yyyy"/>
      <fill>
        <patternFill patternType="solid">
          <fgColor indexed="64"/>
          <bgColor rgb="FFE8EDEE"/>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rgb="FFE8EDEE"/>
        </patternFill>
      </fill>
      <alignment horizontal="lef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E8EDEE"/>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E8EDEE"/>
        </patternFill>
      </fill>
    </dxf>
    <dxf>
      <border>
        <bottom style="thin">
          <color indexed="64"/>
        </bottom>
      </border>
    </dxf>
    <dxf>
      <fill>
        <patternFill patternType="solid">
          <fgColor indexed="64"/>
          <bgColor rgb="FF003087"/>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768692"/>
      <color rgb="FF425563"/>
      <color rgb="FFCDDFF3"/>
      <color rgb="FF003087"/>
      <color rgb="FFE8EDEE"/>
      <color rgb="FF005EB8"/>
      <color rgb="FF41B6E6"/>
      <color rgb="FF00A9CE"/>
      <color rgb="FF009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620660</xdr:colOff>
      <xdr:row>38</xdr:row>
      <xdr:rowOff>166756</xdr:rowOff>
    </xdr:from>
    <xdr:to>
      <xdr:col>11</xdr:col>
      <xdr:colOff>663387</xdr:colOff>
      <xdr:row>43</xdr:row>
      <xdr:rowOff>8076</xdr:rowOff>
    </xdr:to>
    <xdr:sp macro="" textlink="">
      <xdr:nvSpPr>
        <xdr:cNvPr id="2" name="Freeform 11">
          <a:extLst>
            <a:ext uri="{FF2B5EF4-FFF2-40B4-BE49-F238E27FC236}">
              <a16:creationId xmlns:a16="http://schemas.microsoft.com/office/drawing/2014/main" id="{95C64E81-3DA9-43FA-9A3B-FCF940057BB9}"/>
            </a:ext>
          </a:extLst>
        </xdr:cNvPr>
        <xdr:cNvSpPr>
          <a:spLocks/>
        </xdr:cNvSpPr>
      </xdr:nvSpPr>
      <xdr:spPr bwMode="auto">
        <a:xfrm>
          <a:off x="1827160" y="8967856"/>
          <a:ext cx="5808527" cy="762070"/>
        </a:xfrm>
        <a:custGeom>
          <a:avLst/>
          <a:gdLst>
            <a:gd name="T0" fmla="*/ 607 w 607"/>
            <a:gd name="T1" fmla="*/ 0 h 66"/>
            <a:gd name="T2" fmla="*/ 176 w 607"/>
            <a:gd name="T3" fmla="*/ 57 h 66"/>
            <a:gd name="T4" fmla="*/ 0 w 607"/>
            <a:gd name="T5" fmla="*/ 48 h 66"/>
            <a:gd name="T6" fmla="*/ 251 w 607"/>
            <a:gd name="T7" fmla="*/ 66 h 66"/>
            <a:gd name="T8" fmla="*/ 607 w 607"/>
            <a:gd name="T9" fmla="*/ 27 h 66"/>
            <a:gd name="T10" fmla="*/ 607 w 607"/>
            <a:gd name="T11" fmla="*/ 0 h 66"/>
          </a:gdLst>
          <a:ahLst/>
          <a:cxnLst>
            <a:cxn ang="0">
              <a:pos x="T0" y="T1"/>
            </a:cxn>
            <a:cxn ang="0">
              <a:pos x="T2" y="T3"/>
            </a:cxn>
            <a:cxn ang="0">
              <a:pos x="T4" y="T5"/>
            </a:cxn>
            <a:cxn ang="0">
              <a:pos x="T6" y="T7"/>
            </a:cxn>
            <a:cxn ang="0">
              <a:pos x="T8" y="T9"/>
            </a:cxn>
            <a:cxn ang="0">
              <a:pos x="T10" y="T11"/>
            </a:cxn>
          </a:cxnLst>
          <a:rect l="0" t="0" r="r" b="b"/>
          <a:pathLst>
            <a:path w="607" h="66">
              <a:moveTo>
                <a:pt x="607" y="0"/>
              </a:moveTo>
              <a:cubicBezTo>
                <a:pt x="450" y="44"/>
                <a:pt x="300" y="57"/>
                <a:pt x="176" y="57"/>
              </a:cubicBezTo>
              <a:cubicBezTo>
                <a:pt x="109" y="57"/>
                <a:pt x="49" y="53"/>
                <a:pt x="0" y="48"/>
              </a:cubicBezTo>
              <a:cubicBezTo>
                <a:pt x="66" y="58"/>
                <a:pt x="152" y="66"/>
                <a:pt x="251" y="66"/>
              </a:cubicBezTo>
              <a:cubicBezTo>
                <a:pt x="358" y="66"/>
                <a:pt x="480" y="56"/>
                <a:pt x="607" y="27"/>
              </a:cubicBezTo>
              <a:cubicBezTo>
                <a:pt x="607" y="0"/>
                <a:pt x="607" y="0"/>
                <a:pt x="607" y="0"/>
              </a:cubicBezTo>
            </a:path>
          </a:pathLst>
        </a:custGeom>
        <a:solidFill>
          <a:schemeClr val="bg1">
            <a:alpha val="3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b" anchorCtr="0" upright="1">
          <a:noAutofit/>
        </a:bodyPr>
        <a:lstStyle/>
        <a:p>
          <a:endParaRPr lang="en-GB"/>
        </a:p>
      </xdr:txBody>
    </xdr:sp>
    <xdr:clientData/>
  </xdr:twoCellAnchor>
  <xdr:twoCellAnchor editAs="oneCell">
    <xdr:from>
      <xdr:col>7</xdr:col>
      <xdr:colOff>344535</xdr:colOff>
      <xdr:row>2</xdr:row>
      <xdr:rowOff>69272</xdr:rowOff>
    </xdr:from>
    <xdr:to>
      <xdr:col>9</xdr:col>
      <xdr:colOff>589952</xdr:colOff>
      <xdr:row>8</xdr:row>
      <xdr:rowOff>58304</xdr:rowOff>
    </xdr:to>
    <xdr:pic>
      <xdr:nvPicPr>
        <xdr:cNvPr id="6" name="Picture 5">
          <a:extLst>
            <a:ext uri="{FF2B5EF4-FFF2-40B4-BE49-F238E27FC236}">
              <a16:creationId xmlns:a16="http://schemas.microsoft.com/office/drawing/2014/main" id="{F8FCAEF4-C1A9-9FAB-AFEE-A5C4A2C6CC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5626" y="415636"/>
          <a:ext cx="1446144" cy="1143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0</xdr:row>
      <xdr:rowOff>171450</xdr:rowOff>
    </xdr:from>
    <xdr:to>
      <xdr:col>18</xdr:col>
      <xdr:colOff>105051</xdr:colOff>
      <xdr:row>11</xdr:row>
      <xdr:rowOff>92175</xdr:rowOff>
    </xdr:to>
    <xdr:pic>
      <xdr:nvPicPr>
        <xdr:cNvPr id="2" name="Picture 1">
          <a:extLst>
            <a:ext uri="{FF2B5EF4-FFF2-40B4-BE49-F238E27FC236}">
              <a16:creationId xmlns:a16="http://schemas.microsoft.com/office/drawing/2014/main" id="{A3E4A521-B7AA-1537-FC2B-035B2C6D76AC}"/>
            </a:ext>
          </a:extLst>
        </xdr:cNvPr>
        <xdr:cNvPicPr>
          <a:picLocks noChangeAspect="1"/>
        </xdr:cNvPicPr>
      </xdr:nvPicPr>
      <xdr:blipFill>
        <a:blip xmlns:r="http://schemas.openxmlformats.org/officeDocument/2006/relationships" r:embed="rId1"/>
        <a:stretch>
          <a:fillRect/>
        </a:stretch>
      </xdr:blipFill>
      <xdr:spPr>
        <a:xfrm>
          <a:off x="8420100" y="171450"/>
          <a:ext cx="5378726" cy="1911450"/>
        </a:xfrm>
        <a:prstGeom prst="rect">
          <a:avLst/>
        </a:prstGeom>
      </xdr:spPr>
    </xdr:pic>
    <xdr:clientData/>
  </xdr:twoCellAnchor>
  <xdr:twoCellAnchor editAs="oneCell">
    <xdr:from>
      <xdr:col>10</xdr:col>
      <xdr:colOff>0</xdr:colOff>
      <xdr:row>13</xdr:row>
      <xdr:rowOff>0</xdr:rowOff>
    </xdr:from>
    <xdr:to>
      <xdr:col>19</xdr:col>
      <xdr:colOff>178591</xdr:colOff>
      <xdr:row>37</xdr:row>
      <xdr:rowOff>153027</xdr:rowOff>
    </xdr:to>
    <xdr:pic>
      <xdr:nvPicPr>
        <xdr:cNvPr id="3" name="Picture 2">
          <a:extLst>
            <a:ext uri="{FF2B5EF4-FFF2-40B4-BE49-F238E27FC236}">
              <a16:creationId xmlns:a16="http://schemas.microsoft.com/office/drawing/2014/main" id="{B516821C-8635-430D-BAF2-590028812B8B}"/>
            </a:ext>
          </a:extLst>
        </xdr:cNvPr>
        <xdr:cNvPicPr>
          <a:picLocks noChangeAspect="1"/>
        </xdr:cNvPicPr>
      </xdr:nvPicPr>
      <xdr:blipFill>
        <a:blip xmlns:r="http://schemas.openxmlformats.org/officeDocument/2006/relationships" r:embed="rId2"/>
        <a:stretch>
          <a:fillRect/>
        </a:stretch>
      </xdr:blipFill>
      <xdr:spPr>
        <a:xfrm>
          <a:off x="14382750" y="2352675"/>
          <a:ext cx="5664991" cy="4496427"/>
        </a:xfrm>
        <a:prstGeom prst="rect">
          <a:avLst/>
        </a:prstGeom>
      </xdr:spPr>
    </xdr:pic>
    <xdr:clientData/>
  </xdr:twoCellAnchor>
  <xdr:twoCellAnchor editAs="oneCell">
    <xdr:from>
      <xdr:col>10</xdr:col>
      <xdr:colOff>0</xdr:colOff>
      <xdr:row>41</xdr:row>
      <xdr:rowOff>0</xdr:rowOff>
    </xdr:from>
    <xdr:to>
      <xdr:col>23</xdr:col>
      <xdr:colOff>203537</xdr:colOff>
      <xdr:row>73</xdr:row>
      <xdr:rowOff>105587</xdr:rowOff>
    </xdr:to>
    <xdr:pic>
      <xdr:nvPicPr>
        <xdr:cNvPr id="4" name="Picture 3">
          <a:extLst>
            <a:ext uri="{FF2B5EF4-FFF2-40B4-BE49-F238E27FC236}">
              <a16:creationId xmlns:a16="http://schemas.microsoft.com/office/drawing/2014/main" id="{A527946E-F219-2B20-C419-E4BAA9617CBC}"/>
            </a:ext>
          </a:extLst>
        </xdr:cNvPr>
        <xdr:cNvPicPr>
          <a:picLocks noChangeAspect="1"/>
        </xdr:cNvPicPr>
      </xdr:nvPicPr>
      <xdr:blipFill>
        <a:blip xmlns:r="http://schemas.openxmlformats.org/officeDocument/2006/relationships" r:embed="rId3"/>
        <a:stretch>
          <a:fillRect/>
        </a:stretch>
      </xdr:blipFill>
      <xdr:spPr>
        <a:xfrm>
          <a:off x="14370844" y="7322344"/>
          <a:ext cx="8097380" cy="5820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66675</xdr:rowOff>
    </xdr:from>
    <xdr:to>
      <xdr:col>15</xdr:col>
      <xdr:colOff>388681</xdr:colOff>
      <xdr:row>13</xdr:row>
      <xdr:rowOff>139870</xdr:rowOff>
    </xdr:to>
    <xdr:pic>
      <xdr:nvPicPr>
        <xdr:cNvPr id="2" name="Picture 1">
          <a:extLst>
            <a:ext uri="{FF2B5EF4-FFF2-40B4-BE49-F238E27FC236}">
              <a16:creationId xmlns:a16="http://schemas.microsoft.com/office/drawing/2014/main" id="{C6612DC2-5138-437A-8529-7CA3E4DAF16E}"/>
            </a:ext>
          </a:extLst>
        </xdr:cNvPr>
        <xdr:cNvPicPr>
          <a:picLocks noChangeAspect="1"/>
        </xdr:cNvPicPr>
      </xdr:nvPicPr>
      <xdr:blipFill>
        <a:blip xmlns:r="http://schemas.openxmlformats.org/officeDocument/2006/relationships" r:embed="rId1"/>
        <a:stretch>
          <a:fillRect/>
        </a:stretch>
      </xdr:blipFill>
      <xdr:spPr>
        <a:xfrm>
          <a:off x="0" y="1149350"/>
          <a:ext cx="9532681" cy="1162220"/>
        </a:xfrm>
        <a:prstGeom prst="rect">
          <a:avLst/>
        </a:prstGeom>
      </xdr:spPr>
    </xdr:pic>
    <xdr:clientData/>
  </xdr:twoCellAnchor>
  <xdr:twoCellAnchor editAs="oneCell">
    <xdr:from>
      <xdr:col>0</xdr:col>
      <xdr:colOff>1</xdr:colOff>
      <xdr:row>18</xdr:row>
      <xdr:rowOff>57150</xdr:rowOff>
    </xdr:from>
    <xdr:to>
      <xdr:col>14</xdr:col>
      <xdr:colOff>597192</xdr:colOff>
      <xdr:row>41</xdr:row>
      <xdr:rowOff>153086</xdr:rowOff>
    </xdr:to>
    <xdr:pic>
      <xdr:nvPicPr>
        <xdr:cNvPr id="3" name="Picture 2">
          <a:extLst>
            <a:ext uri="{FF2B5EF4-FFF2-40B4-BE49-F238E27FC236}">
              <a16:creationId xmlns:a16="http://schemas.microsoft.com/office/drawing/2014/main" id="{A5A49B61-4C92-47D6-83A0-D47F52820521}"/>
            </a:ext>
          </a:extLst>
        </xdr:cNvPr>
        <xdr:cNvPicPr>
          <a:picLocks noChangeAspect="1"/>
        </xdr:cNvPicPr>
      </xdr:nvPicPr>
      <xdr:blipFill>
        <a:blip xmlns:r="http://schemas.openxmlformats.org/officeDocument/2006/relationships" r:embed="rId2"/>
        <a:stretch>
          <a:fillRect/>
        </a:stretch>
      </xdr:blipFill>
      <xdr:spPr>
        <a:xfrm>
          <a:off x="1" y="3133725"/>
          <a:ext cx="9131591" cy="42583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tmac.sharepoint.com/teams/pj-g1955/gs-DWDS/DWDS%20Documents/01%20-%20WIP/WIP_All/Standard%20Rooms%20(2.2.1%20&amp;%202.6.4)/Clinical%20Briefs/Clinical%20brief%20WIP/03.%20Clinical%20Briefs/06.%20ED/NHP%20UEC%20SoA_V4.00_300824.xlsx" TargetMode="External"/><Relationship Id="rId1" Type="http://schemas.openxmlformats.org/officeDocument/2006/relationships/externalLinkPath" Target="https://mottmac.sharepoint.com/teams/pj-g1955/gs-DWDS/DWDS%20Documents/01%20-%20WIP/WIP_All/Standard%20Rooms%20(2.2.1%20&amp;%202.6.4)/Clinical%20Briefs/Clinical%20brief%20WIP/03.%20Clinical%20Briefs/06.%20ED/NHP%20UEC%20SoA_V4.00_3008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agement"/>
      <sheetName val="Index Checks"/>
      <sheetName val="Standard Room List"/>
      <sheetName val="Check all rooms listed"/>
      <sheetName val="Trust Temp Outputs"/>
      <sheetName val="Issue &amp; Revision Record"/>
      <sheetName val="Disclaimer"/>
      <sheetName val="Summary"/>
      <sheetName val="Summary Sheet New"/>
      <sheetName val="NHP Standard Naming Conventions"/>
      <sheetName val="LookUps"/>
      <sheetName val="INDEX MAPPING"/>
      <sheetName val="IP"/>
      <sheetName val="UEC"/>
      <sheetName val="PaedsIP"/>
      <sheetName val="Endo"/>
      <sheetName val="Imaging"/>
      <sheetName val="ICU"/>
      <sheetName val="Theatres"/>
      <sheetName val="Med Amb"/>
      <sheetName val="Mat"/>
      <sheetName val="OPD"/>
      <sheetName val="NN"/>
      <sheetName val="Entrance"/>
      <sheetName val="Radio"/>
      <sheetName val="Trust Temp Inputs"/>
      <sheetName val="NEWDEPTEMPLATE"/>
      <sheetName val="NHS Trust Template 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2D5B61-A4A9-4630-B182-52899DEAC069}" name="Table13" displayName="Table13" ref="B7:D20" totalsRowShown="0" headerRowDxfId="15" dataDxfId="13" headerRowBorderDxfId="14" tableBorderDxfId="12" totalsRowBorderDxfId="11">
  <tableColumns count="3">
    <tableColumn id="1" xr3:uid="{CCB081ED-C25C-4BAC-8DEB-139EC443F7E1}" name="No." dataDxfId="10"/>
    <tableColumn id="3" xr3:uid="{CC1AB018-CD35-4CCA-B6C7-BB467CE36F55}" name="Category" dataDxfId="9"/>
    <tableColumn id="2" xr3:uid="{2E81FF46-3DE6-4740-985A-C6E6FD55C902}" name="Assumption"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D46808-F73C-4146-B497-3554F70BB909}" name="Table3" displayName="Table3" ref="B2:D81" totalsRowShown="0" dataDxfId="7" tableBorderDxfId="6">
  <tableColumns count="3">
    <tableColumn id="1" xr3:uid="{1EEF23B4-C43B-4FF1-8087-528684018FD9}" name="Generic Standard room name" dataDxfId="5"/>
    <tableColumn id="2" xr3:uid="{03AEF770-AD14-4CBA-84B2-94AFB599F96A}" name="Size (m2)" dataDxfId="4"/>
    <tableColumn id="3" xr3:uid="{90A18D2B-6292-4CEE-A81A-4C24EDD13B28}" name="Comments" dataDxfId="3"/>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DD56D3-19FF-4292-A107-8C0C36E75E36}" name="Table5" displayName="Table5" ref="B2:I104" totalsRowShown="0" headerRowDxfId="2">
  <autoFilter ref="B2:I104" xr:uid="{A3DD56D3-19FF-4292-A107-8C0C36E75E36}"/>
  <tableColumns count="8">
    <tableColumn id="1" xr3:uid="{96ADE46D-FE09-41E7-B176-F9A2B4F8D075}" name="Number of people"/>
    <tableColumn id="2" xr3:uid="{1415C2E6-C531-41D8-8310-929D451441CE}" name="Number of Ambulant WCs"/>
    <tableColumn id="3" xr3:uid="{16ACFB31-9E78-4860-A4DB-B8ADD3D60180}" name="Number of Accessible WCs"/>
    <tableColumn id="4" xr3:uid="{7FC7CD45-8925-443E-BEB2-FBF7FFF15544}" name="BS6465-1 Total WC's General"/>
    <tableColumn id="5" xr3:uid="{AA5EF89D-2A1B-46E7-A63A-B9BF4FBE036B}" name="BS6465-1 Total WC's 50/50 M/F split (120%)"/>
    <tableColumn id="6" xr3:uid="{4252C765-668C-47C5-BE9A-6D7721A8A5E0}" name="Column1"/>
    <tableColumn id="7" xr3:uid="{CC09C4E4-18C6-4474-9390-3FD0222492AC}" name="BS6465-1 Total WC's Separate with basin 25% uplift"/>
    <tableColumn id="8" xr3:uid="{AB0BC90E-44AC-4F1F-A9FF-50CE2128C784}" name="Column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F33FDB-A183-418E-87F8-A86D26630F19}" name="Table6" displayName="Table6" ref="Q2:T32" totalsRowShown="0" tableBorderDxfId="1">
  <tableColumns count="4">
    <tableColumn id="1" xr3:uid="{A3565D0D-9385-4F8A-9EE7-00F658C195C2}" name="Staff numbers" dataDxfId="0"/>
    <tableColumn id="2" xr3:uid="{407AA65A-EFD4-44B5-9343-6155B2A50050}" name="Cycle Space"/>
    <tableColumn id="3" xr3:uid="{C4598264-2A53-406B-95F1-4FB570644F49}" name="Lockers"/>
    <tableColumn id="4" xr3:uid="{43290D42-E37E-4361-AA75-5DA2C69D622B}" name="Showers"/>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9FE1-4D68-44D8-B375-1B584EA3F951}">
  <sheetPr>
    <pageSetUpPr fitToPage="1"/>
  </sheetPr>
  <dimension ref="A1:M57"/>
  <sheetViews>
    <sheetView tabSelected="1" zoomScale="55" zoomScaleNormal="55" workbookViewId="0">
      <selection activeCell="E42" sqref="E42"/>
    </sheetView>
  </sheetViews>
  <sheetFormatPr defaultColWidth="8.53515625" defaultRowHeight="14.15" x14ac:dyDescent="0.35"/>
  <cols>
    <col min="1" max="2" width="8.53515625" style="3"/>
    <col min="3" max="3" width="28" style="3" bestFit="1" customWidth="1"/>
    <col min="4" max="4" width="9.4609375" style="3" customWidth="1"/>
    <col min="5" max="9" width="8.53515625" style="3"/>
    <col min="10" max="10" width="12.53515625" style="3" customWidth="1"/>
    <col min="11" max="13" width="8.53515625" style="3"/>
    <col min="14" max="14" width="10.4609375" style="3" bestFit="1" customWidth="1"/>
    <col min="15" max="15" width="8.53515625" style="3"/>
    <col min="16" max="16" width="11.53515625" style="3" bestFit="1" customWidth="1"/>
    <col min="17" max="16384" width="8.53515625" style="3"/>
  </cols>
  <sheetData>
    <row r="1" spans="1:13" x14ac:dyDescent="0.35">
      <c r="A1" s="4"/>
      <c r="B1" s="4"/>
      <c r="C1" s="4"/>
      <c r="D1" s="4"/>
      <c r="E1" s="4"/>
      <c r="F1" s="4"/>
      <c r="G1" s="4"/>
      <c r="H1" s="4"/>
      <c r="I1" s="4"/>
      <c r="J1" s="4"/>
      <c r="K1" s="4"/>
      <c r="L1" s="4"/>
      <c r="M1" s="4"/>
    </row>
    <row r="2" spans="1:13" x14ac:dyDescent="0.35">
      <c r="A2" s="4"/>
      <c r="B2" s="4"/>
      <c r="C2" s="4"/>
      <c r="D2" s="4"/>
      <c r="E2" s="4"/>
      <c r="F2" s="4"/>
      <c r="G2" s="4"/>
      <c r="H2" s="4"/>
      <c r="I2" s="4"/>
      <c r="J2" s="4"/>
      <c r="K2" s="4"/>
      <c r="L2" s="4"/>
      <c r="M2" s="4"/>
    </row>
    <row r="3" spans="1:13" ht="22.75" x14ac:dyDescent="0.55000000000000004">
      <c r="A3" s="4"/>
      <c r="B3" s="259"/>
      <c r="C3" s="259"/>
      <c r="D3" s="259"/>
      <c r="E3" s="4"/>
      <c r="F3" s="4"/>
      <c r="G3" s="4"/>
      <c r="H3" s="4"/>
      <c r="I3" s="4"/>
      <c r="J3" s="4"/>
      <c r="K3" s="4"/>
      <c r="L3" s="4"/>
      <c r="M3" s="4"/>
    </row>
    <row r="4" spans="1:13" x14ac:dyDescent="0.35">
      <c r="A4" s="4"/>
      <c r="B4" s="4"/>
      <c r="C4" s="4"/>
      <c r="D4" s="4"/>
      <c r="E4" s="4"/>
      <c r="F4" s="4"/>
      <c r="G4" s="4"/>
      <c r="H4" s="4"/>
      <c r="I4" s="4"/>
      <c r="J4" s="4"/>
      <c r="K4" s="4"/>
      <c r="L4" s="4"/>
      <c r="M4" s="4"/>
    </row>
    <row r="5" spans="1:13" x14ac:dyDescent="0.35">
      <c r="A5" s="4"/>
      <c r="B5" s="4"/>
      <c r="C5" s="4"/>
      <c r="D5" s="4"/>
      <c r="E5" s="4"/>
      <c r="F5" s="4"/>
      <c r="G5" s="4"/>
      <c r="H5" s="4"/>
      <c r="I5" s="4"/>
      <c r="J5" s="4"/>
      <c r="K5" s="4"/>
      <c r="L5" s="4"/>
      <c r="M5" s="4"/>
    </row>
    <row r="6" spans="1:13" x14ac:dyDescent="0.35">
      <c r="A6" s="4"/>
      <c r="B6" s="4"/>
      <c r="C6" s="4"/>
      <c r="D6" s="4"/>
      <c r="E6" s="4"/>
      <c r="F6" s="4"/>
      <c r="G6" s="4"/>
      <c r="H6" s="4"/>
      <c r="I6" s="4"/>
      <c r="J6" s="4"/>
      <c r="K6" s="4"/>
      <c r="L6" s="4"/>
      <c r="M6" s="4"/>
    </row>
    <row r="7" spans="1:13" x14ac:dyDescent="0.35">
      <c r="A7" s="4"/>
      <c r="B7" s="4"/>
      <c r="C7" s="4"/>
      <c r="D7" s="4"/>
      <c r="E7" s="4"/>
      <c r="F7" s="4"/>
      <c r="G7" s="4"/>
      <c r="H7" s="4"/>
      <c r="I7" s="4"/>
      <c r="J7" s="4"/>
      <c r="K7" s="4"/>
      <c r="L7" s="4"/>
      <c r="M7" s="4"/>
    </row>
    <row r="8" spans="1:13" x14ac:dyDescent="0.35">
      <c r="A8" s="4"/>
      <c r="B8" s="4"/>
      <c r="C8" s="4"/>
      <c r="D8" s="4"/>
      <c r="E8" s="4"/>
      <c r="F8" s="4"/>
      <c r="G8" s="4"/>
      <c r="H8" s="4"/>
      <c r="I8" s="4"/>
      <c r="J8" s="4"/>
      <c r="K8" s="4"/>
      <c r="L8" s="4"/>
      <c r="M8" s="4"/>
    </row>
    <row r="9" spans="1:13" x14ac:dyDescent="0.35">
      <c r="A9" s="4"/>
      <c r="B9" s="4"/>
      <c r="C9" s="4"/>
      <c r="D9" s="4"/>
      <c r="E9" s="4"/>
      <c r="F9" s="4"/>
      <c r="G9" s="4"/>
      <c r="H9" s="4"/>
      <c r="I9" s="4"/>
      <c r="J9" s="4"/>
      <c r="K9" s="4"/>
      <c r="L9" s="4"/>
      <c r="M9" s="4"/>
    </row>
    <row r="10" spans="1:13" x14ac:dyDescent="0.35">
      <c r="A10" s="4"/>
      <c r="B10" s="4"/>
      <c r="C10" s="4"/>
      <c r="D10" s="4"/>
      <c r="E10" s="4"/>
      <c r="F10" s="4"/>
      <c r="G10" s="4"/>
      <c r="H10" s="4"/>
      <c r="I10" s="4"/>
      <c r="J10" s="4"/>
      <c r="K10" s="4"/>
      <c r="L10" s="4"/>
      <c r="M10" s="4"/>
    </row>
    <row r="11" spans="1:13" x14ac:dyDescent="0.35">
      <c r="A11" s="4"/>
      <c r="B11" s="4"/>
      <c r="C11" s="4"/>
      <c r="D11" s="4"/>
      <c r="E11" s="4"/>
      <c r="F11" s="4"/>
      <c r="G11" s="4"/>
      <c r="H11" s="4"/>
      <c r="I11" s="4"/>
      <c r="J11" s="4"/>
      <c r="K11" s="4"/>
      <c r="L11" s="4"/>
      <c r="M11" s="4"/>
    </row>
    <row r="12" spans="1:13" ht="27.45" x14ac:dyDescent="0.65">
      <c r="A12" s="4"/>
      <c r="B12" s="4"/>
      <c r="C12" s="4"/>
      <c r="D12" s="4"/>
      <c r="E12" s="4"/>
      <c r="F12" s="4"/>
      <c r="G12" s="4"/>
      <c r="H12" s="4"/>
      <c r="I12" s="4"/>
      <c r="J12" s="4"/>
      <c r="K12" s="5"/>
      <c r="L12" s="4"/>
      <c r="M12" s="4"/>
    </row>
    <row r="13" spans="1:13" ht="20.149999999999999" x14ac:dyDescent="0.5">
      <c r="A13" s="4"/>
      <c r="B13" s="4"/>
      <c r="C13" s="4"/>
      <c r="D13" s="4"/>
      <c r="E13" s="4"/>
      <c r="F13" s="4"/>
      <c r="G13" s="4"/>
      <c r="H13" s="4"/>
      <c r="I13" s="4"/>
      <c r="J13" s="4"/>
      <c r="K13" s="6"/>
      <c r="L13" s="4"/>
      <c r="M13" s="4"/>
    </row>
    <row r="14" spans="1:13" ht="37.4" customHeight="1" x14ac:dyDescent="0.35">
      <c r="A14" s="7"/>
      <c r="B14" s="260" t="s">
        <v>0</v>
      </c>
      <c r="C14" s="260"/>
      <c r="D14" s="260"/>
      <c r="E14" s="260"/>
      <c r="F14" s="260"/>
      <c r="G14" s="260"/>
      <c r="H14" s="260"/>
      <c r="I14" s="260"/>
      <c r="J14" s="260"/>
      <c r="K14" s="7"/>
      <c r="L14" s="7"/>
      <c r="M14" s="4"/>
    </row>
    <row r="15" spans="1:13" ht="37.4" customHeight="1" x14ac:dyDescent="0.35">
      <c r="A15" s="7"/>
      <c r="B15" s="260"/>
      <c r="C15" s="260"/>
      <c r="D15" s="260"/>
      <c r="E15" s="260"/>
      <c r="F15" s="260"/>
      <c r="G15" s="260"/>
      <c r="H15" s="260"/>
      <c r="I15" s="260"/>
      <c r="J15" s="260"/>
      <c r="K15" s="7"/>
      <c r="L15" s="7"/>
      <c r="M15" s="4"/>
    </row>
    <row r="16" spans="1:13" ht="28.4" customHeight="1" x14ac:dyDescent="0.35">
      <c r="A16" s="7"/>
      <c r="B16" s="260"/>
      <c r="C16" s="260"/>
      <c r="D16" s="260"/>
      <c r="E16" s="260"/>
      <c r="F16" s="260"/>
      <c r="G16" s="260"/>
      <c r="H16" s="260"/>
      <c r="I16" s="260"/>
      <c r="J16" s="260"/>
      <c r="K16" s="7"/>
      <c r="L16" s="7"/>
      <c r="M16" s="4"/>
    </row>
    <row r="17" spans="1:13" x14ac:dyDescent="0.35">
      <c r="A17" s="4"/>
      <c r="B17" s="4"/>
      <c r="C17" s="4"/>
      <c r="D17" s="4"/>
      <c r="E17" s="4"/>
      <c r="F17" s="4"/>
      <c r="G17" s="4"/>
      <c r="H17" s="4"/>
      <c r="I17" s="4"/>
      <c r="J17" s="4"/>
      <c r="K17" s="4"/>
      <c r="L17" s="4"/>
      <c r="M17" s="4"/>
    </row>
    <row r="18" spans="1:13" x14ac:dyDescent="0.35">
      <c r="A18" s="4"/>
      <c r="C18" s="4"/>
      <c r="D18" s="4"/>
      <c r="E18" s="4"/>
      <c r="F18" s="4"/>
      <c r="G18" s="4"/>
      <c r="H18" s="4"/>
      <c r="I18" s="4"/>
      <c r="J18" s="4"/>
      <c r="K18" s="4"/>
      <c r="L18" s="4"/>
      <c r="M18" s="4"/>
    </row>
    <row r="19" spans="1:13" ht="30" customHeight="1" x14ac:dyDescent="0.55000000000000004">
      <c r="A19" s="4"/>
      <c r="B19" s="13" t="s">
        <v>1</v>
      </c>
      <c r="C19" s="12"/>
      <c r="D19" s="12"/>
      <c r="E19" s="12"/>
      <c r="F19" s="12"/>
      <c r="G19" s="12"/>
      <c r="H19" s="12"/>
      <c r="I19" s="12"/>
      <c r="J19" s="12"/>
      <c r="K19" s="12"/>
      <c r="L19" s="4"/>
      <c r="M19" s="4"/>
    </row>
    <row r="20" spans="1:13" ht="31.5" customHeight="1" x14ac:dyDescent="0.35">
      <c r="A20" s="4"/>
      <c r="B20" s="263" t="s">
        <v>2</v>
      </c>
      <c r="C20" s="263"/>
      <c r="D20" s="263"/>
      <c r="E20" s="263"/>
      <c r="F20" s="263"/>
      <c r="G20" s="263"/>
      <c r="H20" s="263"/>
      <c r="I20" s="12"/>
      <c r="J20" s="12"/>
      <c r="K20" s="12"/>
      <c r="L20" s="4"/>
      <c r="M20" s="4"/>
    </row>
    <row r="21" spans="1:13" ht="14.9" customHeight="1" x14ac:dyDescent="0.35">
      <c r="A21" s="4"/>
      <c r="B21" s="12"/>
      <c r="C21" s="12"/>
      <c r="D21" s="12"/>
      <c r="E21" s="12"/>
      <c r="F21" s="12"/>
      <c r="G21" s="12"/>
      <c r="H21" s="12"/>
      <c r="I21" s="12"/>
      <c r="J21" s="12"/>
      <c r="K21" s="12"/>
      <c r="L21" s="4"/>
      <c r="M21" s="4"/>
    </row>
    <row r="22" spans="1:13" ht="30" customHeight="1" x14ac:dyDescent="0.35">
      <c r="A22" s="4"/>
      <c r="B22" s="12"/>
      <c r="C22" s="12"/>
      <c r="D22" s="12"/>
      <c r="E22" s="12"/>
      <c r="F22" s="12"/>
      <c r="G22" s="12"/>
      <c r="H22" s="12"/>
      <c r="I22" s="12"/>
      <c r="J22" s="12"/>
      <c r="K22" s="12"/>
      <c r="L22" s="4"/>
      <c r="M22" s="4"/>
    </row>
    <row r="23" spans="1:13" ht="14.9" customHeight="1" x14ac:dyDescent="0.35">
      <c r="A23" s="261"/>
      <c r="B23" s="261"/>
      <c r="C23" s="261"/>
      <c r="D23" s="261"/>
      <c r="E23" s="261"/>
      <c r="F23" s="261"/>
      <c r="G23" s="261"/>
      <c r="H23" s="261"/>
      <c r="I23" s="261"/>
      <c r="J23" s="261"/>
      <c r="K23" s="261"/>
      <c r="L23" s="261"/>
      <c r="M23" s="4"/>
    </row>
    <row r="24" spans="1:13" ht="22.3" x14ac:dyDescent="0.35">
      <c r="A24" s="8"/>
      <c r="B24" s="55" t="s">
        <v>3</v>
      </c>
      <c r="C24" s="257">
        <v>46127</v>
      </c>
      <c r="D24" s="55"/>
      <c r="E24" s="55"/>
      <c r="F24" s="55"/>
      <c r="G24" s="55"/>
      <c r="H24" s="55"/>
      <c r="I24" s="55"/>
      <c r="J24" s="4"/>
      <c r="K24" s="4"/>
      <c r="L24" s="4"/>
      <c r="M24" s="4"/>
    </row>
    <row r="25" spans="1:13" ht="22.3" x14ac:dyDescent="0.35">
      <c r="B25" s="262" t="s">
        <v>422</v>
      </c>
      <c r="C25" s="262"/>
      <c r="D25" s="262"/>
      <c r="E25" s="262"/>
      <c r="F25" s="262"/>
      <c r="G25" s="262"/>
      <c r="H25" s="262"/>
      <c r="I25" s="262"/>
      <c r="J25" s="4"/>
      <c r="K25" s="4"/>
      <c r="L25" s="4"/>
      <c r="M25" s="4"/>
    </row>
    <row r="26" spans="1:13" ht="17.600000000000001" x14ac:dyDescent="0.4">
      <c r="A26" s="258"/>
      <c r="B26" s="258"/>
      <c r="C26" s="258"/>
      <c r="D26" s="9"/>
      <c r="E26" s="4"/>
      <c r="F26" s="4"/>
      <c r="G26" s="4"/>
      <c r="H26" s="4"/>
      <c r="I26" s="4"/>
      <c r="J26" s="4"/>
      <c r="K26" s="4"/>
      <c r="L26" s="4"/>
      <c r="M26" s="4"/>
    </row>
    <row r="27" spans="1:13" ht="30" x14ac:dyDescent="0.7">
      <c r="A27" s="4"/>
      <c r="B27" s="4"/>
      <c r="C27" s="4"/>
      <c r="D27" s="4"/>
      <c r="E27" s="4"/>
      <c r="G27" s="4"/>
      <c r="H27" s="4"/>
      <c r="I27" s="4"/>
      <c r="J27" s="10"/>
      <c r="K27" s="4"/>
      <c r="L27" s="4"/>
      <c r="M27" s="4"/>
    </row>
    <row r="28" spans="1:13" x14ac:dyDescent="0.35">
      <c r="A28" s="4"/>
      <c r="B28" s="4"/>
      <c r="C28" s="4"/>
      <c r="D28" s="4"/>
      <c r="E28" s="4"/>
      <c r="F28" s="4"/>
      <c r="G28" s="4"/>
      <c r="H28" s="4"/>
      <c r="I28" s="4"/>
      <c r="J28" s="4"/>
      <c r="K28" s="4"/>
      <c r="L28" s="4"/>
      <c r="M28" s="4"/>
    </row>
    <row r="29" spans="1:13" x14ac:dyDescent="0.35">
      <c r="A29" s="4"/>
      <c r="B29" s="4"/>
      <c r="C29" s="4"/>
      <c r="D29" s="4"/>
      <c r="E29" s="4"/>
      <c r="G29" s="4"/>
      <c r="H29" s="4"/>
      <c r="I29" s="4"/>
      <c r="J29" s="4"/>
      <c r="K29" s="4"/>
      <c r="L29" s="4"/>
      <c r="M29" s="4"/>
    </row>
    <row r="30" spans="1:13" x14ac:dyDescent="0.35">
      <c r="A30" s="4"/>
      <c r="B30" s="4"/>
      <c r="C30" s="4"/>
      <c r="D30" s="4"/>
      <c r="E30" s="4"/>
      <c r="F30" s="4"/>
      <c r="G30" s="4"/>
      <c r="H30" s="4"/>
      <c r="I30" s="4"/>
      <c r="J30" s="4"/>
      <c r="K30" s="4"/>
      <c r="L30" s="4"/>
    </row>
    <row r="31" spans="1:13" x14ac:dyDescent="0.35">
      <c r="A31" s="4"/>
      <c r="B31" s="4"/>
      <c r="C31" s="4"/>
      <c r="D31" s="4"/>
      <c r="E31" s="4"/>
      <c r="F31" s="4"/>
      <c r="G31" s="4"/>
      <c r="H31" s="4"/>
      <c r="I31" s="4"/>
      <c r="J31" s="4"/>
      <c r="K31" s="4"/>
      <c r="L31" s="4"/>
    </row>
    <row r="32" spans="1:13" x14ac:dyDescent="0.35">
      <c r="A32" s="4"/>
      <c r="B32" s="4"/>
      <c r="C32" s="4"/>
      <c r="D32" s="4"/>
      <c r="E32" s="4"/>
      <c r="F32" s="4"/>
      <c r="G32" s="4"/>
      <c r="H32" s="4"/>
      <c r="I32" s="4"/>
      <c r="J32" s="4"/>
      <c r="K32" s="4"/>
      <c r="L32" s="4"/>
    </row>
    <row r="33" spans="1:12" x14ac:dyDescent="0.35">
      <c r="A33" s="4"/>
      <c r="B33" s="4"/>
      <c r="C33" s="4"/>
      <c r="D33" s="4"/>
      <c r="E33" s="4"/>
      <c r="F33" s="4"/>
      <c r="G33" s="4"/>
      <c r="H33" s="4"/>
      <c r="I33" s="4"/>
      <c r="J33" s="4"/>
      <c r="K33" s="4"/>
      <c r="L33" s="4"/>
    </row>
    <row r="34" spans="1:12" x14ac:dyDescent="0.35">
      <c r="A34" s="4"/>
      <c r="B34" s="4"/>
      <c r="C34" s="4"/>
      <c r="D34" s="4"/>
      <c r="E34" s="4"/>
      <c r="F34" s="4"/>
      <c r="G34" s="4"/>
      <c r="H34" s="4"/>
      <c r="I34" s="4"/>
      <c r="J34" s="4"/>
      <c r="K34" s="4"/>
      <c r="L34" s="4"/>
    </row>
    <row r="35" spans="1:12" x14ac:dyDescent="0.35">
      <c r="A35" s="4"/>
      <c r="B35" s="4"/>
      <c r="C35" s="4"/>
      <c r="D35" s="4"/>
      <c r="E35" s="4"/>
      <c r="F35" s="4"/>
      <c r="G35" s="4"/>
      <c r="H35" s="4"/>
      <c r="I35" s="4"/>
      <c r="J35" s="4"/>
      <c r="K35" s="4"/>
      <c r="L35" s="4"/>
    </row>
    <row r="36" spans="1:12" x14ac:dyDescent="0.35">
      <c r="A36" s="4"/>
      <c r="B36" s="4"/>
      <c r="C36" s="4"/>
      <c r="D36" s="4"/>
      <c r="E36" s="4"/>
      <c r="F36" s="4"/>
      <c r="G36" s="4"/>
      <c r="H36" s="4"/>
      <c r="I36" s="4"/>
      <c r="J36" s="4"/>
      <c r="K36" s="4"/>
      <c r="L36" s="4"/>
    </row>
    <row r="37" spans="1:12" x14ac:dyDescent="0.35">
      <c r="A37" s="4"/>
      <c r="B37" s="4"/>
      <c r="C37" s="4"/>
      <c r="D37" s="4"/>
      <c r="E37" s="4"/>
      <c r="F37" s="4"/>
      <c r="G37" s="4"/>
      <c r="H37" s="4"/>
      <c r="I37" s="4"/>
      <c r="J37" s="4"/>
      <c r="K37" s="4"/>
      <c r="L37" s="4"/>
    </row>
    <row r="38" spans="1:12" x14ac:dyDescent="0.35">
      <c r="A38" s="4"/>
      <c r="B38" s="4"/>
      <c r="C38" s="4"/>
      <c r="D38" s="4"/>
      <c r="E38" s="4"/>
      <c r="F38" s="4"/>
      <c r="G38" s="4"/>
      <c r="H38" s="4"/>
      <c r="I38" s="4"/>
      <c r="J38" s="4"/>
      <c r="K38" s="4"/>
      <c r="L38" s="4"/>
    </row>
    <row r="39" spans="1:12" x14ac:dyDescent="0.35">
      <c r="A39" s="4"/>
      <c r="B39" s="4"/>
      <c r="C39" s="4"/>
      <c r="D39" s="4"/>
      <c r="E39" s="4"/>
      <c r="F39" s="4"/>
      <c r="G39" s="4"/>
      <c r="H39" s="4"/>
      <c r="I39" s="4"/>
      <c r="J39" s="4"/>
      <c r="K39" s="4"/>
      <c r="L39" s="4"/>
    </row>
    <row r="40" spans="1:12" x14ac:dyDescent="0.35">
      <c r="A40" s="4"/>
      <c r="B40" s="4"/>
      <c r="C40" s="4"/>
      <c r="D40" s="4"/>
      <c r="E40" s="4"/>
      <c r="F40" s="4"/>
      <c r="G40" s="4"/>
      <c r="H40" s="4"/>
      <c r="I40" s="4"/>
      <c r="J40" s="4"/>
      <c r="K40" s="4"/>
      <c r="L40" s="4"/>
    </row>
    <row r="41" spans="1:12" x14ac:dyDescent="0.35">
      <c r="A41" s="4"/>
      <c r="B41" s="4"/>
      <c r="C41" s="4"/>
      <c r="D41" s="4"/>
      <c r="E41" s="4"/>
      <c r="F41" s="4"/>
      <c r="G41" s="4"/>
      <c r="H41" s="4"/>
      <c r="I41" s="4"/>
      <c r="J41" s="4"/>
      <c r="K41" s="4"/>
      <c r="L41" s="4"/>
    </row>
    <row r="42" spans="1:12" x14ac:dyDescent="0.35">
      <c r="A42" s="4"/>
      <c r="B42" s="4"/>
      <c r="C42" s="4"/>
      <c r="D42" s="4"/>
      <c r="E42" s="4"/>
      <c r="F42" s="4"/>
      <c r="G42" s="4"/>
      <c r="H42" s="4"/>
      <c r="I42" s="4"/>
      <c r="J42" s="4"/>
      <c r="K42" s="4"/>
      <c r="L42" s="4"/>
    </row>
    <row r="43" spans="1:12" x14ac:dyDescent="0.35">
      <c r="A43" s="4"/>
      <c r="B43" s="4"/>
      <c r="C43" s="4"/>
      <c r="D43" s="4"/>
      <c r="E43" s="4"/>
      <c r="F43" s="4"/>
      <c r="G43" s="4"/>
      <c r="H43" s="4"/>
      <c r="I43" s="4"/>
      <c r="J43" s="4"/>
      <c r="K43" s="4"/>
      <c r="L43" s="4"/>
    </row>
    <row r="44" spans="1:12" x14ac:dyDescent="0.35">
      <c r="A44" s="4"/>
      <c r="B44" s="4"/>
      <c r="C44" s="4"/>
      <c r="D44" s="4"/>
      <c r="E44" s="4"/>
      <c r="F44" s="4"/>
      <c r="G44" s="4"/>
      <c r="H44" s="4"/>
      <c r="I44" s="4"/>
      <c r="J44" s="4"/>
      <c r="K44" s="4"/>
      <c r="L44" s="4"/>
    </row>
    <row r="45" spans="1:12" x14ac:dyDescent="0.35">
      <c r="A45" s="4"/>
      <c r="B45" s="4"/>
      <c r="C45" s="4"/>
      <c r="D45" s="4"/>
      <c r="E45" s="4"/>
      <c r="F45" s="11"/>
      <c r="G45" s="4"/>
      <c r="H45" s="4"/>
      <c r="I45" s="4"/>
      <c r="J45" s="4"/>
      <c r="K45" s="4"/>
      <c r="L45" s="4"/>
    </row>
    <row r="46" spans="1:12" x14ac:dyDescent="0.35">
      <c r="A46" s="4"/>
      <c r="B46" s="4"/>
      <c r="C46" s="4"/>
      <c r="D46" s="4"/>
      <c r="E46" s="4"/>
      <c r="F46" s="4"/>
      <c r="G46" s="4"/>
      <c r="H46" s="4"/>
      <c r="I46" s="4"/>
      <c r="J46" s="4"/>
      <c r="K46" s="4"/>
      <c r="L46" s="4"/>
    </row>
    <row r="47" spans="1:12" x14ac:dyDescent="0.35">
      <c r="A47" s="4"/>
      <c r="B47" s="4"/>
      <c r="C47" s="4"/>
      <c r="D47" s="4"/>
      <c r="E47" s="4"/>
      <c r="F47" s="4"/>
      <c r="G47" s="4"/>
      <c r="H47" s="4"/>
      <c r="I47" s="4"/>
      <c r="J47" s="4"/>
      <c r="K47" s="4"/>
      <c r="L47" s="4"/>
    </row>
    <row r="48" spans="1:12" x14ac:dyDescent="0.35">
      <c r="A48" s="4"/>
      <c r="B48" s="4"/>
      <c r="C48" s="4"/>
      <c r="D48" s="4"/>
      <c r="E48" s="4"/>
      <c r="F48" s="4"/>
      <c r="G48" s="4"/>
      <c r="H48" s="4"/>
      <c r="I48" s="4"/>
      <c r="J48" s="4"/>
      <c r="K48" s="4"/>
      <c r="L48" s="4"/>
    </row>
    <row r="49" spans="1:12" x14ac:dyDescent="0.35">
      <c r="A49" s="4"/>
      <c r="B49" s="4"/>
      <c r="C49" s="4"/>
      <c r="D49" s="4"/>
      <c r="E49" s="4"/>
      <c r="F49" s="4"/>
      <c r="G49" s="4"/>
      <c r="H49" s="4"/>
      <c r="I49" s="4"/>
      <c r="J49" s="4"/>
      <c r="K49" s="4"/>
      <c r="L49" s="4"/>
    </row>
    <row r="50" spans="1:12" x14ac:dyDescent="0.35">
      <c r="A50" s="4"/>
      <c r="B50" s="4"/>
      <c r="C50" s="4"/>
      <c r="D50" s="4"/>
      <c r="E50" s="4"/>
      <c r="F50" s="4"/>
      <c r="G50" s="4"/>
      <c r="H50" s="4"/>
      <c r="I50" s="4"/>
      <c r="J50" s="4"/>
      <c r="K50" s="4"/>
      <c r="L50" s="4"/>
    </row>
    <row r="51" spans="1:12" x14ac:dyDescent="0.35">
      <c r="A51" s="4"/>
      <c r="B51" s="4"/>
      <c r="C51" s="4"/>
      <c r="D51" s="4"/>
      <c r="E51" s="4"/>
      <c r="F51" s="4"/>
      <c r="G51" s="4"/>
      <c r="H51" s="4"/>
      <c r="I51" s="4"/>
      <c r="J51" s="4"/>
      <c r="K51" s="4"/>
      <c r="L51" s="4"/>
    </row>
    <row r="52" spans="1:12" x14ac:dyDescent="0.35">
      <c r="A52" s="4"/>
      <c r="B52" s="4"/>
      <c r="C52" s="4"/>
      <c r="D52" s="4"/>
      <c r="E52" s="4"/>
      <c r="F52" s="4"/>
      <c r="G52" s="4"/>
      <c r="H52" s="4"/>
      <c r="I52" s="4"/>
      <c r="J52" s="4"/>
      <c r="K52" s="4"/>
      <c r="L52" s="4"/>
    </row>
    <row r="53" spans="1:12" x14ac:dyDescent="0.35">
      <c r="A53" s="4"/>
      <c r="B53" s="4"/>
      <c r="C53" s="4"/>
      <c r="D53" s="4"/>
      <c r="E53" s="4"/>
      <c r="F53" s="4"/>
      <c r="G53" s="4"/>
      <c r="H53" s="4"/>
      <c r="I53" s="4"/>
      <c r="J53" s="4"/>
      <c r="K53" s="4"/>
      <c r="L53" s="4"/>
    </row>
    <row r="54" spans="1:12" x14ac:dyDescent="0.35">
      <c r="A54" s="4"/>
      <c r="B54" s="4"/>
      <c r="C54" s="4"/>
      <c r="D54" s="4"/>
      <c r="E54" s="4"/>
      <c r="F54" s="4"/>
      <c r="G54" s="4"/>
      <c r="H54" s="4"/>
      <c r="I54" s="4"/>
      <c r="J54" s="4"/>
      <c r="K54" s="4"/>
      <c r="L54" s="4"/>
    </row>
    <row r="55" spans="1:12" x14ac:dyDescent="0.35">
      <c r="A55" s="4"/>
      <c r="C55" s="4"/>
      <c r="D55" s="4"/>
      <c r="E55" s="4"/>
      <c r="F55" s="4"/>
      <c r="G55" s="4"/>
      <c r="H55" s="4"/>
      <c r="I55" s="4"/>
      <c r="J55" s="4"/>
      <c r="K55" s="4"/>
      <c r="L55" s="4"/>
    </row>
    <row r="56" spans="1:12" x14ac:dyDescent="0.35">
      <c r="A56" s="4"/>
      <c r="B56" s="4"/>
      <c r="C56" s="4"/>
      <c r="D56" s="4"/>
      <c r="E56" s="4"/>
      <c r="F56" s="4"/>
      <c r="G56" s="4"/>
      <c r="H56" s="4"/>
      <c r="I56" s="4"/>
      <c r="J56" s="4"/>
      <c r="K56" s="4"/>
      <c r="L56" s="4"/>
    </row>
    <row r="57" spans="1:12" x14ac:dyDescent="0.35">
      <c r="A57" s="4"/>
      <c r="B57" s="4"/>
      <c r="C57" s="4"/>
      <c r="D57" s="4"/>
      <c r="E57" s="4"/>
      <c r="F57" s="4"/>
      <c r="G57" s="4"/>
      <c r="H57" s="4"/>
      <c r="I57" s="4"/>
      <c r="J57" s="4"/>
      <c r="K57" s="4"/>
      <c r="L57" s="4"/>
    </row>
  </sheetData>
  <mergeCells count="6">
    <mergeCell ref="A26:C26"/>
    <mergeCell ref="B3:D3"/>
    <mergeCell ref="B14:J16"/>
    <mergeCell ref="A23:L23"/>
    <mergeCell ref="B25:I25"/>
    <mergeCell ref="B20:H20"/>
  </mergeCells>
  <pageMargins left="0.70866141732283472" right="0.70866141732283472" top="0.74803149606299213" bottom="0.74803149606299213" header="0.31496062992125984" footer="0.31496062992125984"/>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B9AA-F333-4BA7-AD37-23660782FC1D}">
  <dimension ref="B2:D81"/>
  <sheetViews>
    <sheetView zoomScale="69" workbookViewId="0">
      <selection activeCell="J14" sqref="J14"/>
    </sheetView>
  </sheetViews>
  <sheetFormatPr defaultColWidth="8.53515625" defaultRowHeight="12.45" x14ac:dyDescent="0.3"/>
  <cols>
    <col min="1" max="1" width="8.53515625" style="2"/>
    <col min="2" max="2" width="47.53515625" style="2" customWidth="1"/>
    <col min="3" max="3" width="10.84375" style="59" customWidth="1"/>
    <col min="4" max="4" width="91.84375" style="2" customWidth="1"/>
    <col min="5" max="16384" width="8.53515625" style="2"/>
  </cols>
  <sheetData>
    <row r="2" spans="2:4" ht="13.75" x14ac:dyDescent="0.3">
      <c r="B2" s="93" t="s">
        <v>337</v>
      </c>
      <c r="C2" s="94" t="s">
        <v>338</v>
      </c>
      <c r="D2" s="93" t="s">
        <v>85</v>
      </c>
    </row>
    <row r="3" spans="2:4" x14ac:dyDescent="0.3">
      <c r="B3" s="95" t="s">
        <v>87</v>
      </c>
      <c r="C3" s="96">
        <v>6</v>
      </c>
      <c r="D3" s="101"/>
    </row>
    <row r="4" spans="2:4" x14ac:dyDescent="0.3">
      <c r="B4" s="95" t="s">
        <v>187</v>
      </c>
      <c r="C4" s="96">
        <v>8</v>
      </c>
      <c r="D4" s="101"/>
    </row>
    <row r="5" spans="2:4" x14ac:dyDescent="0.3">
      <c r="B5" s="95" t="s">
        <v>88</v>
      </c>
      <c r="C5" s="96">
        <v>8</v>
      </c>
      <c r="D5" s="101"/>
    </row>
    <row r="6" spans="2:4" x14ac:dyDescent="0.3">
      <c r="B6" s="95" t="s">
        <v>188</v>
      </c>
      <c r="C6" s="96">
        <v>12</v>
      </c>
      <c r="D6" s="101"/>
    </row>
    <row r="7" spans="2:4" x14ac:dyDescent="0.3">
      <c r="B7" s="95" t="s">
        <v>90</v>
      </c>
      <c r="C7" s="96">
        <v>12</v>
      </c>
      <c r="D7" s="101"/>
    </row>
    <row r="8" spans="2:4" x14ac:dyDescent="0.3">
      <c r="B8" s="95" t="s">
        <v>91</v>
      </c>
      <c r="C8" s="96">
        <v>5</v>
      </c>
      <c r="D8" s="101"/>
    </row>
    <row r="9" spans="2:4" ht="24.9" x14ac:dyDescent="0.3">
      <c r="B9" s="95" t="s">
        <v>92</v>
      </c>
      <c r="C9" s="96">
        <v>5.5</v>
      </c>
      <c r="D9" s="102" t="s">
        <v>339</v>
      </c>
    </row>
    <row r="10" spans="2:4" ht="37.299999999999997" x14ac:dyDescent="0.3">
      <c r="B10" s="95" t="s">
        <v>101</v>
      </c>
      <c r="C10" s="96">
        <v>2</v>
      </c>
      <c r="D10" s="102" t="s">
        <v>340</v>
      </c>
    </row>
    <row r="11" spans="2:4" x14ac:dyDescent="0.3">
      <c r="B11" s="95" t="s">
        <v>103</v>
      </c>
      <c r="C11" s="96">
        <v>2</v>
      </c>
      <c r="D11" s="102" t="s">
        <v>341</v>
      </c>
    </row>
    <row r="12" spans="2:4" x14ac:dyDescent="0.3">
      <c r="B12" s="95" t="s">
        <v>105</v>
      </c>
      <c r="C12" s="96">
        <v>5.5</v>
      </c>
      <c r="D12" s="101" t="s">
        <v>342</v>
      </c>
    </row>
    <row r="13" spans="2:4" x14ac:dyDescent="0.3">
      <c r="B13" s="95" t="s">
        <v>107</v>
      </c>
      <c r="C13" s="96">
        <v>2.5</v>
      </c>
      <c r="D13" s="101"/>
    </row>
    <row r="14" spans="2:4" ht="87" x14ac:dyDescent="0.3">
      <c r="B14" s="95" t="s">
        <v>95</v>
      </c>
      <c r="C14" s="96">
        <v>16</v>
      </c>
      <c r="D14" s="103" t="s">
        <v>237</v>
      </c>
    </row>
    <row r="15" spans="2:4" ht="24.9" x14ac:dyDescent="0.3">
      <c r="B15" s="95" t="s">
        <v>343</v>
      </c>
      <c r="C15" s="96">
        <v>8</v>
      </c>
      <c r="D15" s="104" t="s">
        <v>344</v>
      </c>
    </row>
    <row r="16" spans="2:4" x14ac:dyDescent="0.3">
      <c r="B16" s="95" t="s">
        <v>345</v>
      </c>
      <c r="C16" s="96">
        <v>12</v>
      </c>
      <c r="D16" s="60" t="s">
        <v>346</v>
      </c>
    </row>
    <row r="17" spans="2:4" ht="40.5" customHeight="1" x14ac:dyDescent="0.3">
      <c r="B17" s="95" t="s">
        <v>114</v>
      </c>
      <c r="C17" s="96">
        <v>16</v>
      </c>
      <c r="D17" s="105" t="s">
        <v>347</v>
      </c>
    </row>
    <row r="18" spans="2:4" ht="42" customHeight="1" x14ac:dyDescent="0.3">
      <c r="B18" s="95" t="s">
        <v>113</v>
      </c>
      <c r="C18" s="96">
        <v>13.5</v>
      </c>
      <c r="D18" s="106"/>
    </row>
    <row r="19" spans="2:4" ht="22" customHeight="1" x14ac:dyDescent="0.3">
      <c r="B19" s="84" t="s">
        <v>111</v>
      </c>
      <c r="C19" s="97">
        <v>8</v>
      </c>
      <c r="D19" s="107" t="s">
        <v>348</v>
      </c>
    </row>
    <row r="20" spans="2:4" ht="23.5" customHeight="1" x14ac:dyDescent="0.3">
      <c r="B20" s="84" t="s">
        <v>349</v>
      </c>
      <c r="C20" s="97">
        <v>12</v>
      </c>
      <c r="D20" s="108"/>
    </row>
    <row r="21" spans="2:4" ht="24.9" x14ac:dyDescent="0.3">
      <c r="B21" s="84" t="s">
        <v>141</v>
      </c>
      <c r="C21" s="97">
        <v>4.5999999999999996</v>
      </c>
      <c r="D21" s="104" t="s">
        <v>350</v>
      </c>
    </row>
    <row r="22" spans="2:4" x14ac:dyDescent="0.3">
      <c r="B22" s="84" t="s">
        <v>351</v>
      </c>
      <c r="C22" s="97">
        <v>8</v>
      </c>
      <c r="D22" s="60" t="s">
        <v>352</v>
      </c>
    </row>
    <row r="23" spans="2:4" x14ac:dyDescent="0.3">
      <c r="B23" s="84" t="s">
        <v>115</v>
      </c>
      <c r="C23" s="97">
        <v>16</v>
      </c>
      <c r="D23" s="60" t="s">
        <v>353</v>
      </c>
    </row>
    <row r="24" spans="2:4" x14ac:dyDescent="0.3">
      <c r="B24" s="84" t="s">
        <v>354</v>
      </c>
      <c r="C24" s="97">
        <v>18</v>
      </c>
      <c r="D24" s="60" t="s">
        <v>355</v>
      </c>
    </row>
    <row r="25" spans="2:4" x14ac:dyDescent="0.3">
      <c r="B25" s="84" t="s">
        <v>117</v>
      </c>
      <c r="C25" s="97">
        <v>20</v>
      </c>
      <c r="D25" s="60" t="s">
        <v>356</v>
      </c>
    </row>
    <row r="26" spans="2:4" x14ac:dyDescent="0.3">
      <c r="B26" s="84" t="s">
        <v>168</v>
      </c>
      <c r="C26" s="97">
        <v>4.5999999999999996</v>
      </c>
      <c r="D26" s="60" t="s">
        <v>357</v>
      </c>
    </row>
    <row r="27" spans="2:4" x14ac:dyDescent="0.3">
      <c r="B27" s="84" t="s">
        <v>358</v>
      </c>
      <c r="C27" s="97">
        <v>9</v>
      </c>
      <c r="D27" s="60" t="s">
        <v>359</v>
      </c>
    </row>
    <row r="28" spans="2:4" x14ac:dyDescent="0.3">
      <c r="B28" s="84" t="s">
        <v>269</v>
      </c>
      <c r="C28" s="97">
        <v>16</v>
      </c>
      <c r="D28" s="60"/>
    </row>
    <row r="29" spans="2:4" x14ac:dyDescent="0.3">
      <c r="B29" s="84" t="s">
        <v>270</v>
      </c>
      <c r="C29" s="97">
        <v>4</v>
      </c>
      <c r="D29" s="60"/>
    </row>
    <row r="30" spans="2:4" x14ac:dyDescent="0.3">
      <c r="B30" s="84" t="s">
        <v>118</v>
      </c>
      <c r="C30" s="97">
        <v>32.5</v>
      </c>
      <c r="D30" s="60"/>
    </row>
    <row r="31" spans="2:4" x14ac:dyDescent="0.3">
      <c r="B31" s="84" t="s">
        <v>275</v>
      </c>
      <c r="C31" s="97">
        <v>12</v>
      </c>
      <c r="D31" s="60"/>
    </row>
    <row r="32" spans="2:4" x14ac:dyDescent="0.3">
      <c r="B32" s="84" t="s">
        <v>360</v>
      </c>
      <c r="C32" s="97">
        <v>4</v>
      </c>
      <c r="D32" s="60"/>
    </row>
    <row r="33" spans="2:4" x14ac:dyDescent="0.3">
      <c r="B33" s="84" t="s">
        <v>98</v>
      </c>
      <c r="C33" s="97">
        <v>4.5</v>
      </c>
      <c r="D33" s="60"/>
    </row>
    <row r="34" spans="2:4" x14ac:dyDescent="0.3">
      <c r="B34" s="84" t="s">
        <v>109</v>
      </c>
      <c r="C34" s="97">
        <v>2.5</v>
      </c>
      <c r="D34" s="60"/>
    </row>
    <row r="35" spans="2:4" x14ac:dyDescent="0.3">
      <c r="B35" s="84" t="s">
        <v>361</v>
      </c>
      <c r="C35" s="97">
        <v>3</v>
      </c>
      <c r="D35" s="60"/>
    </row>
    <row r="36" spans="2:4" x14ac:dyDescent="0.3">
      <c r="B36" s="84" t="s">
        <v>362</v>
      </c>
      <c r="C36" s="97">
        <v>8</v>
      </c>
      <c r="D36" s="60"/>
    </row>
    <row r="37" spans="2:4" x14ac:dyDescent="0.3">
      <c r="B37" s="84" t="s">
        <v>129</v>
      </c>
      <c r="C37" s="97">
        <v>8</v>
      </c>
      <c r="D37" s="60"/>
    </row>
    <row r="38" spans="2:4" x14ac:dyDescent="0.3">
      <c r="B38" s="84" t="s">
        <v>182</v>
      </c>
      <c r="C38" s="97">
        <v>8</v>
      </c>
      <c r="D38" s="60"/>
    </row>
    <row r="39" spans="2:4" x14ac:dyDescent="0.3">
      <c r="B39" s="84" t="s">
        <v>135</v>
      </c>
      <c r="C39" s="97">
        <v>8</v>
      </c>
      <c r="D39" s="60"/>
    </row>
    <row r="40" spans="2:4" x14ac:dyDescent="0.3">
      <c r="B40" s="84" t="s">
        <v>363</v>
      </c>
      <c r="C40" s="97">
        <v>5</v>
      </c>
      <c r="D40" s="60"/>
    </row>
    <row r="41" spans="2:4" x14ac:dyDescent="0.3">
      <c r="B41" s="84" t="s">
        <v>122</v>
      </c>
      <c r="C41" s="97">
        <v>8</v>
      </c>
      <c r="D41" s="60" t="s">
        <v>364</v>
      </c>
    </row>
    <row r="42" spans="2:4" x14ac:dyDescent="0.3">
      <c r="B42" s="84" t="s">
        <v>203</v>
      </c>
      <c r="C42" s="97">
        <v>4</v>
      </c>
      <c r="D42" s="60"/>
    </row>
    <row r="43" spans="2:4" x14ac:dyDescent="0.3">
      <c r="B43" s="84" t="s">
        <v>124</v>
      </c>
      <c r="C43" s="97">
        <v>4.5</v>
      </c>
      <c r="D43" s="60" t="s">
        <v>365</v>
      </c>
    </row>
    <row r="44" spans="2:4" x14ac:dyDescent="0.3">
      <c r="B44" s="84" t="s">
        <v>143</v>
      </c>
      <c r="C44" s="97">
        <v>8</v>
      </c>
      <c r="D44" s="60"/>
    </row>
    <row r="45" spans="2:4" x14ac:dyDescent="0.3">
      <c r="B45" s="84" t="s">
        <v>209</v>
      </c>
      <c r="C45" s="97">
        <v>12</v>
      </c>
      <c r="D45" s="60"/>
    </row>
    <row r="46" spans="2:4" x14ac:dyDescent="0.3">
      <c r="B46" s="84" t="s">
        <v>145</v>
      </c>
      <c r="C46" s="97">
        <v>5</v>
      </c>
      <c r="D46" s="60"/>
    </row>
    <row r="47" spans="2:4" x14ac:dyDescent="0.3">
      <c r="B47" s="84" t="s">
        <v>148</v>
      </c>
      <c r="C47" s="97">
        <v>2</v>
      </c>
      <c r="D47" s="60"/>
    </row>
    <row r="48" spans="2:4" x14ac:dyDescent="0.3">
      <c r="B48" s="84" t="s">
        <v>150</v>
      </c>
      <c r="C48" s="97">
        <v>4.5</v>
      </c>
      <c r="D48" s="60"/>
    </row>
    <row r="49" spans="2:4" x14ac:dyDescent="0.3">
      <c r="B49" s="84" t="s">
        <v>151</v>
      </c>
      <c r="C49" s="97">
        <v>1.8</v>
      </c>
      <c r="D49" s="60" t="s">
        <v>366</v>
      </c>
    </row>
    <row r="50" spans="2:4" x14ac:dyDescent="0.3">
      <c r="B50" s="84" t="s">
        <v>153</v>
      </c>
      <c r="C50" s="97">
        <v>1.4</v>
      </c>
      <c r="D50" s="60"/>
    </row>
    <row r="51" spans="2:4" x14ac:dyDescent="0.3">
      <c r="B51" s="84" t="s">
        <v>130</v>
      </c>
      <c r="C51" s="97">
        <v>2</v>
      </c>
      <c r="D51" s="60"/>
    </row>
    <row r="52" spans="2:4" x14ac:dyDescent="0.3">
      <c r="B52" s="84" t="s">
        <v>276</v>
      </c>
      <c r="C52" s="97">
        <v>3</v>
      </c>
      <c r="D52" s="60"/>
    </row>
    <row r="53" spans="2:4" x14ac:dyDescent="0.3">
      <c r="B53" s="84" t="s">
        <v>197</v>
      </c>
      <c r="C53" s="97">
        <v>3</v>
      </c>
      <c r="D53" s="60"/>
    </row>
    <row r="54" spans="2:4" x14ac:dyDescent="0.3">
      <c r="B54" s="84" t="s">
        <v>367</v>
      </c>
      <c r="C54" s="97">
        <v>2</v>
      </c>
      <c r="D54" s="60" t="s">
        <v>368</v>
      </c>
    </row>
    <row r="55" spans="2:4" x14ac:dyDescent="0.3">
      <c r="B55" s="84" t="s">
        <v>120</v>
      </c>
      <c r="C55" s="97">
        <v>5</v>
      </c>
      <c r="D55" s="60"/>
    </row>
    <row r="56" spans="2:4" x14ac:dyDescent="0.3">
      <c r="B56" s="84" t="s">
        <v>131</v>
      </c>
      <c r="C56" s="97">
        <v>8</v>
      </c>
      <c r="D56" s="60"/>
    </row>
    <row r="57" spans="2:4" x14ac:dyDescent="0.3">
      <c r="B57" s="84" t="s">
        <v>96</v>
      </c>
      <c r="C57" s="97">
        <v>10</v>
      </c>
      <c r="D57" s="60"/>
    </row>
    <row r="58" spans="2:4" x14ac:dyDescent="0.3">
      <c r="B58" s="84" t="s">
        <v>204</v>
      </c>
      <c r="C58" s="97">
        <v>15</v>
      </c>
      <c r="D58" s="60"/>
    </row>
    <row r="59" spans="2:4" x14ac:dyDescent="0.3">
      <c r="B59" s="60" t="s">
        <v>126</v>
      </c>
      <c r="C59" s="98">
        <v>8</v>
      </c>
      <c r="D59" s="60"/>
    </row>
    <row r="60" spans="2:4" x14ac:dyDescent="0.3">
      <c r="B60" s="60" t="s">
        <v>369</v>
      </c>
      <c r="C60" s="98">
        <v>12</v>
      </c>
      <c r="D60" s="60"/>
    </row>
    <row r="61" spans="2:4" x14ac:dyDescent="0.3">
      <c r="B61" s="60" t="s">
        <v>128</v>
      </c>
      <c r="C61" s="98">
        <v>8</v>
      </c>
      <c r="D61" s="60"/>
    </row>
    <row r="62" spans="2:4" x14ac:dyDescent="0.3">
      <c r="B62" s="60" t="s">
        <v>370</v>
      </c>
      <c r="C62" s="98">
        <v>12</v>
      </c>
      <c r="D62" s="60"/>
    </row>
    <row r="63" spans="2:4" x14ac:dyDescent="0.3">
      <c r="B63" s="60" t="s">
        <v>138</v>
      </c>
      <c r="C63" s="98">
        <v>6</v>
      </c>
      <c r="D63" s="60"/>
    </row>
    <row r="64" spans="2:4" x14ac:dyDescent="0.3">
      <c r="B64" s="60" t="s">
        <v>136</v>
      </c>
      <c r="C64" s="98">
        <v>2</v>
      </c>
      <c r="D64" s="60"/>
    </row>
    <row r="65" spans="2:4" x14ac:dyDescent="0.3">
      <c r="B65" s="60" t="s">
        <v>222</v>
      </c>
      <c r="C65" s="98">
        <v>3</v>
      </c>
      <c r="D65" s="60"/>
    </row>
    <row r="66" spans="2:4" x14ac:dyDescent="0.3">
      <c r="B66" s="60" t="s">
        <v>166</v>
      </c>
      <c r="C66" s="98">
        <v>4.5</v>
      </c>
      <c r="D66" s="60"/>
    </row>
    <row r="67" spans="2:4" x14ac:dyDescent="0.3">
      <c r="B67" s="60" t="s">
        <v>133</v>
      </c>
      <c r="C67" s="98">
        <v>2</v>
      </c>
      <c r="D67" s="60"/>
    </row>
    <row r="68" spans="2:4" x14ac:dyDescent="0.3">
      <c r="B68" s="60" t="s">
        <v>259</v>
      </c>
      <c r="C68" s="98">
        <v>10</v>
      </c>
      <c r="D68" s="60"/>
    </row>
    <row r="69" spans="2:4" x14ac:dyDescent="0.3">
      <c r="B69" s="60" t="s">
        <v>371</v>
      </c>
      <c r="C69" s="98">
        <v>4</v>
      </c>
      <c r="D69" s="60"/>
    </row>
    <row r="70" spans="2:4" x14ac:dyDescent="0.3">
      <c r="B70" s="60" t="s">
        <v>265</v>
      </c>
      <c r="C70" s="98">
        <v>8</v>
      </c>
      <c r="D70" s="60"/>
    </row>
    <row r="71" spans="2:4" x14ac:dyDescent="0.3">
      <c r="B71" s="60" t="s">
        <v>273</v>
      </c>
      <c r="C71" s="98">
        <v>3</v>
      </c>
      <c r="D71" s="60"/>
    </row>
    <row r="72" spans="2:4" x14ac:dyDescent="0.3">
      <c r="B72" s="60" t="s">
        <v>316</v>
      </c>
      <c r="C72" s="98">
        <v>8</v>
      </c>
      <c r="D72" s="60"/>
    </row>
    <row r="73" spans="2:4" x14ac:dyDescent="0.3">
      <c r="B73" s="60" t="s">
        <v>93</v>
      </c>
      <c r="C73" s="98">
        <v>8</v>
      </c>
      <c r="D73" s="60"/>
    </row>
    <row r="74" spans="2:4" x14ac:dyDescent="0.3">
      <c r="B74" s="60" t="s">
        <v>323</v>
      </c>
      <c r="C74" s="98">
        <v>10</v>
      </c>
      <c r="D74" s="60"/>
    </row>
    <row r="75" spans="2:4" x14ac:dyDescent="0.3">
      <c r="B75" s="60" t="s">
        <v>172</v>
      </c>
      <c r="C75" s="98">
        <v>4</v>
      </c>
      <c r="D75" s="60"/>
    </row>
    <row r="76" spans="2:4" x14ac:dyDescent="0.3">
      <c r="B76" s="60" t="s">
        <v>184</v>
      </c>
      <c r="C76" s="98">
        <v>20</v>
      </c>
      <c r="D76" s="60"/>
    </row>
    <row r="77" spans="2:4" x14ac:dyDescent="0.3">
      <c r="B77" s="60" t="s">
        <v>286</v>
      </c>
      <c r="C77" s="98">
        <v>30</v>
      </c>
      <c r="D77" s="60"/>
    </row>
    <row r="78" spans="2:4" x14ac:dyDescent="0.3">
      <c r="B78" s="60" t="s">
        <v>321</v>
      </c>
      <c r="C78" s="98">
        <v>40</v>
      </c>
      <c r="D78" s="60"/>
    </row>
    <row r="79" spans="2:4" x14ac:dyDescent="0.3">
      <c r="B79" s="60" t="s">
        <v>154</v>
      </c>
      <c r="C79" s="98">
        <v>6</v>
      </c>
      <c r="D79" s="60"/>
    </row>
    <row r="80" spans="2:4" x14ac:dyDescent="0.3">
      <c r="B80" s="60" t="s">
        <v>137</v>
      </c>
      <c r="C80" s="98">
        <v>4.5</v>
      </c>
      <c r="D80" s="60"/>
    </row>
    <row r="81" spans="2:4" x14ac:dyDescent="0.3">
      <c r="B81" s="60" t="s">
        <v>155</v>
      </c>
      <c r="C81" s="98">
        <v>0.5</v>
      </c>
      <c r="D81" s="60"/>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4D36-E3E1-4A82-A7B1-A506E3238CD0}">
  <dimension ref="B2:I104"/>
  <sheetViews>
    <sheetView topLeftCell="A25" zoomScale="43" zoomScaleNormal="80" workbookViewId="0">
      <selection activeCell="F2" sqref="F2"/>
    </sheetView>
  </sheetViews>
  <sheetFormatPr defaultRowHeight="14.6" x14ac:dyDescent="0.4"/>
  <cols>
    <col min="2" max="2" width="20.53515625" customWidth="1"/>
    <col min="3" max="3" width="27.4609375" customWidth="1"/>
    <col min="4" max="4" width="29" customWidth="1"/>
    <col min="5" max="5" width="31.69140625" customWidth="1"/>
    <col min="6" max="6" width="44.84375" customWidth="1"/>
    <col min="7" max="7" width="23.53515625" customWidth="1"/>
    <col min="8" max="8" width="52.84375" customWidth="1"/>
    <col min="9" max="9" width="22.53515625" customWidth="1"/>
  </cols>
  <sheetData>
    <row r="2" spans="2:9" x14ac:dyDescent="0.4">
      <c r="B2" t="s">
        <v>372</v>
      </c>
      <c r="C2" t="s">
        <v>373</v>
      </c>
      <c r="D2" t="s">
        <v>374</v>
      </c>
      <c r="E2" s="76" t="s">
        <v>375</v>
      </c>
      <c r="F2" s="78" t="s">
        <v>376</v>
      </c>
      <c r="G2" s="78" t="s">
        <v>377</v>
      </c>
      <c r="H2" s="78" t="s">
        <v>378</v>
      </c>
      <c r="I2" s="78" t="s">
        <v>379</v>
      </c>
    </row>
    <row r="3" spans="2:9" x14ac:dyDescent="0.4">
      <c r="F3" s="77" t="s">
        <v>380</v>
      </c>
      <c r="G3" s="77" t="s">
        <v>381</v>
      </c>
      <c r="H3" s="77" t="s">
        <v>380</v>
      </c>
      <c r="I3" s="77" t="s">
        <v>381</v>
      </c>
    </row>
    <row r="4" spans="2:9" x14ac:dyDescent="0.4">
      <c r="B4">
        <v>1</v>
      </c>
      <c r="C4">
        <v>0</v>
      </c>
      <c r="D4">
        <v>1</v>
      </c>
      <c r="E4">
        <v>1</v>
      </c>
      <c r="F4">
        <f t="shared" ref="F4:F67" si="0">E4*1.2</f>
        <v>1.2</v>
      </c>
      <c r="G4">
        <v>2</v>
      </c>
      <c r="H4">
        <f>E4*1.25</f>
        <v>1.25</v>
      </c>
      <c r="I4">
        <v>2</v>
      </c>
    </row>
    <row r="5" spans="2:9" x14ac:dyDescent="0.4">
      <c r="B5">
        <v>2</v>
      </c>
      <c r="C5">
        <v>0</v>
      </c>
      <c r="D5">
        <v>1</v>
      </c>
      <c r="E5">
        <v>1</v>
      </c>
      <c r="F5">
        <f t="shared" si="0"/>
        <v>1.2</v>
      </c>
      <c r="G5">
        <v>2</v>
      </c>
      <c r="H5">
        <f t="shared" ref="H5:H68" si="1">E5*1.25</f>
        <v>1.25</v>
      </c>
      <c r="I5">
        <v>2</v>
      </c>
    </row>
    <row r="6" spans="2:9" x14ac:dyDescent="0.4">
      <c r="B6">
        <v>3</v>
      </c>
      <c r="C6">
        <v>0</v>
      </c>
      <c r="D6">
        <v>1</v>
      </c>
      <c r="E6">
        <v>1</v>
      </c>
      <c r="F6">
        <f t="shared" si="0"/>
        <v>1.2</v>
      </c>
      <c r="G6">
        <v>2</v>
      </c>
      <c r="H6">
        <f t="shared" si="1"/>
        <v>1.25</v>
      </c>
      <c r="I6">
        <v>2</v>
      </c>
    </row>
    <row r="7" spans="2:9" x14ac:dyDescent="0.4">
      <c r="B7">
        <v>4</v>
      </c>
      <c r="C7">
        <v>0</v>
      </c>
      <c r="D7">
        <v>1</v>
      </c>
      <c r="E7">
        <v>1</v>
      </c>
      <c r="F7">
        <f t="shared" si="0"/>
        <v>1.2</v>
      </c>
      <c r="G7">
        <v>2</v>
      </c>
      <c r="H7">
        <f t="shared" si="1"/>
        <v>1.25</v>
      </c>
      <c r="I7">
        <v>2</v>
      </c>
    </row>
    <row r="8" spans="2:9" x14ac:dyDescent="0.4">
      <c r="B8">
        <v>5</v>
      </c>
      <c r="C8">
        <v>0</v>
      </c>
      <c r="D8">
        <v>1</v>
      </c>
      <c r="E8">
        <v>1</v>
      </c>
      <c r="F8">
        <f t="shared" si="0"/>
        <v>1.2</v>
      </c>
      <c r="G8">
        <v>2</v>
      </c>
      <c r="H8">
        <f t="shared" si="1"/>
        <v>1.25</v>
      </c>
      <c r="I8">
        <v>2</v>
      </c>
    </row>
    <row r="9" spans="2:9" x14ac:dyDescent="0.4">
      <c r="B9">
        <v>6</v>
      </c>
      <c r="C9">
        <v>1</v>
      </c>
      <c r="D9">
        <v>1</v>
      </c>
      <c r="E9">
        <v>2</v>
      </c>
      <c r="F9">
        <f t="shared" si="0"/>
        <v>2.4</v>
      </c>
      <c r="G9">
        <v>3</v>
      </c>
      <c r="H9">
        <f t="shared" si="1"/>
        <v>2.5</v>
      </c>
      <c r="I9">
        <v>3</v>
      </c>
    </row>
    <row r="10" spans="2:9" x14ac:dyDescent="0.4">
      <c r="B10">
        <v>7</v>
      </c>
      <c r="C10">
        <v>1</v>
      </c>
      <c r="D10">
        <v>1</v>
      </c>
      <c r="E10">
        <v>2</v>
      </c>
      <c r="F10">
        <f t="shared" si="0"/>
        <v>2.4</v>
      </c>
      <c r="G10">
        <v>3</v>
      </c>
      <c r="H10">
        <f t="shared" si="1"/>
        <v>2.5</v>
      </c>
      <c r="I10">
        <v>3</v>
      </c>
    </row>
    <row r="11" spans="2:9" x14ac:dyDescent="0.4">
      <c r="B11">
        <v>8</v>
      </c>
      <c r="C11">
        <v>1</v>
      </c>
      <c r="D11">
        <v>1</v>
      </c>
      <c r="E11">
        <v>2</v>
      </c>
      <c r="F11">
        <f t="shared" si="0"/>
        <v>2.4</v>
      </c>
      <c r="G11">
        <v>3</v>
      </c>
      <c r="H11">
        <f t="shared" si="1"/>
        <v>2.5</v>
      </c>
      <c r="I11">
        <v>3</v>
      </c>
    </row>
    <row r="12" spans="2:9" x14ac:dyDescent="0.4">
      <c r="B12">
        <v>9</v>
      </c>
      <c r="C12">
        <v>1</v>
      </c>
      <c r="D12">
        <v>1</v>
      </c>
      <c r="E12">
        <v>2</v>
      </c>
      <c r="F12">
        <f t="shared" si="0"/>
        <v>2.4</v>
      </c>
      <c r="G12">
        <v>3</v>
      </c>
      <c r="H12">
        <f t="shared" si="1"/>
        <v>2.5</v>
      </c>
      <c r="I12">
        <v>3</v>
      </c>
    </row>
    <row r="13" spans="2:9" x14ac:dyDescent="0.4">
      <c r="B13">
        <v>10</v>
      </c>
      <c r="C13">
        <v>1</v>
      </c>
      <c r="D13">
        <v>1</v>
      </c>
      <c r="E13">
        <v>2</v>
      </c>
      <c r="F13">
        <f t="shared" si="0"/>
        <v>2.4</v>
      </c>
      <c r="G13">
        <v>3</v>
      </c>
      <c r="H13">
        <f t="shared" si="1"/>
        <v>2.5</v>
      </c>
      <c r="I13">
        <v>3</v>
      </c>
    </row>
    <row r="14" spans="2:9" x14ac:dyDescent="0.4">
      <c r="B14">
        <v>11</v>
      </c>
      <c r="C14">
        <v>1</v>
      </c>
      <c r="D14">
        <v>1</v>
      </c>
      <c r="E14">
        <v>2</v>
      </c>
      <c r="F14">
        <f t="shared" si="0"/>
        <v>2.4</v>
      </c>
      <c r="G14">
        <v>3</v>
      </c>
      <c r="H14">
        <f t="shared" si="1"/>
        <v>2.5</v>
      </c>
      <c r="I14">
        <v>3</v>
      </c>
    </row>
    <row r="15" spans="2:9" x14ac:dyDescent="0.4">
      <c r="B15">
        <v>12</v>
      </c>
      <c r="C15">
        <v>1</v>
      </c>
      <c r="D15">
        <v>1</v>
      </c>
      <c r="E15">
        <v>2</v>
      </c>
      <c r="F15">
        <f t="shared" si="0"/>
        <v>2.4</v>
      </c>
      <c r="G15">
        <v>3</v>
      </c>
      <c r="H15">
        <f t="shared" si="1"/>
        <v>2.5</v>
      </c>
      <c r="I15">
        <v>3</v>
      </c>
    </row>
    <row r="16" spans="2:9" x14ac:dyDescent="0.4">
      <c r="B16">
        <v>13</v>
      </c>
      <c r="C16">
        <v>1</v>
      </c>
      <c r="D16">
        <v>1</v>
      </c>
      <c r="E16">
        <v>2</v>
      </c>
      <c r="F16">
        <f t="shared" si="0"/>
        <v>2.4</v>
      </c>
      <c r="G16">
        <v>3</v>
      </c>
      <c r="H16">
        <f t="shared" si="1"/>
        <v>2.5</v>
      </c>
      <c r="I16">
        <v>3</v>
      </c>
    </row>
    <row r="17" spans="2:9" x14ac:dyDescent="0.4">
      <c r="B17">
        <v>14</v>
      </c>
      <c r="C17">
        <v>1</v>
      </c>
      <c r="D17">
        <v>1</v>
      </c>
      <c r="E17">
        <v>2</v>
      </c>
      <c r="F17">
        <f t="shared" si="0"/>
        <v>2.4</v>
      </c>
      <c r="G17">
        <v>3</v>
      </c>
      <c r="H17">
        <f t="shared" si="1"/>
        <v>2.5</v>
      </c>
      <c r="I17">
        <v>3</v>
      </c>
    </row>
    <row r="18" spans="2:9" x14ac:dyDescent="0.4">
      <c r="B18">
        <v>15</v>
      </c>
      <c r="C18">
        <v>1</v>
      </c>
      <c r="D18">
        <v>1</v>
      </c>
      <c r="E18">
        <v>2</v>
      </c>
      <c r="F18">
        <f t="shared" si="0"/>
        <v>2.4</v>
      </c>
      <c r="G18">
        <v>3</v>
      </c>
      <c r="H18">
        <f t="shared" si="1"/>
        <v>2.5</v>
      </c>
      <c r="I18">
        <v>3</v>
      </c>
    </row>
    <row r="19" spans="2:9" x14ac:dyDescent="0.4">
      <c r="B19">
        <v>16</v>
      </c>
      <c r="C19">
        <v>2</v>
      </c>
      <c r="D19">
        <v>1</v>
      </c>
      <c r="E19">
        <v>3</v>
      </c>
      <c r="F19">
        <f t="shared" si="0"/>
        <v>3.5999999999999996</v>
      </c>
      <c r="G19">
        <v>4</v>
      </c>
      <c r="H19">
        <f t="shared" si="1"/>
        <v>3.75</v>
      </c>
      <c r="I19">
        <v>4</v>
      </c>
    </row>
    <row r="20" spans="2:9" x14ac:dyDescent="0.4">
      <c r="B20">
        <v>17</v>
      </c>
      <c r="C20">
        <v>2</v>
      </c>
      <c r="D20">
        <v>1</v>
      </c>
      <c r="E20">
        <v>3</v>
      </c>
      <c r="F20">
        <f t="shared" si="0"/>
        <v>3.5999999999999996</v>
      </c>
      <c r="G20">
        <v>4</v>
      </c>
      <c r="H20">
        <f t="shared" si="1"/>
        <v>3.75</v>
      </c>
      <c r="I20">
        <v>4</v>
      </c>
    </row>
    <row r="21" spans="2:9" x14ac:dyDescent="0.4">
      <c r="B21">
        <v>18</v>
      </c>
      <c r="C21">
        <v>2</v>
      </c>
      <c r="D21">
        <v>1</v>
      </c>
      <c r="E21">
        <v>3</v>
      </c>
      <c r="F21">
        <f t="shared" si="0"/>
        <v>3.5999999999999996</v>
      </c>
      <c r="G21">
        <v>4</v>
      </c>
      <c r="H21">
        <f t="shared" si="1"/>
        <v>3.75</v>
      </c>
      <c r="I21">
        <v>4</v>
      </c>
    </row>
    <row r="22" spans="2:9" x14ac:dyDescent="0.4">
      <c r="B22">
        <v>19</v>
      </c>
      <c r="C22">
        <v>2</v>
      </c>
      <c r="D22">
        <v>1</v>
      </c>
      <c r="E22">
        <v>3</v>
      </c>
      <c r="F22">
        <f t="shared" si="0"/>
        <v>3.5999999999999996</v>
      </c>
      <c r="G22">
        <v>4</v>
      </c>
      <c r="H22">
        <f t="shared" si="1"/>
        <v>3.75</v>
      </c>
      <c r="I22">
        <v>4</v>
      </c>
    </row>
    <row r="23" spans="2:9" x14ac:dyDescent="0.4">
      <c r="B23">
        <v>20</v>
      </c>
      <c r="C23">
        <v>2</v>
      </c>
      <c r="D23">
        <v>1</v>
      </c>
      <c r="E23">
        <v>3</v>
      </c>
      <c r="F23">
        <f t="shared" si="0"/>
        <v>3.5999999999999996</v>
      </c>
      <c r="G23">
        <v>4</v>
      </c>
      <c r="H23">
        <f t="shared" si="1"/>
        <v>3.75</v>
      </c>
      <c r="I23">
        <v>4</v>
      </c>
    </row>
    <row r="24" spans="2:9" x14ac:dyDescent="0.4">
      <c r="B24">
        <v>21</v>
      </c>
      <c r="C24">
        <v>2</v>
      </c>
      <c r="D24">
        <v>1</v>
      </c>
      <c r="E24">
        <v>3</v>
      </c>
      <c r="F24">
        <f t="shared" si="0"/>
        <v>3.5999999999999996</v>
      </c>
      <c r="G24">
        <v>4</v>
      </c>
      <c r="H24">
        <f t="shared" si="1"/>
        <v>3.75</v>
      </c>
      <c r="I24">
        <v>4</v>
      </c>
    </row>
    <row r="25" spans="2:9" x14ac:dyDescent="0.4">
      <c r="B25">
        <v>22</v>
      </c>
      <c r="C25">
        <v>2</v>
      </c>
      <c r="D25">
        <v>1</v>
      </c>
      <c r="E25">
        <v>3</v>
      </c>
      <c r="F25">
        <f t="shared" si="0"/>
        <v>3.5999999999999996</v>
      </c>
      <c r="G25">
        <v>4</v>
      </c>
      <c r="H25">
        <f t="shared" si="1"/>
        <v>3.75</v>
      </c>
      <c r="I25">
        <v>4</v>
      </c>
    </row>
    <row r="26" spans="2:9" x14ac:dyDescent="0.4">
      <c r="B26">
        <v>23</v>
      </c>
      <c r="C26">
        <v>2</v>
      </c>
      <c r="D26">
        <v>1</v>
      </c>
      <c r="E26">
        <v>3</v>
      </c>
      <c r="F26">
        <f t="shared" si="0"/>
        <v>3.5999999999999996</v>
      </c>
      <c r="G26">
        <v>4</v>
      </c>
      <c r="H26">
        <f t="shared" si="1"/>
        <v>3.75</v>
      </c>
      <c r="I26">
        <v>4</v>
      </c>
    </row>
    <row r="27" spans="2:9" x14ac:dyDescent="0.4">
      <c r="B27">
        <v>24</v>
      </c>
      <c r="C27">
        <v>2</v>
      </c>
      <c r="D27">
        <v>1</v>
      </c>
      <c r="E27">
        <v>3</v>
      </c>
      <c r="F27">
        <f t="shared" si="0"/>
        <v>3.5999999999999996</v>
      </c>
      <c r="G27">
        <v>4</v>
      </c>
      <c r="H27">
        <f t="shared" si="1"/>
        <v>3.75</v>
      </c>
      <c r="I27">
        <v>4</v>
      </c>
    </row>
    <row r="28" spans="2:9" x14ac:dyDescent="0.4">
      <c r="B28">
        <v>25</v>
      </c>
      <c r="C28">
        <v>2</v>
      </c>
      <c r="D28">
        <v>1</v>
      </c>
      <c r="E28">
        <v>3</v>
      </c>
      <c r="F28">
        <f t="shared" si="0"/>
        <v>3.5999999999999996</v>
      </c>
      <c r="G28">
        <v>4</v>
      </c>
      <c r="H28">
        <f t="shared" si="1"/>
        <v>3.75</v>
      </c>
      <c r="I28">
        <v>4</v>
      </c>
    </row>
    <row r="29" spans="2:9" x14ac:dyDescent="0.4">
      <c r="B29">
        <v>26</v>
      </c>
      <c r="C29">
        <v>2</v>
      </c>
      <c r="D29">
        <v>1</v>
      </c>
      <c r="E29">
        <v>3</v>
      </c>
      <c r="F29">
        <f t="shared" si="0"/>
        <v>3.5999999999999996</v>
      </c>
      <c r="G29">
        <v>4</v>
      </c>
      <c r="H29">
        <f t="shared" si="1"/>
        <v>3.75</v>
      </c>
      <c r="I29">
        <v>4</v>
      </c>
    </row>
    <row r="30" spans="2:9" x14ac:dyDescent="0.4">
      <c r="B30">
        <v>27</v>
      </c>
      <c r="C30">
        <v>2</v>
      </c>
      <c r="D30">
        <v>1</v>
      </c>
      <c r="E30">
        <v>3</v>
      </c>
      <c r="F30">
        <f t="shared" si="0"/>
        <v>3.5999999999999996</v>
      </c>
      <c r="G30">
        <v>4</v>
      </c>
      <c r="H30">
        <f t="shared" si="1"/>
        <v>3.75</v>
      </c>
      <c r="I30">
        <v>4</v>
      </c>
    </row>
    <row r="31" spans="2:9" x14ac:dyDescent="0.4">
      <c r="B31">
        <v>28</v>
      </c>
      <c r="C31">
        <v>2</v>
      </c>
      <c r="D31">
        <v>1</v>
      </c>
      <c r="E31">
        <v>3</v>
      </c>
      <c r="F31">
        <f t="shared" si="0"/>
        <v>3.5999999999999996</v>
      </c>
      <c r="G31">
        <v>4</v>
      </c>
      <c r="H31">
        <f t="shared" si="1"/>
        <v>3.75</v>
      </c>
      <c r="I31">
        <v>4</v>
      </c>
    </row>
    <row r="32" spans="2:9" x14ac:dyDescent="0.4">
      <c r="B32">
        <v>29</v>
      </c>
      <c r="C32">
        <v>2</v>
      </c>
      <c r="D32">
        <v>1</v>
      </c>
      <c r="E32">
        <v>3</v>
      </c>
      <c r="F32">
        <f t="shared" si="0"/>
        <v>3.5999999999999996</v>
      </c>
      <c r="G32">
        <v>4</v>
      </c>
      <c r="H32">
        <f t="shared" si="1"/>
        <v>3.75</v>
      </c>
      <c r="I32">
        <v>4</v>
      </c>
    </row>
    <row r="33" spans="2:9" x14ac:dyDescent="0.4">
      <c r="B33">
        <v>30</v>
      </c>
      <c r="C33">
        <v>2</v>
      </c>
      <c r="D33">
        <v>1</v>
      </c>
      <c r="E33">
        <v>3</v>
      </c>
      <c r="F33">
        <f t="shared" si="0"/>
        <v>3.5999999999999996</v>
      </c>
      <c r="G33">
        <v>4</v>
      </c>
      <c r="H33">
        <f t="shared" si="1"/>
        <v>3.75</v>
      </c>
      <c r="I33">
        <v>4</v>
      </c>
    </row>
    <row r="34" spans="2:9" x14ac:dyDescent="0.4">
      <c r="B34">
        <v>31</v>
      </c>
      <c r="C34">
        <v>3</v>
      </c>
      <c r="D34">
        <v>1</v>
      </c>
      <c r="E34">
        <v>4</v>
      </c>
      <c r="F34">
        <f t="shared" si="0"/>
        <v>4.8</v>
      </c>
      <c r="G34">
        <v>5</v>
      </c>
      <c r="H34">
        <f t="shared" si="1"/>
        <v>5</v>
      </c>
      <c r="I34">
        <v>5</v>
      </c>
    </row>
    <row r="35" spans="2:9" x14ac:dyDescent="0.4">
      <c r="B35">
        <v>32</v>
      </c>
      <c r="C35">
        <v>3</v>
      </c>
      <c r="D35">
        <v>1</v>
      </c>
      <c r="E35">
        <v>4</v>
      </c>
      <c r="F35">
        <f t="shared" si="0"/>
        <v>4.8</v>
      </c>
      <c r="G35">
        <v>5</v>
      </c>
      <c r="H35">
        <f t="shared" si="1"/>
        <v>5</v>
      </c>
      <c r="I35">
        <v>5</v>
      </c>
    </row>
    <row r="36" spans="2:9" x14ac:dyDescent="0.4">
      <c r="B36">
        <v>33</v>
      </c>
      <c r="C36">
        <v>3</v>
      </c>
      <c r="D36">
        <v>1</v>
      </c>
      <c r="E36">
        <v>4</v>
      </c>
      <c r="F36">
        <f t="shared" si="0"/>
        <v>4.8</v>
      </c>
      <c r="G36">
        <v>5</v>
      </c>
      <c r="H36">
        <f t="shared" si="1"/>
        <v>5</v>
      </c>
      <c r="I36">
        <v>5</v>
      </c>
    </row>
    <row r="37" spans="2:9" x14ac:dyDescent="0.4">
      <c r="B37">
        <v>34</v>
      </c>
      <c r="C37">
        <v>3</v>
      </c>
      <c r="D37">
        <v>1</v>
      </c>
      <c r="E37">
        <v>4</v>
      </c>
      <c r="F37">
        <f t="shared" si="0"/>
        <v>4.8</v>
      </c>
      <c r="G37">
        <v>5</v>
      </c>
      <c r="H37">
        <f t="shared" si="1"/>
        <v>5</v>
      </c>
      <c r="I37">
        <v>5</v>
      </c>
    </row>
    <row r="38" spans="2:9" x14ac:dyDescent="0.4">
      <c r="B38">
        <v>35</v>
      </c>
      <c r="C38">
        <v>3</v>
      </c>
      <c r="D38">
        <v>1</v>
      </c>
      <c r="E38">
        <v>4</v>
      </c>
      <c r="F38">
        <f t="shared" si="0"/>
        <v>4.8</v>
      </c>
      <c r="G38">
        <v>5</v>
      </c>
      <c r="H38">
        <f t="shared" si="1"/>
        <v>5</v>
      </c>
      <c r="I38">
        <v>5</v>
      </c>
    </row>
    <row r="39" spans="2:9" x14ac:dyDescent="0.4">
      <c r="B39">
        <v>36</v>
      </c>
      <c r="C39">
        <v>3</v>
      </c>
      <c r="D39">
        <v>1</v>
      </c>
      <c r="E39">
        <v>4</v>
      </c>
      <c r="F39">
        <f t="shared" si="0"/>
        <v>4.8</v>
      </c>
      <c r="G39">
        <v>5</v>
      </c>
      <c r="H39">
        <f t="shared" si="1"/>
        <v>5</v>
      </c>
      <c r="I39">
        <v>5</v>
      </c>
    </row>
    <row r="40" spans="2:9" x14ac:dyDescent="0.4">
      <c r="B40">
        <v>37</v>
      </c>
      <c r="C40">
        <v>3</v>
      </c>
      <c r="D40">
        <v>1</v>
      </c>
      <c r="E40">
        <v>4</v>
      </c>
      <c r="F40">
        <f t="shared" si="0"/>
        <v>4.8</v>
      </c>
      <c r="G40">
        <v>5</v>
      </c>
      <c r="H40">
        <f t="shared" si="1"/>
        <v>5</v>
      </c>
      <c r="I40">
        <v>5</v>
      </c>
    </row>
    <row r="41" spans="2:9" x14ac:dyDescent="0.4">
      <c r="B41">
        <v>38</v>
      </c>
      <c r="C41">
        <v>3</v>
      </c>
      <c r="D41">
        <v>1</v>
      </c>
      <c r="E41">
        <v>4</v>
      </c>
      <c r="F41">
        <f t="shared" si="0"/>
        <v>4.8</v>
      </c>
      <c r="G41">
        <v>5</v>
      </c>
      <c r="H41">
        <f t="shared" si="1"/>
        <v>5</v>
      </c>
      <c r="I41">
        <v>5</v>
      </c>
    </row>
    <row r="42" spans="2:9" x14ac:dyDescent="0.4">
      <c r="B42">
        <v>39</v>
      </c>
      <c r="C42">
        <v>3</v>
      </c>
      <c r="D42">
        <v>1</v>
      </c>
      <c r="E42">
        <v>4</v>
      </c>
      <c r="F42">
        <f t="shared" si="0"/>
        <v>4.8</v>
      </c>
      <c r="G42">
        <v>5</v>
      </c>
      <c r="H42">
        <f t="shared" si="1"/>
        <v>5</v>
      </c>
      <c r="I42">
        <v>5</v>
      </c>
    </row>
    <row r="43" spans="2:9" x14ac:dyDescent="0.4">
      <c r="B43">
        <v>40</v>
      </c>
      <c r="C43">
        <v>3</v>
      </c>
      <c r="D43">
        <v>1</v>
      </c>
      <c r="E43">
        <v>4</v>
      </c>
      <c r="F43">
        <f t="shared" si="0"/>
        <v>4.8</v>
      </c>
      <c r="G43">
        <v>5</v>
      </c>
      <c r="H43">
        <f t="shared" si="1"/>
        <v>5</v>
      </c>
      <c r="I43">
        <v>5</v>
      </c>
    </row>
    <row r="44" spans="2:9" x14ac:dyDescent="0.4">
      <c r="B44">
        <v>41</v>
      </c>
      <c r="C44">
        <v>3</v>
      </c>
      <c r="D44">
        <v>1</v>
      </c>
      <c r="E44">
        <v>4</v>
      </c>
      <c r="F44">
        <f t="shared" si="0"/>
        <v>4.8</v>
      </c>
      <c r="G44">
        <v>5</v>
      </c>
      <c r="H44">
        <f t="shared" si="1"/>
        <v>5</v>
      </c>
      <c r="I44">
        <v>5</v>
      </c>
    </row>
    <row r="45" spans="2:9" x14ac:dyDescent="0.4">
      <c r="B45">
        <v>42</v>
      </c>
      <c r="C45">
        <v>3</v>
      </c>
      <c r="D45">
        <v>1</v>
      </c>
      <c r="E45">
        <v>4</v>
      </c>
      <c r="F45">
        <f t="shared" si="0"/>
        <v>4.8</v>
      </c>
      <c r="G45">
        <v>5</v>
      </c>
      <c r="H45">
        <f t="shared" si="1"/>
        <v>5</v>
      </c>
      <c r="I45">
        <v>5</v>
      </c>
    </row>
    <row r="46" spans="2:9" x14ac:dyDescent="0.4">
      <c r="B46">
        <v>43</v>
      </c>
      <c r="C46">
        <v>3</v>
      </c>
      <c r="D46">
        <v>1</v>
      </c>
      <c r="E46">
        <v>4</v>
      </c>
      <c r="F46">
        <f t="shared" si="0"/>
        <v>4.8</v>
      </c>
      <c r="G46">
        <v>5</v>
      </c>
      <c r="H46">
        <f t="shared" si="1"/>
        <v>5</v>
      </c>
      <c r="I46">
        <v>5</v>
      </c>
    </row>
    <row r="47" spans="2:9" x14ac:dyDescent="0.4">
      <c r="B47">
        <v>44</v>
      </c>
      <c r="C47">
        <v>3</v>
      </c>
      <c r="D47">
        <v>1</v>
      </c>
      <c r="E47">
        <v>4</v>
      </c>
      <c r="F47">
        <f t="shared" si="0"/>
        <v>4.8</v>
      </c>
      <c r="G47">
        <v>5</v>
      </c>
      <c r="H47">
        <f t="shared" si="1"/>
        <v>5</v>
      </c>
      <c r="I47">
        <v>5</v>
      </c>
    </row>
    <row r="48" spans="2:9" x14ac:dyDescent="0.4">
      <c r="B48">
        <v>45</v>
      </c>
      <c r="C48">
        <v>3</v>
      </c>
      <c r="D48">
        <v>1</v>
      </c>
      <c r="E48">
        <v>4</v>
      </c>
      <c r="F48">
        <f t="shared" si="0"/>
        <v>4.8</v>
      </c>
      <c r="G48">
        <v>5</v>
      </c>
      <c r="H48">
        <f t="shared" si="1"/>
        <v>5</v>
      </c>
      <c r="I48">
        <v>5</v>
      </c>
    </row>
    <row r="49" spans="2:9" x14ac:dyDescent="0.4">
      <c r="B49">
        <v>46</v>
      </c>
      <c r="C49">
        <v>3</v>
      </c>
      <c r="D49">
        <v>2</v>
      </c>
      <c r="E49">
        <v>5</v>
      </c>
      <c r="F49">
        <f t="shared" si="0"/>
        <v>6</v>
      </c>
      <c r="G49">
        <v>6</v>
      </c>
      <c r="H49">
        <f t="shared" si="1"/>
        <v>6.25</v>
      </c>
      <c r="I49">
        <v>7</v>
      </c>
    </row>
    <row r="50" spans="2:9" x14ac:dyDescent="0.4">
      <c r="B50">
        <v>47</v>
      </c>
      <c r="C50">
        <v>3</v>
      </c>
      <c r="D50">
        <v>2</v>
      </c>
      <c r="E50">
        <v>5</v>
      </c>
      <c r="F50">
        <f t="shared" si="0"/>
        <v>6</v>
      </c>
      <c r="G50">
        <v>6</v>
      </c>
      <c r="H50">
        <f t="shared" si="1"/>
        <v>6.25</v>
      </c>
      <c r="I50">
        <v>7</v>
      </c>
    </row>
    <row r="51" spans="2:9" x14ac:dyDescent="0.4">
      <c r="B51">
        <v>48</v>
      </c>
      <c r="C51">
        <v>3</v>
      </c>
      <c r="D51">
        <v>2</v>
      </c>
      <c r="E51">
        <v>5</v>
      </c>
      <c r="F51">
        <f t="shared" si="0"/>
        <v>6</v>
      </c>
      <c r="G51">
        <v>6</v>
      </c>
      <c r="H51">
        <f t="shared" si="1"/>
        <v>6.25</v>
      </c>
      <c r="I51">
        <v>7</v>
      </c>
    </row>
    <row r="52" spans="2:9" x14ac:dyDescent="0.4">
      <c r="B52">
        <v>49</v>
      </c>
      <c r="C52">
        <v>3</v>
      </c>
      <c r="D52">
        <v>2</v>
      </c>
      <c r="E52">
        <v>5</v>
      </c>
      <c r="F52">
        <f t="shared" si="0"/>
        <v>6</v>
      </c>
      <c r="G52">
        <v>6</v>
      </c>
      <c r="H52">
        <f t="shared" si="1"/>
        <v>6.25</v>
      </c>
      <c r="I52">
        <v>7</v>
      </c>
    </row>
    <row r="53" spans="2:9" x14ac:dyDescent="0.4">
      <c r="B53">
        <v>50</v>
      </c>
      <c r="C53">
        <v>3</v>
      </c>
      <c r="D53">
        <v>2</v>
      </c>
      <c r="E53">
        <v>5</v>
      </c>
      <c r="F53">
        <f t="shared" si="0"/>
        <v>6</v>
      </c>
      <c r="G53">
        <v>6</v>
      </c>
      <c r="H53">
        <f t="shared" si="1"/>
        <v>6.25</v>
      </c>
      <c r="I53">
        <v>7</v>
      </c>
    </row>
    <row r="54" spans="2:9" x14ac:dyDescent="0.4">
      <c r="B54">
        <v>51</v>
      </c>
      <c r="C54">
        <v>3</v>
      </c>
      <c r="D54">
        <v>2</v>
      </c>
      <c r="E54">
        <v>5</v>
      </c>
      <c r="F54">
        <f t="shared" si="0"/>
        <v>6</v>
      </c>
      <c r="G54">
        <v>6</v>
      </c>
      <c r="H54">
        <f t="shared" si="1"/>
        <v>6.25</v>
      </c>
      <c r="I54">
        <v>7</v>
      </c>
    </row>
    <row r="55" spans="2:9" x14ac:dyDescent="0.4">
      <c r="B55">
        <v>52</v>
      </c>
      <c r="C55">
        <v>3</v>
      </c>
      <c r="D55">
        <v>2</v>
      </c>
      <c r="E55">
        <v>5</v>
      </c>
      <c r="F55">
        <f t="shared" si="0"/>
        <v>6</v>
      </c>
      <c r="G55">
        <v>6</v>
      </c>
      <c r="H55">
        <f t="shared" si="1"/>
        <v>6.25</v>
      </c>
      <c r="I55">
        <v>7</v>
      </c>
    </row>
    <row r="56" spans="2:9" x14ac:dyDescent="0.4">
      <c r="B56">
        <v>53</v>
      </c>
      <c r="C56">
        <v>3</v>
      </c>
      <c r="D56">
        <v>2</v>
      </c>
      <c r="E56">
        <v>5</v>
      </c>
      <c r="F56">
        <f t="shared" si="0"/>
        <v>6</v>
      </c>
      <c r="G56">
        <v>6</v>
      </c>
      <c r="H56">
        <f t="shared" si="1"/>
        <v>6.25</v>
      </c>
      <c r="I56">
        <v>7</v>
      </c>
    </row>
    <row r="57" spans="2:9" x14ac:dyDescent="0.4">
      <c r="B57">
        <v>54</v>
      </c>
      <c r="C57">
        <v>3</v>
      </c>
      <c r="D57">
        <v>2</v>
      </c>
      <c r="E57">
        <v>5</v>
      </c>
      <c r="F57">
        <f t="shared" si="0"/>
        <v>6</v>
      </c>
      <c r="G57">
        <v>6</v>
      </c>
      <c r="H57">
        <f t="shared" si="1"/>
        <v>6.25</v>
      </c>
      <c r="I57">
        <v>7</v>
      </c>
    </row>
    <row r="58" spans="2:9" x14ac:dyDescent="0.4">
      <c r="B58">
        <v>55</v>
      </c>
      <c r="C58">
        <v>3</v>
      </c>
      <c r="D58">
        <v>2</v>
      </c>
      <c r="E58">
        <v>5</v>
      </c>
      <c r="F58">
        <f t="shared" si="0"/>
        <v>6</v>
      </c>
      <c r="G58">
        <v>6</v>
      </c>
      <c r="H58">
        <f t="shared" si="1"/>
        <v>6.25</v>
      </c>
      <c r="I58">
        <v>7</v>
      </c>
    </row>
    <row r="59" spans="2:9" x14ac:dyDescent="0.4">
      <c r="B59">
        <v>56</v>
      </c>
      <c r="C59">
        <v>3</v>
      </c>
      <c r="D59">
        <v>2</v>
      </c>
      <c r="E59">
        <v>5</v>
      </c>
      <c r="F59">
        <f t="shared" si="0"/>
        <v>6</v>
      </c>
      <c r="G59">
        <v>6</v>
      </c>
      <c r="H59">
        <f t="shared" si="1"/>
        <v>6.25</v>
      </c>
      <c r="I59">
        <v>7</v>
      </c>
    </row>
    <row r="60" spans="2:9" x14ac:dyDescent="0.4">
      <c r="B60">
        <v>57</v>
      </c>
      <c r="C60">
        <v>3</v>
      </c>
      <c r="D60">
        <v>2</v>
      </c>
      <c r="E60">
        <v>5</v>
      </c>
      <c r="F60">
        <f t="shared" si="0"/>
        <v>6</v>
      </c>
      <c r="G60">
        <v>6</v>
      </c>
      <c r="H60">
        <f t="shared" si="1"/>
        <v>6.25</v>
      </c>
      <c r="I60">
        <v>7</v>
      </c>
    </row>
    <row r="61" spans="2:9" x14ac:dyDescent="0.4">
      <c r="B61">
        <v>58</v>
      </c>
      <c r="C61">
        <v>3</v>
      </c>
      <c r="D61">
        <v>2</v>
      </c>
      <c r="E61">
        <v>5</v>
      </c>
      <c r="F61">
        <f t="shared" si="0"/>
        <v>6</v>
      </c>
      <c r="G61">
        <v>6</v>
      </c>
      <c r="H61">
        <f t="shared" si="1"/>
        <v>6.25</v>
      </c>
      <c r="I61">
        <v>7</v>
      </c>
    </row>
    <row r="62" spans="2:9" x14ac:dyDescent="0.4">
      <c r="B62">
        <v>59</v>
      </c>
      <c r="C62">
        <v>3</v>
      </c>
      <c r="D62">
        <v>2</v>
      </c>
      <c r="E62">
        <v>5</v>
      </c>
      <c r="F62">
        <f t="shared" si="0"/>
        <v>6</v>
      </c>
      <c r="G62">
        <v>6</v>
      </c>
      <c r="H62">
        <f t="shared" si="1"/>
        <v>6.25</v>
      </c>
      <c r="I62">
        <v>7</v>
      </c>
    </row>
    <row r="63" spans="2:9" x14ac:dyDescent="0.4">
      <c r="B63">
        <v>60</v>
      </c>
      <c r="C63">
        <v>3</v>
      </c>
      <c r="D63">
        <v>2</v>
      </c>
      <c r="E63">
        <v>5</v>
      </c>
      <c r="F63">
        <f t="shared" si="0"/>
        <v>6</v>
      </c>
      <c r="G63">
        <v>6</v>
      </c>
      <c r="H63">
        <f t="shared" si="1"/>
        <v>6.25</v>
      </c>
      <c r="I63">
        <v>7</v>
      </c>
    </row>
    <row r="64" spans="2:9" x14ac:dyDescent="0.4">
      <c r="B64">
        <v>61</v>
      </c>
      <c r="C64">
        <v>4</v>
      </c>
      <c r="D64">
        <v>2</v>
      </c>
      <c r="E64">
        <v>6</v>
      </c>
      <c r="F64">
        <f t="shared" si="0"/>
        <v>7.1999999999999993</v>
      </c>
      <c r="G64">
        <v>8</v>
      </c>
      <c r="H64">
        <f t="shared" si="1"/>
        <v>7.5</v>
      </c>
      <c r="I64">
        <v>8</v>
      </c>
    </row>
    <row r="65" spans="2:9" x14ac:dyDescent="0.4">
      <c r="B65">
        <v>62</v>
      </c>
      <c r="C65">
        <v>4</v>
      </c>
      <c r="D65">
        <v>2</v>
      </c>
      <c r="E65">
        <v>6</v>
      </c>
      <c r="F65">
        <f t="shared" si="0"/>
        <v>7.1999999999999993</v>
      </c>
      <c r="G65">
        <v>8</v>
      </c>
      <c r="H65">
        <f t="shared" si="1"/>
        <v>7.5</v>
      </c>
      <c r="I65">
        <v>8</v>
      </c>
    </row>
    <row r="66" spans="2:9" x14ac:dyDescent="0.4">
      <c r="B66">
        <v>63</v>
      </c>
      <c r="C66">
        <v>4</v>
      </c>
      <c r="D66">
        <v>2</v>
      </c>
      <c r="E66">
        <v>6</v>
      </c>
      <c r="F66">
        <f t="shared" si="0"/>
        <v>7.1999999999999993</v>
      </c>
      <c r="G66">
        <v>8</v>
      </c>
      <c r="H66">
        <f t="shared" si="1"/>
        <v>7.5</v>
      </c>
      <c r="I66">
        <v>8</v>
      </c>
    </row>
    <row r="67" spans="2:9" x14ac:dyDescent="0.4">
      <c r="B67">
        <v>64</v>
      </c>
      <c r="C67">
        <v>4</v>
      </c>
      <c r="D67">
        <v>2</v>
      </c>
      <c r="E67">
        <v>6</v>
      </c>
      <c r="F67">
        <f t="shared" si="0"/>
        <v>7.1999999999999993</v>
      </c>
      <c r="G67">
        <v>8</v>
      </c>
      <c r="H67">
        <f t="shared" si="1"/>
        <v>7.5</v>
      </c>
      <c r="I67">
        <v>8</v>
      </c>
    </row>
    <row r="68" spans="2:9" x14ac:dyDescent="0.4">
      <c r="B68">
        <v>65</v>
      </c>
      <c r="C68">
        <v>4</v>
      </c>
      <c r="D68">
        <v>2</v>
      </c>
      <c r="E68">
        <v>6</v>
      </c>
      <c r="F68">
        <f t="shared" ref="F68:F103" si="2">E68*1.2</f>
        <v>7.1999999999999993</v>
      </c>
      <c r="G68">
        <v>8</v>
      </c>
      <c r="H68">
        <f t="shared" si="1"/>
        <v>7.5</v>
      </c>
      <c r="I68">
        <v>8</v>
      </c>
    </row>
    <row r="69" spans="2:9" x14ac:dyDescent="0.4">
      <c r="B69">
        <v>66</v>
      </c>
      <c r="C69">
        <v>4</v>
      </c>
      <c r="D69">
        <v>2</v>
      </c>
      <c r="E69">
        <v>6</v>
      </c>
      <c r="F69">
        <f t="shared" si="2"/>
        <v>7.1999999999999993</v>
      </c>
      <c r="G69">
        <v>8</v>
      </c>
      <c r="H69">
        <f t="shared" ref="H69:H103" si="3">E69*1.25</f>
        <v>7.5</v>
      </c>
      <c r="I69">
        <v>8</v>
      </c>
    </row>
    <row r="70" spans="2:9" x14ac:dyDescent="0.4">
      <c r="B70">
        <v>67</v>
      </c>
      <c r="C70">
        <v>4</v>
      </c>
      <c r="D70">
        <v>2</v>
      </c>
      <c r="E70">
        <v>6</v>
      </c>
      <c r="F70">
        <f t="shared" si="2"/>
        <v>7.1999999999999993</v>
      </c>
      <c r="G70">
        <v>8</v>
      </c>
      <c r="H70">
        <f t="shared" si="3"/>
        <v>7.5</v>
      </c>
      <c r="I70">
        <v>8</v>
      </c>
    </row>
    <row r="71" spans="2:9" x14ac:dyDescent="0.4">
      <c r="B71">
        <v>68</v>
      </c>
      <c r="C71">
        <v>4</v>
      </c>
      <c r="D71">
        <v>2</v>
      </c>
      <c r="E71">
        <v>6</v>
      </c>
      <c r="F71">
        <f t="shared" si="2"/>
        <v>7.1999999999999993</v>
      </c>
      <c r="G71">
        <v>8</v>
      </c>
      <c r="H71">
        <f t="shared" si="3"/>
        <v>7.5</v>
      </c>
      <c r="I71">
        <v>8</v>
      </c>
    </row>
    <row r="72" spans="2:9" x14ac:dyDescent="0.4">
      <c r="B72">
        <v>69</v>
      </c>
      <c r="C72">
        <v>4</v>
      </c>
      <c r="D72">
        <v>2</v>
      </c>
      <c r="E72">
        <v>6</v>
      </c>
      <c r="F72">
        <f t="shared" si="2"/>
        <v>7.1999999999999993</v>
      </c>
      <c r="G72">
        <v>8</v>
      </c>
      <c r="H72">
        <f t="shared" si="3"/>
        <v>7.5</v>
      </c>
      <c r="I72">
        <v>8</v>
      </c>
    </row>
    <row r="73" spans="2:9" x14ac:dyDescent="0.4">
      <c r="B73">
        <v>70</v>
      </c>
      <c r="C73">
        <v>4</v>
      </c>
      <c r="D73">
        <v>2</v>
      </c>
      <c r="E73">
        <v>6</v>
      </c>
      <c r="F73">
        <f t="shared" si="2"/>
        <v>7.1999999999999993</v>
      </c>
      <c r="G73">
        <v>8</v>
      </c>
      <c r="H73">
        <f t="shared" si="3"/>
        <v>7.5</v>
      </c>
      <c r="I73">
        <v>8</v>
      </c>
    </row>
    <row r="74" spans="2:9" x14ac:dyDescent="0.4">
      <c r="B74">
        <v>71</v>
      </c>
      <c r="C74">
        <v>4</v>
      </c>
      <c r="D74">
        <v>2</v>
      </c>
      <c r="E74">
        <v>6</v>
      </c>
      <c r="F74">
        <f t="shared" si="2"/>
        <v>7.1999999999999993</v>
      </c>
      <c r="G74">
        <v>8</v>
      </c>
      <c r="H74">
        <f t="shared" si="3"/>
        <v>7.5</v>
      </c>
      <c r="I74">
        <v>8</v>
      </c>
    </row>
    <row r="75" spans="2:9" x14ac:dyDescent="0.4">
      <c r="B75">
        <v>72</v>
      </c>
      <c r="C75">
        <v>4</v>
      </c>
      <c r="D75">
        <v>2</v>
      </c>
      <c r="E75">
        <v>6</v>
      </c>
      <c r="F75">
        <f t="shared" si="2"/>
        <v>7.1999999999999993</v>
      </c>
      <c r="G75">
        <v>8</v>
      </c>
      <c r="H75">
        <f t="shared" si="3"/>
        <v>7.5</v>
      </c>
      <c r="I75">
        <v>8</v>
      </c>
    </row>
    <row r="76" spans="2:9" x14ac:dyDescent="0.4">
      <c r="B76">
        <v>73</v>
      </c>
      <c r="C76">
        <v>4</v>
      </c>
      <c r="D76">
        <v>2</v>
      </c>
      <c r="E76">
        <v>6</v>
      </c>
      <c r="F76">
        <f t="shared" si="2"/>
        <v>7.1999999999999993</v>
      </c>
      <c r="G76">
        <v>8</v>
      </c>
      <c r="H76">
        <f t="shared" si="3"/>
        <v>7.5</v>
      </c>
      <c r="I76">
        <v>8</v>
      </c>
    </row>
    <row r="77" spans="2:9" x14ac:dyDescent="0.4">
      <c r="B77">
        <v>74</v>
      </c>
      <c r="C77">
        <v>4</v>
      </c>
      <c r="D77">
        <v>2</v>
      </c>
      <c r="E77">
        <v>6</v>
      </c>
      <c r="F77">
        <f t="shared" si="2"/>
        <v>7.1999999999999993</v>
      </c>
      <c r="G77">
        <v>8</v>
      </c>
      <c r="H77">
        <f t="shared" si="3"/>
        <v>7.5</v>
      </c>
      <c r="I77">
        <v>8</v>
      </c>
    </row>
    <row r="78" spans="2:9" x14ac:dyDescent="0.4">
      <c r="B78">
        <v>75</v>
      </c>
      <c r="C78">
        <v>4</v>
      </c>
      <c r="D78">
        <v>2</v>
      </c>
      <c r="E78">
        <v>6</v>
      </c>
      <c r="F78">
        <f t="shared" si="2"/>
        <v>7.1999999999999993</v>
      </c>
      <c r="G78">
        <v>8</v>
      </c>
      <c r="H78">
        <f t="shared" si="3"/>
        <v>7.5</v>
      </c>
      <c r="I78">
        <v>8</v>
      </c>
    </row>
    <row r="79" spans="2:9" x14ac:dyDescent="0.4">
      <c r="B79">
        <v>76</v>
      </c>
      <c r="C79">
        <v>5</v>
      </c>
      <c r="D79">
        <v>2</v>
      </c>
      <c r="E79">
        <v>7</v>
      </c>
      <c r="F79">
        <f t="shared" si="2"/>
        <v>8.4</v>
      </c>
      <c r="G79">
        <v>9</v>
      </c>
      <c r="H79">
        <f t="shared" si="3"/>
        <v>8.75</v>
      </c>
      <c r="I79">
        <v>9</v>
      </c>
    </row>
    <row r="80" spans="2:9" x14ac:dyDescent="0.4">
      <c r="B80">
        <v>77</v>
      </c>
      <c r="C80">
        <v>5</v>
      </c>
      <c r="D80">
        <v>2</v>
      </c>
      <c r="E80">
        <v>7</v>
      </c>
      <c r="F80">
        <f t="shared" si="2"/>
        <v>8.4</v>
      </c>
      <c r="G80">
        <v>9</v>
      </c>
      <c r="H80">
        <f t="shared" si="3"/>
        <v>8.75</v>
      </c>
      <c r="I80">
        <v>9</v>
      </c>
    </row>
    <row r="81" spans="2:9" x14ac:dyDescent="0.4">
      <c r="B81">
        <v>78</v>
      </c>
      <c r="C81">
        <v>5</v>
      </c>
      <c r="D81">
        <v>2</v>
      </c>
      <c r="E81">
        <v>7</v>
      </c>
      <c r="F81">
        <f t="shared" si="2"/>
        <v>8.4</v>
      </c>
      <c r="G81">
        <v>9</v>
      </c>
      <c r="H81">
        <f t="shared" si="3"/>
        <v>8.75</v>
      </c>
      <c r="I81">
        <v>9</v>
      </c>
    </row>
    <row r="82" spans="2:9" x14ac:dyDescent="0.4">
      <c r="B82">
        <v>79</v>
      </c>
      <c r="C82">
        <v>5</v>
      </c>
      <c r="D82">
        <v>2</v>
      </c>
      <c r="E82">
        <v>7</v>
      </c>
      <c r="F82">
        <f t="shared" si="2"/>
        <v>8.4</v>
      </c>
      <c r="G82">
        <v>9</v>
      </c>
      <c r="H82">
        <f t="shared" si="3"/>
        <v>8.75</v>
      </c>
      <c r="I82">
        <v>9</v>
      </c>
    </row>
    <row r="83" spans="2:9" x14ac:dyDescent="0.4">
      <c r="B83">
        <v>80</v>
      </c>
      <c r="C83">
        <v>5</v>
      </c>
      <c r="D83">
        <v>2</v>
      </c>
      <c r="E83">
        <v>7</v>
      </c>
      <c r="F83">
        <f t="shared" si="2"/>
        <v>8.4</v>
      </c>
      <c r="G83">
        <v>9</v>
      </c>
      <c r="H83">
        <f t="shared" si="3"/>
        <v>8.75</v>
      </c>
      <c r="I83">
        <v>9</v>
      </c>
    </row>
    <row r="84" spans="2:9" x14ac:dyDescent="0.4">
      <c r="B84">
        <v>81</v>
      </c>
      <c r="C84">
        <v>5</v>
      </c>
      <c r="D84">
        <v>2</v>
      </c>
      <c r="E84">
        <v>7</v>
      </c>
      <c r="F84">
        <f t="shared" si="2"/>
        <v>8.4</v>
      </c>
      <c r="G84">
        <v>9</v>
      </c>
      <c r="H84">
        <f t="shared" si="3"/>
        <v>8.75</v>
      </c>
      <c r="I84">
        <v>9</v>
      </c>
    </row>
    <row r="85" spans="2:9" x14ac:dyDescent="0.4">
      <c r="B85">
        <v>82</v>
      </c>
      <c r="C85">
        <v>5</v>
      </c>
      <c r="D85">
        <v>2</v>
      </c>
      <c r="E85">
        <v>7</v>
      </c>
      <c r="F85">
        <f t="shared" si="2"/>
        <v>8.4</v>
      </c>
      <c r="G85">
        <v>9</v>
      </c>
      <c r="H85">
        <f t="shared" si="3"/>
        <v>8.75</v>
      </c>
      <c r="I85">
        <v>9</v>
      </c>
    </row>
    <row r="86" spans="2:9" x14ac:dyDescent="0.4">
      <c r="B86">
        <v>83</v>
      </c>
      <c r="C86">
        <v>5</v>
      </c>
      <c r="D86">
        <v>2</v>
      </c>
      <c r="E86">
        <v>7</v>
      </c>
      <c r="F86">
        <f t="shared" si="2"/>
        <v>8.4</v>
      </c>
      <c r="G86">
        <v>9</v>
      </c>
      <c r="H86">
        <f t="shared" si="3"/>
        <v>8.75</v>
      </c>
      <c r="I86">
        <v>9</v>
      </c>
    </row>
    <row r="87" spans="2:9" x14ac:dyDescent="0.4">
      <c r="B87">
        <v>84</v>
      </c>
      <c r="C87">
        <v>5</v>
      </c>
      <c r="D87">
        <v>2</v>
      </c>
      <c r="E87">
        <v>7</v>
      </c>
      <c r="F87">
        <f t="shared" si="2"/>
        <v>8.4</v>
      </c>
      <c r="G87">
        <v>9</v>
      </c>
      <c r="H87">
        <f t="shared" si="3"/>
        <v>8.75</v>
      </c>
      <c r="I87">
        <v>9</v>
      </c>
    </row>
    <row r="88" spans="2:9" x14ac:dyDescent="0.4">
      <c r="B88">
        <v>85</v>
      </c>
      <c r="C88">
        <v>5</v>
      </c>
      <c r="D88">
        <v>2</v>
      </c>
      <c r="E88">
        <v>7</v>
      </c>
      <c r="F88">
        <f t="shared" si="2"/>
        <v>8.4</v>
      </c>
      <c r="G88">
        <v>9</v>
      </c>
      <c r="H88">
        <f t="shared" si="3"/>
        <v>8.75</v>
      </c>
      <c r="I88">
        <v>9</v>
      </c>
    </row>
    <row r="89" spans="2:9" x14ac:dyDescent="0.4">
      <c r="B89">
        <v>86</v>
      </c>
      <c r="C89">
        <v>5</v>
      </c>
      <c r="D89">
        <v>2</v>
      </c>
      <c r="E89">
        <v>7</v>
      </c>
      <c r="F89">
        <f t="shared" si="2"/>
        <v>8.4</v>
      </c>
      <c r="G89">
        <v>9</v>
      </c>
      <c r="H89">
        <f t="shared" si="3"/>
        <v>8.75</v>
      </c>
      <c r="I89">
        <v>9</v>
      </c>
    </row>
    <row r="90" spans="2:9" x14ac:dyDescent="0.4">
      <c r="B90">
        <v>87</v>
      </c>
      <c r="C90">
        <v>5</v>
      </c>
      <c r="D90">
        <v>2</v>
      </c>
      <c r="E90">
        <v>7</v>
      </c>
      <c r="F90">
        <f t="shared" si="2"/>
        <v>8.4</v>
      </c>
      <c r="G90">
        <v>9</v>
      </c>
      <c r="H90">
        <f t="shared" si="3"/>
        <v>8.75</v>
      </c>
      <c r="I90">
        <v>9</v>
      </c>
    </row>
    <row r="91" spans="2:9" x14ac:dyDescent="0.4">
      <c r="B91">
        <v>88</v>
      </c>
      <c r="C91">
        <v>5</v>
      </c>
      <c r="D91">
        <v>2</v>
      </c>
      <c r="E91">
        <v>7</v>
      </c>
      <c r="F91">
        <f t="shared" si="2"/>
        <v>8.4</v>
      </c>
      <c r="G91">
        <v>9</v>
      </c>
      <c r="H91">
        <f t="shared" si="3"/>
        <v>8.75</v>
      </c>
      <c r="I91">
        <v>9</v>
      </c>
    </row>
    <row r="92" spans="2:9" x14ac:dyDescent="0.4">
      <c r="B92">
        <v>89</v>
      </c>
      <c r="C92">
        <v>5</v>
      </c>
      <c r="D92">
        <v>2</v>
      </c>
      <c r="E92">
        <v>7</v>
      </c>
      <c r="F92">
        <f t="shared" si="2"/>
        <v>8.4</v>
      </c>
      <c r="G92">
        <v>9</v>
      </c>
      <c r="H92">
        <f t="shared" si="3"/>
        <v>8.75</v>
      </c>
      <c r="I92">
        <v>9</v>
      </c>
    </row>
    <row r="93" spans="2:9" x14ac:dyDescent="0.4">
      <c r="B93">
        <v>90</v>
      </c>
      <c r="C93">
        <v>5</v>
      </c>
      <c r="D93">
        <v>2</v>
      </c>
      <c r="E93">
        <v>7</v>
      </c>
      <c r="F93">
        <f t="shared" si="2"/>
        <v>8.4</v>
      </c>
      <c r="G93">
        <v>9</v>
      </c>
      <c r="H93">
        <f t="shared" si="3"/>
        <v>8.75</v>
      </c>
      <c r="I93">
        <v>9</v>
      </c>
    </row>
    <row r="94" spans="2:9" x14ac:dyDescent="0.4">
      <c r="B94">
        <v>91</v>
      </c>
      <c r="C94">
        <v>5</v>
      </c>
      <c r="D94">
        <v>3</v>
      </c>
      <c r="E94">
        <v>8</v>
      </c>
      <c r="F94">
        <f t="shared" si="2"/>
        <v>9.6</v>
      </c>
      <c r="G94">
        <v>10</v>
      </c>
      <c r="H94">
        <f t="shared" si="3"/>
        <v>10</v>
      </c>
      <c r="I94">
        <v>10</v>
      </c>
    </row>
    <row r="95" spans="2:9" x14ac:dyDescent="0.4">
      <c r="B95">
        <v>92</v>
      </c>
      <c r="C95">
        <v>5</v>
      </c>
      <c r="D95">
        <v>3</v>
      </c>
      <c r="E95">
        <v>8</v>
      </c>
      <c r="F95">
        <f t="shared" si="2"/>
        <v>9.6</v>
      </c>
      <c r="G95">
        <v>10</v>
      </c>
      <c r="H95">
        <f t="shared" si="3"/>
        <v>10</v>
      </c>
      <c r="I95">
        <v>10</v>
      </c>
    </row>
    <row r="96" spans="2:9" x14ac:dyDescent="0.4">
      <c r="B96">
        <v>93</v>
      </c>
      <c r="C96">
        <v>5</v>
      </c>
      <c r="D96">
        <v>3</v>
      </c>
      <c r="E96">
        <v>8</v>
      </c>
      <c r="F96">
        <f t="shared" si="2"/>
        <v>9.6</v>
      </c>
      <c r="G96">
        <v>10</v>
      </c>
      <c r="H96">
        <f t="shared" si="3"/>
        <v>10</v>
      </c>
      <c r="I96">
        <v>10</v>
      </c>
    </row>
    <row r="97" spans="2:9" x14ac:dyDescent="0.4">
      <c r="B97">
        <v>94</v>
      </c>
      <c r="C97">
        <v>5</v>
      </c>
      <c r="D97">
        <v>3</v>
      </c>
      <c r="E97">
        <v>8</v>
      </c>
      <c r="F97">
        <f t="shared" si="2"/>
        <v>9.6</v>
      </c>
      <c r="G97">
        <v>10</v>
      </c>
      <c r="H97">
        <f t="shared" si="3"/>
        <v>10</v>
      </c>
      <c r="I97">
        <v>10</v>
      </c>
    </row>
    <row r="98" spans="2:9" x14ac:dyDescent="0.4">
      <c r="B98">
        <v>95</v>
      </c>
      <c r="C98">
        <v>5</v>
      </c>
      <c r="D98">
        <v>3</v>
      </c>
      <c r="E98">
        <v>8</v>
      </c>
      <c r="F98">
        <f t="shared" si="2"/>
        <v>9.6</v>
      </c>
      <c r="G98">
        <v>10</v>
      </c>
      <c r="H98">
        <f t="shared" si="3"/>
        <v>10</v>
      </c>
      <c r="I98">
        <v>10</v>
      </c>
    </row>
    <row r="99" spans="2:9" x14ac:dyDescent="0.4">
      <c r="B99">
        <v>96</v>
      </c>
      <c r="C99">
        <v>5</v>
      </c>
      <c r="D99">
        <v>3</v>
      </c>
      <c r="E99">
        <v>8</v>
      </c>
      <c r="F99">
        <f t="shared" si="2"/>
        <v>9.6</v>
      </c>
      <c r="G99">
        <v>10</v>
      </c>
      <c r="H99">
        <f t="shared" si="3"/>
        <v>10</v>
      </c>
      <c r="I99">
        <v>10</v>
      </c>
    </row>
    <row r="100" spans="2:9" x14ac:dyDescent="0.4">
      <c r="B100">
        <v>97</v>
      </c>
      <c r="C100">
        <v>5</v>
      </c>
      <c r="D100">
        <v>3</v>
      </c>
      <c r="E100">
        <v>8</v>
      </c>
      <c r="F100">
        <f t="shared" si="2"/>
        <v>9.6</v>
      </c>
      <c r="G100">
        <v>10</v>
      </c>
      <c r="H100">
        <f t="shared" si="3"/>
        <v>10</v>
      </c>
      <c r="I100">
        <v>10</v>
      </c>
    </row>
    <row r="101" spans="2:9" x14ac:dyDescent="0.4">
      <c r="B101">
        <v>98</v>
      </c>
      <c r="C101">
        <v>5</v>
      </c>
      <c r="D101">
        <v>3</v>
      </c>
      <c r="E101">
        <v>8</v>
      </c>
      <c r="F101">
        <f t="shared" si="2"/>
        <v>9.6</v>
      </c>
      <c r="G101">
        <v>10</v>
      </c>
      <c r="H101">
        <f t="shared" si="3"/>
        <v>10</v>
      </c>
      <c r="I101">
        <v>10</v>
      </c>
    </row>
    <row r="102" spans="2:9" x14ac:dyDescent="0.4">
      <c r="B102">
        <v>99</v>
      </c>
      <c r="C102">
        <v>5</v>
      </c>
      <c r="D102">
        <v>3</v>
      </c>
      <c r="E102">
        <v>8</v>
      </c>
      <c r="F102">
        <f t="shared" si="2"/>
        <v>9.6</v>
      </c>
      <c r="G102">
        <v>10</v>
      </c>
      <c r="H102">
        <f t="shared" si="3"/>
        <v>10</v>
      </c>
      <c r="I102">
        <v>10</v>
      </c>
    </row>
    <row r="103" spans="2:9" x14ac:dyDescent="0.4">
      <c r="B103">
        <v>100</v>
      </c>
      <c r="C103">
        <v>5</v>
      </c>
      <c r="D103">
        <v>3</v>
      </c>
      <c r="E103">
        <v>8</v>
      </c>
      <c r="F103">
        <f t="shared" si="2"/>
        <v>9.6</v>
      </c>
      <c r="G103">
        <v>10</v>
      </c>
      <c r="H103">
        <f t="shared" si="3"/>
        <v>10</v>
      </c>
      <c r="I103">
        <v>10</v>
      </c>
    </row>
    <row r="104" spans="2:9" x14ac:dyDescent="0.4">
      <c r="B104" t="s">
        <v>382</v>
      </c>
      <c r="E104" t="s">
        <v>383</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6434D-6677-495A-8648-10D808224996}">
  <dimension ref="A2:T32"/>
  <sheetViews>
    <sheetView zoomScale="62" workbookViewId="0">
      <selection activeCell="AJ51" sqref="AJ51"/>
    </sheetView>
  </sheetViews>
  <sheetFormatPr defaultRowHeight="14.6" x14ac:dyDescent="0.4"/>
  <cols>
    <col min="17" max="17" width="14.4609375" customWidth="1"/>
    <col min="18" max="18" width="13.15234375" customWidth="1"/>
    <col min="19" max="19" width="9.23046875" customWidth="1"/>
    <col min="20" max="20" width="9.84375" customWidth="1"/>
  </cols>
  <sheetData>
    <row r="2" spans="1:20" x14ac:dyDescent="0.4">
      <c r="Q2" t="s">
        <v>384</v>
      </c>
      <c r="R2" t="s">
        <v>385</v>
      </c>
      <c r="S2" t="s">
        <v>386</v>
      </c>
      <c r="T2" t="s">
        <v>387</v>
      </c>
    </row>
    <row r="3" spans="1:20" x14ac:dyDescent="0.4">
      <c r="A3" t="s">
        <v>388</v>
      </c>
      <c r="Q3" t="s">
        <v>389</v>
      </c>
      <c r="R3">
        <v>1</v>
      </c>
      <c r="S3">
        <v>1</v>
      </c>
      <c r="T3">
        <v>1</v>
      </c>
    </row>
    <row r="4" spans="1:20" x14ac:dyDescent="0.4">
      <c r="A4" t="s">
        <v>390</v>
      </c>
      <c r="Q4" s="99" t="s">
        <v>391</v>
      </c>
      <c r="R4">
        <v>2</v>
      </c>
      <c r="S4">
        <v>2</v>
      </c>
      <c r="T4">
        <v>1</v>
      </c>
    </row>
    <row r="5" spans="1:20" x14ac:dyDescent="0.4">
      <c r="A5" t="s">
        <v>392</v>
      </c>
      <c r="Q5" s="99" t="s">
        <v>393</v>
      </c>
      <c r="R5">
        <v>3</v>
      </c>
      <c r="S5">
        <v>3</v>
      </c>
      <c r="T5">
        <v>1</v>
      </c>
    </row>
    <row r="6" spans="1:20" x14ac:dyDescent="0.4">
      <c r="Q6" s="99" t="s">
        <v>394</v>
      </c>
      <c r="R6">
        <v>4</v>
      </c>
      <c r="S6">
        <v>4</v>
      </c>
      <c r="T6">
        <v>1</v>
      </c>
    </row>
    <row r="7" spans="1:20" x14ac:dyDescent="0.4">
      <c r="A7" t="s">
        <v>395</v>
      </c>
      <c r="Q7" s="99" t="s">
        <v>396</v>
      </c>
      <c r="R7">
        <v>5</v>
      </c>
      <c r="S7">
        <v>5</v>
      </c>
      <c r="T7">
        <v>1</v>
      </c>
    </row>
    <row r="8" spans="1:20" x14ac:dyDescent="0.4">
      <c r="Q8" s="99" t="s">
        <v>397</v>
      </c>
      <c r="R8">
        <v>6</v>
      </c>
      <c r="S8">
        <v>6</v>
      </c>
      <c r="T8">
        <v>1</v>
      </c>
    </row>
    <row r="9" spans="1:20" x14ac:dyDescent="0.4">
      <c r="Q9" s="99" t="s">
        <v>398</v>
      </c>
      <c r="R9">
        <v>7</v>
      </c>
      <c r="S9">
        <v>7</v>
      </c>
      <c r="T9">
        <v>1</v>
      </c>
    </row>
    <row r="10" spans="1:20" x14ac:dyDescent="0.4">
      <c r="Q10" s="99" t="s">
        <v>399</v>
      </c>
      <c r="R10">
        <v>8</v>
      </c>
      <c r="S10">
        <v>8</v>
      </c>
      <c r="T10">
        <v>1</v>
      </c>
    </row>
    <row r="11" spans="1:20" x14ac:dyDescent="0.4">
      <c r="Q11" s="99" t="s">
        <v>400</v>
      </c>
      <c r="R11">
        <v>9</v>
      </c>
      <c r="S11">
        <v>9</v>
      </c>
      <c r="T11">
        <v>1</v>
      </c>
    </row>
    <row r="12" spans="1:20" x14ac:dyDescent="0.4">
      <c r="Q12" s="99" t="s">
        <v>401</v>
      </c>
      <c r="R12">
        <v>10</v>
      </c>
      <c r="S12">
        <v>10</v>
      </c>
      <c r="T12">
        <v>1</v>
      </c>
    </row>
    <row r="13" spans="1:20" x14ac:dyDescent="0.4">
      <c r="Q13" s="99" t="s">
        <v>402</v>
      </c>
      <c r="R13">
        <v>11</v>
      </c>
      <c r="S13">
        <v>11</v>
      </c>
      <c r="T13">
        <v>2</v>
      </c>
    </row>
    <row r="14" spans="1:20" x14ac:dyDescent="0.4">
      <c r="Q14" s="99" t="s">
        <v>403</v>
      </c>
      <c r="R14">
        <v>12</v>
      </c>
      <c r="S14">
        <v>12</v>
      </c>
      <c r="T14">
        <v>2</v>
      </c>
    </row>
    <row r="15" spans="1:20" x14ac:dyDescent="0.4">
      <c r="Q15" s="99" t="s">
        <v>404</v>
      </c>
      <c r="R15">
        <v>13</v>
      </c>
      <c r="S15">
        <v>13</v>
      </c>
      <c r="T15">
        <v>2</v>
      </c>
    </row>
    <row r="16" spans="1:20" x14ac:dyDescent="0.4">
      <c r="Q16" s="99" t="s">
        <v>405</v>
      </c>
      <c r="R16">
        <v>14</v>
      </c>
      <c r="S16">
        <v>14</v>
      </c>
      <c r="T16">
        <v>2</v>
      </c>
    </row>
    <row r="17" spans="17:20" x14ac:dyDescent="0.4">
      <c r="Q17" s="99" t="s">
        <v>406</v>
      </c>
      <c r="R17">
        <v>15</v>
      </c>
      <c r="S17">
        <v>15</v>
      </c>
      <c r="T17">
        <v>2</v>
      </c>
    </row>
    <row r="18" spans="17:20" x14ac:dyDescent="0.4">
      <c r="Q18" s="99" t="s">
        <v>407</v>
      </c>
      <c r="R18">
        <v>16</v>
      </c>
      <c r="S18">
        <v>16</v>
      </c>
      <c r="T18">
        <v>2</v>
      </c>
    </row>
    <row r="19" spans="17:20" x14ac:dyDescent="0.4">
      <c r="Q19" s="99" t="s">
        <v>408</v>
      </c>
      <c r="R19">
        <v>17</v>
      </c>
      <c r="S19">
        <v>17</v>
      </c>
      <c r="T19">
        <v>2</v>
      </c>
    </row>
    <row r="20" spans="17:20" x14ac:dyDescent="0.4">
      <c r="Q20" s="99" t="s">
        <v>409</v>
      </c>
      <c r="R20">
        <v>18</v>
      </c>
      <c r="S20">
        <v>18</v>
      </c>
      <c r="T20">
        <v>2</v>
      </c>
    </row>
    <row r="21" spans="17:20" x14ac:dyDescent="0.4">
      <c r="Q21" s="99" t="s">
        <v>410</v>
      </c>
      <c r="R21">
        <v>19</v>
      </c>
      <c r="S21">
        <v>19</v>
      </c>
      <c r="T21">
        <v>2</v>
      </c>
    </row>
    <row r="22" spans="17:20" x14ac:dyDescent="0.4">
      <c r="Q22" s="99" t="s">
        <v>411</v>
      </c>
      <c r="R22">
        <v>20</v>
      </c>
      <c r="S22">
        <v>20</v>
      </c>
      <c r="T22">
        <v>2</v>
      </c>
    </row>
    <row r="23" spans="17:20" x14ac:dyDescent="0.4">
      <c r="Q23" s="99" t="s">
        <v>412</v>
      </c>
      <c r="R23">
        <v>21</v>
      </c>
      <c r="S23">
        <v>21</v>
      </c>
      <c r="T23">
        <v>3</v>
      </c>
    </row>
    <row r="24" spans="17:20" x14ac:dyDescent="0.4">
      <c r="Q24" s="99" t="s">
        <v>413</v>
      </c>
      <c r="R24">
        <v>22</v>
      </c>
      <c r="S24">
        <v>22</v>
      </c>
      <c r="T24">
        <v>3</v>
      </c>
    </row>
    <row r="25" spans="17:20" x14ac:dyDescent="0.4">
      <c r="Q25" s="99" t="s">
        <v>414</v>
      </c>
      <c r="R25">
        <v>23</v>
      </c>
      <c r="S25">
        <v>23</v>
      </c>
      <c r="T25">
        <v>3</v>
      </c>
    </row>
    <row r="26" spans="17:20" x14ac:dyDescent="0.4">
      <c r="Q26" s="99" t="s">
        <v>415</v>
      </c>
      <c r="R26">
        <v>24</v>
      </c>
      <c r="S26">
        <v>24</v>
      </c>
      <c r="T26">
        <v>3</v>
      </c>
    </row>
    <row r="27" spans="17:20" x14ac:dyDescent="0.4">
      <c r="Q27" s="99" t="s">
        <v>416</v>
      </c>
      <c r="R27">
        <v>25</v>
      </c>
      <c r="S27">
        <v>25</v>
      </c>
      <c r="T27">
        <v>3</v>
      </c>
    </row>
    <row r="28" spans="17:20" x14ac:dyDescent="0.4">
      <c r="Q28" s="99" t="s">
        <v>417</v>
      </c>
      <c r="R28">
        <v>26</v>
      </c>
      <c r="S28">
        <v>26</v>
      </c>
      <c r="T28">
        <v>3</v>
      </c>
    </row>
    <row r="29" spans="17:20" x14ac:dyDescent="0.4">
      <c r="Q29" s="99" t="s">
        <v>418</v>
      </c>
      <c r="R29">
        <v>27</v>
      </c>
      <c r="S29">
        <v>27</v>
      </c>
      <c r="T29">
        <v>3</v>
      </c>
    </row>
    <row r="30" spans="17:20" x14ac:dyDescent="0.4">
      <c r="Q30" s="99" t="s">
        <v>419</v>
      </c>
      <c r="R30">
        <v>28</v>
      </c>
      <c r="S30">
        <v>28</v>
      </c>
      <c r="T30">
        <v>3</v>
      </c>
    </row>
    <row r="31" spans="17:20" x14ac:dyDescent="0.4">
      <c r="Q31" s="99" t="s">
        <v>420</v>
      </c>
      <c r="R31">
        <v>29</v>
      </c>
      <c r="S31">
        <v>29</v>
      </c>
      <c r="T31">
        <v>3</v>
      </c>
    </row>
    <row r="32" spans="17:20" x14ac:dyDescent="0.4">
      <c r="Q32" s="99" t="s">
        <v>421</v>
      </c>
      <c r="R32">
        <v>30</v>
      </c>
      <c r="S32">
        <v>30</v>
      </c>
      <c r="T32">
        <v>3</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DC8A-277F-43F3-B11F-F6244B0987C5}">
  <sheetPr>
    <tabColor rgb="FF41B6E6"/>
  </sheetPr>
  <dimension ref="B4:D20"/>
  <sheetViews>
    <sheetView topLeftCell="A12" zoomScale="85" zoomScaleNormal="85" workbookViewId="0">
      <selection activeCell="D12" sqref="D12"/>
    </sheetView>
  </sheetViews>
  <sheetFormatPr defaultRowHeight="14.6" x14ac:dyDescent="0.4"/>
  <cols>
    <col min="2" max="2" width="14.53515625" customWidth="1"/>
    <col min="3" max="3" width="30.15234375" customWidth="1"/>
    <col min="4" max="4" width="159.84375" customWidth="1"/>
  </cols>
  <sheetData>
    <row r="4" spans="2:4" x14ac:dyDescent="0.4">
      <c r="B4" s="65" t="s">
        <v>4</v>
      </c>
    </row>
    <row r="7" spans="2:4" x14ac:dyDescent="0.4">
      <c r="B7" s="236" t="s">
        <v>5</v>
      </c>
      <c r="C7" s="237" t="s">
        <v>6</v>
      </c>
      <c r="D7" s="238" t="s">
        <v>7</v>
      </c>
    </row>
    <row r="8" spans="2:4" ht="162.75" customHeight="1" x14ac:dyDescent="0.4">
      <c r="B8" s="239">
        <v>1</v>
      </c>
      <c r="C8" s="240" t="s">
        <v>8</v>
      </c>
      <c r="D8" s="241" t="s">
        <v>9</v>
      </c>
    </row>
    <row r="9" spans="2:4" x14ac:dyDescent="0.4">
      <c r="B9" s="242">
        <v>2</v>
      </c>
      <c r="C9" s="243" t="s">
        <v>8</v>
      </c>
      <c r="D9" s="244" t="s">
        <v>10</v>
      </c>
    </row>
    <row r="10" spans="2:4" ht="29.15" x14ac:dyDescent="0.4">
      <c r="B10" s="239">
        <v>3</v>
      </c>
      <c r="C10" s="240" t="s">
        <v>8</v>
      </c>
      <c r="D10" s="241" t="s">
        <v>11</v>
      </c>
    </row>
    <row r="11" spans="2:4" ht="145.75" x14ac:dyDescent="0.4">
      <c r="B11" s="242">
        <v>4</v>
      </c>
      <c r="C11" s="243" t="s">
        <v>8</v>
      </c>
      <c r="D11" s="245" t="s">
        <v>12</v>
      </c>
    </row>
    <row r="12" spans="2:4" ht="249" customHeight="1" x14ac:dyDescent="0.4">
      <c r="B12" s="239">
        <v>5</v>
      </c>
      <c r="C12" s="240" t="s">
        <v>8</v>
      </c>
      <c r="D12" s="241" t="s">
        <v>13</v>
      </c>
    </row>
    <row r="13" spans="2:4" ht="29.15" x14ac:dyDescent="0.4">
      <c r="B13" s="242">
        <v>6</v>
      </c>
      <c r="C13" s="243" t="s">
        <v>14</v>
      </c>
      <c r="D13" s="245" t="s">
        <v>15</v>
      </c>
    </row>
    <row r="14" spans="2:4" ht="43.75" x14ac:dyDescent="0.4">
      <c r="B14" s="239">
        <v>7</v>
      </c>
      <c r="C14" s="240" t="s">
        <v>16</v>
      </c>
      <c r="D14" s="241" t="s">
        <v>17</v>
      </c>
    </row>
    <row r="15" spans="2:4" ht="29.15" x14ac:dyDescent="0.4">
      <c r="B15" s="242">
        <v>8</v>
      </c>
      <c r="C15" s="243" t="s">
        <v>16</v>
      </c>
      <c r="D15" s="245" t="s">
        <v>18</v>
      </c>
    </row>
    <row r="16" spans="2:4" ht="43.75" x14ac:dyDescent="0.4">
      <c r="B16" s="239">
        <v>9</v>
      </c>
      <c r="C16" s="240" t="s">
        <v>16</v>
      </c>
      <c r="D16" s="241" t="s">
        <v>19</v>
      </c>
    </row>
    <row r="17" spans="2:4" x14ac:dyDescent="0.4">
      <c r="B17" s="242">
        <v>10</v>
      </c>
      <c r="C17" s="243" t="s">
        <v>20</v>
      </c>
      <c r="D17" s="244" t="s">
        <v>21</v>
      </c>
    </row>
    <row r="18" spans="2:4" x14ac:dyDescent="0.4">
      <c r="B18" s="239">
        <v>11</v>
      </c>
      <c r="C18" s="246" t="s">
        <v>20</v>
      </c>
      <c r="D18" s="247" t="s">
        <v>22</v>
      </c>
    </row>
    <row r="19" spans="2:4" ht="29.15" x14ac:dyDescent="0.4">
      <c r="B19" s="242">
        <v>12</v>
      </c>
      <c r="C19" s="243" t="s">
        <v>23</v>
      </c>
      <c r="D19" s="245" t="s">
        <v>24</v>
      </c>
    </row>
    <row r="20" spans="2:4" x14ac:dyDescent="0.4">
      <c r="B20" s="248">
        <v>13</v>
      </c>
      <c r="C20" s="249" t="s">
        <v>25</v>
      </c>
      <c r="D20" s="250"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0F03-1215-4C6B-9ED4-62720924A0ED}">
  <sheetPr>
    <tabColor rgb="FF005EB8"/>
  </sheetPr>
  <dimension ref="B2:R83"/>
  <sheetViews>
    <sheetView topLeftCell="D59" zoomScaleNormal="100" workbookViewId="0">
      <selection activeCell="M47" sqref="M47"/>
    </sheetView>
  </sheetViews>
  <sheetFormatPr defaultColWidth="8.53515625" defaultRowHeight="12.45" x14ac:dyDescent="0.3"/>
  <cols>
    <col min="1" max="1" width="8.53515625" style="2"/>
    <col min="2" max="2" width="25.84375" style="2" customWidth="1"/>
    <col min="3" max="3" width="37.53515625" style="2" customWidth="1"/>
    <col min="4" max="4" width="22.53515625" style="2" customWidth="1"/>
    <col min="5" max="5" width="8.53515625" style="2" customWidth="1"/>
    <col min="6" max="6" width="10.53515625" style="2" customWidth="1"/>
    <col min="7" max="7" width="12.84375" style="2" customWidth="1"/>
    <col min="8" max="8" width="11.4609375" style="2" customWidth="1"/>
    <col min="9" max="9" width="8.53515625" style="2" customWidth="1"/>
    <col min="10" max="10" width="8.53515625" style="2"/>
    <col min="11" max="11" width="30.4609375" style="2" customWidth="1"/>
    <col min="12" max="12" width="29.84375" style="2" customWidth="1"/>
    <col min="13" max="13" width="22.53515625" style="2" bestFit="1" customWidth="1"/>
    <col min="14" max="15" width="8.53515625" style="2"/>
    <col min="16" max="16" width="12.53515625" style="2" bestFit="1" customWidth="1"/>
    <col min="17" max="17" width="12.4609375" style="2" customWidth="1"/>
    <col min="18" max="19" width="8.53515625" style="2"/>
    <col min="20" max="20" width="25.4609375" style="2" bestFit="1" customWidth="1"/>
    <col min="21" max="16384" width="8.53515625" style="2"/>
  </cols>
  <sheetData>
    <row r="2" spans="2:18" x14ac:dyDescent="0.3">
      <c r="B2" s="27" t="s">
        <v>27</v>
      </c>
      <c r="K2" s="27" t="s">
        <v>28</v>
      </c>
    </row>
    <row r="3" spans="2:18" x14ac:dyDescent="0.3">
      <c r="F3" s="267" t="s">
        <v>29</v>
      </c>
      <c r="G3" s="268"/>
      <c r="H3" s="269"/>
      <c r="O3" s="267" t="s">
        <v>29</v>
      </c>
      <c r="P3" s="268"/>
      <c r="Q3" s="269"/>
    </row>
    <row r="4" spans="2:18" ht="13.75" x14ac:dyDescent="0.3">
      <c r="B4" s="28" t="s">
        <v>30</v>
      </c>
      <c r="C4" s="23" t="s">
        <v>31</v>
      </c>
      <c r="D4" s="23" t="s">
        <v>32</v>
      </c>
      <c r="E4" s="23" t="s">
        <v>33</v>
      </c>
      <c r="F4" s="23" t="s">
        <v>34</v>
      </c>
      <c r="G4" s="23" t="s">
        <v>35</v>
      </c>
      <c r="H4" s="23" t="s">
        <v>36</v>
      </c>
      <c r="I4" s="29" t="s">
        <v>37</v>
      </c>
      <c r="K4" s="28" t="s">
        <v>30</v>
      </c>
      <c r="L4" s="23" t="s">
        <v>31</v>
      </c>
      <c r="M4" s="23" t="s">
        <v>32</v>
      </c>
      <c r="N4" s="23" t="s">
        <v>33</v>
      </c>
      <c r="O4" s="23" t="s">
        <v>34</v>
      </c>
      <c r="P4" s="23" t="s">
        <v>35</v>
      </c>
      <c r="Q4" s="23" t="s">
        <v>36</v>
      </c>
      <c r="R4" s="29" t="s">
        <v>37</v>
      </c>
    </row>
    <row r="5" spans="2:18" x14ac:dyDescent="0.3">
      <c r="B5" s="14" t="s">
        <v>38</v>
      </c>
      <c r="C5" s="2" t="s">
        <v>39</v>
      </c>
      <c r="E5" s="30">
        <f>'1a) Unintegrated - Core'!H17</f>
        <v>59</v>
      </c>
      <c r="F5" s="71">
        <v>0.11</v>
      </c>
      <c r="G5" s="31">
        <v>0.25</v>
      </c>
      <c r="H5" s="31">
        <v>0.05</v>
      </c>
      <c r="I5" s="32">
        <f>(E5*F5)+(E5*G5)+(E5*H5)+E5</f>
        <v>83.19</v>
      </c>
      <c r="K5" s="14" t="s">
        <v>38</v>
      </c>
      <c r="L5" s="2" t="s">
        <v>39</v>
      </c>
      <c r="N5" s="30">
        <f>'2a) Integrated - Core'!H25</f>
        <v>281</v>
      </c>
      <c r="O5" s="71">
        <v>0.11</v>
      </c>
      <c r="P5" s="31">
        <v>0.25</v>
      </c>
      <c r="Q5" s="31">
        <v>0.05</v>
      </c>
      <c r="R5" s="32">
        <f>(N5*O5)+(N5*P5)+(N5*Q5)+N5</f>
        <v>396.21</v>
      </c>
    </row>
    <row r="6" spans="2:18" x14ac:dyDescent="0.3">
      <c r="B6" s="271" t="s">
        <v>40</v>
      </c>
      <c r="C6" s="33" t="s">
        <v>39</v>
      </c>
      <c r="D6" s="33"/>
      <c r="E6" s="34">
        <f>'1a) Unintegrated - Core'!H26</f>
        <v>231</v>
      </c>
      <c r="F6" s="31">
        <v>0.11</v>
      </c>
      <c r="G6" s="35">
        <v>0.25</v>
      </c>
      <c r="H6" s="35">
        <v>0.05</v>
      </c>
      <c r="I6" s="36">
        <f>(E6*F6)+(E6*G6)+(E6*H6)+E6</f>
        <v>325.70999999999998</v>
      </c>
      <c r="K6" s="37" t="s">
        <v>41</v>
      </c>
      <c r="L6" s="33" t="s">
        <v>42</v>
      </c>
      <c r="M6" s="33"/>
      <c r="N6" s="34">
        <f>'2a) Integrated - Core'!H40</f>
        <v>496.7</v>
      </c>
      <c r="O6" s="71">
        <v>0.11</v>
      </c>
      <c r="P6" s="35">
        <v>0.35</v>
      </c>
      <c r="Q6" s="35">
        <v>0.05</v>
      </c>
      <c r="R6" s="36">
        <f>(N6*O6)+(N6*P6)+(N6*Q6)+N6</f>
        <v>750.01700000000005</v>
      </c>
    </row>
    <row r="7" spans="2:18" x14ac:dyDescent="0.3">
      <c r="B7" s="272"/>
      <c r="C7" s="2" t="s">
        <v>42</v>
      </c>
      <c r="E7" s="30">
        <f>'1a) Unintegrated - Core'!H35</f>
        <v>486</v>
      </c>
      <c r="F7" s="31">
        <v>0.11</v>
      </c>
      <c r="G7" s="31">
        <v>0.35</v>
      </c>
      <c r="H7" s="31">
        <v>0.05</v>
      </c>
      <c r="I7" s="32">
        <f t="shared" ref="I7:I17" si="0">(E7*F7)+(E7*G7)+(E7*H7)+E7</f>
        <v>733.86</v>
      </c>
      <c r="K7" s="38" t="s">
        <v>43</v>
      </c>
      <c r="L7" s="39" t="s">
        <v>43</v>
      </c>
      <c r="M7" s="39"/>
      <c r="N7" s="40">
        <f>'2a) Integrated - Core'!H54</f>
        <v>133</v>
      </c>
      <c r="O7" s="71">
        <v>0.11</v>
      </c>
      <c r="P7" s="35">
        <v>0.35</v>
      </c>
      <c r="Q7" s="41">
        <v>0.05</v>
      </c>
      <c r="R7" s="42">
        <f t="shared" ref="R7:R9" si="1">(N7*O7)+(N7*P7)+(N7*Q7)+N7</f>
        <v>200.82999999999998</v>
      </c>
    </row>
    <row r="8" spans="2:18" x14ac:dyDescent="0.3">
      <c r="B8" s="272"/>
      <c r="C8" s="2" t="s">
        <v>43</v>
      </c>
      <c r="E8" s="30">
        <f>'1a) Unintegrated - Core'!H45</f>
        <v>72</v>
      </c>
      <c r="F8" s="31">
        <v>0.11</v>
      </c>
      <c r="G8" s="31">
        <v>0.35</v>
      </c>
      <c r="H8" s="31">
        <v>0.05</v>
      </c>
      <c r="I8" s="32">
        <f t="shared" si="0"/>
        <v>108.72</v>
      </c>
      <c r="K8" s="38" t="s">
        <v>44</v>
      </c>
      <c r="L8" s="39" t="s">
        <v>42</v>
      </c>
      <c r="M8" s="39"/>
      <c r="N8" s="40">
        <f>'2a) Integrated - Core'!H59</f>
        <v>26.5</v>
      </c>
      <c r="O8" s="71">
        <v>0.11</v>
      </c>
      <c r="P8" s="71">
        <v>0.35</v>
      </c>
      <c r="Q8" s="41">
        <v>0.05</v>
      </c>
      <c r="R8" s="42">
        <f t="shared" si="1"/>
        <v>40.015000000000001</v>
      </c>
    </row>
    <row r="9" spans="2:18" x14ac:dyDescent="0.3">
      <c r="B9" s="272"/>
      <c r="C9" s="2" t="s">
        <v>45</v>
      </c>
      <c r="E9" s="30">
        <f>'1a) Unintegrated - Core'!H50</f>
        <v>26.5</v>
      </c>
      <c r="F9" s="31">
        <v>0.11</v>
      </c>
      <c r="G9" s="31">
        <v>0.35</v>
      </c>
      <c r="H9" s="31">
        <v>0.05</v>
      </c>
      <c r="I9" s="32">
        <f t="shared" si="0"/>
        <v>40.015000000000001</v>
      </c>
      <c r="K9" s="43" t="s">
        <v>46</v>
      </c>
      <c r="L9" s="2" t="s">
        <v>46</v>
      </c>
      <c r="N9" s="30">
        <f>'2a) Integrated - Core'!H78</f>
        <v>290.2</v>
      </c>
      <c r="O9" s="71">
        <v>0.11</v>
      </c>
      <c r="P9" s="71">
        <v>0.25</v>
      </c>
      <c r="Q9" s="31">
        <v>0.05</v>
      </c>
      <c r="R9" s="32">
        <f t="shared" si="1"/>
        <v>409.18200000000002</v>
      </c>
    </row>
    <row r="10" spans="2:18" x14ac:dyDescent="0.3">
      <c r="B10" s="272"/>
      <c r="C10" s="2" t="s">
        <v>46</v>
      </c>
      <c r="E10" s="115">
        <f>'1a) Unintegrated - Core'!H63</f>
        <v>255.55</v>
      </c>
      <c r="F10" s="53">
        <v>0.11</v>
      </c>
      <c r="G10" s="31">
        <v>0.25</v>
      </c>
      <c r="H10" s="31">
        <v>0.05</v>
      </c>
      <c r="I10" s="32">
        <f t="shared" si="0"/>
        <v>360.32550000000003</v>
      </c>
      <c r="K10" s="44"/>
      <c r="L10" s="45"/>
      <c r="M10" s="45"/>
      <c r="N10" s="45"/>
      <c r="O10" s="45"/>
      <c r="P10" s="45"/>
      <c r="Q10" s="46" t="s">
        <v>47</v>
      </c>
      <c r="R10" s="47">
        <f>SUM(R5:R9)</f>
        <v>1796.2540000000001</v>
      </c>
    </row>
    <row r="11" spans="2:18" ht="12.9" x14ac:dyDescent="0.35">
      <c r="B11" s="273" t="s">
        <v>48</v>
      </c>
      <c r="C11" s="33" t="s">
        <v>39</v>
      </c>
      <c r="D11" s="33"/>
      <c r="E11" s="34">
        <f>'1a) Unintegrated - Core'!H73</f>
        <v>151.5</v>
      </c>
      <c r="F11" s="31">
        <v>0.11</v>
      </c>
      <c r="G11" s="35">
        <v>0.25</v>
      </c>
      <c r="H11" s="35">
        <v>0.05</v>
      </c>
      <c r="I11" s="36">
        <f t="shared" si="0"/>
        <v>213.61500000000001</v>
      </c>
      <c r="K11" s="48" t="s">
        <v>49</v>
      </c>
      <c r="P11" s="2" t="s">
        <v>50</v>
      </c>
      <c r="Q11" s="31">
        <v>0.12</v>
      </c>
      <c r="R11" s="32">
        <f>R10*Q11</f>
        <v>215.55048000000002</v>
      </c>
    </row>
    <row r="12" spans="2:18" x14ac:dyDescent="0.3">
      <c r="B12" s="274"/>
      <c r="C12" s="2" t="s">
        <v>51</v>
      </c>
      <c r="E12" s="30">
        <f>'1a) Unintegrated - Core'!H81</f>
        <v>147.5</v>
      </c>
      <c r="F12" s="31">
        <v>0.11</v>
      </c>
      <c r="G12" s="31">
        <v>0.35</v>
      </c>
      <c r="H12" s="31">
        <v>0.05</v>
      </c>
      <c r="I12" s="32">
        <f t="shared" si="0"/>
        <v>222.72499999999999</v>
      </c>
      <c r="K12" s="14"/>
      <c r="P12" s="2" t="s">
        <v>52</v>
      </c>
      <c r="Q12" s="31">
        <v>0.23</v>
      </c>
      <c r="R12" s="32">
        <f>R10*Q12</f>
        <v>413.13842000000005</v>
      </c>
    </row>
    <row r="13" spans="2:18" x14ac:dyDescent="0.3">
      <c r="B13" s="274"/>
      <c r="C13" s="2" t="s">
        <v>53</v>
      </c>
      <c r="E13" s="30">
        <f>'1a) Unintegrated - Core'!H89</f>
        <v>99.8</v>
      </c>
      <c r="F13" s="31">
        <v>0.11</v>
      </c>
      <c r="G13" s="31">
        <v>0.35</v>
      </c>
      <c r="H13" s="31">
        <v>0.05</v>
      </c>
      <c r="I13" s="32">
        <f t="shared" si="0"/>
        <v>150.69800000000001</v>
      </c>
      <c r="K13" s="49"/>
      <c r="L13" s="19"/>
      <c r="M13" s="19"/>
      <c r="N13" s="19"/>
      <c r="O13" s="19"/>
      <c r="P13" s="19"/>
      <c r="Q13" s="50" t="s">
        <v>54</v>
      </c>
      <c r="R13" s="51">
        <f>SUM(R10:R12)</f>
        <v>2424.9429000000005</v>
      </c>
    </row>
    <row r="14" spans="2:18" x14ac:dyDescent="0.3">
      <c r="B14" s="274"/>
      <c r="C14" s="2" t="s">
        <v>55</v>
      </c>
      <c r="E14" s="30">
        <f>'1a) Unintegrated - Core'!H93</f>
        <v>113</v>
      </c>
      <c r="F14" s="31">
        <v>0.11</v>
      </c>
      <c r="G14" s="31">
        <v>0.35</v>
      </c>
      <c r="H14" s="31">
        <v>0.05</v>
      </c>
      <c r="I14" s="32">
        <f>(E14*F14)+(E14*G14)+(E14*H14)+E14</f>
        <v>170.63</v>
      </c>
      <c r="Q14" s="232" t="s">
        <v>56</v>
      </c>
      <c r="R14" s="233">
        <v>2488.4</v>
      </c>
    </row>
    <row r="15" spans="2:18" x14ac:dyDescent="0.3">
      <c r="B15" s="274"/>
      <c r="C15" s="2" t="s">
        <v>43</v>
      </c>
      <c r="E15" s="30">
        <f>'1a) Unintegrated - Core'!H103</f>
        <v>74</v>
      </c>
      <c r="F15" s="31">
        <v>0.11</v>
      </c>
      <c r="G15" s="31">
        <v>0.35</v>
      </c>
      <c r="H15" s="31">
        <v>0.05</v>
      </c>
      <c r="I15" s="32">
        <f>(E15*F15)+(E15*G15)+(E15*H15)+E15</f>
        <v>111.74000000000001</v>
      </c>
      <c r="Q15" s="234" t="s">
        <v>57</v>
      </c>
      <c r="R15" s="235">
        <f>(R14-R13)/R13</f>
        <v>2.6168492462234724E-2</v>
      </c>
    </row>
    <row r="16" spans="2:18" x14ac:dyDescent="0.3">
      <c r="B16" s="274"/>
      <c r="C16" s="2" t="s">
        <v>46</v>
      </c>
      <c r="E16" s="30">
        <f>'1a) Unintegrated - Core'!H117</f>
        <v>172.4</v>
      </c>
      <c r="F16" s="53">
        <v>0.11</v>
      </c>
      <c r="G16" s="31">
        <v>0.25</v>
      </c>
      <c r="H16" s="31">
        <v>0.05</v>
      </c>
      <c r="I16" s="32">
        <f t="shared" si="0"/>
        <v>243.084</v>
      </c>
    </row>
    <row r="17" spans="2:18" x14ac:dyDescent="0.3">
      <c r="B17" s="37" t="s">
        <v>58</v>
      </c>
      <c r="C17" s="33" t="s">
        <v>59</v>
      </c>
      <c r="D17" s="33"/>
      <c r="E17" s="34">
        <f>'1a) Unintegrated - Core'!H122</f>
        <v>28</v>
      </c>
      <c r="F17" s="31">
        <v>0.11</v>
      </c>
      <c r="G17" s="35">
        <v>0.25</v>
      </c>
      <c r="H17" s="35">
        <v>0.05</v>
      </c>
      <c r="I17" s="36">
        <f t="shared" si="0"/>
        <v>39.480000000000004</v>
      </c>
    </row>
    <row r="18" spans="2:18" x14ac:dyDescent="0.3">
      <c r="B18" s="45"/>
      <c r="C18" s="45"/>
      <c r="D18" s="45"/>
      <c r="E18" s="45"/>
      <c r="F18" s="45"/>
      <c r="G18" s="45"/>
      <c r="H18" s="46" t="s">
        <v>47</v>
      </c>
      <c r="I18" s="47">
        <f>SUM(I5:I17)</f>
        <v>2803.7925</v>
      </c>
    </row>
    <row r="19" spans="2:18" ht="12.9" x14ac:dyDescent="0.35">
      <c r="B19" s="48" t="s">
        <v>49</v>
      </c>
      <c r="G19" s="2" t="s">
        <v>50</v>
      </c>
      <c r="H19" s="31">
        <v>0.12</v>
      </c>
      <c r="I19" s="32">
        <f>I18*H19</f>
        <v>336.45510000000002</v>
      </c>
    </row>
    <row r="20" spans="2:18" x14ac:dyDescent="0.3">
      <c r="B20" s="66"/>
      <c r="G20" s="2" t="s">
        <v>52</v>
      </c>
      <c r="H20" s="31">
        <v>0.23</v>
      </c>
      <c r="I20" s="32">
        <f>I18*H20</f>
        <v>644.87227500000006</v>
      </c>
    </row>
    <row r="21" spans="2:18" x14ac:dyDescent="0.3">
      <c r="B21" s="19"/>
      <c r="C21" s="19"/>
      <c r="D21" s="19"/>
      <c r="E21" s="19"/>
      <c r="F21" s="19"/>
      <c r="G21" s="19"/>
      <c r="H21" s="50" t="s">
        <v>54</v>
      </c>
      <c r="I21" s="51">
        <f>SUM(I18:I20)</f>
        <v>3785.1198750000003</v>
      </c>
    </row>
    <row r="22" spans="2:18" x14ac:dyDescent="0.3">
      <c r="H22" s="67"/>
      <c r="I22" s="68"/>
    </row>
    <row r="23" spans="2:18" x14ac:dyDescent="0.3">
      <c r="H23" s="67"/>
      <c r="I23" s="68"/>
    </row>
    <row r="24" spans="2:18" x14ac:dyDescent="0.3">
      <c r="B24" s="27" t="s">
        <v>60</v>
      </c>
      <c r="K24" s="27" t="s">
        <v>61</v>
      </c>
    </row>
    <row r="25" spans="2:18" x14ac:dyDescent="0.3">
      <c r="F25" s="267" t="s">
        <v>29</v>
      </c>
      <c r="G25" s="268"/>
      <c r="H25" s="269"/>
      <c r="O25" s="267" t="s">
        <v>29</v>
      </c>
      <c r="P25" s="268"/>
      <c r="Q25" s="269"/>
    </row>
    <row r="26" spans="2:18" ht="13.75" x14ac:dyDescent="0.3">
      <c r="B26" s="28" t="s">
        <v>30</v>
      </c>
      <c r="C26" s="23" t="s">
        <v>31</v>
      </c>
      <c r="D26" s="23" t="s">
        <v>32</v>
      </c>
      <c r="E26" s="23" t="s">
        <v>33</v>
      </c>
      <c r="F26" s="74" t="s">
        <v>34</v>
      </c>
      <c r="G26" s="23" t="s">
        <v>35</v>
      </c>
      <c r="H26" s="23" t="s">
        <v>36</v>
      </c>
      <c r="I26" s="75" t="s">
        <v>37</v>
      </c>
      <c r="K26" s="28" t="s">
        <v>30</v>
      </c>
      <c r="L26" s="23" t="s">
        <v>31</v>
      </c>
      <c r="M26" s="23" t="s">
        <v>32</v>
      </c>
      <c r="N26" s="23" t="s">
        <v>33</v>
      </c>
      <c r="O26" s="23" t="s">
        <v>34</v>
      </c>
      <c r="P26" s="23" t="s">
        <v>35</v>
      </c>
      <c r="Q26" s="23" t="s">
        <v>36</v>
      </c>
      <c r="R26" s="29" t="s">
        <v>37</v>
      </c>
    </row>
    <row r="27" spans="2:18" x14ac:dyDescent="0.3">
      <c r="B27" s="273" t="s">
        <v>62</v>
      </c>
      <c r="C27" s="33" t="s">
        <v>39</v>
      </c>
      <c r="D27" s="33"/>
      <c r="E27" s="34">
        <f>'1b) Unintegrated - Core +'!H25</f>
        <v>112</v>
      </c>
      <c r="F27" s="31">
        <v>0.11</v>
      </c>
      <c r="G27" s="35">
        <v>0.25</v>
      </c>
      <c r="H27" s="35">
        <v>0.05</v>
      </c>
      <c r="I27" s="32">
        <f t="shared" ref="I27:I33" si="2">(E27*F27)+(E27*G27)+(E27*H27)+E27</f>
        <v>157.92000000000002</v>
      </c>
      <c r="K27" s="14" t="s">
        <v>38</v>
      </c>
      <c r="L27" s="2" t="s">
        <v>39</v>
      </c>
      <c r="N27" s="30">
        <f>'2b) Integrated - Core +'!H31</f>
        <v>428</v>
      </c>
      <c r="O27" s="71">
        <v>0.11</v>
      </c>
      <c r="P27" s="31">
        <v>0.25</v>
      </c>
      <c r="Q27" s="31">
        <v>0.05</v>
      </c>
      <c r="R27" s="32">
        <f>(N27*O27)+(N27*P27)+(N27*Q27)+N27</f>
        <v>603.48</v>
      </c>
    </row>
    <row r="28" spans="2:18" x14ac:dyDescent="0.3">
      <c r="B28" s="275"/>
      <c r="C28" s="25" t="s">
        <v>63</v>
      </c>
      <c r="D28" s="25"/>
      <c r="E28" s="52">
        <f>'1b) Unintegrated - Core +'!H29</f>
        <v>28.999999999999996</v>
      </c>
      <c r="F28" s="53">
        <v>0.11</v>
      </c>
      <c r="G28" s="53">
        <v>0.25</v>
      </c>
      <c r="H28" s="53">
        <v>0.05</v>
      </c>
      <c r="I28" s="54">
        <f t="shared" si="2"/>
        <v>40.889999999999993</v>
      </c>
      <c r="K28" s="37" t="s">
        <v>41</v>
      </c>
      <c r="L28" s="33" t="s">
        <v>42</v>
      </c>
      <c r="M28" s="33"/>
      <c r="N28" s="34">
        <f>'2b) Integrated - Core +'!H48</f>
        <v>726.3</v>
      </c>
      <c r="O28" s="71">
        <v>0.11</v>
      </c>
      <c r="P28" s="35">
        <v>0.35</v>
      </c>
      <c r="Q28" s="35">
        <v>0.05</v>
      </c>
      <c r="R28" s="36">
        <f>(N28*O28)+(N28*P28)+(N28*Q28)+N28</f>
        <v>1096.713</v>
      </c>
    </row>
    <row r="29" spans="2:18" x14ac:dyDescent="0.3">
      <c r="B29" s="271" t="s">
        <v>40</v>
      </c>
      <c r="C29" s="33" t="s">
        <v>39</v>
      </c>
      <c r="D29" s="33"/>
      <c r="E29" s="34">
        <f>'1b) Unintegrated - Core +'!H39</f>
        <v>231</v>
      </c>
      <c r="F29" s="31">
        <v>0.11</v>
      </c>
      <c r="G29" s="35">
        <v>0.25</v>
      </c>
      <c r="H29" s="35">
        <v>0.05</v>
      </c>
      <c r="I29" s="32">
        <f t="shared" si="2"/>
        <v>325.70999999999998</v>
      </c>
      <c r="K29" s="38" t="s">
        <v>43</v>
      </c>
      <c r="L29" s="39" t="s">
        <v>43</v>
      </c>
      <c r="M29" s="39"/>
      <c r="N29" s="40">
        <f>'2b) Integrated - Core +'!H67</f>
        <v>229</v>
      </c>
      <c r="O29" s="71">
        <v>0.11</v>
      </c>
      <c r="P29" s="35">
        <v>0.35</v>
      </c>
      <c r="Q29" s="41">
        <v>0.05</v>
      </c>
      <c r="R29" s="42">
        <f t="shared" ref="R29:R31" si="3">(N29*O29)+(N29*P29)+(N29*Q29)+N29</f>
        <v>345.78999999999996</v>
      </c>
    </row>
    <row r="30" spans="2:18" x14ac:dyDescent="0.3">
      <c r="B30" s="272"/>
      <c r="C30" s="2" t="s">
        <v>42</v>
      </c>
      <c r="E30" s="30">
        <f>'1b) Unintegrated - Core +'!H48</f>
        <v>486</v>
      </c>
      <c r="F30" s="31">
        <v>0.11</v>
      </c>
      <c r="G30" s="31">
        <v>0.35</v>
      </c>
      <c r="H30" s="31">
        <v>0.05</v>
      </c>
      <c r="I30" s="32">
        <f t="shared" si="2"/>
        <v>733.86</v>
      </c>
      <c r="K30" s="38" t="s">
        <v>44</v>
      </c>
      <c r="L30" s="39" t="s">
        <v>42</v>
      </c>
      <c r="M30" s="39"/>
      <c r="N30" s="40">
        <f>'2b) Integrated - Core +'!H72</f>
        <v>26.5</v>
      </c>
      <c r="O30" s="71">
        <v>0.11</v>
      </c>
      <c r="P30" s="71">
        <v>0.35</v>
      </c>
      <c r="Q30" s="41">
        <v>0.05</v>
      </c>
      <c r="R30" s="42">
        <f t="shared" si="3"/>
        <v>40.015000000000001</v>
      </c>
    </row>
    <row r="31" spans="2:18" x14ac:dyDescent="0.3">
      <c r="B31" s="272"/>
      <c r="C31" s="2" t="s">
        <v>43</v>
      </c>
      <c r="E31" s="30">
        <f>'1b) Unintegrated - Core +'!H58</f>
        <v>72</v>
      </c>
      <c r="F31" s="31">
        <v>0.11</v>
      </c>
      <c r="G31" s="31">
        <v>0.35</v>
      </c>
      <c r="H31" s="31">
        <v>0.05</v>
      </c>
      <c r="I31" s="32">
        <f t="shared" si="2"/>
        <v>108.72</v>
      </c>
      <c r="K31" s="43" t="s">
        <v>46</v>
      </c>
      <c r="L31" s="2" t="s">
        <v>46</v>
      </c>
      <c r="N31" s="30">
        <f>'2b) Integrated - Core +'!H91</f>
        <v>482.90000000000003</v>
      </c>
      <c r="O31" s="71">
        <v>0.11</v>
      </c>
      <c r="P31" s="31">
        <v>0.25</v>
      </c>
      <c r="Q31" s="31">
        <v>0.05</v>
      </c>
      <c r="R31" s="32">
        <f t="shared" si="3"/>
        <v>680.88900000000012</v>
      </c>
    </row>
    <row r="32" spans="2:18" x14ac:dyDescent="0.3">
      <c r="B32" s="272"/>
      <c r="C32" s="2" t="s">
        <v>45</v>
      </c>
      <c r="E32" s="30">
        <f>'1b) Unintegrated - Core +'!H63</f>
        <v>26.5</v>
      </c>
      <c r="F32" s="31">
        <v>0.11</v>
      </c>
      <c r="G32" s="31">
        <v>0.35</v>
      </c>
      <c r="H32" s="31">
        <v>0.05</v>
      </c>
      <c r="I32" s="32">
        <f t="shared" si="2"/>
        <v>40.015000000000001</v>
      </c>
      <c r="K32" s="44"/>
      <c r="L32" s="45"/>
      <c r="M32" s="45"/>
      <c r="N32" s="45"/>
      <c r="O32" s="45"/>
      <c r="P32" s="45"/>
      <c r="Q32" s="46" t="s">
        <v>47</v>
      </c>
      <c r="R32" s="47">
        <f>SUM(R27:R31)</f>
        <v>2766.8870000000002</v>
      </c>
    </row>
    <row r="33" spans="2:18" ht="12.9" x14ac:dyDescent="0.35">
      <c r="B33" s="272"/>
      <c r="C33" s="2" t="s">
        <v>46</v>
      </c>
      <c r="E33" s="30">
        <f>'1b) Unintegrated - Core +'!H76</f>
        <v>255.55</v>
      </c>
      <c r="F33" s="53">
        <v>0.11</v>
      </c>
      <c r="G33" s="31">
        <v>0.25</v>
      </c>
      <c r="H33" s="31">
        <v>0.05</v>
      </c>
      <c r="I33" s="32">
        <f t="shared" si="2"/>
        <v>360.32550000000003</v>
      </c>
      <c r="K33" s="48" t="s">
        <v>49</v>
      </c>
      <c r="P33" s="2" t="s">
        <v>50</v>
      </c>
      <c r="Q33" s="31">
        <v>0.12</v>
      </c>
      <c r="R33" s="32">
        <f>R32*Q33</f>
        <v>332.02644000000004</v>
      </c>
    </row>
    <row r="34" spans="2:18" x14ac:dyDescent="0.3">
      <c r="B34" s="273" t="s">
        <v>64</v>
      </c>
      <c r="C34" s="33" t="s">
        <v>65</v>
      </c>
      <c r="D34" s="33"/>
      <c r="E34" s="24">
        <f>'1b) Unintegrated - Core +'!H86</f>
        <v>158.5</v>
      </c>
      <c r="F34" s="31">
        <v>0.11</v>
      </c>
      <c r="G34" s="35">
        <v>0.25</v>
      </c>
      <c r="H34" s="35">
        <v>0.05</v>
      </c>
      <c r="I34" s="36">
        <f t="shared" ref="I34:I41" si="4">(E34*F34)+(E34*G34)+(E34*H34)+E34</f>
        <v>223.48500000000001</v>
      </c>
      <c r="K34" s="14"/>
      <c r="P34" s="2" t="s">
        <v>52</v>
      </c>
      <c r="Q34" s="31">
        <v>0.23</v>
      </c>
      <c r="R34" s="32">
        <f>R32*Q34</f>
        <v>636.3840100000001</v>
      </c>
    </row>
    <row r="35" spans="2:18" x14ac:dyDescent="0.3">
      <c r="B35" s="274"/>
      <c r="C35" s="2" t="s">
        <v>66</v>
      </c>
      <c r="E35" s="62">
        <f>'1b) Unintegrated - Core +'!H93</f>
        <v>77.5</v>
      </c>
      <c r="F35" s="31">
        <v>0.11</v>
      </c>
      <c r="G35" s="31">
        <v>0.25</v>
      </c>
      <c r="H35" s="31">
        <v>0.05</v>
      </c>
      <c r="I35" s="32">
        <f t="shared" si="4"/>
        <v>109.27500000000001</v>
      </c>
      <c r="K35" s="49"/>
      <c r="L35" s="19"/>
      <c r="M35" s="19"/>
      <c r="N35" s="19"/>
      <c r="O35" s="19"/>
      <c r="P35" s="19"/>
      <c r="Q35" s="230" t="s">
        <v>54</v>
      </c>
      <c r="R35" s="231">
        <f>SUM(R32:R34)</f>
        <v>3735.2974500000005</v>
      </c>
    </row>
    <row r="36" spans="2:18" x14ac:dyDescent="0.3">
      <c r="B36" s="274"/>
      <c r="C36" s="2" t="s">
        <v>67</v>
      </c>
      <c r="E36" s="62">
        <f>'1b) Unintegrated - Core +'!H102</f>
        <v>136.5</v>
      </c>
      <c r="F36" s="31">
        <v>0.11</v>
      </c>
      <c r="G36" s="31">
        <v>0.35</v>
      </c>
      <c r="H36" s="31">
        <v>0.05</v>
      </c>
      <c r="I36" s="32">
        <f t="shared" si="4"/>
        <v>206.11500000000001</v>
      </c>
      <c r="Q36" s="232" t="s">
        <v>56</v>
      </c>
      <c r="R36" s="233">
        <v>3732.5</v>
      </c>
    </row>
    <row r="37" spans="2:18" x14ac:dyDescent="0.3">
      <c r="B37" s="274"/>
      <c r="C37" s="2" t="s">
        <v>51</v>
      </c>
      <c r="E37" s="62">
        <f>'1b) Unintegrated - Core +'!H110</f>
        <v>147.5</v>
      </c>
      <c r="F37" s="31">
        <v>0.11</v>
      </c>
      <c r="G37" s="31">
        <v>0.35</v>
      </c>
      <c r="H37" s="31">
        <v>0.05</v>
      </c>
      <c r="I37" s="32">
        <f t="shared" si="4"/>
        <v>222.72499999999999</v>
      </c>
      <c r="Q37" s="234" t="s">
        <v>57</v>
      </c>
      <c r="R37" s="235">
        <f>(R36-R35)/R35</f>
        <v>-7.4892295391374537E-4</v>
      </c>
    </row>
    <row r="38" spans="2:18" x14ac:dyDescent="0.3">
      <c r="B38" s="274"/>
      <c r="C38" s="2" t="s">
        <v>53</v>
      </c>
      <c r="E38" s="30">
        <f>'1b) Unintegrated - Core +'!H118</f>
        <v>99.8</v>
      </c>
      <c r="F38" s="31">
        <v>0.11</v>
      </c>
      <c r="G38" s="31">
        <v>0.35</v>
      </c>
      <c r="H38" s="31">
        <v>0.05</v>
      </c>
      <c r="I38" s="32">
        <f t="shared" si="4"/>
        <v>150.69800000000001</v>
      </c>
    </row>
    <row r="39" spans="2:18" x14ac:dyDescent="0.3">
      <c r="B39" s="274"/>
      <c r="C39" s="2" t="s">
        <v>55</v>
      </c>
      <c r="E39" s="30">
        <f>'1b) Unintegrated - Core +'!H122</f>
        <v>113</v>
      </c>
      <c r="F39" s="31">
        <v>0.11</v>
      </c>
      <c r="G39" s="31">
        <v>0.35</v>
      </c>
      <c r="H39" s="31">
        <v>0.05</v>
      </c>
      <c r="I39" s="32">
        <f t="shared" si="4"/>
        <v>170.63</v>
      </c>
    </row>
    <row r="40" spans="2:18" x14ac:dyDescent="0.3">
      <c r="B40" s="274"/>
      <c r="C40" s="2" t="s">
        <v>43</v>
      </c>
      <c r="E40" s="30">
        <f>'1b) Unintegrated - Core +'!H132</f>
        <v>81</v>
      </c>
      <c r="F40" s="31">
        <v>0.11</v>
      </c>
      <c r="G40" s="31">
        <v>0.35</v>
      </c>
      <c r="H40" s="31">
        <v>0.05</v>
      </c>
      <c r="I40" s="32">
        <f t="shared" si="4"/>
        <v>122.31</v>
      </c>
    </row>
    <row r="41" spans="2:18" x14ac:dyDescent="0.3">
      <c r="B41" s="274"/>
      <c r="C41" s="2" t="s">
        <v>46</v>
      </c>
      <c r="E41" s="30">
        <f>'1b) Unintegrated - Core +'!H147</f>
        <v>245.4</v>
      </c>
      <c r="F41" s="53">
        <v>0.11</v>
      </c>
      <c r="G41" s="31">
        <v>0.25</v>
      </c>
      <c r="H41" s="31">
        <v>0.05</v>
      </c>
      <c r="I41" s="32">
        <f t="shared" si="4"/>
        <v>346.01400000000001</v>
      </c>
    </row>
    <row r="42" spans="2:18" ht="12.65" customHeight="1" x14ac:dyDescent="0.3">
      <c r="B42" s="273" t="s">
        <v>68</v>
      </c>
      <c r="C42" s="33" t="s">
        <v>69</v>
      </c>
      <c r="D42" s="33"/>
      <c r="E42" s="24">
        <f>'1b) Unintegrated - Core +'!H157</f>
        <v>65</v>
      </c>
      <c r="F42" s="31">
        <v>0.11</v>
      </c>
      <c r="G42" s="35">
        <v>0.25</v>
      </c>
      <c r="H42" s="35">
        <v>0.05</v>
      </c>
      <c r="I42" s="36">
        <f t="shared" ref="I42:I45" si="5">(E42*F42)+(E42*G42)+(E42*H42)+E42</f>
        <v>91.65</v>
      </c>
    </row>
    <row r="43" spans="2:18" x14ac:dyDescent="0.3">
      <c r="B43" s="274"/>
      <c r="C43" s="2" t="s">
        <v>70</v>
      </c>
      <c r="E43" s="62">
        <f>'1b) Unintegrated - Core +'!H163</f>
        <v>46.5</v>
      </c>
      <c r="F43" s="31">
        <v>0.11</v>
      </c>
      <c r="G43" s="31">
        <v>0.25</v>
      </c>
      <c r="H43" s="31">
        <v>0.05</v>
      </c>
      <c r="I43" s="32">
        <f t="shared" si="5"/>
        <v>65.564999999999998</v>
      </c>
    </row>
    <row r="44" spans="2:18" x14ac:dyDescent="0.3">
      <c r="B44" s="274"/>
      <c r="C44" s="2" t="s">
        <v>71</v>
      </c>
      <c r="E44" s="62">
        <f>'1b) Unintegrated - Core +'!H174</f>
        <v>106.5</v>
      </c>
      <c r="F44" s="31">
        <v>0.11</v>
      </c>
      <c r="G44" s="31">
        <v>0.35</v>
      </c>
      <c r="H44" s="31">
        <v>0.05</v>
      </c>
      <c r="I44" s="32">
        <f t="shared" si="5"/>
        <v>160.815</v>
      </c>
    </row>
    <row r="45" spans="2:18" x14ac:dyDescent="0.3">
      <c r="B45" s="274"/>
      <c r="C45" s="2" t="s">
        <v>72</v>
      </c>
      <c r="E45" s="62">
        <f>'1b) Unintegrated - Core +'!H184</f>
        <v>154</v>
      </c>
      <c r="F45" s="31">
        <v>0.11</v>
      </c>
      <c r="G45" s="31">
        <v>0.35</v>
      </c>
      <c r="H45" s="31">
        <v>0.05</v>
      </c>
      <c r="I45" s="32">
        <f t="shared" si="5"/>
        <v>232.54000000000002</v>
      </c>
    </row>
    <row r="46" spans="2:18" x14ac:dyDescent="0.3">
      <c r="B46" s="274"/>
      <c r="C46" s="2" t="s">
        <v>43</v>
      </c>
      <c r="E46" s="62">
        <f>'1b) Unintegrated - Core +'!H196</f>
        <v>82</v>
      </c>
      <c r="F46" s="31">
        <v>0.11</v>
      </c>
      <c r="G46" s="31">
        <v>0.35</v>
      </c>
      <c r="H46" s="31">
        <v>0.05</v>
      </c>
      <c r="I46" s="32">
        <f t="shared" ref="I46:I47" si="6">(E46*F46)+(E46*G46)+(E46*H46)+E46</f>
        <v>123.82</v>
      </c>
    </row>
    <row r="47" spans="2:18" x14ac:dyDescent="0.3">
      <c r="B47" s="275"/>
      <c r="C47" s="25" t="s">
        <v>46</v>
      </c>
      <c r="D47" s="25"/>
      <c r="E47" s="61">
        <f>'1b) Unintegrated - Core +'!H209</f>
        <v>134.30000000000001</v>
      </c>
      <c r="F47" s="53">
        <v>0.11</v>
      </c>
      <c r="G47" s="53">
        <v>0.25</v>
      </c>
      <c r="H47" s="53">
        <v>0.05</v>
      </c>
      <c r="I47" s="54">
        <f t="shared" si="6"/>
        <v>189.36300000000003</v>
      </c>
    </row>
    <row r="48" spans="2:18" x14ac:dyDescent="0.3">
      <c r="B48" s="69" t="s">
        <v>58</v>
      </c>
      <c r="C48" s="70" t="s">
        <v>59</v>
      </c>
      <c r="D48" s="70"/>
      <c r="E48" s="18">
        <f>'1b) Unintegrated - Core +'!H214</f>
        <v>38</v>
      </c>
      <c r="F48" s="71">
        <v>0.11</v>
      </c>
      <c r="G48" s="71">
        <v>0.25</v>
      </c>
      <c r="H48" s="71">
        <v>0.05</v>
      </c>
      <c r="I48" s="72">
        <f t="shared" ref="I48" si="7">(E48*F48)+(E48*G48)+(E48*H48)+E48</f>
        <v>53.58</v>
      </c>
    </row>
    <row r="49" spans="2:18" x14ac:dyDescent="0.3">
      <c r="B49" s="44"/>
      <c r="C49" s="45"/>
      <c r="D49" s="45"/>
      <c r="E49" s="45"/>
      <c r="F49" s="229"/>
      <c r="G49" s="45"/>
      <c r="H49" s="46" t="s">
        <v>47</v>
      </c>
      <c r="I49" s="47">
        <f>SUM(I27:I48)</f>
        <v>4236.0255000000006</v>
      </c>
    </row>
    <row r="50" spans="2:18" ht="12.9" x14ac:dyDescent="0.35">
      <c r="B50" s="48" t="s">
        <v>49</v>
      </c>
      <c r="G50" s="2" t="s">
        <v>50</v>
      </c>
      <c r="H50" s="31">
        <v>0.12</v>
      </c>
      <c r="I50" s="32">
        <f>I49*H50</f>
        <v>508.32306000000005</v>
      </c>
    </row>
    <row r="51" spans="2:18" x14ac:dyDescent="0.3">
      <c r="B51" s="14"/>
      <c r="G51" s="2" t="s">
        <v>52</v>
      </c>
      <c r="H51" s="31">
        <v>0.23</v>
      </c>
      <c r="I51" s="32">
        <f>I49*H51</f>
        <v>974.28586500000017</v>
      </c>
    </row>
    <row r="52" spans="2:18" x14ac:dyDescent="0.3">
      <c r="B52" s="49"/>
      <c r="C52" s="19"/>
      <c r="D52" s="19"/>
      <c r="E52" s="19"/>
      <c r="F52" s="19"/>
      <c r="G52" s="19"/>
      <c r="H52" s="50" t="s">
        <v>54</v>
      </c>
      <c r="I52" s="51">
        <f>SUM(I49:I51)</f>
        <v>5718.6344250000002</v>
      </c>
    </row>
    <row r="54" spans="2:18" x14ac:dyDescent="0.3">
      <c r="B54" s="27" t="s">
        <v>73</v>
      </c>
      <c r="K54" s="27" t="s">
        <v>74</v>
      </c>
    </row>
    <row r="55" spans="2:18" x14ac:dyDescent="0.3">
      <c r="F55" s="267" t="s">
        <v>29</v>
      </c>
      <c r="G55" s="268"/>
      <c r="H55" s="269"/>
      <c r="O55" s="267" t="s">
        <v>29</v>
      </c>
      <c r="P55" s="268"/>
      <c r="Q55" s="269"/>
    </row>
    <row r="56" spans="2:18" ht="13.75" x14ac:dyDescent="0.3">
      <c r="B56" s="73" t="s">
        <v>30</v>
      </c>
      <c r="C56" s="74" t="s">
        <v>31</v>
      </c>
      <c r="D56" s="74" t="s">
        <v>32</v>
      </c>
      <c r="E56" s="74" t="s">
        <v>33</v>
      </c>
      <c r="F56" s="74" t="s">
        <v>34</v>
      </c>
      <c r="G56" s="74" t="s">
        <v>35</v>
      </c>
      <c r="H56" s="74" t="s">
        <v>36</v>
      </c>
      <c r="I56" s="75" t="s">
        <v>37</v>
      </c>
      <c r="K56" s="28" t="s">
        <v>30</v>
      </c>
      <c r="L56" s="23" t="s">
        <v>31</v>
      </c>
      <c r="M56" s="23" t="s">
        <v>32</v>
      </c>
      <c r="N56" s="23" t="s">
        <v>33</v>
      </c>
      <c r="O56" s="23" t="s">
        <v>34</v>
      </c>
      <c r="P56" s="23" t="s">
        <v>35</v>
      </c>
      <c r="Q56" s="23" t="s">
        <v>36</v>
      </c>
      <c r="R56" s="29" t="s">
        <v>37</v>
      </c>
    </row>
    <row r="57" spans="2:18" x14ac:dyDescent="0.3">
      <c r="B57" s="273" t="s">
        <v>62</v>
      </c>
      <c r="C57" s="33" t="s">
        <v>39</v>
      </c>
      <c r="D57" s="33"/>
      <c r="E57" s="34">
        <f>'1c) Unintegrated - Core ++'!H23</f>
        <v>118</v>
      </c>
      <c r="F57" s="31">
        <v>0.11</v>
      </c>
      <c r="G57" s="35">
        <v>0.25</v>
      </c>
      <c r="H57" s="35">
        <v>0.05</v>
      </c>
      <c r="I57" s="36">
        <f>(E57*F57)+(E57*G57)+(E57*H57)+E57</f>
        <v>166.38</v>
      </c>
      <c r="K57" s="14" t="s">
        <v>38</v>
      </c>
      <c r="L57" s="2" t="s">
        <v>39</v>
      </c>
      <c r="N57" s="30">
        <f>'2c) Integrated - Core ++'!H31</f>
        <v>469</v>
      </c>
      <c r="O57" s="71">
        <v>0.11</v>
      </c>
      <c r="P57" s="31">
        <v>0.25</v>
      </c>
      <c r="Q57" s="31">
        <v>0.05</v>
      </c>
      <c r="R57" s="32">
        <f>(N57*O57)+(N57*P57)+(N57*Q57)+N57</f>
        <v>661.29</v>
      </c>
    </row>
    <row r="58" spans="2:18" x14ac:dyDescent="0.3">
      <c r="B58" s="275"/>
      <c r="C58" s="25" t="s">
        <v>46</v>
      </c>
      <c r="D58" s="25"/>
      <c r="E58" s="52">
        <f>'1c) Unintegrated - Core ++'!H27</f>
        <v>28.999999999999996</v>
      </c>
      <c r="F58" s="53">
        <v>0.11</v>
      </c>
      <c r="G58" s="53">
        <v>0.25</v>
      </c>
      <c r="H58" s="53">
        <v>0.05</v>
      </c>
      <c r="I58" s="54">
        <f>(E58*F58)+(E58*G58)+(E58*H58)+E58</f>
        <v>40.889999999999993</v>
      </c>
      <c r="K58" s="37" t="s">
        <v>41</v>
      </c>
      <c r="L58" s="33" t="s">
        <v>42</v>
      </c>
      <c r="M58" s="33"/>
      <c r="N58" s="34">
        <f>'2c) Integrated - Core ++'!H49</f>
        <v>809.9</v>
      </c>
      <c r="O58" s="71">
        <v>0.11</v>
      </c>
      <c r="P58" s="35">
        <v>0.35</v>
      </c>
      <c r="Q58" s="35">
        <v>0.05</v>
      </c>
      <c r="R58" s="36">
        <f>(N58*O58)+(N58*P58)+(N58*Q58)+N58</f>
        <v>1222.9490000000001</v>
      </c>
    </row>
    <row r="59" spans="2:18" x14ac:dyDescent="0.3">
      <c r="B59" s="270" t="s">
        <v>40</v>
      </c>
      <c r="C59" s="2" t="s">
        <v>39</v>
      </c>
      <c r="E59" s="30">
        <f>'1c) Unintegrated - Core ++'!H37</f>
        <v>231</v>
      </c>
      <c r="F59" s="31">
        <v>0.11</v>
      </c>
      <c r="G59" s="31">
        <v>0.25</v>
      </c>
      <c r="H59" s="31">
        <v>0.05</v>
      </c>
      <c r="I59" s="32">
        <f>(E59*F59)+(E59*G59)+(E59*H59)+E59</f>
        <v>325.70999999999998</v>
      </c>
      <c r="K59" s="38" t="s">
        <v>43</v>
      </c>
      <c r="L59" s="39" t="s">
        <v>43</v>
      </c>
      <c r="M59" s="39"/>
      <c r="N59" s="40">
        <f>'2c) Integrated - Core ++'!H68</f>
        <v>301</v>
      </c>
      <c r="O59" s="71">
        <v>0.11</v>
      </c>
      <c r="P59" s="35">
        <v>0.35</v>
      </c>
      <c r="Q59" s="41">
        <v>0.05</v>
      </c>
      <c r="R59" s="42">
        <f t="shared" ref="R59:R61" si="8">(N59*O59)+(N59*P59)+(N59*Q59)+N59</f>
        <v>454.51</v>
      </c>
    </row>
    <row r="60" spans="2:18" x14ac:dyDescent="0.3">
      <c r="B60" s="270"/>
      <c r="C60" s="2" t="s">
        <v>42</v>
      </c>
      <c r="E60" s="30">
        <f>'1c) Unintegrated - Core ++'!H46</f>
        <v>486</v>
      </c>
      <c r="F60" s="31">
        <v>0.11</v>
      </c>
      <c r="G60" s="31">
        <v>0.35</v>
      </c>
      <c r="H60" s="31">
        <v>0.05</v>
      </c>
      <c r="I60" s="32">
        <f t="shared" ref="I60:I79" si="9">(E60*F60)+(E60*G60)+(E60*H60)+E60</f>
        <v>733.86</v>
      </c>
      <c r="K60" s="38" t="s">
        <v>44</v>
      </c>
      <c r="L60" s="39" t="s">
        <v>42</v>
      </c>
      <c r="M60" s="39"/>
      <c r="N60" s="40">
        <f>'2c) Integrated - Core ++'!H73</f>
        <v>26.5</v>
      </c>
      <c r="O60" s="71">
        <v>0.11</v>
      </c>
      <c r="P60" s="71">
        <v>0.35</v>
      </c>
      <c r="Q60" s="41">
        <v>0.05</v>
      </c>
      <c r="R60" s="42">
        <f t="shared" si="8"/>
        <v>40.015000000000001</v>
      </c>
    </row>
    <row r="61" spans="2:18" x14ac:dyDescent="0.3">
      <c r="B61" s="270"/>
      <c r="C61" s="2" t="s">
        <v>43</v>
      </c>
      <c r="E61" s="30">
        <f>'1c) Unintegrated - Core ++'!H56</f>
        <v>72</v>
      </c>
      <c r="F61" s="31">
        <v>0.11</v>
      </c>
      <c r="G61" s="31">
        <v>0.35</v>
      </c>
      <c r="H61" s="31">
        <v>0.05</v>
      </c>
      <c r="I61" s="32">
        <f t="shared" si="9"/>
        <v>108.72</v>
      </c>
      <c r="K61" s="43" t="s">
        <v>46</v>
      </c>
      <c r="L61" s="2" t="s">
        <v>46</v>
      </c>
      <c r="N61" s="30">
        <f>'2c) Integrated - Core ++'!H92</f>
        <v>576</v>
      </c>
      <c r="O61" s="71">
        <v>0.11</v>
      </c>
      <c r="P61" s="31">
        <v>0.25</v>
      </c>
      <c r="Q61" s="31">
        <v>0.05</v>
      </c>
      <c r="R61" s="32">
        <f t="shared" si="8"/>
        <v>812.16000000000008</v>
      </c>
    </row>
    <row r="62" spans="2:18" x14ac:dyDescent="0.3">
      <c r="B62" s="270"/>
      <c r="C62" s="2" t="s">
        <v>45</v>
      </c>
      <c r="E62" s="30">
        <f>'1c) Unintegrated - Core ++'!H61</f>
        <v>26.5</v>
      </c>
      <c r="F62" s="31">
        <v>0.11</v>
      </c>
      <c r="G62" s="31">
        <v>0.35</v>
      </c>
      <c r="H62" s="31">
        <v>0.05</v>
      </c>
      <c r="I62" s="32">
        <f t="shared" si="9"/>
        <v>40.015000000000001</v>
      </c>
      <c r="K62" s="44"/>
      <c r="L62" s="45"/>
      <c r="M62" s="45"/>
      <c r="N62" s="45"/>
      <c r="O62" s="45"/>
      <c r="P62" s="45"/>
      <c r="Q62" s="46" t="s">
        <v>47</v>
      </c>
      <c r="R62" s="47">
        <f>SUM(R57:R61)</f>
        <v>3190.924</v>
      </c>
    </row>
    <row r="63" spans="2:18" ht="12.9" x14ac:dyDescent="0.35">
      <c r="B63" s="270"/>
      <c r="C63" s="2" t="s">
        <v>46</v>
      </c>
      <c r="E63" s="30">
        <f>'1c) Unintegrated - Core ++'!H74</f>
        <v>255.55</v>
      </c>
      <c r="F63" s="53">
        <v>0.11</v>
      </c>
      <c r="G63" s="31">
        <v>0.25</v>
      </c>
      <c r="H63" s="31">
        <v>0.05</v>
      </c>
      <c r="I63" s="32">
        <f t="shared" si="9"/>
        <v>360.32550000000003</v>
      </c>
      <c r="K63" s="48" t="s">
        <v>49</v>
      </c>
      <c r="P63" s="2" t="s">
        <v>50</v>
      </c>
      <c r="Q63" s="31">
        <v>0.12</v>
      </c>
      <c r="R63" s="32">
        <f>R62*Q63</f>
        <v>382.91087999999996</v>
      </c>
    </row>
    <row r="64" spans="2:18" x14ac:dyDescent="0.3">
      <c r="B64" s="264" t="s">
        <v>75</v>
      </c>
      <c r="C64" s="33" t="s">
        <v>65</v>
      </c>
      <c r="D64" s="33"/>
      <c r="E64" s="34">
        <f>'1c) Unintegrated - Core ++'!H84</f>
        <v>191.5</v>
      </c>
      <c r="F64" s="31">
        <v>0.11</v>
      </c>
      <c r="G64" s="35">
        <v>0.25</v>
      </c>
      <c r="H64" s="35">
        <v>0.05</v>
      </c>
      <c r="I64" s="36">
        <f t="shared" si="9"/>
        <v>270.01499999999999</v>
      </c>
      <c r="K64" s="14"/>
      <c r="P64" s="2" t="s">
        <v>52</v>
      </c>
      <c r="Q64" s="31">
        <v>0.23</v>
      </c>
      <c r="R64" s="32">
        <f>R62*Q64</f>
        <v>733.91251999999997</v>
      </c>
    </row>
    <row r="65" spans="2:18" x14ac:dyDescent="0.3">
      <c r="B65" s="265"/>
      <c r="C65" s="2" t="s">
        <v>66</v>
      </c>
      <c r="E65" s="30">
        <f>'1c) Unintegrated - Core ++'!H91</f>
        <v>77.5</v>
      </c>
      <c r="F65" s="31">
        <v>0.11</v>
      </c>
      <c r="G65" s="31">
        <v>0.25</v>
      </c>
      <c r="H65" s="31">
        <v>0.05</v>
      </c>
      <c r="I65" s="32">
        <f t="shared" si="9"/>
        <v>109.27500000000001</v>
      </c>
      <c r="K65" s="49"/>
      <c r="L65" s="19"/>
      <c r="M65" s="19"/>
      <c r="N65" s="19"/>
      <c r="O65" s="19"/>
      <c r="P65" s="19"/>
      <c r="Q65" s="50" t="s">
        <v>54</v>
      </c>
      <c r="R65" s="51">
        <f>SUM(R62:R64)</f>
        <v>4307.7474000000002</v>
      </c>
    </row>
    <row r="66" spans="2:18" x14ac:dyDescent="0.3">
      <c r="B66" s="265"/>
      <c r="C66" s="2" t="s">
        <v>67</v>
      </c>
      <c r="E66" s="30">
        <f>'1c) Unintegrated - Core ++'!H100</f>
        <v>136.5</v>
      </c>
      <c r="F66" s="31">
        <v>0.11</v>
      </c>
      <c r="G66" s="31">
        <v>0.35</v>
      </c>
      <c r="H66" s="31">
        <v>0.05</v>
      </c>
      <c r="I66" s="32">
        <f t="shared" si="9"/>
        <v>206.11500000000001</v>
      </c>
      <c r="Q66" s="232" t="s">
        <v>56</v>
      </c>
      <c r="R66" s="233">
        <v>4315.7</v>
      </c>
    </row>
    <row r="67" spans="2:18" x14ac:dyDescent="0.3">
      <c r="B67" s="265"/>
      <c r="C67" s="2" t="s">
        <v>51</v>
      </c>
      <c r="E67" s="30">
        <f>'1c) Unintegrated - Core ++'!H108</f>
        <v>147.5</v>
      </c>
      <c r="F67" s="31">
        <v>0.11</v>
      </c>
      <c r="G67" s="31">
        <v>0.35</v>
      </c>
      <c r="H67" s="31">
        <v>0.05</v>
      </c>
      <c r="I67" s="32">
        <f t="shared" si="9"/>
        <v>222.72499999999999</v>
      </c>
      <c r="Q67" s="234" t="s">
        <v>57</v>
      </c>
      <c r="R67" s="235">
        <f>(R66-R65)/R65</f>
        <v>1.8461156752133656E-3</v>
      </c>
    </row>
    <row r="68" spans="2:18" x14ac:dyDescent="0.3">
      <c r="B68" s="265"/>
      <c r="C68" s="2" t="s">
        <v>53</v>
      </c>
      <c r="E68" s="30">
        <f>'1c) Unintegrated - Core ++'!H116</f>
        <v>99.8</v>
      </c>
      <c r="F68" s="31">
        <v>0.11</v>
      </c>
      <c r="G68" s="31">
        <v>0.35</v>
      </c>
      <c r="H68" s="31">
        <v>0.05</v>
      </c>
      <c r="I68" s="32">
        <f t="shared" si="9"/>
        <v>150.69800000000001</v>
      </c>
    </row>
    <row r="69" spans="2:18" x14ac:dyDescent="0.3">
      <c r="B69" s="265"/>
      <c r="C69" s="2" t="s">
        <v>76</v>
      </c>
      <c r="E69" s="30">
        <f>'1c) Unintegrated - Core ++'!H124</f>
        <v>105.5</v>
      </c>
      <c r="F69" s="31">
        <v>0.11</v>
      </c>
      <c r="G69" s="31">
        <v>0.35</v>
      </c>
      <c r="H69" s="31">
        <v>0.05</v>
      </c>
      <c r="I69" s="32">
        <f t="shared" si="9"/>
        <v>159.30500000000001</v>
      </c>
    </row>
    <row r="70" spans="2:18" x14ac:dyDescent="0.3">
      <c r="B70" s="265"/>
      <c r="C70" s="2" t="s">
        <v>77</v>
      </c>
      <c r="E70" s="30">
        <f>'1c) Unintegrated - Core ++'!H128</f>
        <v>113</v>
      </c>
      <c r="F70" s="31">
        <v>0.11</v>
      </c>
      <c r="G70" s="31">
        <v>0.35</v>
      </c>
      <c r="H70" s="31">
        <v>0.05</v>
      </c>
      <c r="I70" s="32">
        <f t="shared" si="9"/>
        <v>170.63</v>
      </c>
    </row>
    <row r="71" spans="2:18" x14ac:dyDescent="0.3">
      <c r="B71" s="265"/>
      <c r="C71" s="2" t="s">
        <v>43</v>
      </c>
      <c r="E71" s="30">
        <f>'1c) Unintegrated - Core ++'!H139</f>
        <v>108</v>
      </c>
      <c r="F71" s="31">
        <v>0.11</v>
      </c>
      <c r="G71" s="31">
        <v>0.25</v>
      </c>
      <c r="H71" s="31">
        <v>0.05</v>
      </c>
      <c r="I71" s="32">
        <f t="shared" si="9"/>
        <v>152.28</v>
      </c>
    </row>
    <row r="72" spans="2:18" x14ac:dyDescent="0.3">
      <c r="B72" s="266"/>
      <c r="C72" s="25" t="s">
        <v>46</v>
      </c>
      <c r="D72" s="25"/>
      <c r="E72" s="61">
        <f>'1c) Unintegrated - Core ++'!H155</f>
        <v>302.2</v>
      </c>
      <c r="F72" s="53">
        <v>0.11</v>
      </c>
      <c r="G72" s="53">
        <v>0.25</v>
      </c>
      <c r="H72" s="53">
        <v>0.05</v>
      </c>
      <c r="I72" s="54">
        <f t="shared" si="9"/>
        <v>426.10199999999998</v>
      </c>
    </row>
    <row r="73" spans="2:18" x14ac:dyDescent="0.3">
      <c r="B73" s="264" t="s">
        <v>68</v>
      </c>
      <c r="C73" s="33" t="s">
        <v>69</v>
      </c>
      <c r="D73" s="33"/>
      <c r="E73" s="24">
        <f>'1c) Unintegrated - Core ++'!H165</f>
        <v>65</v>
      </c>
      <c r="F73" s="31">
        <v>0.11</v>
      </c>
      <c r="G73" s="35">
        <v>0.25</v>
      </c>
      <c r="H73" s="35">
        <v>0.05</v>
      </c>
      <c r="I73" s="36">
        <f t="shared" si="9"/>
        <v>91.65</v>
      </c>
    </row>
    <row r="74" spans="2:18" x14ac:dyDescent="0.3">
      <c r="B74" s="265"/>
      <c r="C74" s="2" t="s">
        <v>70</v>
      </c>
      <c r="E74" s="62">
        <f>'1c) Unintegrated - Core ++'!H171</f>
        <v>46.5</v>
      </c>
      <c r="F74" s="31">
        <v>0.11</v>
      </c>
      <c r="G74" s="31">
        <v>0.25</v>
      </c>
      <c r="H74" s="31">
        <v>0.05</v>
      </c>
      <c r="I74" s="32">
        <f t="shared" si="9"/>
        <v>65.564999999999998</v>
      </c>
    </row>
    <row r="75" spans="2:18" x14ac:dyDescent="0.3">
      <c r="B75" s="265"/>
      <c r="C75" s="2" t="s">
        <v>71</v>
      </c>
      <c r="E75" s="62">
        <f>'1c) Unintegrated - Core ++'!H182</f>
        <v>106.5</v>
      </c>
      <c r="F75" s="31">
        <v>0.11</v>
      </c>
      <c r="G75" s="31">
        <v>0.35</v>
      </c>
      <c r="H75" s="31">
        <v>0.05</v>
      </c>
      <c r="I75" s="32">
        <f t="shared" si="9"/>
        <v>160.815</v>
      </c>
    </row>
    <row r="76" spans="2:18" x14ac:dyDescent="0.3">
      <c r="B76" s="265"/>
      <c r="C76" s="2" t="s">
        <v>72</v>
      </c>
      <c r="E76" s="62">
        <f>'1c) Unintegrated - Core ++'!H192</f>
        <v>154</v>
      </c>
      <c r="F76" s="31">
        <v>0.11</v>
      </c>
      <c r="G76" s="31">
        <v>0.35</v>
      </c>
      <c r="H76" s="31">
        <v>0.05</v>
      </c>
      <c r="I76" s="32">
        <f t="shared" si="9"/>
        <v>232.54000000000002</v>
      </c>
    </row>
    <row r="77" spans="2:18" x14ac:dyDescent="0.3">
      <c r="B77" s="265"/>
      <c r="C77" s="2" t="s">
        <v>43</v>
      </c>
      <c r="E77" s="62">
        <f>'1c) Unintegrated - Core ++'!H204</f>
        <v>82</v>
      </c>
      <c r="F77" s="31">
        <v>0.11</v>
      </c>
      <c r="G77" s="31">
        <v>0.35</v>
      </c>
      <c r="H77" s="31">
        <v>0.05</v>
      </c>
      <c r="I77" s="32">
        <f t="shared" si="9"/>
        <v>123.82</v>
      </c>
    </row>
    <row r="78" spans="2:18" x14ac:dyDescent="0.3">
      <c r="B78" s="266"/>
      <c r="C78" s="25" t="s">
        <v>46</v>
      </c>
      <c r="D78" s="25"/>
      <c r="E78" s="61">
        <f>'1c) Unintegrated - Core ++'!H217</f>
        <v>134.30000000000001</v>
      </c>
      <c r="F78" s="53">
        <v>0.11</v>
      </c>
      <c r="G78" s="53">
        <v>0.25</v>
      </c>
      <c r="H78" s="53">
        <v>0.05</v>
      </c>
      <c r="I78" s="54">
        <f t="shared" si="9"/>
        <v>189.36300000000003</v>
      </c>
    </row>
    <row r="79" spans="2:18" x14ac:dyDescent="0.3">
      <c r="B79" s="69" t="s">
        <v>58</v>
      </c>
      <c r="C79" s="70" t="s">
        <v>59</v>
      </c>
      <c r="D79" s="70"/>
      <c r="E79" s="18">
        <f>'1c) Unintegrated - Core ++'!H222</f>
        <v>48</v>
      </c>
      <c r="F79" s="71">
        <v>0.11</v>
      </c>
      <c r="G79" s="71">
        <v>0.25</v>
      </c>
      <c r="H79" s="71">
        <v>0.05</v>
      </c>
      <c r="I79" s="72">
        <f t="shared" si="9"/>
        <v>67.680000000000007</v>
      </c>
    </row>
    <row r="80" spans="2:18" x14ac:dyDescent="0.3">
      <c r="B80" s="44"/>
      <c r="C80" s="45"/>
      <c r="D80" s="45"/>
      <c r="E80" s="45"/>
      <c r="F80" s="229"/>
      <c r="G80" s="45"/>
      <c r="H80" s="46" t="s">
        <v>47</v>
      </c>
      <c r="I80" s="47">
        <f>SUM(I57:I79)</f>
        <v>4574.4785000000011</v>
      </c>
    </row>
    <row r="81" spans="2:9" ht="12.9" x14ac:dyDescent="0.35">
      <c r="B81" s="48" t="s">
        <v>49</v>
      </c>
      <c r="G81" s="2" t="s">
        <v>50</v>
      </c>
      <c r="H81" s="31">
        <v>0.12</v>
      </c>
      <c r="I81" s="32">
        <f>I80*H81</f>
        <v>548.93742000000009</v>
      </c>
    </row>
    <row r="82" spans="2:9" x14ac:dyDescent="0.3">
      <c r="B82" s="14"/>
      <c r="G82" s="2" t="s">
        <v>52</v>
      </c>
      <c r="H82" s="31">
        <v>0.23</v>
      </c>
      <c r="I82" s="32">
        <f>I80*H82</f>
        <v>1052.1300550000003</v>
      </c>
    </row>
    <row r="83" spans="2:9" x14ac:dyDescent="0.3">
      <c r="B83" s="49"/>
      <c r="C83" s="19"/>
      <c r="D83" s="19"/>
      <c r="E83" s="19"/>
      <c r="F83" s="19"/>
      <c r="G83" s="19"/>
      <c r="H83" s="50" t="s">
        <v>54</v>
      </c>
      <c r="I83" s="51">
        <f>SUM(I80:I82)</f>
        <v>6175.5459750000018</v>
      </c>
    </row>
  </sheetData>
  <mergeCells count="16">
    <mergeCell ref="B64:B72"/>
    <mergeCell ref="B73:B78"/>
    <mergeCell ref="O55:Q55"/>
    <mergeCell ref="O3:Q3"/>
    <mergeCell ref="F55:H55"/>
    <mergeCell ref="B59:B63"/>
    <mergeCell ref="F3:H3"/>
    <mergeCell ref="B6:B10"/>
    <mergeCell ref="B11:B16"/>
    <mergeCell ref="F25:H25"/>
    <mergeCell ref="B27:B28"/>
    <mergeCell ref="B29:B33"/>
    <mergeCell ref="B34:B41"/>
    <mergeCell ref="B42:B47"/>
    <mergeCell ref="O25:Q25"/>
    <mergeCell ref="B57:B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F8985-8CED-4065-A3F8-32145122F01F}">
  <sheetPr>
    <tabColor theme="9" tint="0.79998168889431442"/>
  </sheetPr>
  <dimension ref="B2:I124"/>
  <sheetViews>
    <sheetView topLeftCell="A51" zoomScale="70" zoomScaleNormal="70" workbookViewId="0">
      <selection activeCell="J20" sqref="J20"/>
    </sheetView>
  </sheetViews>
  <sheetFormatPr defaultColWidth="8.53515625" defaultRowHeight="12.45" x14ac:dyDescent="0.3"/>
  <cols>
    <col min="1" max="1" width="3" style="2" customWidth="1"/>
    <col min="2" max="2" width="10.69140625" style="2" customWidth="1"/>
    <col min="3" max="3" width="41.53515625" style="2" customWidth="1"/>
    <col min="4" max="4" width="36.69140625" style="2" customWidth="1"/>
    <col min="5" max="5" width="53.4609375" style="2" customWidth="1"/>
    <col min="6" max="6" width="11.15234375" style="2" customWidth="1"/>
    <col min="7" max="7" width="12.69140625" style="2" customWidth="1"/>
    <col min="8" max="8" width="13.4609375" style="2" customWidth="1"/>
    <col min="9" max="9" width="95.15234375" style="2" customWidth="1"/>
    <col min="10" max="10" width="54.15234375" style="2" customWidth="1"/>
    <col min="11" max="11" width="20.84375" style="2" customWidth="1"/>
    <col min="12" max="12" width="37.84375" style="2" customWidth="1"/>
    <col min="13" max="13" width="32.15234375" style="2" bestFit="1" customWidth="1"/>
    <col min="14" max="14" width="48.53515625" style="2" bestFit="1" customWidth="1"/>
    <col min="15" max="15" width="11.53515625" style="2" customWidth="1"/>
    <col min="16" max="17" width="8.53515625" style="2"/>
    <col min="18" max="18" width="81.4609375" style="2" customWidth="1"/>
    <col min="19" max="16384" width="8.53515625" style="2"/>
  </cols>
  <sheetData>
    <row r="2" spans="2:9" ht="17.600000000000001" x14ac:dyDescent="0.4">
      <c r="B2" s="9" t="s">
        <v>78</v>
      </c>
    </row>
    <row r="4" spans="2:9" x14ac:dyDescent="0.3">
      <c r="B4" s="147"/>
      <c r="C4" s="2" t="s">
        <v>79</v>
      </c>
    </row>
    <row r="6" spans="2:9" ht="13.75" x14ac:dyDescent="0.3">
      <c r="B6" s="151" t="s">
        <v>80</v>
      </c>
      <c r="C6" s="28" t="s">
        <v>30</v>
      </c>
      <c r="D6" s="23" t="s">
        <v>31</v>
      </c>
      <c r="E6" s="23" t="s">
        <v>81</v>
      </c>
      <c r="F6" s="23" t="s">
        <v>82</v>
      </c>
      <c r="G6" s="23" t="s">
        <v>83</v>
      </c>
      <c r="H6" s="23" t="s">
        <v>84</v>
      </c>
      <c r="I6" s="29" t="s">
        <v>85</v>
      </c>
    </row>
    <row r="7" spans="2:9" x14ac:dyDescent="0.3">
      <c r="B7" s="119"/>
      <c r="C7" s="129" t="s">
        <v>38</v>
      </c>
      <c r="D7" s="16"/>
      <c r="E7" s="16"/>
      <c r="F7" s="16"/>
      <c r="G7" s="16"/>
      <c r="H7" s="16"/>
      <c r="I7" s="17"/>
    </row>
    <row r="8" spans="2:9" x14ac:dyDescent="0.3">
      <c r="B8" s="279" t="s">
        <v>86</v>
      </c>
      <c r="C8" s="14" t="s">
        <v>38</v>
      </c>
      <c r="D8" s="2" t="s">
        <v>39</v>
      </c>
      <c r="E8" s="2" t="s">
        <v>87</v>
      </c>
      <c r="F8" s="2">
        <v>1</v>
      </c>
      <c r="G8" s="2">
        <f>VLOOKUP(E8,'Standard rooms list'!$B$3:$C$58,2,FALSE)</f>
        <v>6</v>
      </c>
      <c r="H8" s="2">
        <f>F8*G8</f>
        <v>6</v>
      </c>
      <c r="I8" s="15"/>
    </row>
    <row r="9" spans="2:9" x14ac:dyDescent="0.3">
      <c r="B9" s="280"/>
      <c r="C9" s="14" t="s">
        <v>38</v>
      </c>
      <c r="D9" s="2" t="s">
        <v>39</v>
      </c>
      <c r="E9" s="2" t="s">
        <v>88</v>
      </c>
      <c r="F9" s="2">
        <v>0</v>
      </c>
      <c r="G9" s="2">
        <f>VLOOKUP(E9,'Standard rooms list'!$B$3:$C$58,2,FALSE)</f>
        <v>8</v>
      </c>
      <c r="H9" s="2">
        <f>F9*G9</f>
        <v>0</v>
      </c>
      <c r="I9" s="15" t="s">
        <v>89</v>
      </c>
    </row>
    <row r="10" spans="2:9" x14ac:dyDescent="0.3">
      <c r="B10" s="280"/>
      <c r="C10" s="14" t="s">
        <v>38</v>
      </c>
      <c r="D10" s="2" t="s">
        <v>39</v>
      </c>
      <c r="E10" s="2" t="s">
        <v>90</v>
      </c>
      <c r="F10" s="2">
        <v>1</v>
      </c>
      <c r="G10" s="2">
        <f>VLOOKUP(E10,'Standard rooms list'!$B$3:$C$58,2,FALSE)</f>
        <v>12</v>
      </c>
      <c r="H10" s="2">
        <f>F10*G10</f>
        <v>12</v>
      </c>
      <c r="I10" s="15"/>
    </row>
    <row r="11" spans="2:9" x14ac:dyDescent="0.3">
      <c r="B11" s="280"/>
      <c r="C11" s="14" t="s">
        <v>38</v>
      </c>
      <c r="D11" s="2" t="s">
        <v>39</v>
      </c>
      <c r="E11" s="2" t="s">
        <v>91</v>
      </c>
      <c r="F11" s="2">
        <v>1</v>
      </c>
      <c r="G11" s="2">
        <f>VLOOKUP(E11,'Standard rooms list'!$B$3:$C$58,2,FALSE)</f>
        <v>5</v>
      </c>
      <c r="H11" s="2">
        <f t="shared" ref="H11:H16" si="0">F11*G11</f>
        <v>5</v>
      </c>
      <c r="I11" s="15"/>
    </row>
    <row r="12" spans="2:9" x14ac:dyDescent="0.3">
      <c r="B12" s="280"/>
      <c r="C12" s="14" t="s">
        <v>38</v>
      </c>
      <c r="D12" s="2" t="s">
        <v>39</v>
      </c>
      <c r="E12" s="2" t="s">
        <v>92</v>
      </c>
      <c r="F12" s="2">
        <v>1</v>
      </c>
      <c r="G12" s="2">
        <f>VLOOKUP(E12,'Standard rooms list'!$B$3:$C$58,2,FALSE)</f>
        <v>5.5</v>
      </c>
      <c r="H12" s="2">
        <f t="shared" si="0"/>
        <v>5.5</v>
      </c>
      <c r="I12" s="15"/>
    </row>
    <row r="13" spans="2:9" x14ac:dyDescent="0.3">
      <c r="B13" s="280"/>
      <c r="C13" s="14" t="s">
        <v>38</v>
      </c>
      <c r="D13" s="2" t="s">
        <v>39</v>
      </c>
      <c r="E13" s="2" t="s">
        <v>93</v>
      </c>
      <c r="F13" s="2">
        <v>0</v>
      </c>
      <c r="G13" s="2">
        <f>VLOOKUP(E13,'Standard rooms list'!$B$3:$C$100,2,FALSE)</f>
        <v>8</v>
      </c>
      <c r="H13" s="2">
        <f t="shared" si="0"/>
        <v>0</v>
      </c>
      <c r="I13" s="15" t="s">
        <v>94</v>
      </c>
    </row>
    <row r="14" spans="2:9" x14ac:dyDescent="0.3">
      <c r="B14" s="280"/>
      <c r="C14" s="14" t="s">
        <v>38</v>
      </c>
      <c r="D14" s="2" t="s">
        <v>39</v>
      </c>
      <c r="E14" s="2" t="s">
        <v>95</v>
      </c>
      <c r="F14" s="2">
        <v>1</v>
      </c>
      <c r="G14" s="2">
        <f>VLOOKUP(E14,'Standard rooms list'!$B$3:$C$58,2,FALSE)</f>
        <v>16</v>
      </c>
      <c r="H14" s="2">
        <f t="shared" si="0"/>
        <v>16</v>
      </c>
      <c r="I14" s="15"/>
    </row>
    <row r="15" spans="2:9" x14ac:dyDescent="0.3">
      <c r="B15" s="280"/>
      <c r="C15" s="14" t="s">
        <v>38</v>
      </c>
      <c r="D15" s="2" t="s">
        <v>39</v>
      </c>
      <c r="E15" s="2" t="s">
        <v>96</v>
      </c>
      <c r="F15" s="2">
        <v>1</v>
      </c>
      <c r="G15" s="2">
        <f>VLOOKUP(E15,'Standard rooms list'!$B$3:$C$58,2,FALSE)</f>
        <v>10</v>
      </c>
      <c r="H15" s="2">
        <f t="shared" si="0"/>
        <v>10</v>
      </c>
      <c r="I15" s="15" t="s">
        <v>97</v>
      </c>
    </row>
    <row r="16" spans="2:9" x14ac:dyDescent="0.3">
      <c r="B16" s="281"/>
      <c r="C16" s="14" t="s">
        <v>38</v>
      </c>
      <c r="D16" s="2" t="s">
        <v>39</v>
      </c>
      <c r="E16" s="2" t="s">
        <v>98</v>
      </c>
      <c r="F16" s="2">
        <v>1</v>
      </c>
      <c r="G16" s="2">
        <f>VLOOKUP(E16,'Standard rooms list'!$B$3:$C$58,2,FALSE)</f>
        <v>4.5</v>
      </c>
      <c r="H16" s="2">
        <f t="shared" si="0"/>
        <v>4.5</v>
      </c>
      <c r="I16" s="15" t="s">
        <v>99</v>
      </c>
    </row>
    <row r="17" spans="2:9" s="27" customFormat="1" x14ac:dyDescent="0.3">
      <c r="B17" s="130"/>
      <c r="C17" s="126"/>
      <c r="D17" s="126"/>
      <c r="E17" s="126"/>
      <c r="F17" s="126"/>
      <c r="G17" s="126" t="s">
        <v>47</v>
      </c>
      <c r="H17" s="126">
        <f>SUM(H8:H16)</f>
        <v>59</v>
      </c>
      <c r="I17" s="131"/>
    </row>
    <row r="18" spans="2:9" x14ac:dyDescent="0.3">
      <c r="B18" s="49"/>
      <c r="C18" s="129" t="s">
        <v>100</v>
      </c>
      <c r="D18" s="19"/>
      <c r="E18" s="19"/>
      <c r="F18" s="19"/>
      <c r="G18" s="19"/>
      <c r="H18" s="19"/>
      <c r="I18" s="118"/>
    </row>
    <row r="19" spans="2:9" x14ac:dyDescent="0.3">
      <c r="B19" s="279" t="s">
        <v>86</v>
      </c>
      <c r="C19" s="14" t="s">
        <v>100</v>
      </c>
      <c r="D19" s="2" t="s">
        <v>39</v>
      </c>
      <c r="E19" s="2" t="s">
        <v>101</v>
      </c>
      <c r="F19" s="2">
        <f>((SUM(F25,F27,F28,F29,F30)*2)+(F31*8))</f>
        <v>78</v>
      </c>
      <c r="G19" s="2">
        <f>VLOOKUP(E19,'Standard rooms list'!$B$3:$C$58,2,FALSE)</f>
        <v>2</v>
      </c>
      <c r="H19" s="2">
        <f>F19*G19</f>
        <v>156</v>
      </c>
      <c r="I19" s="15" t="s">
        <v>102</v>
      </c>
    </row>
    <row r="20" spans="2:9" x14ac:dyDescent="0.3">
      <c r="B20" s="280"/>
      <c r="C20" s="14" t="s">
        <v>100</v>
      </c>
      <c r="D20" s="2" t="s">
        <v>39</v>
      </c>
      <c r="E20" s="2" t="s">
        <v>103</v>
      </c>
      <c r="F20" s="2">
        <f>ROUNDUP(F19*0.1,0)</f>
        <v>8</v>
      </c>
      <c r="G20" s="2">
        <f>VLOOKUP(E20,'Standard rooms list'!$B$3:$C$58,2,FALSE)</f>
        <v>2</v>
      </c>
      <c r="H20" s="2">
        <f t="shared" ref="H20:H24" si="1">F20*G20</f>
        <v>16</v>
      </c>
      <c r="I20" s="15" t="s">
        <v>104</v>
      </c>
    </row>
    <row r="21" spans="2:9" x14ac:dyDescent="0.3">
      <c r="B21" s="280"/>
      <c r="C21" s="14" t="s">
        <v>100</v>
      </c>
      <c r="D21" s="2" t="s">
        <v>39</v>
      </c>
      <c r="E21" s="2" t="s">
        <v>105</v>
      </c>
      <c r="F21" s="2">
        <v>3</v>
      </c>
      <c r="G21" s="2">
        <f>VLOOKUP(E21,'Standard rooms list'!$B$3:$C$58,2,FALSE)</f>
        <v>5.5</v>
      </c>
      <c r="H21" s="2">
        <f t="shared" si="1"/>
        <v>16.5</v>
      </c>
      <c r="I21" s="15" t="s">
        <v>106</v>
      </c>
    </row>
    <row r="22" spans="2:9" x14ac:dyDescent="0.3">
      <c r="B22" s="280"/>
      <c r="C22" s="14" t="s">
        <v>100</v>
      </c>
      <c r="D22" s="2" t="s">
        <v>39</v>
      </c>
      <c r="E22" s="60" t="s">
        <v>107</v>
      </c>
      <c r="F22" s="2">
        <v>3</v>
      </c>
      <c r="G22" s="2">
        <f>VLOOKUP(E22,'Standard rooms list'!$B$3:$C$58,2,FALSE)</f>
        <v>2.5</v>
      </c>
      <c r="H22" s="2">
        <f t="shared" si="1"/>
        <v>7.5</v>
      </c>
      <c r="I22" s="15" t="s">
        <v>108</v>
      </c>
    </row>
    <row r="23" spans="2:9" x14ac:dyDescent="0.3">
      <c r="B23" s="280"/>
      <c r="C23" s="14" t="s">
        <v>100</v>
      </c>
      <c r="D23" s="2" t="s">
        <v>39</v>
      </c>
      <c r="E23" s="2" t="s">
        <v>109</v>
      </c>
      <c r="F23" s="2">
        <v>4</v>
      </c>
      <c r="G23" s="2">
        <f>VLOOKUP(E23,'Standard rooms list'!$B$3:$C$58,2,FALSE)</f>
        <v>2.5</v>
      </c>
      <c r="H23" s="2">
        <f t="shared" si="1"/>
        <v>10</v>
      </c>
      <c r="I23" s="15" t="s">
        <v>110</v>
      </c>
    </row>
    <row r="24" spans="2:9" x14ac:dyDescent="0.3">
      <c r="B24" s="280"/>
      <c r="C24" s="14" t="s">
        <v>100</v>
      </c>
      <c r="D24" s="2" t="s">
        <v>39</v>
      </c>
      <c r="E24" s="2" t="s">
        <v>98</v>
      </c>
      <c r="F24" s="2">
        <v>2</v>
      </c>
      <c r="G24" s="2">
        <f>VLOOKUP(E24,'Standard rooms list'!$B$3:$C$58,2,FALSE)</f>
        <v>4.5</v>
      </c>
      <c r="H24" s="2">
        <f t="shared" si="1"/>
        <v>9</v>
      </c>
      <c r="I24" s="15" t="s">
        <v>110</v>
      </c>
    </row>
    <row r="25" spans="2:9" x14ac:dyDescent="0.3">
      <c r="B25" s="281"/>
      <c r="C25" s="80" t="s">
        <v>100</v>
      </c>
      <c r="D25" s="60" t="s">
        <v>39</v>
      </c>
      <c r="E25" s="152" t="s">
        <v>111</v>
      </c>
      <c r="F25" s="152">
        <v>2</v>
      </c>
      <c r="G25" s="60">
        <f>VLOOKUP(E25,'Standard rooms list'!$B$3:$C$58,2,FALSE)</f>
        <v>8</v>
      </c>
      <c r="H25" s="60">
        <f>G25*F25</f>
        <v>16</v>
      </c>
      <c r="I25" s="81"/>
    </row>
    <row r="26" spans="2:9" s="27" customFormat="1" x14ac:dyDescent="0.3">
      <c r="B26" s="130"/>
      <c r="C26" s="126"/>
      <c r="D26" s="126"/>
      <c r="E26" s="126"/>
      <c r="F26" s="126"/>
      <c r="G26" s="126" t="s">
        <v>47</v>
      </c>
      <c r="H26" s="126">
        <f>SUM(H19:H25)</f>
        <v>231</v>
      </c>
      <c r="I26" s="131"/>
    </row>
    <row r="27" spans="2:9" x14ac:dyDescent="0.3">
      <c r="B27" s="279" t="s">
        <v>86</v>
      </c>
      <c r="C27" s="14" t="s">
        <v>100</v>
      </c>
      <c r="D27" s="2" t="s">
        <v>112</v>
      </c>
      <c r="E27" s="146" t="s">
        <v>113</v>
      </c>
      <c r="F27" s="146">
        <v>16</v>
      </c>
      <c r="G27" s="2">
        <f>VLOOKUP(E27,'Standard rooms list'!$B$3:$C$58,2,FALSE)</f>
        <v>13.5</v>
      </c>
      <c r="H27" s="2">
        <f t="shared" ref="H27:H34" si="2">G27*F27</f>
        <v>216</v>
      </c>
      <c r="I27" s="15"/>
    </row>
    <row r="28" spans="2:9" x14ac:dyDescent="0.3">
      <c r="B28" s="280"/>
      <c r="C28" s="14" t="s">
        <v>100</v>
      </c>
      <c r="D28" s="2" t="s">
        <v>112</v>
      </c>
      <c r="E28" s="146" t="s">
        <v>114</v>
      </c>
      <c r="F28" s="146">
        <v>4</v>
      </c>
      <c r="G28" s="2">
        <f>VLOOKUP(E28,'Standard rooms list'!$B$3:$C$58,2,FALSE)</f>
        <v>16</v>
      </c>
      <c r="H28" s="2">
        <f t="shared" si="2"/>
        <v>64</v>
      </c>
      <c r="I28" s="15"/>
    </row>
    <row r="29" spans="2:9" x14ac:dyDescent="0.3">
      <c r="B29" s="280"/>
      <c r="C29" s="14" t="s">
        <v>100</v>
      </c>
      <c r="D29" s="2" t="s">
        <v>112</v>
      </c>
      <c r="E29" s="146" t="s">
        <v>115</v>
      </c>
      <c r="F29" s="146">
        <v>4</v>
      </c>
      <c r="G29" s="2">
        <f>VLOOKUP(E29,'Standard rooms list'!$B$3:$C$58,2,FALSE)</f>
        <v>16</v>
      </c>
      <c r="H29" s="2">
        <f t="shared" si="2"/>
        <v>64</v>
      </c>
      <c r="I29" s="15" t="s">
        <v>116</v>
      </c>
    </row>
    <row r="30" spans="2:9" x14ac:dyDescent="0.3">
      <c r="B30" s="280"/>
      <c r="C30" s="14" t="s">
        <v>100</v>
      </c>
      <c r="D30" s="2" t="s">
        <v>112</v>
      </c>
      <c r="E30" s="146" t="s">
        <v>117</v>
      </c>
      <c r="F30" s="146">
        <v>1</v>
      </c>
      <c r="G30" s="2">
        <f>VLOOKUP(E30,'Standard rooms list'!$B$3:$C$58,2,FALSE)</f>
        <v>20</v>
      </c>
      <c r="H30" s="2">
        <f t="shared" si="2"/>
        <v>20</v>
      </c>
      <c r="I30" s="15"/>
    </row>
    <row r="31" spans="2:9" x14ac:dyDescent="0.3">
      <c r="B31" s="280"/>
      <c r="C31" s="14" t="s">
        <v>100</v>
      </c>
      <c r="D31" s="2" t="s">
        <v>112</v>
      </c>
      <c r="E31" s="146" t="s">
        <v>118</v>
      </c>
      <c r="F31" s="146">
        <v>3</v>
      </c>
      <c r="G31" s="2">
        <f>VLOOKUP(E31,'Standard rooms list'!$B$3:$C$58,2,FALSE)</f>
        <v>32.5</v>
      </c>
      <c r="H31" s="2">
        <f t="shared" si="2"/>
        <v>97.5</v>
      </c>
      <c r="I31" s="15" t="s">
        <v>119</v>
      </c>
    </row>
    <row r="32" spans="2:9" x14ac:dyDescent="0.3">
      <c r="B32" s="280"/>
      <c r="C32" s="14" t="s">
        <v>100</v>
      </c>
      <c r="D32" s="2" t="s">
        <v>112</v>
      </c>
      <c r="E32" s="2" t="s">
        <v>120</v>
      </c>
      <c r="F32" s="2">
        <v>1.5</v>
      </c>
      <c r="G32" s="2">
        <f>VLOOKUP(E32,'Standard rooms list'!$B$3:$C$58,2,FALSE)</f>
        <v>5</v>
      </c>
      <c r="H32" s="2">
        <f t="shared" si="2"/>
        <v>7.5</v>
      </c>
      <c r="I32" s="15" t="s">
        <v>121</v>
      </c>
    </row>
    <row r="33" spans="2:9" x14ac:dyDescent="0.3">
      <c r="B33" s="280"/>
      <c r="C33" s="14" t="s">
        <v>100</v>
      </c>
      <c r="D33" s="2" t="s">
        <v>112</v>
      </c>
      <c r="E33" s="2" t="s">
        <v>122</v>
      </c>
      <c r="F33" s="2">
        <v>1</v>
      </c>
      <c r="G33" s="2">
        <f>VLOOKUP(E33,'Standard rooms list'!$B$3:$C$58,2,FALSE)</f>
        <v>8</v>
      </c>
      <c r="H33" s="2">
        <f t="shared" si="2"/>
        <v>8</v>
      </c>
      <c r="I33" s="15" t="s">
        <v>123</v>
      </c>
    </row>
    <row r="34" spans="2:9" x14ac:dyDescent="0.3">
      <c r="B34" s="281"/>
      <c r="C34" s="14" t="s">
        <v>100</v>
      </c>
      <c r="D34" s="2" t="s">
        <v>112</v>
      </c>
      <c r="E34" s="2" t="s">
        <v>124</v>
      </c>
      <c r="F34" s="2">
        <v>2</v>
      </c>
      <c r="G34" s="2">
        <f>VLOOKUP(E34,'Standard rooms list'!$B$3:$C$58,2,FALSE)</f>
        <v>4.5</v>
      </c>
      <c r="H34" s="2">
        <f t="shared" si="2"/>
        <v>9</v>
      </c>
      <c r="I34" s="15"/>
    </row>
    <row r="35" spans="2:9" s="27" customFormat="1" x14ac:dyDescent="0.3">
      <c r="B35" s="130"/>
      <c r="C35" s="126"/>
      <c r="D35" s="126"/>
      <c r="E35" s="126"/>
      <c r="F35" s="126"/>
      <c r="G35" s="126" t="s">
        <v>47</v>
      </c>
      <c r="H35" s="126">
        <f>SUM(H27:H34)</f>
        <v>486</v>
      </c>
      <c r="I35" s="131"/>
    </row>
    <row r="36" spans="2:9" x14ac:dyDescent="0.3">
      <c r="B36" s="279" t="s">
        <v>86</v>
      </c>
      <c r="C36" s="14" t="s">
        <v>100</v>
      </c>
      <c r="D36" s="2" t="s">
        <v>125</v>
      </c>
      <c r="E36" s="2" t="s">
        <v>126</v>
      </c>
      <c r="F36" s="2">
        <v>2</v>
      </c>
      <c r="G36" s="2">
        <f>VLOOKUP(E36,'Standard rooms list'!$B$3:$C$68,2,FALSE)</f>
        <v>8</v>
      </c>
      <c r="H36" s="2">
        <f t="shared" ref="H36:H44" si="3">G36*F36</f>
        <v>16</v>
      </c>
      <c r="I36" s="15" t="s">
        <v>127</v>
      </c>
    </row>
    <row r="37" spans="2:9" x14ac:dyDescent="0.3">
      <c r="B37" s="280"/>
      <c r="C37" s="14" t="s">
        <v>100</v>
      </c>
      <c r="D37" s="2" t="s">
        <v>125</v>
      </c>
      <c r="E37" s="2" t="s">
        <v>128</v>
      </c>
      <c r="F37" s="2">
        <v>2</v>
      </c>
      <c r="G37" s="2">
        <f>VLOOKUP(E37,'Standard rooms list'!$B$3:$C$68,2,FALSE)</f>
        <v>8</v>
      </c>
      <c r="H37" s="2">
        <f t="shared" si="3"/>
        <v>16</v>
      </c>
      <c r="I37" s="15" t="s">
        <v>127</v>
      </c>
    </row>
    <row r="38" spans="2:9" x14ac:dyDescent="0.3">
      <c r="B38" s="280"/>
      <c r="C38" s="14" t="s">
        <v>100</v>
      </c>
      <c r="D38" s="2" t="s">
        <v>125</v>
      </c>
      <c r="E38" s="2" t="s">
        <v>129</v>
      </c>
      <c r="F38" s="2">
        <v>1</v>
      </c>
      <c r="G38" s="2">
        <f>VLOOKUP(E38,'Standard rooms list'!$B$3:$C$68,2,FALSE)</f>
        <v>8</v>
      </c>
      <c r="H38" s="2">
        <f t="shared" si="3"/>
        <v>8</v>
      </c>
      <c r="I38" s="15"/>
    </row>
    <row r="39" spans="2:9" x14ac:dyDescent="0.3">
      <c r="B39" s="280"/>
      <c r="C39" s="80" t="s">
        <v>100</v>
      </c>
      <c r="D39" s="60" t="s">
        <v>125</v>
      </c>
      <c r="E39" s="60" t="s">
        <v>130</v>
      </c>
      <c r="F39" s="60">
        <v>1</v>
      </c>
      <c r="G39" s="60">
        <f>VLOOKUP(E39,'Standard rooms list'!$B$3:$C$68,2,FALSE)</f>
        <v>2</v>
      </c>
      <c r="H39" s="60">
        <f t="shared" si="3"/>
        <v>2</v>
      </c>
      <c r="I39" s="81"/>
    </row>
    <row r="40" spans="2:9" x14ac:dyDescent="0.3">
      <c r="B40" s="280"/>
      <c r="C40" s="14" t="s">
        <v>100</v>
      </c>
      <c r="D40" s="2" t="s">
        <v>125</v>
      </c>
      <c r="E40" s="2" t="s">
        <v>131</v>
      </c>
      <c r="F40" s="2">
        <v>1</v>
      </c>
      <c r="G40" s="2">
        <f>VLOOKUP(E40,'Standard rooms list'!$B$3:$C$68,2,FALSE)</f>
        <v>8</v>
      </c>
      <c r="H40" s="2">
        <f t="shared" si="3"/>
        <v>8</v>
      </c>
      <c r="I40" s="15" t="s">
        <v>132</v>
      </c>
    </row>
    <row r="41" spans="2:9" x14ac:dyDescent="0.3">
      <c r="B41" s="280"/>
      <c r="C41" s="14" t="s">
        <v>100</v>
      </c>
      <c r="D41" s="2" t="s">
        <v>125</v>
      </c>
      <c r="E41" s="2" t="s">
        <v>133</v>
      </c>
      <c r="F41" s="2">
        <v>1</v>
      </c>
      <c r="G41" s="2">
        <f>VLOOKUP(E41,'Standard rooms list'!$B$3:$C$68,2,FALSE)</f>
        <v>2</v>
      </c>
      <c r="H41" s="2">
        <f t="shared" si="3"/>
        <v>2</v>
      </c>
      <c r="I41" s="15"/>
    </row>
    <row r="42" spans="2:9" x14ac:dyDescent="0.3">
      <c r="B42" s="280"/>
      <c r="C42" s="14" t="s">
        <v>100</v>
      </c>
      <c r="D42" s="2" t="s">
        <v>125</v>
      </c>
      <c r="E42" s="2" t="s">
        <v>96</v>
      </c>
      <c r="F42" s="2">
        <v>1</v>
      </c>
      <c r="G42" s="2">
        <f>VLOOKUP(E42,'Standard rooms list'!$B$3:$C$68,2,FALSE)</f>
        <v>10</v>
      </c>
      <c r="H42" s="2">
        <f t="shared" si="3"/>
        <v>10</v>
      </c>
      <c r="I42" s="15" t="s">
        <v>134</v>
      </c>
    </row>
    <row r="43" spans="2:9" x14ac:dyDescent="0.3">
      <c r="B43" s="280"/>
      <c r="C43" s="14" t="s">
        <v>100</v>
      </c>
      <c r="D43" s="2" t="s">
        <v>125</v>
      </c>
      <c r="E43" s="2" t="s">
        <v>135</v>
      </c>
      <c r="F43" s="2">
        <v>1</v>
      </c>
      <c r="G43" s="2">
        <f>VLOOKUP(E43,'Standard rooms list'!$B$3:$C$150,2,FALSE)</f>
        <v>8</v>
      </c>
      <c r="H43" s="2">
        <f>G43*F43</f>
        <v>8</v>
      </c>
      <c r="I43" s="15"/>
    </row>
    <row r="44" spans="2:9" x14ac:dyDescent="0.3">
      <c r="B44" s="281"/>
      <c r="C44" s="14" t="s">
        <v>100</v>
      </c>
      <c r="D44" s="2" t="s">
        <v>125</v>
      </c>
      <c r="E44" s="2" t="s">
        <v>136</v>
      </c>
      <c r="F44" s="2">
        <v>1</v>
      </c>
      <c r="G44" s="2">
        <f>VLOOKUP(E44,'Standard rooms list'!$B$3:$C$68,2,FALSE)</f>
        <v>2</v>
      </c>
      <c r="H44" s="2">
        <f t="shared" si="3"/>
        <v>2</v>
      </c>
      <c r="I44" s="15"/>
    </row>
    <row r="45" spans="2:9" s="27" customFormat="1" x14ac:dyDescent="0.3">
      <c r="B45" s="117"/>
      <c r="C45" s="126"/>
      <c r="D45" s="126"/>
      <c r="E45" s="126"/>
      <c r="F45" s="126"/>
      <c r="G45" s="126" t="s">
        <v>47</v>
      </c>
      <c r="H45" s="126">
        <f>SUM(H36:H44)</f>
        <v>72</v>
      </c>
      <c r="I45" s="131"/>
    </row>
    <row r="46" spans="2:9" x14ac:dyDescent="0.3">
      <c r="B46" s="279" t="s">
        <v>86</v>
      </c>
      <c r="C46" s="14" t="s">
        <v>100</v>
      </c>
      <c r="D46" s="2" t="s">
        <v>45</v>
      </c>
      <c r="E46" s="2" t="s">
        <v>137</v>
      </c>
      <c r="F46" s="2">
        <v>1</v>
      </c>
      <c r="G46" s="2">
        <f>VLOOKUP(E46,'Standard rooms list'!$B$3:$C$100,2,FALSE)</f>
        <v>4.5</v>
      </c>
      <c r="H46" s="2">
        <f>F46*G46</f>
        <v>4.5</v>
      </c>
      <c r="I46" s="15"/>
    </row>
    <row r="47" spans="2:9" x14ac:dyDescent="0.3">
      <c r="B47" s="280"/>
      <c r="C47" s="14" t="s">
        <v>100</v>
      </c>
      <c r="D47" s="2" t="s">
        <v>45</v>
      </c>
      <c r="E47" s="2" t="s">
        <v>138</v>
      </c>
      <c r="F47" s="2">
        <v>1</v>
      </c>
      <c r="G47" s="2">
        <f>VLOOKUP(E47,'Standard rooms list'!$B$3:$C$69,2,FALSE)</f>
        <v>6</v>
      </c>
      <c r="H47" s="2">
        <f t="shared" ref="H47:H49" si="4">F47*G47</f>
        <v>6</v>
      </c>
      <c r="I47" s="15"/>
    </row>
    <row r="48" spans="2:9" x14ac:dyDescent="0.3">
      <c r="B48" s="280"/>
      <c r="C48" s="14" t="s">
        <v>100</v>
      </c>
      <c r="D48" s="2" t="s">
        <v>45</v>
      </c>
      <c r="E48" s="2" t="s">
        <v>139</v>
      </c>
      <c r="F48" s="2">
        <v>1</v>
      </c>
      <c r="G48" s="2">
        <f>VLOOKUP(E48,'Standard rooms list'!$B$3:$C$69,2,FALSE)</f>
        <v>4</v>
      </c>
      <c r="H48" s="2">
        <f t="shared" si="4"/>
        <v>4</v>
      </c>
      <c r="I48" s="15"/>
    </row>
    <row r="49" spans="2:9" x14ac:dyDescent="0.3">
      <c r="B49" s="281"/>
      <c r="C49" s="14" t="s">
        <v>100</v>
      </c>
      <c r="D49" s="2" t="s">
        <v>45</v>
      </c>
      <c r="E49" s="2" t="s">
        <v>101</v>
      </c>
      <c r="F49" s="2">
        <v>6</v>
      </c>
      <c r="G49" s="2">
        <f>VLOOKUP(E49,'Standard rooms list'!$B$3:$C$69,2,FALSE)</f>
        <v>2</v>
      </c>
      <c r="H49" s="2">
        <f t="shared" si="4"/>
        <v>12</v>
      </c>
      <c r="I49" s="15"/>
    </row>
    <row r="50" spans="2:9" s="27" customFormat="1" x14ac:dyDescent="0.3">
      <c r="B50" s="117"/>
      <c r="C50" s="126"/>
      <c r="D50" s="126"/>
      <c r="E50" s="126"/>
      <c r="F50" s="126"/>
      <c r="G50" s="126" t="s">
        <v>47</v>
      </c>
      <c r="H50" s="126">
        <f>SUM(H46:H49)</f>
        <v>26.5</v>
      </c>
      <c r="I50" s="131"/>
    </row>
    <row r="51" spans="2:9" x14ac:dyDescent="0.3">
      <c r="B51" s="279" t="s">
        <v>86</v>
      </c>
      <c r="C51" s="14" t="s">
        <v>100</v>
      </c>
      <c r="D51" s="2" t="s">
        <v>140</v>
      </c>
      <c r="E51" s="146" t="s">
        <v>141</v>
      </c>
      <c r="F51" s="146">
        <v>3</v>
      </c>
      <c r="G51" s="2">
        <f>VLOOKUP(E51,'Standard rooms list'!$B$3:$C$68,2,FALSE)</f>
        <v>4.5999999999999996</v>
      </c>
      <c r="H51" s="2">
        <f t="shared" ref="H51:H62" si="5">G51*F51</f>
        <v>13.799999999999999</v>
      </c>
      <c r="I51" s="15" t="s">
        <v>142</v>
      </c>
    </row>
    <row r="52" spans="2:9" x14ac:dyDescent="0.3">
      <c r="B52" s="280"/>
      <c r="C52" s="14" t="s">
        <v>100</v>
      </c>
      <c r="D52" s="2" t="s">
        <v>140</v>
      </c>
      <c r="E52" s="2" t="s">
        <v>111</v>
      </c>
      <c r="F52" s="2">
        <v>1</v>
      </c>
      <c r="G52" s="2">
        <f>VLOOKUP(E52,'Standard rooms list'!$B$3:$C$68,2,FALSE)</f>
        <v>8</v>
      </c>
      <c r="H52" s="2">
        <f t="shared" si="5"/>
        <v>8</v>
      </c>
      <c r="I52" s="15"/>
    </row>
    <row r="53" spans="2:9" x14ac:dyDescent="0.3">
      <c r="B53" s="280"/>
      <c r="C53" s="14" t="s">
        <v>100</v>
      </c>
      <c r="D53" s="2" t="s">
        <v>140</v>
      </c>
      <c r="E53" s="2" t="s">
        <v>143</v>
      </c>
      <c r="F53" s="2">
        <v>3</v>
      </c>
      <c r="G53" s="2">
        <f>VLOOKUP(E53,'Standard rooms list'!$B$3:$C$68,2,FALSE)</f>
        <v>8</v>
      </c>
      <c r="H53" s="2">
        <f t="shared" si="5"/>
        <v>24</v>
      </c>
      <c r="I53" s="15" t="s">
        <v>144</v>
      </c>
    </row>
    <row r="54" spans="2:9" ht="24.9" x14ac:dyDescent="0.3">
      <c r="B54" s="280"/>
      <c r="C54" s="43" t="s">
        <v>100</v>
      </c>
      <c r="D54" s="155" t="s">
        <v>140</v>
      </c>
      <c r="E54" s="155" t="s">
        <v>145</v>
      </c>
      <c r="F54" s="156">
        <f>(SUM(F25,F27,F28,F29,F30,F31)*0.6)</f>
        <v>18</v>
      </c>
      <c r="G54" s="155">
        <f>VLOOKUP(E54,'Standard rooms list'!$B$3:$C$68,2,FALSE)</f>
        <v>5</v>
      </c>
      <c r="H54" s="155">
        <f t="shared" si="5"/>
        <v>90</v>
      </c>
      <c r="I54" s="114" t="s">
        <v>146</v>
      </c>
    </row>
    <row r="55" spans="2:9" x14ac:dyDescent="0.3">
      <c r="B55" s="280"/>
      <c r="C55" s="43" t="s">
        <v>100</v>
      </c>
      <c r="D55" s="155" t="s">
        <v>140</v>
      </c>
      <c r="E55" s="60" t="s">
        <v>147</v>
      </c>
      <c r="F55" s="156">
        <f>F54</f>
        <v>18</v>
      </c>
      <c r="G55" s="155">
        <v>0.125</v>
      </c>
      <c r="H55" s="157">
        <f t="shared" si="5"/>
        <v>2.25</v>
      </c>
      <c r="I55" s="114"/>
    </row>
    <row r="56" spans="2:9" x14ac:dyDescent="0.3">
      <c r="B56" s="280"/>
      <c r="C56" s="14" t="s">
        <v>100</v>
      </c>
      <c r="D56" s="2" t="s">
        <v>140</v>
      </c>
      <c r="E56" s="2" t="s">
        <v>148</v>
      </c>
      <c r="F56" s="2">
        <v>2</v>
      </c>
      <c r="G56" s="2">
        <f>VLOOKUP(E56,'Standard rooms list'!$B$3:$C$68,2,FALSE)</f>
        <v>2</v>
      </c>
      <c r="H56" s="2">
        <f t="shared" si="5"/>
        <v>4</v>
      </c>
      <c r="I56" s="15" t="s">
        <v>149</v>
      </c>
    </row>
    <row r="57" spans="2:9" x14ac:dyDescent="0.3">
      <c r="B57" s="280"/>
      <c r="C57" s="14" t="s">
        <v>100</v>
      </c>
      <c r="D57" s="2" t="s">
        <v>140</v>
      </c>
      <c r="E57" s="2" t="s">
        <v>150</v>
      </c>
      <c r="F57" s="2">
        <v>1</v>
      </c>
      <c r="G57" s="2">
        <f>VLOOKUP(E57,'Standard rooms list'!$B$3:$C$68,2,FALSE)</f>
        <v>4.5</v>
      </c>
      <c r="H57" s="2">
        <f t="shared" si="5"/>
        <v>4.5</v>
      </c>
      <c r="I57" s="15" t="s">
        <v>149</v>
      </c>
    </row>
    <row r="58" spans="2:9" x14ac:dyDescent="0.3">
      <c r="B58" s="280"/>
      <c r="C58" s="14" t="s">
        <v>100</v>
      </c>
      <c r="D58" s="2" t="s">
        <v>140</v>
      </c>
      <c r="E58" s="2" t="s">
        <v>151</v>
      </c>
      <c r="F58" s="2">
        <f>SUM(F25,F27,F28,F29,F30,F31)</f>
        <v>30</v>
      </c>
      <c r="G58" s="2">
        <f>VLOOKUP(E58,'Standard rooms list'!$B$3:$C$68,2,FALSE)</f>
        <v>1.8</v>
      </c>
      <c r="H58" s="2">
        <f t="shared" si="5"/>
        <v>54</v>
      </c>
      <c r="I58" s="15" t="s">
        <v>152</v>
      </c>
    </row>
    <row r="59" spans="2:9" x14ac:dyDescent="0.3">
      <c r="B59" s="280"/>
      <c r="C59" s="14" t="s">
        <v>100</v>
      </c>
      <c r="D59" s="2" t="s">
        <v>140</v>
      </c>
      <c r="E59" s="2" t="s">
        <v>153</v>
      </c>
      <c r="F59" s="2">
        <f>F58</f>
        <v>30</v>
      </c>
      <c r="G59" s="2">
        <f>VLOOKUP(E59,'Standard rooms list'!$B$3:$C$68,2,FALSE)</f>
        <v>1.4</v>
      </c>
      <c r="H59" s="2">
        <f t="shared" si="5"/>
        <v>42</v>
      </c>
      <c r="I59" s="15" t="s">
        <v>152</v>
      </c>
    </row>
    <row r="60" spans="2:9" x14ac:dyDescent="0.3">
      <c r="B60" s="280"/>
      <c r="C60" s="14" t="s">
        <v>100</v>
      </c>
      <c r="D60" s="2" t="s">
        <v>140</v>
      </c>
      <c r="E60" s="2" t="s">
        <v>154</v>
      </c>
      <c r="F60" s="2">
        <v>1</v>
      </c>
      <c r="G60" s="2">
        <f>VLOOKUP(E60,'Standard rooms list'!$B$3:$C$150,2,FALSE)</f>
        <v>6</v>
      </c>
      <c r="H60" s="2">
        <f t="shared" si="5"/>
        <v>6</v>
      </c>
      <c r="I60" s="15"/>
    </row>
    <row r="61" spans="2:9" x14ac:dyDescent="0.3">
      <c r="B61" s="280"/>
      <c r="C61" s="14" t="s">
        <v>100</v>
      </c>
      <c r="D61" s="2" t="s">
        <v>140</v>
      </c>
      <c r="E61" s="2" t="s">
        <v>137</v>
      </c>
      <c r="F61" s="2">
        <v>1</v>
      </c>
      <c r="G61" s="2">
        <f>VLOOKUP(E61,'Standard rooms list'!$B$3:$C$150,2,FALSE)</f>
        <v>4.5</v>
      </c>
      <c r="H61" s="2">
        <f t="shared" si="5"/>
        <v>4.5</v>
      </c>
      <c r="I61" s="15"/>
    </row>
    <row r="62" spans="2:9" x14ac:dyDescent="0.3">
      <c r="B62" s="281"/>
      <c r="C62" s="14" t="s">
        <v>100</v>
      </c>
      <c r="D62" s="2" t="s">
        <v>140</v>
      </c>
      <c r="E62" s="2" t="s">
        <v>155</v>
      </c>
      <c r="F62" s="2">
        <v>5</v>
      </c>
      <c r="G62" s="2">
        <f>VLOOKUP(E62,'Standard rooms list'!$B$3:$C$150,2,FALSE)</f>
        <v>0.5</v>
      </c>
      <c r="H62" s="2">
        <f t="shared" si="5"/>
        <v>2.5</v>
      </c>
      <c r="I62" s="15"/>
    </row>
    <row r="63" spans="2:9" s="27" customFormat="1" x14ac:dyDescent="0.3">
      <c r="B63" s="132"/>
      <c r="C63" s="133"/>
      <c r="D63" s="133"/>
      <c r="E63" s="133"/>
      <c r="F63" s="133"/>
      <c r="G63" s="126" t="s">
        <v>47</v>
      </c>
      <c r="H63" s="134">
        <f>SUM(H51:H62)</f>
        <v>255.55</v>
      </c>
      <c r="I63" s="135"/>
    </row>
    <row r="64" spans="2:9" x14ac:dyDescent="0.3">
      <c r="B64" s="120"/>
      <c r="C64" s="121"/>
      <c r="D64" s="121"/>
      <c r="E64" s="121"/>
      <c r="F64" s="122" t="s">
        <v>156</v>
      </c>
      <c r="G64" s="122"/>
      <c r="H64" s="123">
        <f>SUM(H63,H50,H45,H35,H26)</f>
        <v>1071.05</v>
      </c>
      <c r="I64" s="124"/>
    </row>
    <row r="65" spans="2:9" s="27" customFormat="1" x14ac:dyDescent="0.3">
      <c r="B65" s="136"/>
      <c r="C65" s="50" t="s">
        <v>157</v>
      </c>
      <c r="D65" s="137"/>
      <c r="E65" s="137"/>
      <c r="F65" s="137"/>
      <c r="G65" s="137"/>
      <c r="H65" s="137"/>
      <c r="I65" s="138"/>
    </row>
    <row r="66" spans="2:9" x14ac:dyDescent="0.3">
      <c r="B66" s="279" t="s">
        <v>86</v>
      </c>
      <c r="C66" s="80" t="s">
        <v>157</v>
      </c>
      <c r="D66" s="60" t="s">
        <v>39</v>
      </c>
      <c r="E66" s="60" t="s">
        <v>101</v>
      </c>
      <c r="F66" s="60">
        <f>((SUM(F72,F74,F75,F76,F77,F82,F83)*2)+(F91*8))</f>
        <v>50</v>
      </c>
      <c r="G66" s="60">
        <f>VLOOKUP(E66,'Standard rooms list'!$B$3:$C$68,2,FALSE)</f>
        <v>2</v>
      </c>
      <c r="H66" s="60">
        <f>F66*G66</f>
        <v>100</v>
      </c>
      <c r="I66" s="81" t="s">
        <v>102</v>
      </c>
    </row>
    <row r="67" spans="2:9" x14ac:dyDescent="0.3">
      <c r="B67" s="280"/>
      <c r="C67" s="80" t="s">
        <v>157</v>
      </c>
      <c r="D67" s="60" t="s">
        <v>39</v>
      </c>
      <c r="E67" s="60" t="s">
        <v>103</v>
      </c>
      <c r="F67" s="60">
        <f>ROUNDUP(F66*0.1,0)</f>
        <v>5</v>
      </c>
      <c r="G67" s="60">
        <f>VLOOKUP(E67,'Standard rooms list'!$B$3:$C$68,2,FALSE)</f>
        <v>2</v>
      </c>
      <c r="H67" s="60">
        <f t="shared" ref="H67:H71" si="6">F67*G67</f>
        <v>10</v>
      </c>
      <c r="I67" s="81" t="s">
        <v>104</v>
      </c>
    </row>
    <row r="68" spans="2:9" x14ac:dyDescent="0.3">
      <c r="B68" s="280"/>
      <c r="C68" s="80" t="s">
        <v>157</v>
      </c>
      <c r="D68" s="60" t="s">
        <v>39</v>
      </c>
      <c r="E68" s="60" t="s">
        <v>105</v>
      </c>
      <c r="F68" s="60">
        <v>2</v>
      </c>
      <c r="G68" s="60">
        <f>VLOOKUP(E68,'Standard rooms list'!$B$3:$C$68,2,FALSE)</f>
        <v>5.5</v>
      </c>
      <c r="H68" s="60">
        <f t="shared" si="6"/>
        <v>11</v>
      </c>
      <c r="I68" s="81" t="s">
        <v>106</v>
      </c>
    </row>
    <row r="69" spans="2:9" x14ac:dyDescent="0.3">
      <c r="B69" s="280"/>
      <c r="C69" s="80" t="s">
        <v>157</v>
      </c>
      <c r="D69" s="60" t="s">
        <v>39</v>
      </c>
      <c r="E69" s="60" t="s">
        <v>107</v>
      </c>
      <c r="F69" s="60">
        <v>2</v>
      </c>
      <c r="G69" s="60">
        <f>VLOOKUP(E69,'Standard rooms list'!$B$3:$C$68,2,FALSE)</f>
        <v>2.5</v>
      </c>
      <c r="H69" s="60">
        <f t="shared" si="6"/>
        <v>5</v>
      </c>
      <c r="I69" s="81" t="s">
        <v>158</v>
      </c>
    </row>
    <row r="70" spans="2:9" x14ac:dyDescent="0.3">
      <c r="B70" s="280"/>
      <c r="C70" s="80" t="s">
        <v>157</v>
      </c>
      <c r="D70" s="60" t="s">
        <v>39</v>
      </c>
      <c r="E70" s="60" t="s">
        <v>109</v>
      </c>
      <c r="F70" s="60">
        <v>2</v>
      </c>
      <c r="G70" s="60">
        <f>VLOOKUP(E70,'Standard rooms list'!$B$3:$C$68,2,FALSE)</f>
        <v>2.5</v>
      </c>
      <c r="H70" s="60">
        <f t="shared" si="6"/>
        <v>5</v>
      </c>
      <c r="I70" s="81"/>
    </row>
    <row r="71" spans="2:9" x14ac:dyDescent="0.3">
      <c r="B71" s="280"/>
      <c r="C71" s="80" t="s">
        <v>157</v>
      </c>
      <c r="D71" s="60" t="s">
        <v>39</v>
      </c>
      <c r="E71" s="60" t="s">
        <v>98</v>
      </c>
      <c r="F71" s="60">
        <v>1</v>
      </c>
      <c r="G71" s="60">
        <f>VLOOKUP(E71,'Standard rooms list'!$B$3:$C$68,2,FALSE)</f>
        <v>4.5</v>
      </c>
      <c r="H71" s="60">
        <f t="shared" si="6"/>
        <v>4.5</v>
      </c>
      <c r="I71" s="81"/>
    </row>
    <row r="72" spans="2:9" x14ac:dyDescent="0.3">
      <c r="B72" s="281"/>
      <c r="C72" s="80" t="s">
        <v>157</v>
      </c>
      <c r="D72" s="60" t="s">
        <v>39</v>
      </c>
      <c r="E72" s="146" t="s">
        <v>111</v>
      </c>
      <c r="F72" s="146">
        <v>2</v>
      </c>
      <c r="G72" s="2">
        <f>VLOOKUP(E72,'Standard rooms list'!$B$3:$C$68,2,FALSE)</f>
        <v>8</v>
      </c>
      <c r="H72" s="2">
        <f>G72*F72</f>
        <v>16</v>
      </c>
      <c r="I72" s="15"/>
    </row>
    <row r="73" spans="2:9" s="27" customFormat="1" x14ac:dyDescent="0.3">
      <c r="B73" s="117"/>
      <c r="C73" s="126"/>
      <c r="D73" s="126"/>
      <c r="E73" s="126"/>
      <c r="F73" s="126"/>
      <c r="G73" s="126" t="s">
        <v>47</v>
      </c>
      <c r="H73" s="126">
        <f>SUM(H66:H72)</f>
        <v>151.5</v>
      </c>
      <c r="I73" s="131"/>
    </row>
    <row r="74" spans="2:9" x14ac:dyDescent="0.3">
      <c r="B74" s="279" t="s">
        <v>86</v>
      </c>
      <c r="C74" s="80" t="s">
        <v>159</v>
      </c>
      <c r="D74" s="2" t="s">
        <v>112</v>
      </c>
      <c r="E74" s="146" t="s">
        <v>113</v>
      </c>
      <c r="F74" s="146">
        <v>2</v>
      </c>
      <c r="G74" s="2">
        <f>VLOOKUP(E74,'Standard rooms list'!$B$3:$C$68,2,FALSE)</f>
        <v>13.5</v>
      </c>
      <c r="H74" s="2">
        <f t="shared" ref="H74:H77" si="7">G74*F74</f>
        <v>27</v>
      </c>
      <c r="I74" s="15"/>
    </row>
    <row r="75" spans="2:9" x14ac:dyDescent="0.3">
      <c r="B75" s="280"/>
      <c r="C75" s="80" t="s">
        <v>159</v>
      </c>
      <c r="D75" s="2" t="s">
        <v>112</v>
      </c>
      <c r="E75" s="146" t="s">
        <v>114</v>
      </c>
      <c r="F75" s="146">
        <v>1</v>
      </c>
      <c r="G75" s="2">
        <f>VLOOKUP(E75,'Standard rooms list'!$B$3:$C$68,2,FALSE)</f>
        <v>16</v>
      </c>
      <c r="H75" s="2">
        <f t="shared" si="7"/>
        <v>16</v>
      </c>
      <c r="I75" s="15"/>
    </row>
    <row r="76" spans="2:9" x14ac:dyDescent="0.3">
      <c r="B76" s="280"/>
      <c r="C76" s="80" t="s">
        <v>159</v>
      </c>
      <c r="D76" s="2" t="s">
        <v>112</v>
      </c>
      <c r="E76" s="146" t="s">
        <v>115</v>
      </c>
      <c r="F76" s="146">
        <v>4</v>
      </c>
      <c r="G76" s="2">
        <f>VLOOKUP(E76,'Standard rooms list'!$B$3:$C$68,2,FALSE)</f>
        <v>16</v>
      </c>
      <c r="H76" s="2">
        <f t="shared" si="7"/>
        <v>64</v>
      </c>
      <c r="I76" s="15"/>
    </row>
    <row r="77" spans="2:9" x14ac:dyDescent="0.3">
      <c r="B77" s="280"/>
      <c r="C77" s="80" t="s">
        <v>159</v>
      </c>
      <c r="D77" s="2" t="s">
        <v>112</v>
      </c>
      <c r="E77" s="146" t="s">
        <v>117</v>
      </c>
      <c r="F77" s="146">
        <v>1</v>
      </c>
      <c r="G77" s="2">
        <f>VLOOKUP(E77,'Standard rooms list'!$B$3:$C$68,2,FALSE)</f>
        <v>20</v>
      </c>
      <c r="H77" s="2">
        <f t="shared" si="7"/>
        <v>20</v>
      </c>
      <c r="I77" s="15"/>
    </row>
    <row r="78" spans="2:9" s="60" customFormat="1" x14ac:dyDescent="0.3">
      <c r="B78" s="280"/>
      <c r="C78" s="80" t="s">
        <v>159</v>
      </c>
      <c r="D78" s="60" t="s">
        <v>112</v>
      </c>
      <c r="E78" s="60" t="s">
        <v>124</v>
      </c>
      <c r="F78" s="60">
        <v>1</v>
      </c>
      <c r="G78" s="60">
        <f>VLOOKUP(E78,'Standard rooms list'!$B$3:$C$68,2,FALSE)</f>
        <v>4.5</v>
      </c>
      <c r="H78" s="60">
        <f>G78*F78</f>
        <v>4.5</v>
      </c>
      <c r="I78" s="81"/>
    </row>
    <row r="79" spans="2:9" s="60" customFormat="1" x14ac:dyDescent="0.3">
      <c r="B79" s="280"/>
      <c r="C79" s="80" t="s">
        <v>159</v>
      </c>
      <c r="D79" s="60" t="s">
        <v>112</v>
      </c>
      <c r="E79" s="154" t="s">
        <v>131</v>
      </c>
      <c r="F79" s="154">
        <v>1</v>
      </c>
      <c r="G79" s="154">
        <f>VLOOKUP(E79,'Standard rooms list'!$B$3:$C$68,2,FALSE)</f>
        <v>8</v>
      </c>
      <c r="H79" s="154">
        <f t="shared" ref="H79:H80" si="8">G79*F79</f>
        <v>8</v>
      </c>
      <c r="I79" s="83" t="s">
        <v>160</v>
      </c>
    </row>
    <row r="80" spans="2:9" s="60" customFormat="1" x14ac:dyDescent="0.3">
      <c r="B80" s="281"/>
      <c r="C80" s="80" t="s">
        <v>159</v>
      </c>
      <c r="D80" s="60" t="s">
        <v>112</v>
      </c>
      <c r="E80" s="154" t="s">
        <v>131</v>
      </c>
      <c r="F80" s="154">
        <v>1</v>
      </c>
      <c r="G80" s="154">
        <f>VLOOKUP(E80,'Standard rooms list'!$B$3:$C$68,2,FALSE)</f>
        <v>8</v>
      </c>
      <c r="H80" s="154">
        <f t="shared" si="8"/>
        <v>8</v>
      </c>
      <c r="I80" s="83" t="s">
        <v>161</v>
      </c>
    </row>
    <row r="81" spans="2:9" s="27" customFormat="1" x14ac:dyDescent="0.3">
      <c r="B81" s="117"/>
      <c r="C81" s="126"/>
      <c r="D81" s="126"/>
      <c r="E81" s="126"/>
      <c r="F81" s="126"/>
      <c r="G81" s="126" t="s">
        <v>47</v>
      </c>
      <c r="H81" s="126">
        <f>SUM(H74:H80)</f>
        <v>147.5</v>
      </c>
      <c r="I81" s="131"/>
    </row>
    <row r="82" spans="2:9" s="60" customFormat="1" x14ac:dyDescent="0.3">
      <c r="B82" s="279" t="s">
        <v>86</v>
      </c>
      <c r="C82" s="80" t="s">
        <v>162</v>
      </c>
      <c r="D82" s="60" t="s">
        <v>112</v>
      </c>
      <c r="E82" s="152" t="s">
        <v>115</v>
      </c>
      <c r="F82" s="152">
        <v>2</v>
      </c>
      <c r="G82" s="60">
        <f>VLOOKUP(E82,'Standard rooms list'!$B$3:$C$68,2,FALSE)</f>
        <v>16</v>
      </c>
      <c r="H82" s="60">
        <f t="shared" ref="H82:H88" si="9">G82*F82</f>
        <v>32</v>
      </c>
      <c r="I82" s="81" t="s">
        <v>163</v>
      </c>
    </row>
    <row r="83" spans="2:9" s="60" customFormat="1" x14ac:dyDescent="0.3">
      <c r="B83" s="280"/>
      <c r="C83" s="80" t="s">
        <v>162</v>
      </c>
      <c r="D83" s="60" t="s">
        <v>112</v>
      </c>
      <c r="E83" s="152" t="s">
        <v>117</v>
      </c>
      <c r="F83" s="152">
        <v>1</v>
      </c>
      <c r="G83" s="60">
        <f>VLOOKUP(E83,'Standard rooms list'!$B$3:$C$68,2,FALSE)</f>
        <v>20</v>
      </c>
      <c r="H83" s="60">
        <f t="shared" si="9"/>
        <v>20</v>
      </c>
      <c r="I83" s="81" t="s">
        <v>164</v>
      </c>
    </row>
    <row r="84" spans="2:9" s="60" customFormat="1" x14ac:dyDescent="0.3">
      <c r="B84" s="280"/>
      <c r="C84" s="80" t="s">
        <v>162</v>
      </c>
      <c r="D84" s="60" t="s">
        <v>112</v>
      </c>
      <c r="E84" s="60" t="s">
        <v>98</v>
      </c>
      <c r="F84" s="60">
        <v>1</v>
      </c>
      <c r="G84" s="60">
        <f>VLOOKUP(E84,'Standard rooms list'!$B$3:$C$68,2,FALSE)</f>
        <v>4.5</v>
      </c>
      <c r="H84" s="60">
        <f t="shared" si="9"/>
        <v>4.5</v>
      </c>
      <c r="I84" s="81" t="s">
        <v>165</v>
      </c>
    </row>
    <row r="85" spans="2:9" s="60" customFormat="1" x14ac:dyDescent="0.3">
      <c r="B85" s="280"/>
      <c r="C85" s="80" t="s">
        <v>162</v>
      </c>
      <c r="D85" s="60" t="s">
        <v>112</v>
      </c>
      <c r="E85" s="60" t="s">
        <v>166</v>
      </c>
      <c r="F85" s="60">
        <v>3</v>
      </c>
      <c r="G85" s="60">
        <f>VLOOKUP(E85,'Standard rooms list'!$B$3:$C$68,2,FALSE)</f>
        <v>4.5</v>
      </c>
      <c r="H85" s="60">
        <f t="shared" si="9"/>
        <v>13.5</v>
      </c>
      <c r="I85" s="81" t="s">
        <v>167</v>
      </c>
    </row>
    <row r="86" spans="2:9" s="60" customFormat="1" x14ac:dyDescent="0.3">
      <c r="B86" s="280"/>
      <c r="C86" s="80" t="s">
        <v>162</v>
      </c>
      <c r="D86" s="60" t="s">
        <v>112</v>
      </c>
      <c r="E86" s="60" t="s">
        <v>168</v>
      </c>
      <c r="F86" s="60">
        <v>3</v>
      </c>
      <c r="G86" s="60">
        <f>VLOOKUP(E86,'Standard rooms list'!$B$3:$C$68,2,FALSE)</f>
        <v>4.5999999999999996</v>
      </c>
      <c r="H86" s="60">
        <f t="shared" si="9"/>
        <v>13.799999999999999</v>
      </c>
      <c r="I86" s="81" t="s">
        <v>167</v>
      </c>
    </row>
    <row r="87" spans="2:9" s="60" customFormat="1" x14ac:dyDescent="0.3">
      <c r="B87" s="280"/>
      <c r="C87" s="80" t="s">
        <v>162</v>
      </c>
      <c r="D87" s="60" t="s">
        <v>112</v>
      </c>
      <c r="E87" s="154" t="s">
        <v>131</v>
      </c>
      <c r="F87" s="154">
        <v>1</v>
      </c>
      <c r="G87" s="154">
        <f>VLOOKUP(E87,'Standard rooms list'!$B$3:$C$68,2,FALSE)</f>
        <v>8</v>
      </c>
      <c r="H87" s="154">
        <f t="shared" si="9"/>
        <v>8</v>
      </c>
      <c r="I87" s="83" t="s">
        <v>169</v>
      </c>
    </row>
    <row r="88" spans="2:9" s="60" customFormat="1" x14ac:dyDescent="0.3">
      <c r="B88" s="281"/>
      <c r="C88" s="80" t="s">
        <v>162</v>
      </c>
      <c r="D88" s="60" t="s">
        <v>112</v>
      </c>
      <c r="E88" s="154" t="s">
        <v>131</v>
      </c>
      <c r="F88" s="154">
        <v>1</v>
      </c>
      <c r="G88" s="154">
        <f>VLOOKUP(E88,'Standard rooms list'!$B$3:$C$68,2,FALSE)</f>
        <v>8</v>
      </c>
      <c r="H88" s="154">
        <f t="shared" si="9"/>
        <v>8</v>
      </c>
      <c r="I88" s="83" t="s">
        <v>161</v>
      </c>
    </row>
    <row r="89" spans="2:9" s="27" customFormat="1" x14ac:dyDescent="0.3">
      <c r="B89" s="117"/>
      <c r="C89" s="126"/>
      <c r="D89" s="126"/>
      <c r="E89" s="126"/>
      <c r="F89" s="126"/>
      <c r="G89" s="126" t="s">
        <v>47</v>
      </c>
      <c r="H89" s="126">
        <f>SUM(H82:H88)</f>
        <v>99.8</v>
      </c>
      <c r="I89" s="131"/>
    </row>
    <row r="90" spans="2:9" s="60" customFormat="1" x14ac:dyDescent="0.3">
      <c r="B90" s="279" t="s">
        <v>86</v>
      </c>
      <c r="C90" s="82" t="s">
        <v>157</v>
      </c>
      <c r="D90" s="154" t="s">
        <v>170</v>
      </c>
      <c r="E90" s="154" t="s">
        <v>122</v>
      </c>
      <c r="F90" s="154">
        <v>1</v>
      </c>
      <c r="G90" s="154">
        <f>VLOOKUP(E90,'Standard rooms list'!$B$3:$C$68,2,FALSE)</f>
        <v>8</v>
      </c>
      <c r="H90" s="154">
        <f>G90*F90</f>
        <v>8</v>
      </c>
      <c r="I90" s="83"/>
    </row>
    <row r="91" spans="2:9" s="60" customFormat="1" x14ac:dyDescent="0.3">
      <c r="B91" s="280"/>
      <c r="C91" s="82" t="s">
        <v>157</v>
      </c>
      <c r="D91" s="154" t="s">
        <v>170</v>
      </c>
      <c r="E91" s="158" t="s">
        <v>118</v>
      </c>
      <c r="F91" s="158">
        <v>3</v>
      </c>
      <c r="G91" s="154">
        <f>VLOOKUP(E91,'Standard rooms list'!$B$3:$C$68,2,FALSE)</f>
        <v>32.5</v>
      </c>
      <c r="H91" s="154">
        <f>G91*F91</f>
        <v>97.5</v>
      </c>
      <c r="I91" s="83" t="s">
        <v>171</v>
      </c>
    </row>
    <row r="92" spans="2:9" s="60" customFormat="1" x14ac:dyDescent="0.3">
      <c r="B92" s="281"/>
      <c r="C92" s="82" t="s">
        <v>157</v>
      </c>
      <c r="D92" s="154" t="s">
        <v>170</v>
      </c>
      <c r="E92" s="154" t="s">
        <v>120</v>
      </c>
      <c r="F92" s="154">
        <v>1.5</v>
      </c>
      <c r="G92" s="154">
        <f>VLOOKUP(E92,'Standard rooms list'!$B$3:$C$68,2,FALSE)</f>
        <v>5</v>
      </c>
      <c r="H92" s="154">
        <f>G92*F92</f>
        <v>7.5</v>
      </c>
      <c r="I92" s="83" t="s">
        <v>121</v>
      </c>
    </row>
    <row r="93" spans="2:9" s="27" customFormat="1" x14ac:dyDescent="0.3">
      <c r="B93" s="117"/>
      <c r="C93" s="126"/>
      <c r="D93" s="126"/>
      <c r="E93" s="126"/>
      <c r="F93" s="126"/>
      <c r="G93" s="126" t="s">
        <v>47</v>
      </c>
      <c r="H93" s="126">
        <f>SUM(H90:H92)</f>
        <v>113</v>
      </c>
      <c r="I93" s="131"/>
    </row>
    <row r="94" spans="2:9" s="60" customFormat="1" x14ac:dyDescent="0.3">
      <c r="B94" s="279" t="s">
        <v>86</v>
      </c>
      <c r="C94" s="80" t="s">
        <v>157</v>
      </c>
      <c r="D94" s="154" t="s">
        <v>125</v>
      </c>
      <c r="E94" s="154" t="s">
        <v>126</v>
      </c>
      <c r="F94" s="154">
        <v>2</v>
      </c>
      <c r="G94" s="154">
        <f>VLOOKUP(E94,'Standard rooms list'!$B$3:$C$68,2,FALSE)</f>
        <v>8</v>
      </c>
      <c r="H94" s="154">
        <f t="shared" ref="H94:H102" si="10">G94*F94</f>
        <v>16</v>
      </c>
      <c r="I94" s="83" t="s">
        <v>127</v>
      </c>
    </row>
    <row r="95" spans="2:9" s="60" customFormat="1" x14ac:dyDescent="0.3">
      <c r="B95" s="280"/>
      <c r="C95" s="80" t="s">
        <v>157</v>
      </c>
      <c r="D95" s="154" t="s">
        <v>125</v>
      </c>
      <c r="E95" s="154" t="s">
        <v>128</v>
      </c>
      <c r="F95" s="154">
        <v>2</v>
      </c>
      <c r="G95" s="154">
        <f>VLOOKUP(E95,'Standard rooms list'!$B$3:$C$68,2,FALSE)</f>
        <v>8</v>
      </c>
      <c r="H95" s="154">
        <f t="shared" si="10"/>
        <v>16</v>
      </c>
      <c r="I95" s="83" t="s">
        <v>127</v>
      </c>
    </row>
    <row r="96" spans="2:9" s="60" customFormat="1" x14ac:dyDescent="0.3">
      <c r="B96" s="280"/>
      <c r="C96" s="80" t="s">
        <v>157</v>
      </c>
      <c r="D96" s="154" t="s">
        <v>125</v>
      </c>
      <c r="E96" s="154" t="s">
        <v>172</v>
      </c>
      <c r="F96" s="154">
        <v>2</v>
      </c>
      <c r="G96" s="154">
        <f>VLOOKUP(E96,'Standard rooms list'!$B$3:$C$100,2,FALSE)</f>
        <v>4</v>
      </c>
      <c r="H96" s="154">
        <f t="shared" si="10"/>
        <v>8</v>
      </c>
      <c r="I96" s="83" t="s">
        <v>173</v>
      </c>
    </row>
    <row r="97" spans="2:9" s="60" customFormat="1" x14ac:dyDescent="0.3">
      <c r="B97" s="280"/>
      <c r="C97" s="80" t="s">
        <v>157</v>
      </c>
      <c r="D97" s="154" t="s">
        <v>125</v>
      </c>
      <c r="E97" s="154" t="s">
        <v>129</v>
      </c>
      <c r="F97" s="154">
        <v>1</v>
      </c>
      <c r="G97" s="154">
        <f>VLOOKUP(E97,'Standard rooms list'!$B$3:$C$68,2,FALSE)</f>
        <v>8</v>
      </c>
      <c r="H97" s="154">
        <f t="shared" si="10"/>
        <v>8</v>
      </c>
      <c r="I97" s="83"/>
    </row>
    <row r="98" spans="2:9" s="60" customFormat="1" x14ac:dyDescent="0.3">
      <c r="B98" s="280"/>
      <c r="C98" s="80" t="s">
        <v>157</v>
      </c>
      <c r="D98" s="154" t="s">
        <v>125</v>
      </c>
      <c r="E98" s="154" t="s">
        <v>130</v>
      </c>
      <c r="F98" s="154">
        <v>2</v>
      </c>
      <c r="G98" s="154">
        <f>VLOOKUP(E98,'Standard rooms list'!$B$3:$C$68,2,FALSE)</f>
        <v>2</v>
      </c>
      <c r="H98" s="154">
        <f t="shared" si="10"/>
        <v>4</v>
      </c>
      <c r="I98" s="83"/>
    </row>
    <row r="99" spans="2:9" s="60" customFormat="1" x14ac:dyDescent="0.3">
      <c r="B99" s="280"/>
      <c r="C99" s="80" t="s">
        <v>157</v>
      </c>
      <c r="D99" s="154" t="s">
        <v>125</v>
      </c>
      <c r="E99" s="154" t="s">
        <v>133</v>
      </c>
      <c r="F99" s="154">
        <v>1</v>
      </c>
      <c r="G99" s="154">
        <f>VLOOKUP(E99,'Standard rooms list'!$B$3:$C$68,2,FALSE)</f>
        <v>2</v>
      </c>
      <c r="H99" s="154">
        <f t="shared" si="10"/>
        <v>2</v>
      </c>
      <c r="I99" s="83"/>
    </row>
    <row r="100" spans="2:9" s="60" customFormat="1" x14ac:dyDescent="0.3">
      <c r="B100" s="280"/>
      <c r="C100" s="80" t="s">
        <v>157</v>
      </c>
      <c r="D100" s="154" t="s">
        <v>125</v>
      </c>
      <c r="E100" s="154" t="s">
        <v>96</v>
      </c>
      <c r="F100" s="154">
        <v>1</v>
      </c>
      <c r="G100" s="154">
        <f>VLOOKUP(E100,'Standard rooms list'!$B$3:$C$68,2,FALSE)</f>
        <v>10</v>
      </c>
      <c r="H100" s="154">
        <f>G100*F100</f>
        <v>10</v>
      </c>
      <c r="I100" s="83" t="s">
        <v>174</v>
      </c>
    </row>
    <row r="101" spans="2:9" s="60" customFormat="1" x14ac:dyDescent="0.3">
      <c r="B101" s="280"/>
      <c r="C101" s="80" t="s">
        <v>157</v>
      </c>
      <c r="D101" s="154" t="s">
        <v>125</v>
      </c>
      <c r="E101" s="154" t="s">
        <v>135</v>
      </c>
      <c r="F101" s="154">
        <v>1</v>
      </c>
      <c r="G101" s="154">
        <f>VLOOKUP(E101,'Standard rooms list'!$B$3:$C$68,2,FALSE)</f>
        <v>8</v>
      </c>
      <c r="H101" s="154">
        <f>G101*F101</f>
        <v>8</v>
      </c>
      <c r="I101" s="83"/>
    </row>
    <row r="102" spans="2:9" s="60" customFormat="1" x14ac:dyDescent="0.3">
      <c r="B102" s="281"/>
      <c r="C102" s="80" t="s">
        <v>157</v>
      </c>
      <c r="D102" s="60" t="s">
        <v>125</v>
      </c>
      <c r="E102" s="60" t="s">
        <v>136</v>
      </c>
      <c r="F102" s="60">
        <v>1</v>
      </c>
      <c r="G102" s="60">
        <f>VLOOKUP(E102,'Standard rooms list'!$B$3:$C$68,2,FALSE)</f>
        <v>2</v>
      </c>
      <c r="H102" s="60">
        <f t="shared" si="10"/>
        <v>2</v>
      </c>
      <c r="I102" s="81"/>
    </row>
    <row r="103" spans="2:9" s="27" customFormat="1" x14ac:dyDescent="0.3">
      <c r="B103" s="117"/>
      <c r="C103" s="126"/>
      <c r="D103" s="126"/>
      <c r="E103" s="126"/>
      <c r="F103" s="126"/>
      <c r="G103" s="126" t="s">
        <v>47</v>
      </c>
      <c r="H103" s="126">
        <f>SUM(H94:H102)</f>
        <v>74</v>
      </c>
      <c r="I103" s="131"/>
    </row>
    <row r="104" spans="2:9" s="60" customFormat="1" ht="24.9" x14ac:dyDescent="0.3">
      <c r="B104" s="279" t="s">
        <v>86</v>
      </c>
      <c r="C104" s="82" t="s">
        <v>157</v>
      </c>
      <c r="D104" s="154" t="s">
        <v>140</v>
      </c>
      <c r="E104" s="158" t="s">
        <v>141</v>
      </c>
      <c r="F104" s="158">
        <v>4</v>
      </c>
      <c r="G104" s="154">
        <f>VLOOKUP(E104,'Standard rooms list'!$B$3:$C$68,2,FALSE)</f>
        <v>4.5999999999999996</v>
      </c>
      <c r="H104" s="154">
        <f t="shared" ref="H104:H116" si="11">G104*F104</f>
        <v>18.399999999999999</v>
      </c>
      <c r="I104" s="116" t="s">
        <v>175</v>
      </c>
    </row>
    <row r="105" spans="2:9" s="60" customFormat="1" x14ac:dyDescent="0.3">
      <c r="B105" s="280"/>
      <c r="C105" s="82" t="s">
        <v>157</v>
      </c>
      <c r="D105" s="154" t="s">
        <v>140</v>
      </c>
      <c r="E105" s="154" t="s">
        <v>111</v>
      </c>
      <c r="F105" s="154">
        <v>1</v>
      </c>
      <c r="G105" s="154">
        <f>VLOOKUP(E105,'Standard rooms list'!$B$3:$C$68,2,FALSE)</f>
        <v>8</v>
      </c>
      <c r="H105" s="154">
        <f t="shared" si="11"/>
        <v>8</v>
      </c>
      <c r="I105" s="116"/>
    </row>
    <row r="106" spans="2:9" s="60" customFormat="1" x14ac:dyDescent="0.3">
      <c r="B106" s="280"/>
      <c r="C106" s="80" t="s">
        <v>157</v>
      </c>
      <c r="D106" s="60" t="s">
        <v>140</v>
      </c>
      <c r="E106" s="60" t="s">
        <v>143</v>
      </c>
      <c r="F106" s="60">
        <v>1</v>
      </c>
      <c r="G106" s="60">
        <f>VLOOKUP(E106,'Standard rooms list'!$B$3:$C$68,2,FALSE)</f>
        <v>8</v>
      </c>
      <c r="H106" s="60">
        <f t="shared" si="11"/>
        <v>8</v>
      </c>
      <c r="I106" s="81" t="s">
        <v>176</v>
      </c>
    </row>
    <row r="107" spans="2:9" s="60" customFormat="1" x14ac:dyDescent="0.3">
      <c r="B107" s="280"/>
      <c r="C107" s="80" t="s">
        <v>157</v>
      </c>
      <c r="D107" s="60" t="s">
        <v>140</v>
      </c>
      <c r="E107" s="60" t="s">
        <v>143</v>
      </c>
      <c r="F107" s="60">
        <v>1</v>
      </c>
      <c r="G107" s="60">
        <f>VLOOKUP(E107,'Standard rooms list'!$B$3:$C$68,2,FALSE)</f>
        <v>8</v>
      </c>
      <c r="H107" s="60">
        <f t="shared" si="11"/>
        <v>8</v>
      </c>
      <c r="I107" s="81" t="s">
        <v>177</v>
      </c>
    </row>
    <row r="108" spans="2:9" s="60" customFormat="1" ht="24.9" x14ac:dyDescent="0.3">
      <c r="B108" s="280"/>
      <c r="C108" s="82" t="s">
        <v>157</v>
      </c>
      <c r="D108" s="154" t="s">
        <v>140</v>
      </c>
      <c r="E108" s="154" t="s">
        <v>145</v>
      </c>
      <c r="F108" s="159">
        <f>((SUM(F72,F74,F76,F77,F82,F83,F91)*0.8))</f>
        <v>12</v>
      </c>
      <c r="G108" s="154">
        <f>VLOOKUP(E108,'Standard rooms list'!$B$3:$C$68,2,FALSE)</f>
        <v>5</v>
      </c>
      <c r="H108" s="154">
        <f t="shared" si="11"/>
        <v>60</v>
      </c>
      <c r="I108" s="114" t="s">
        <v>178</v>
      </c>
    </row>
    <row r="109" spans="2:9" s="60" customFormat="1" x14ac:dyDescent="0.3">
      <c r="B109" s="280"/>
      <c r="C109" s="82" t="s">
        <v>157</v>
      </c>
      <c r="D109" s="154" t="s">
        <v>140</v>
      </c>
      <c r="E109" s="60" t="s">
        <v>147</v>
      </c>
      <c r="F109" s="159">
        <f>F108</f>
        <v>12</v>
      </c>
      <c r="G109" s="154">
        <v>0.125</v>
      </c>
      <c r="H109" s="154">
        <f t="shared" si="11"/>
        <v>1.5</v>
      </c>
      <c r="I109" s="114"/>
    </row>
    <row r="110" spans="2:9" s="60" customFormat="1" x14ac:dyDescent="0.3">
      <c r="B110" s="280"/>
      <c r="C110" s="80" t="s">
        <v>157</v>
      </c>
      <c r="D110" s="60" t="s">
        <v>140</v>
      </c>
      <c r="E110" s="60" t="s">
        <v>148</v>
      </c>
      <c r="F110" s="60">
        <v>2</v>
      </c>
      <c r="G110" s="60">
        <f>VLOOKUP(E110,'Standard rooms list'!$B$3:$C$68,2,FALSE)</f>
        <v>2</v>
      </c>
      <c r="H110" s="60">
        <f t="shared" si="11"/>
        <v>4</v>
      </c>
      <c r="I110" s="81" t="s">
        <v>149</v>
      </c>
    </row>
    <row r="111" spans="2:9" s="60" customFormat="1" x14ac:dyDescent="0.3">
      <c r="B111" s="280"/>
      <c r="C111" s="80" t="s">
        <v>157</v>
      </c>
      <c r="D111" s="60" t="s">
        <v>140</v>
      </c>
      <c r="E111" s="60" t="s">
        <v>150</v>
      </c>
      <c r="F111" s="60">
        <v>1</v>
      </c>
      <c r="G111" s="60">
        <f>VLOOKUP(E111,'Standard rooms list'!$B$3:$C$68,2,FALSE)</f>
        <v>4.5</v>
      </c>
      <c r="H111" s="60">
        <f t="shared" si="11"/>
        <v>4.5</v>
      </c>
      <c r="I111" s="81" t="s">
        <v>149</v>
      </c>
    </row>
    <row r="112" spans="2:9" s="60" customFormat="1" x14ac:dyDescent="0.3">
      <c r="B112" s="280"/>
      <c r="C112" s="80" t="s">
        <v>157</v>
      </c>
      <c r="D112" s="60" t="s">
        <v>140</v>
      </c>
      <c r="E112" s="60" t="s">
        <v>151</v>
      </c>
      <c r="F112" s="60">
        <f>SUM(F72,F74,F76,F77,F82,F83,F91)</f>
        <v>15</v>
      </c>
      <c r="G112" s="60">
        <f>VLOOKUP(E112,'Standard rooms list'!$B$3:$C$68,2,FALSE)</f>
        <v>1.8</v>
      </c>
      <c r="H112" s="60">
        <f t="shared" si="11"/>
        <v>27</v>
      </c>
      <c r="I112" s="81" t="s">
        <v>179</v>
      </c>
    </row>
    <row r="113" spans="2:9" s="60" customFormat="1" x14ac:dyDescent="0.3">
      <c r="B113" s="280"/>
      <c r="C113" s="80" t="s">
        <v>157</v>
      </c>
      <c r="D113" s="60" t="s">
        <v>140</v>
      </c>
      <c r="E113" s="60" t="s">
        <v>153</v>
      </c>
      <c r="F113" s="60">
        <f>F112</f>
        <v>15</v>
      </c>
      <c r="G113" s="60">
        <f>VLOOKUP(E113,'Standard rooms list'!$B$3:$C$68,2,FALSE)</f>
        <v>1.4</v>
      </c>
      <c r="H113" s="60">
        <f t="shared" si="11"/>
        <v>21</v>
      </c>
      <c r="I113" s="81" t="s">
        <v>179</v>
      </c>
    </row>
    <row r="114" spans="2:9" s="60" customFormat="1" x14ac:dyDescent="0.3">
      <c r="B114" s="280"/>
      <c r="C114" s="80" t="s">
        <v>157</v>
      </c>
      <c r="D114" s="60" t="s">
        <v>140</v>
      </c>
      <c r="E114" s="2" t="s">
        <v>154</v>
      </c>
      <c r="F114" s="2">
        <v>1</v>
      </c>
      <c r="G114" s="2">
        <f>VLOOKUP(E114,'Standard rooms list'!$B$3:$C$150,2,FALSE)</f>
        <v>6</v>
      </c>
      <c r="H114" s="2">
        <f t="shared" si="11"/>
        <v>6</v>
      </c>
      <c r="I114" s="81"/>
    </row>
    <row r="115" spans="2:9" s="60" customFormat="1" x14ac:dyDescent="0.3">
      <c r="B115" s="280"/>
      <c r="C115" s="80" t="s">
        <v>157</v>
      </c>
      <c r="D115" s="60" t="s">
        <v>140</v>
      </c>
      <c r="E115" s="2" t="s">
        <v>137</v>
      </c>
      <c r="F115" s="2">
        <v>1</v>
      </c>
      <c r="G115" s="2">
        <f>VLOOKUP(E115,'Standard rooms list'!$B$3:$C$150,2,FALSE)</f>
        <v>4.5</v>
      </c>
      <c r="H115" s="2">
        <f t="shared" si="11"/>
        <v>4.5</v>
      </c>
      <c r="I115" s="81"/>
    </row>
    <row r="116" spans="2:9" s="60" customFormat="1" x14ac:dyDescent="0.3">
      <c r="B116" s="281"/>
      <c r="C116" s="80" t="s">
        <v>157</v>
      </c>
      <c r="D116" s="60" t="s">
        <v>140</v>
      </c>
      <c r="E116" s="2" t="s">
        <v>155</v>
      </c>
      <c r="F116" s="2">
        <v>3</v>
      </c>
      <c r="G116" s="2">
        <f>VLOOKUP(E116,'Standard rooms list'!$B$3:$C$150,2,FALSE)</f>
        <v>0.5</v>
      </c>
      <c r="H116" s="2">
        <f t="shared" si="11"/>
        <v>1.5</v>
      </c>
      <c r="I116" s="81"/>
    </row>
    <row r="117" spans="2:9" s="27" customFormat="1" x14ac:dyDescent="0.3">
      <c r="B117" s="139"/>
      <c r="C117" s="133"/>
      <c r="D117" s="133"/>
      <c r="E117" s="133"/>
      <c r="F117" s="133"/>
      <c r="G117" s="126" t="s">
        <v>47</v>
      </c>
      <c r="H117" s="133">
        <f>SUM(H104:H116)</f>
        <v>172.4</v>
      </c>
      <c r="I117" s="135"/>
    </row>
    <row r="118" spans="2:9" s="27" customFormat="1" x14ac:dyDescent="0.3">
      <c r="B118" s="140"/>
      <c r="C118" s="122"/>
      <c r="D118" s="122"/>
      <c r="E118" s="278" t="s">
        <v>180</v>
      </c>
      <c r="F118" s="278"/>
      <c r="G118" s="278"/>
      <c r="H118" s="122">
        <f>SUM(H117,H103,H81,H73,H89,H93)</f>
        <v>758.19999999999993</v>
      </c>
      <c r="I118" s="141"/>
    </row>
    <row r="119" spans="2:9" s="27" customFormat="1" x14ac:dyDescent="0.3">
      <c r="B119" s="142"/>
      <c r="C119" s="50" t="s">
        <v>58</v>
      </c>
      <c r="D119" s="137"/>
      <c r="E119" s="137"/>
      <c r="F119" s="137"/>
      <c r="G119" s="137"/>
      <c r="H119" s="137"/>
      <c r="I119" s="138"/>
    </row>
    <row r="120" spans="2:9" s="60" customFormat="1" x14ac:dyDescent="0.3">
      <c r="B120" s="276" t="s">
        <v>86</v>
      </c>
      <c r="C120" s="80" t="s">
        <v>58</v>
      </c>
      <c r="D120" s="60" t="s">
        <v>181</v>
      </c>
      <c r="E120" s="60" t="s">
        <v>182</v>
      </c>
      <c r="F120" s="60">
        <v>1</v>
      </c>
      <c r="G120" s="60">
        <f>VLOOKUP(E120,'Standard rooms list'!$B$3:$C$76,2,FALSE)</f>
        <v>8</v>
      </c>
      <c r="H120" s="60">
        <f t="shared" ref="H120:H121" si="12">G120*F120</f>
        <v>8</v>
      </c>
      <c r="I120" s="81" t="s">
        <v>183</v>
      </c>
    </row>
    <row r="121" spans="2:9" s="60" customFormat="1" x14ac:dyDescent="0.3">
      <c r="B121" s="277"/>
      <c r="C121" s="80" t="s">
        <v>58</v>
      </c>
      <c r="D121" s="60" t="s">
        <v>181</v>
      </c>
      <c r="E121" s="60" t="s">
        <v>184</v>
      </c>
      <c r="F121" s="60">
        <v>1</v>
      </c>
      <c r="G121" s="60">
        <f>VLOOKUP(E121,'Standard rooms list'!$B$3:$C$76,2,FALSE)</f>
        <v>20</v>
      </c>
      <c r="H121" s="60">
        <f t="shared" si="12"/>
        <v>20</v>
      </c>
      <c r="I121" s="81"/>
    </row>
    <row r="122" spans="2:9" s="27" customFormat="1" x14ac:dyDescent="0.3">
      <c r="B122" s="130"/>
      <c r="C122" s="126"/>
      <c r="D122" s="126"/>
      <c r="E122" s="126"/>
      <c r="F122" s="126"/>
      <c r="G122" s="126" t="s">
        <v>47</v>
      </c>
      <c r="H122" s="126">
        <f>SUM(H120:H121)</f>
        <v>28</v>
      </c>
      <c r="I122" s="131"/>
    </row>
    <row r="124" spans="2:9" s="27" customFormat="1" x14ac:dyDescent="0.3">
      <c r="B124" s="143"/>
      <c r="C124" s="144"/>
      <c r="D124" s="144"/>
      <c r="E124" s="144"/>
      <c r="F124" s="144"/>
      <c r="G124" s="127" t="s">
        <v>185</v>
      </c>
      <c r="H124" s="128">
        <f>SUM(H122,H118,H64,H17)</f>
        <v>1916.25</v>
      </c>
      <c r="I124" s="145"/>
    </row>
  </sheetData>
  <mergeCells count="14">
    <mergeCell ref="B120:B121"/>
    <mergeCell ref="E118:G118"/>
    <mergeCell ref="B8:B16"/>
    <mergeCell ref="B19:B25"/>
    <mergeCell ref="B27:B34"/>
    <mergeCell ref="B36:B44"/>
    <mergeCell ref="B46:B49"/>
    <mergeCell ref="B51:B62"/>
    <mergeCell ref="B66:B72"/>
    <mergeCell ref="B74:B80"/>
    <mergeCell ref="B82:B88"/>
    <mergeCell ref="B90:B92"/>
    <mergeCell ref="B94:B102"/>
    <mergeCell ref="B104:B116"/>
  </mergeCells>
  <phoneticPr fontId="26" type="noConversion"/>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F5E87AB4-7AD4-4C9B-8EDC-4FC9B731B832}">
          <x14:formula1>
            <xm:f>'Standard rooms list'!$B$3:$B$68</xm:f>
          </x14:formula1>
          <xm:sqref>E78:E80 E49 E56:E59 E82:E95 E19:E25 E120 E27:E34 E36:E44 E47 E97:E102 E51:E54 E104:E108 E110:E113 E66:E72 E74:E76 E8:E12 E14:E16</xm:sqref>
        </x14:dataValidation>
        <x14:dataValidation type="list" allowBlank="1" showInputMessage="1" showErrorMessage="1" xr:uid="{4559B2C3-0D6B-4ED4-901A-CBF525B76EAE}">
          <x14:formula1>
            <xm:f>'Standard rooms list'!$B$3:$B$69</xm:f>
          </x14:formula1>
          <xm:sqref>E48</xm:sqref>
        </x14:dataValidation>
        <x14:dataValidation type="list" allowBlank="1" showInputMessage="1" showErrorMessage="1" xr:uid="{00F1D818-DEC8-457A-8D60-D98051203175}">
          <x14:formula1>
            <xm:f>'Standard rooms list'!$B$3:$B$75</xm:f>
          </x14:formula1>
          <xm:sqref>E96</xm:sqref>
        </x14:dataValidation>
        <x14:dataValidation type="list" allowBlank="1" showInputMessage="1" showErrorMessage="1" xr:uid="{D735D704-C100-4760-9808-C4A75A136CC1}">
          <x14:formula1>
            <xm:f>'Standard rooms list'!$B$3:$B$76</xm:f>
          </x14:formula1>
          <xm:sqref>E121</xm:sqref>
        </x14:dataValidation>
        <x14:dataValidation type="list" allowBlank="1" showInputMessage="1" showErrorMessage="1" xr:uid="{E5518573-F003-47C2-8184-477FA2E1569E}">
          <x14:formula1>
            <xm:f>'Standard rooms list'!$B$3:$B$100</xm:f>
          </x14:formula1>
          <xm:sqref>E46 E77 E13</xm:sqref>
        </x14:dataValidation>
        <x14:dataValidation type="list" allowBlank="1" showInputMessage="1" showErrorMessage="1" xr:uid="{173A1C2F-2B69-486D-8AEF-2BC098527386}">
          <x14:formula1>
            <xm:f>'Standard rooms list'!$B$3:$B$150</xm:f>
          </x14:formula1>
          <xm:sqref>E114:E116 E43 E60:E62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9DF0-73D3-4454-AD7B-DD95539603BD}">
  <sheetPr>
    <tabColor theme="9" tint="0.79998168889431442"/>
  </sheetPr>
  <dimension ref="B2:I80"/>
  <sheetViews>
    <sheetView topLeftCell="D18" zoomScaleNormal="100" workbookViewId="0">
      <selection activeCell="F63" sqref="F63"/>
    </sheetView>
  </sheetViews>
  <sheetFormatPr defaultColWidth="8.53515625" defaultRowHeight="12.45" x14ac:dyDescent="0.3"/>
  <cols>
    <col min="1" max="1" width="3" style="2" customWidth="1"/>
    <col min="2" max="2" width="10.23046875" style="2" customWidth="1"/>
    <col min="3" max="3" width="31.15234375" style="2" customWidth="1"/>
    <col min="4" max="4" width="32.53515625" style="2" bestFit="1" customWidth="1"/>
    <col min="5" max="5" width="45.53515625" style="2" customWidth="1"/>
    <col min="6" max="7" width="17.53515625" style="2" customWidth="1"/>
    <col min="8" max="8" width="13.4609375" style="2" customWidth="1"/>
    <col min="9" max="9" width="113.84375" style="2" customWidth="1"/>
    <col min="10" max="10" width="16.53515625" style="2" customWidth="1"/>
    <col min="11" max="11" width="8.53515625" style="2"/>
    <col min="12" max="12" width="8.84375" style="2" bestFit="1" customWidth="1"/>
    <col min="13" max="16384" width="8.53515625" style="2"/>
  </cols>
  <sheetData>
    <row r="2" spans="2:9" ht="17.600000000000001" x14ac:dyDescent="0.4">
      <c r="B2" s="9" t="s">
        <v>186</v>
      </c>
    </row>
    <row r="4" spans="2:9" x14ac:dyDescent="0.3">
      <c r="B4" s="147"/>
      <c r="C4" s="2" t="s">
        <v>79</v>
      </c>
    </row>
    <row r="6" spans="2:9" x14ac:dyDescent="0.3">
      <c r="C6" s="1"/>
    </row>
    <row r="7" spans="2:9" s="27" customFormat="1" ht="13.75" x14ac:dyDescent="0.3">
      <c r="B7" s="151" t="s">
        <v>80</v>
      </c>
      <c r="C7" s="28" t="s">
        <v>30</v>
      </c>
      <c r="D7" s="23" t="s">
        <v>31</v>
      </c>
      <c r="E7" s="23" t="s">
        <v>81</v>
      </c>
      <c r="F7" s="23" t="s">
        <v>82</v>
      </c>
      <c r="G7" s="23" t="s">
        <v>83</v>
      </c>
      <c r="H7" s="23" t="s">
        <v>84</v>
      </c>
      <c r="I7" s="29" t="s">
        <v>85</v>
      </c>
    </row>
    <row r="8" spans="2:9" s="27" customFormat="1" x14ac:dyDescent="0.3">
      <c r="B8" s="148"/>
      <c r="C8" s="129" t="s">
        <v>38</v>
      </c>
      <c r="D8" s="50"/>
      <c r="E8" s="50"/>
      <c r="F8" s="50"/>
      <c r="G8" s="50"/>
      <c r="H8" s="50"/>
      <c r="I8" s="149"/>
    </row>
    <row r="9" spans="2:9" x14ac:dyDescent="0.3">
      <c r="B9" s="279" t="s">
        <v>86</v>
      </c>
      <c r="C9" s="80" t="s">
        <v>38</v>
      </c>
      <c r="D9" s="60" t="s">
        <v>39</v>
      </c>
      <c r="E9" s="60" t="s">
        <v>187</v>
      </c>
      <c r="F9" s="60">
        <v>1</v>
      </c>
      <c r="G9" s="60">
        <f>VLOOKUP(E9,'Standard rooms list'!$B$3:$C$72,2,FALSE)</f>
        <v>8</v>
      </c>
      <c r="H9" s="60">
        <f>F9*G9</f>
        <v>8</v>
      </c>
      <c r="I9" s="81"/>
    </row>
    <row r="10" spans="2:9" x14ac:dyDescent="0.3">
      <c r="B10" s="280"/>
      <c r="C10" s="80" t="s">
        <v>38</v>
      </c>
      <c r="D10" s="60" t="s">
        <v>39</v>
      </c>
      <c r="E10" s="60" t="s">
        <v>188</v>
      </c>
      <c r="F10" s="60">
        <v>0</v>
      </c>
      <c r="G10" s="60">
        <f>VLOOKUP(E10,'Standard rooms list'!$B$3:$C$72,2,FALSE)</f>
        <v>12</v>
      </c>
      <c r="H10" s="60">
        <f>F10*G10</f>
        <v>0</v>
      </c>
      <c r="I10" s="81" t="s">
        <v>89</v>
      </c>
    </row>
    <row r="11" spans="2:9" x14ac:dyDescent="0.3">
      <c r="B11" s="280"/>
      <c r="C11" s="80" t="s">
        <v>38</v>
      </c>
      <c r="D11" s="60" t="s">
        <v>39</v>
      </c>
      <c r="E11" s="60" t="s">
        <v>90</v>
      </c>
      <c r="F11" s="60">
        <v>1</v>
      </c>
      <c r="G11" s="60">
        <f>VLOOKUP(E11,'Standard rooms list'!$B$3:$C$72,2,FALSE)</f>
        <v>12</v>
      </c>
      <c r="H11" s="60">
        <f>F11*G11</f>
        <v>12</v>
      </c>
      <c r="I11" s="81"/>
    </row>
    <row r="12" spans="2:9" x14ac:dyDescent="0.3">
      <c r="B12" s="280"/>
      <c r="C12" s="80" t="s">
        <v>38</v>
      </c>
      <c r="D12" s="60" t="s">
        <v>39</v>
      </c>
      <c r="E12" s="60" t="s">
        <v>91</v>
      </c>
      <c r="F12" s="60">
        <v>1</v>
      </c>
      <c r="G12" s="60">
        <f>VLOOKUP(E12,'Standard rooms list'!$B$3:$C$72,2,FALSE)</f>
        <v>5</v>
      </c>
      <c r="H12" s="60">
        <f t="shared" ref="H12:H14" si="0">F12*G12</f>
        <v>5</v>
      </c>
      <c r="I12" s="81"/>
    </row>
    <row r="13" spans="2:9" x14ac:dyDescent="0.3">
      <c r="B13" s="280"/>
      <c r="C13" s="80" t="s">
        <v>38</v>
      </c>
      <c r="D13" s="60" t="s">
        <v>39</v>
      </c>
      <c r="E13" s="60" t="s">
        <v>92</v>
      </c>
      <c r="F13" s="60">
        <v>1</v>
      </c>
      <c r="G13" s="60">
        <f>VLOOKUP(E13,'Standard rooms list'!$B$3:$C$100,2,FALSE)</f>
        <v>5.5</v>
      </c>
      <c r="H13" s="60">
        <f t="shared" si="0"/>
        <v>5.5</v>
      </c>
      <c r="I13" s="81"/>
    </row>
    <row r="14" spans="2:9" x14ac:dyDescent="0.3">
      <c r="B14" s="280"/>
      <c r="C14" s="80" t="s">
        <v>38</v>
      </c>
      <c r="D14" s="60" t="s">
        <v>39</v>
      </c>
      <c r="E14" s="60" t="s">
        <v>93</v>
      </c>
      <c r="F14" s="60">
        <v>0</v>
      </c>
      <c r="G14" s="60">
        <f>VLOOKUP(E14,'Standard rooms list'!$B$3:$C$100,2,FALSE)</f>
        <v>8</v>
      </c>
      <c r="H14" s="60">
        <f t="shared" si="0"/>
        <v>0</v>
      </c>
      <c r="I14" s="81" t="s">
        <v>94</v>
      </c>
    </row>
    <row r="15" spans="2:9" x14ac:dyDescent="0.3">
      <c r="B15" s="280"/>
      <c r="C15" s="80" t="s">
        <v>38</v>
      </c>
      <c r="D15" s="60" t="s">
        <v>39</v>
      </c>
      <c r="E15" s="60" t="s">
        <v>101</v>
      </c>
      <c r="F15" s="60">
        <f>(SUM(F26,F27,F28,F29,F30,F21)*2)+(F31*8)</f>
        <v>76</v>
      </c>
      <c r="G15" s="60">
        <f>VLOOKUP(E15,'Standard rooms list'!$B$3:$C$72,2,FALSE)</f>
        <v>2</v>
      </c>
      <c r="H15" s="60">
        <f>F15*G15</f>
        <v>152</v>
      </c>
      <c r="I15" s="81"/>
    </row>
    <row r="16" spans="2:9" x14ac:dyDescent="0.3">
      <c r="B16" s="280"/>
      <c r="C16" s="80" t="s">
        <v>38</v>
      </c>
      <c r="D16" s="60" t="s">
        <v>39</v>
      </c>
      <c r="E16" s="60" t="s">
        <v>103</v>
      </c>
      <c r="F16" s="60">
        <f>ROUNDUP(F15*0.1,0)</f>
        <v>8</v>
      </c>
      <c r="G16" s="60">
        <f>VLOOKUP(E16,'Standard rooms list'!$B$3:$C$72,2,FALSE)</f>
        <v>2</v>
      </c>
      <c r="H16" s="60">
        <f t="shared" ref="H16:H24" si="1">F16*G16</f>
        <v>16</v>
      </c>
      <c r="I16" s="81"/>
    </row>
    <row r="17" spans="2:9" x14ac:dyDescent="0.3">
      <c r="B17" s="280"/>
      <c r="C17" s="80" t="s">
        <v>38</v>
      </c>
      <c r="D17" s="60" t="s">
        <v>39</v>
      </c>
      <c r="E17" s="60" t="s">
        <v>105</v>
      </c>
      <c r="F17" s="60">
        <v>3</v>
      </c>
      <c r="G17" s="60">
        <f>VLOOKUP(E17,'Standard rooms list'!$B$3:$C$72,2,FALSE)</f>
        <v>5.5</v>
      </c>
      <c r="H17" s="60">
        <f t="shared" si="1"/>
        <v>16.5</v>
      </c>
      <c r="I17" s="81" t="s">
        <v>189</v>
      </c>
    </row>
    <row r="18" spans="2:9" x14ac:dyDescent="0.3">
      <c r="B18" s="280"/>
      <c r="C18" s="80" t="s">
        <v>38</v>
      </c>
      <c r="D18" s="60" t="s">
        <v>39</v>
      </c>
      <c r="E18" s="60" t="s">
        <v>107</v>
      </c>
      <c r="F18" s="60">
        <v>3</v>
      </c>
      <c r="G18" s="60">
        <f>VLOOKUP(E18,'Standard rooms list'!$B$3:$C$72,2,FALSE)</f>
        <v>2.5</v>
      </c>
      <c r="H18" s="60">
        <f t="shared" si="1"/>
        <v>7.5</v>
      </c>
      <c r="I18" s="81" t="s">
        <v>189</v>
      </c>
    </row>
    <row r="19" spans="2:9" x14ac:dyDescent="0.3">
      <c r="B19" s="280"/>
      <c r="C19" s="80" t="s">
        <v>38</v>
      </c>
      <c r="D19" s="60" t="s">
        <v>39</v>
      </c>
      <c r="E19" s="60" t="s">
        <v>109</v>
      </c>
      <c r="F19" s="60">
        <v>3</v>
      </c>
      <c r="G19" s="60">
        <f>VLOOKUP(E19,'Standard rooms list'!$B$3:$C$72,2,FALSE)</f>
        <v>2.5</v>
      </c>
      <c r="H19" s="60">
        <f t="shared" si="1"/>
        <v>7.5</v>
      </c>
      <c r="I19" s="81"/>
    </row>
    <row r="20" spans="2:9" x14ac:dyDescent="0.3">
      <c r="B20" s="280"/>
      <c r="C20" s="80" t="s">
        <v>38</v>
      </c>
      <c r="D20" s="60" t="s">
        <v>39</v>
      </c>
      <c r="E20" s="60" t="s">
        <v>98</v>
      </c>
      <c r="F20" s="60">
        <v>2</v>
      </c>
      <c r="G20" s="60">
        <f>VLOOKUP(E20,'Standard rooms list'!$B$3:$C$72,2,FALSE)</f>
        <v>4.5</v>
      </c>
      <c r="H20" s="60">
        <f t="shared" si="1"/>
        <v>9</v>
      </c>
      <c r="I20" s="81"/>
    </row>
    <row r="21" spans="2:9" x14ac:dyDescent="0.3">
      <c r="B21" s="280"/>
      <c r="C21" s="80" t="s">
        <v>38</v>
      </c>
      <c r="D21" s="60" t="s">
        <v>39</v>
      </c>
      <c r="E21" s="152" t="s">
        <v>111</v>
      </c>
      <c r="F21" s="152">
        <v>2</v>
      </c>
      <c r="G21" s="60">
        <f>VLOOKUP(E21,'Standard rooms list'!$B$3:$C$72,2,FALSE)</f>
        <v>8</v>
      </c>
      <c r="H21" s="60">
        <f t="shared" si="1"/>
        <v>16</v>
      </c>
      <c r="I21" s="81"/>
    </row>
    <row r="22" spans="2:9" x14ac:dyDescent="0.3">
      <c r="B22" s="280"/>
      <c r="C22" s="80" t="s">
        <v>38</v>
      </c>
      <c r="D22" s="60" t="s">
        <v>39</v>
      </c>
      <c r="E22" s="60" t="s">
        <v>95</v>
      </c>
      <c r="F22" s="60">
        <v>1</v>
      </c>
      <c r="G22" s="60">
        <f>VLOOKUP(E22,'Standard rooms list'!$B$3:$C$72,2,FALSE)</f>
        <v>16</v>
      </c>
      <c r="H22" s="60">
        <f t="shared" si="1"/>
        <v>16</v>
      </c>
      <c r="I22" s="81"/>
    </row>
    <row r="23" spans="2:9" x14ac:dyDescent="0.3">
      <c r="B23" s="280"/>
      <c r="C23" s="80" t="s">
        <v>38</v>
      </c>
      <c r="D23" s="60" t="s">
        <v>39</v>
      </c>
      <c r="E23" s="60" t="s">
        <v>96</v>
      </c>
      <c r="F23" s="60">
        <v>1</v>
      </c>
      <c r="G23" s="60">
        <f>VLOOKUP(E23,'Standard rooms list'!$B$3:$C$72,2,FALSE)</f>
        <v>10</v>
      </c>
      <c r="H23" s="60">
        <f t="shared" si="1"/>
        <v>10</v>
      </c>
      <c r="I23" s="81" t="s">
        <v>97</v>
      </c>
    </row>
    <row r="24" spans="2:9" x14ac:dyDescent="0.3">
      <c r="B24" s="281"/>
      <c r="C24" s="80" t="s">
        <v>38</v>
      </c>
      <c r="D24" s="60" t="s">
        <v>39</v>
      </c>
      <c r="E24" s="60" t="s">
        <v>190</v>
      </c>
      <c r="F24" s="60">
        <v>0</v>
      </c>
      <c r="G24" s="60">
        <v>150</v>
      </c>
      <c r="H24" s="60">
        <f t="shared" si="1"/>
        <v>0</v>
      </c>
      <c r="I24" s="81"/>
    </row>
    <row r="25" spans="2:9" s="27" customFormat="1" x14ac:dyDescent="0.3">
      <c r="B25" s="117"/>
      <c r="C25" s="126"/>
      <c r="D25" s="126"/>
      <c r="E25" s="126"/>
      <c r="F25" s="126"/>
      <c r="G25" s="126" t="s">
        <v>47</v>
      </c>
      <c r="H25" s="126">
        <f>SUM(H9:H24)</f>
        <v>281</v>
      </c>
      <c r="I25" s="131"/>
    </row>
    <row r="26" spans="2:9" x14ac:dyDescent="0.3">
      <c r="B26" s="279" t="s">
        <v>86</v>
      </c>
      <c r="C26" s="80" t="s">
        <v>42</v>
      </c>
      <c r="D26" s="60" t="s">
        <v>112</v>
      </c>
      <c r="E26" s="152" t="s">
        <v>111</v>
      </c>
      <c r="F26" s="152">
        <v>1</v>
      </c>
      <c r="G26" s="60">
        <f>VLOOKUP(E26,'Standard rooms list'!$B$3:$C$72,2,FALSE)</f>
        <v>8</v>
      </c>
      <c r="H26" s="60">
        <f>G26*F26</f>
        <v>8</v>
      </c>
      <c r="I26" s="81"/>
    </row>
    <row r="27" spans="2:9" x14ac:dyDescent="0.3">
      <c r="B27" s="280"/>
      <c r="C27" s="80" t="s">
        <v>42</v>
      </c>
      <c r="D27" s="60" t="s">
        <v>112</v>
      </c>
      <c r="E27" s="152" t="s">
        <v>113</v>
      </c>
      <c r="F27" s="152">
        <v>9</v>
      </c>
      <c r="G27" s="60">
        <f>VLOOKUP(E27,'Standard rooms list'!$B$3:$C$72,2,FALSE)</f>
        <v>13.5</v>
      </c>
      <c r="H27" s="60">
        <f t="shared" ref="H27:H53" si="2">G27*F27</f>
        <v>121.5</v>
      </c>
      <c r="I27" s="81" t="s">
        <v>191</v>
      </c>
    </row>
    <row r="28" spans="2:9" x14ac:dyDescent="0.3">
      <c r="B28" s="280"/>
      <c r="C28" s="80" t="s">
        <v>42</v>
      </c>
      <c r="D28" s="60" t="s">
        <v>112</v>
      </c>
      <c r="E28" s="152" t="s">
        <v>114</v>
      </c>
      <c r="F28" s="152">
        <v>3</v>
      </c>
      <c r="G28" s="60">
        <f>VLOOKUP(E28,'Standard rooms list'!$B$3:$C$72,2,FALSE)</f>
        <v>16</v>
      </c>
      <c r="H28" s="60">
        <f t="shared" si="2"/>
        <v>48</v>
      </c>
      <c r="I28" s="81" t="s">
        <v>192</v>
      </c>
    </row>
    <row r="29" spans="2:9" x14ac:dyDescent="0.3">
      <c r="B29" s="280"/>
      <c r="C29" s="80" t="s">
        <v>42</v>
      </c>
      <c r="D29" s="60" t="s">
        <v>112</v>
      </c>
      <c r="E29" s="152" t="s">
        <v>115</v>
      </c>
      <c r="F29" s="152">
        <v>5</v>
      </c>
      <c r="G29" s="60">
        <f>VLOOKUP(E29,'Standard rooms list'!$B$3:$C$72,2,FALSE)</f>
        <v>16</v>
      </c>
      <c r="H29" s="60">
        <f t="shared" si="2"/>
        <v>80</v>
      </c>
      <c r="I29" s="81" t="s">
        <v>193</v>
      </c>
    </row>
    <row r="30" spans="2:9" x14ac:dyDescent="0.3">
      <c r="B30" s="280"/>
      <c r="C30" s="80" t="s">
        <v>42</v>
      </c>
      <c r="D30" s="60" t="s">
        <v>112</v>
      </c>
      <c r="E30" s="152" t="s">
        <v>117</v>
      </c>
      <c r="F30" s="152">
        <v>2</v>
      </c>
      <c r="G30" s="60">
        <f>VLOOKUP(E30,'Standard rooms list'!$B$3:$C$72,2,FALSE)</f>
        <v>20</v>
      </c>
      <c r="H30" s="60">
        <f t="shared" si="2"/>
        <v>40</v>
      </c>
      <c r="I30" s="81" t="s">
        <v>194</v>
      </c>
    </row>
    <row r="31" spans="2:9" x14ac:dyDescent="0.3">
      <c r="B31" s="280"/>
      <c r="C31" s="80" t="s">
        <v>42</v>
      </c>
      <c r="D31" s="60" t="s">
        <v>112</v>
      </c>
      <c r="E31" s="152" t="s">
        <v>118</v>
      </c>
      <c r="F31" s="152">
        <v>4</v>
      </c>
      <c r="G31" s="60">
        <f>VLOOKUP(E31,'Standard rooms list'!$B$3:$C$72,2,FALSE)</f>
        <v>32.5</v>
      </c>
      <c r="H31" s="60">
        <f>G31*F31</f>
        <v>130</v>
      </c>
      <c r="I31" s="81" t="s">
        <v>119</v>
      </c>
    </row>
    <row r="32" spans="2:9" x14ac:dyDescent="0.3">
      <c r="B32" s="280"/>
      <c r="C32" s="80" t="s">
        <v>42</v>
      </c>
      <c r="D32" s="60" t="s">
        <v>112</v>
      </c>
      <c r="E32" s="60" t="s">
        <v>120</v>
      </c>
      <c r="F32" s="60">
        <v>4</v>
      </c>
      <c r="G32" s="60">
        <f>VLOOKUP(E32,'Standard rooms list'!$B$3:$C$72,2,FALSE)</f>
        <v>5</v>
      </c>
      <c r="H32" s="60">
        <f>G32*F32</f>
        <v>20</v>
      </c>
      <c r="I32" s="81" t="s">
        <v>195</v>
      </c>
    </row>
    <row r="33" spans="2:9" x14ac:dyDescent="0.3">
      <c r="B33" s="280"/>
      <c r="C33" s="80" t="s">
        <v>42</v>
      </c>
      <c r="D33" s="60" t="s">
        <v>112</v>
      </c>
      <c r="E33" s="60" t="s">
        <v>122</v>
      </c>
      <c r="F33" s="60">
        <v>1</v>
      </c>
      <c r="G33" s="60">
        <f>VLOOKUP(E33,'Standard rooms list'!$B$3:$C$72,2,FALSE)</f>
        <v>8</v>
      </c>
      <c r="H33" s="60">
        <f t="shared" si="2"/>
        <v>8</v>
      </c>
      <c r="I33" s="81" t="s">
        <v>196</v>
      </c>
    </row>
    <row r="34" spans="2:9" x14ac:dyDescent="0.3">
      <c r="B34" s="280"/>
      <c r="C34" s="80" t="s">
        <v>42</v>
      </c>
      <c r="D34" s="60" t="s">
        <v>112</v>
      </c>
      <c r="E34" s="2" t="s">
        <v>197</v>
      </c>
      <c r="F34" s="2">
        <v>1</v>
      </c>
      <c r="G34" s="2">
        <f>VLOOKUP(E34,'Standard rooms list'!$B$3:$C$72,2,FALSE)</f>
        <v>3</v>
      </c>
      <c r="H34" s="2">
        <f>G34*F34</f>
        <v>3</v>
      </c>
      <c r="I34" s="15"/>
    </row>
    <row r="35" spans="2:9" x14ac:dyDescent="0.3">
      <c r="B35" s="280"/>
      <c r="C35" s="80" t="s">
        <v>42</v>
      </c>
      <c r="D35" s="60" t="s">
        <v>112</v>
      </c>
      <c r="E35" s="60" t="s">
        <v>124</v>
      </c>
      <c r="F35" s="60">
        <v>3</v>
      </c>
      <c r="G35" s="60">
        <f>VLOOKUP(E35,'Standard rooms list'!$B$3:$C$72,2,FALSE)</f>
        <v>4.5</v>
      </c>
      <c r="H35" s="60">
        <f t="shared" si="2"/>
        <v>13.5</v>
      </c>
      <c r="I35" s="81"/>
    </row>
    <row r="36" spans="2:9" x14ac:dyDescent="0.3">
      <c r="B36" s="280"/>
      <c r="C36" s="80" t="s">
        <v>42</v>
      </c>
      <c r="D36" s="60" t="s">
        <v>112</v>
      </c>
      <c r="E36" s="60" t="s">
        <v>166</v>
      </c>
      <c r="F36" s="60">
        <v>1</v>
      </c>
      <c r="G36" s="60">
        <f>VLOOKUP(E36,'Standard rooms list'!$B$3:$C$72,2,FALSE)</f>
        <v>4.5</v>
      </c>
      <c r="H36" s="60">
        <f t="shared" si="2"/>
        <v>4.5</v>
      </c>
      <c r="I36" s="81"/>
    </row>
    <row r="37" spans="2:9" x14ac:dyDescent="0.3">
      <c r="B37" s="280"/>
      <c r="C37" s="80" t="s">
        <v>42</v>
      </c>
      <c r="D37" s="60" t="s">
        <v>112</v>
      </c>
      <c r="E37" s="60" t="s">
        <v>198</v>
      </c>
      <c r="F37" s="60">
        <v>1</v>
      </c>
      <c r="G37" s="60">
        <v>3</v>
      </c>
      <c r="H37" s="60">
        <f t="shared" si="2"/>
        <v>3</v>
      </c>
      <c r="I37" s="81"/>
    </row>
    <row r="38" spans="2:9" x14ac:dyDescent="0.3">
      <c r="B38" s="280"/>
      <c r="C38" s="80" t="s">
        <v>42</v>
      </c>
      <c r="D38" s="60" t="s">
        <v>112</v>
      </c>
      <c r="E38" s="60" t="s">
        <v>168</v>
      </c>
      <c r="F38" s="60">
        <v>2</v>
      </c>
      <c r="G38" s="60">
        <f>VLOOKUP(E38,'Standard rooms list'!$B$3:$C$72,2,FALSE)</f>
        <v>4.5999999999999996</v>
      </c>
      <c r="H38" s="60">
        <f t="shared" si="2"/>
        <v>9.1999999999999993</v>
      </c>
      <c r="I38" s="81" t="s">
        <v>199</v>
      </c>
    </row>
    <row r="39" spans="2:9" x14ac:dyDescent="0.3">
      <c r="B39" s="281"/>
      <c r="C39" s="80" t="s">
        <v>42</v>
      </c>
      <c r="D39" s="60" t="s">
        <v>112</v>
      </c>
      <c r="E39" s="60" t="s">
        <v>172</v>
      </c>
      <c r="F39" s="60">
        <v>2</v>
      </c>
      <c r="G39" s="60">
        <f>VLOOKUP(E39,'Standard rooms list'!$B$3:$C$75,2,FALSE)</f>
        <v>4</v>
      </c>
      <c r="H39" s="60">
        <f>G39*F39</f>
        <v>8</v>
      </c>
      <c r="I39" s="81" t="s">
        <v>200</v>
      </c>
    </row>
    <row r="40" spans="2:9" s="27" customFormat="1" x14ac:dyDescent="0.3">
      <c r="B40" s="117"/>
      <c r="C40" s="126"/>
      <c r="D40" s="126"/>
      <c r="E40" s="126"/>
      <c r="F40" s="126"/>
      <c r="G40" s="126" t="s">
        <v>47</v>
      </c>
      <c r="H40" s="126">
        <f>SUM(H26:H39)</f>
        <v>496.7</v>
      </c>
      <c r="I40" s="131"/>
    </row>
    <row r="41" spans="2:9" x14ac:dyDescent="0.3">
      <c r="B41" s="279" t="s">
        <v>86</v>
      </c>
      <c r="C41" s="14" t="s">
        <v>201</v>
      </c>
      <c r="D41" s="2" t="s">
        <v>125</v>
      </c>
      <c r="E41" s="2" t="s">
        <v>126</v>
      </c>
      <c r="F41" s="2">
        <v>2</v>
      </c>
      <c r="G41" s="2">
        <f>VLOOKUP(E41,'Standard rooms list'!$B$3:$C$72,2,FALSE)</f>
        <v>8</v>
      </c>
      <c r="H41" s="2">
        <f t="shared" si="2"/>
        <v>16</v>
      </c>
      <c r="I41" s="15" t="s">
        <v>202</v>
      </c>
    </row>
    <row r="42" spans="2:9" x14ac:dyDescent="0.3">
      <c r="B42" s="280"/>
      <c r="C42" s="14" t="s">
        <v>201</v>
      </c>
      <c r="D42" s="2" t="s">
        <v>125</v>
      </c>
      <c r="E42" s="2" t="s">
        <v>128</v>
      </c>
      <c r="F42" s="2">
        <v>2</v>
      </c>
      <c r="G42" s="2">
        <f>VLOOKUP(E42,'Standard rooms list'!$B$3:$C$72,2,FALSE)</f>
        <v>8</v>
      </c>
      <c r="H42" s="2">
        <f t="shared" si="2"/>
        <v>16</v>
      </c>
      <c r="I42" s="15" t="s">
        <v>202</v>
      </c>
    </row>
    <row r="43" spans="2:9" x14ac:dyDescent="0.3">
      <c r="B43" s="280"/>
      <c r="C43" s="14" t="s">
        <v>201</v>
      </c>
      <c r="D43" s="60" t="s">
        <v>125</v>
      </c>
      <c r="E43" s="2" t="s">
        <v>129</v>
      </c>
      <c r="F43" s="2">
        <v>1</v>
      </c>
      <c r="G43" s="2">
        <f>VLOOKUP(E43,'Standard rooms list'!$B$3:$C$72,2,FALSE)</f>
        <v>8</v>
      </c>
      <c r="H43" s="2">
        <f t="shared" si="2"/>
        <v>8</v>
      </c>
      <c r="I43" s="64"/>
    </row>
    <row r="44" spans="2:9" x14ac:dyDescent="0.3">
      <c r="B44" s="280"/>
      <c r="C44" s="14" t="s">
        <v>201</v>
      </c>
      <c r="D44" s="2" t="s">
        <v>125</v>
      </c>
      <c r="E44" s="2" t="s">
        <v>130</v>
      </c>
      <c r="F44" s="2">
        <v>2</v>
      </c>
      <c r="G44" s="2">
        <f>VLOOKUP(E44,'Standard rooms list'!$B$3:$C$72,2,FALSE)</f>
        <v>2</v>
      </c>
      <c r="H44" s="2">
        <f t="shared" si="2"/>
        <v>4</v>
      </c>
      <c r="I44" s="15"/>
    </row>
    <row r="45" spans="2:9" x14ac:dyDescent="0.3">
      <c r="B45" s="280"/>
      <c r="C45" s="14" t="s">
        <v>201</v>
      </c>
      <c r="D45" s="2" t="s">
        <v>125</v>
      </c>
      <c r="E45" s="2" t="s">
        <v>203</v>
      </c>
      <c r="F45" s="2">
        <v>2</v>
      </c>
      <c r="G45" s="2">
        <f>VLOOKUP(E45,'Standard rooms list'!$B$3:$C$72,2,FALSE)</f>
        <v>4</v>
      </c>
      <c r="H45" s="2">
        <f t="shared" si="2"/>
        <v>8</v>
      </c>
      <c r="I45" s="64"/>
    </row>
    <row r="46" spans="2:9" x14ac:dyDescent="0.3">
      <c r="B46" s="280"/>
      <c r="C46" s="14" t="s">
        <v>201</v>
      </c>
      <c r="D46" s="2" t="s">
        <v>125</v>
      </c>
      <c r="E46" s="2" t="s">
        <v>131</v>
      </c>
      <c r="F46" s="2">
        <v>2</v>
      </c>
      <c r="G46" s="2">
        <f>VLOOKUP(E46,'Standard rooms list'!$B$3:$C$72,2,FALSE)</f>
        <v>8</v>
      </c>
      <c r="H46" s="2">
        <f t="shared" si="2"/>
        <v>16</v>
      </c>
      <c r="I46" s="15" t="s">
        <v>132</v>
      </c>
    </row>
    <row r="47" spans="2:9" x14ac:dyDescent="0.3">
      <c r="B47" s="280"/>
      <c r="C47" s="14" t="s">
        <v>201</v>
      </c>
      <c r="D47" s="2" t="s">
        <v>125</v>
      </c>
      <c r="E47" s="2" t="s">
        <v>133</v>
      </c>
      <c r="F47" s="2">
        <v>1</v>
      </c>
      <c r="G47" s="2">
        <f>VLOOKUP(E47,'Standard rooms list'!$B$3:$C$72,2,FALSE)</f>
        <v>2</v>
      </c>
      <c r="H47" s="2">
        <f t="shared" si="2"/>
        <v>2</v>
      </c>
      <c r="I47" s="64"/>
    </row>
    <row r="48" spans="2:9" x14ac:dyDescent="0.3">
      <c r="B48" s="280"/>
      <c r="C48" s="14" t="s">
        <v>201</v>
      </c>
      <c r="D48" s="2" t="s">
        <v>125</v>
      </c>
      <c r="E48" s="2" t="s">
        <v>204</v>
      </c>
      <c r="F48" s="2">
        <v>1</v>
      </c>
      <c r="G48" s="2">
        <f>VLOOKUP(E48,'Standard rooms list'!$B$3:$C$72,2,FALSE)</f>
        <v>15</v>
      </c>
      <c r="H48" s="2">
        <f t="shared" si="2"/>
        <v>15</v>
      </c>
      <c r="I48" s="15" t="s">
        <v>205</v>
      </c>
    </row>
    <row r="49" spans="2:9" x14ac:dyDescent="0.3">
      <c r="B49" s="280"/>
      <c r="C49" s="14" t="s">
        <v>201</v>
      </c>
      <c r="D49" s="2" t="s">
        <v>125</v>
      </c>
      <c r="E49" s="2" t="s">
        <v>96</v>
      </c>
      <c r="F49" s="2">
        <v>1</v>
      </c>
      <c r="G49" s="2">
        <f>VLOOKUP(E49,'Standard rooms list'!$B$3:$C$72,2,FALSE)</f>
        <v>10</v>
      </c>
      <c r="H49" s="2">
        <f t="shared" si="2"/>
        <v>10</v>
      </c>
      <c r="I49" s="15" t="s">
        <v>206</v>
      </c>
    </row>
    <row r="50" spans="2:9" x14ac:dyDescent="0.3">
      <c r="B50" s="280"/>
      <c r="C50" s="14" t="s">
        <v>201</v>
      </c>
      <c r="D50" s="2" t="s">
        <v>125</v>
      </c>
      <c r="E50" s="2" t="s">
        <v>136</v>
      </c>
      <c r="F50" s="2">
        <v>2</v>
      </c>
      <c r="G50" s="2">
        <f>VLOOKUP(E50,'Standard rooms list'!$B$3:$C$72,2,FALSE)</f>
        <v>2</v>
      </c>
      <c r="H50" s="2">
        <f t="shared" si="2"/>
        <v>4</v>
      </c>
      <c r="I50" s="15" t="s">
        <v>207</v>
      </c>
    </row>
    <row r="51" spans="2:9" x14ac:dyDescent="0.3">
      <c r="B51" s="280"/>
      <c r="C51" s="14" t="s">
        <v>201</v>
      </c>
      <c r="D51" s="2" t="s">
        <v>125</v>
      </c>
      <c r="E51" s="2" t="s">
        <v>182</v>
      </c>
      <c r="F51" s="2">
        <v>1</v>
      </c>
      <c r="G51" s="2">
        <f>VLOOKUP(E51,'Standard rooms list'!$B$3:$C$72,2,FALSE)</f>
        <v>8</v>
      </c>
      <c r="H51" s="2">
        <f t="shared" si="2"/>
        <v>8</v>
      </c>
      <c r="I51" s="15"/>
    </row>
    <row r="52" spans="2:9" x14ac:dyDescent="0.3">
      <c r="B52" s="280"/>
      <c r="C52" s="14" t="s">
        <v>201</v>
      </c>
      <c r="D52" s="2" t="s">
        <v>125</v>
      </c>
      <c r="E52" s="2" t="s">
        <v>135</v>
      </c>
      <c r="F52" s="2">
        <v>2</v>
      </c>
      <c r="G52" s="2">
        <f>VLOOKUP(E52,'Standard rooms list'!$B$3:$C$72,2,FALSE)</f>
        <v>8</v>
      </c>
      <c r="H52" s="2">
        <f t="shared" si="2"/>
        <v>16</v>
      </c>
      <c r="I52" s="15" t="s">
        <v>207</v>
      </c>
    </row>
    <row r="53" spans="2:9" x14ac:dyDescent="0.3">
      <c r="B53" s="281"/>
      <c r="C53" s="80" t="s">
        <v>201</v>
      </c>
      <c r="D53" s="60" t="s">
        <v>125</v>
      </c>
      <c r="E53" s="60" t="s">
        <v>184</v>
      </c>
      <c r="F53" s="60">
        <v>1</v>
      </c>
      <c r="G53" s="60">
        <v>10</v>
      </c>
      <c r="H53" s="60">
        <f t="shared" si="2"/>
        <v>10</v>
      </c>
      <c r="I53" s="81"/>
    </row>
    <row r="54" spans="2:9" s="27" customFormat="1" x14ac:dyDescent="0.3">
      <c r="B54" s="117"/>
      <c r="C54" s="126"/>
      <c r="D54" s="126"/>
      <c r="E54" s="126"/>
      <c r="F54" s="126"/>
      <c r="G54" s="126" t="s">
        <v>47</v>
      </c>
      <c r="H54" s="126">
        <f>SUM(H41:H53)</f>
        <v>133</v>
      </c>
      <c r="I54" s="131"/>
    </row>
    <row r="55" spans="2:9" x14ac:dyDescent="0.3">
      <c r="B55" s="279" t="s">
        <v>86</v>
      </c>
      <c r="C55" s="80" t="s">
        <v>45</v>
      </c>
      <c r="D55" s="60" t="s">
        <v>45</v>
      </c>
      <c r="E55" s="60" t="s">
        <v>137</v>
      </c>
      <c r="F55" s="60">
        <v>1</v>
      </c>
      <c r="G55" s="60">
        <f>VLOOKUP(E55,'Standard rooms list'!$B$3:$C$100,2,FALSE)</f>
        <v>4.5</v>
      </c>
      <c r="H55" s="60">
        <f>F55*G55</f>
        <v>4.5</v>
      </c>
      <c r="I55" s="81"/>
    </row>
    <row r="56" spans="2:9" x14ac:dyDescent="0.3">
      <c r="B56" s="280"/>
      <c r="C56" s="80" t="s">
        <v>45</v>
      </c>
      <c r="D56" s="60" t="s">
        <v>45</v>
      </c>
      <c r="E56" s="60" t="s">
        <v>138</v>
      </c>
      <c r="F56" s="60">
        <v>1</v>
      </c>
      <c r="G56" s="60">
        <f>VLOOKUP(E56,'Standard rooms list'!$B$3:$C$72,2,FALSE)</f>
        <v>6</v>
      </c>
      <c r="H56" s="60">
        <f t="shared" ref="H56:H58" si="3">F56*G56</f>
        <v>6</v>
      </c>
      <c r="I56" s="81"/>
    </row>
    <row r="57" spans="2:9" x14ac:dyDescent="0.3">
      <c r="B57" s="280"/>
      <c r="C57" s="80" t="s">
        <v>45</v>
      </c>
      <c r="D57" s="60" t="s">
        <v>45</v>
      </c>
      <c r="E57" s="60" t="s">
        <v>139</v>
      </c>
      <c r="F57" s="60">
        <v>1</v>
      </c>
      <c r="G57" s="60">
        <f>VLOOKUP(E57,'Standard rooms list'!$B$3:$C$72,2,FALSE)</f>
        <v>4</v>
      </c>
      <c r="H57" s="60">
        <f t="shared" si="3"/>
        <v>4</v>
      </c>
      <c r="I57" s="81"/>
    </row>
    <row r="58" spans="2:9" x14ac:dyDescent="0.3">
      <c r="B58" s="281"/>
      <c r="C58" s="80" t="s">
        <v>45</v>
      </c>
      <c r="D58" s="60" t="s">
        <v>45</v>
      </c>
      <c r="E58" s="60" t="s">
        <v>101</v>
      </c>
      <c r="F58" s="60">
        <v>6</v>
      </c>
      <c r="G58" s="60">
        <f>VLOOKUP(E58,'Standard rooms list'!$B$3:$C$72,2,FALSE)</f>
        <v>2</v>
      </c>
      <c r="H58" s="60">
        <f t="shared" si="3"/>
        <v>12</v>
      </c>
      <c r="I58" s="81"/>
    </row>
    <row r="59" spans="2:9" s="27" customFormat="1" x14ac:dyDescent="0.3">
      <c r="B59" s="117"/>
      <c r="C59" s="126"/>
      <c r="D59" s="126"/>
      <c r="E59" s="126"/>
      <c r="F59" s="126"/>
      <c r="G59" s="126" t="s">
        <v>47</v>
      </c>
      <c r="H59" s="126">
        <f>SUM(H55:H58)</f>
        <v>26.5</v>
      </c>
      <c r="I59" s="131"/>
    </row>
    <row r="60" spans="2:9" x14ac:dyDescent="0.3">
      <c r="B60" s="279" t="s">
        <v>86</v>
      </c>
      <c r="C60" s="80" t="s">
        <v>140</v>
      </c>
      <c r="D60" s="60" t="s">
        <v>140</v>
      </c>
      <c r="E60" s="152" t="s">
        <v>141</v>
      </c>
      <c r="F60" s="152">
        <v>4</v>
      </c>
      <c r="G60" s="60">
        <f>VLOOKUP(E60,'Standard rooms list'!$B$3:$C$100,2,FALSE)</f>
        <v>4.5999999999999996</v>
      </c>
      <c r="H60" s="60">
        <f t="shared" ref="H60:H77" si="4">G60*F60</f>
        <v>18.399999999999999</v>
      </c>
      <c r="I60" s="81" t="s">
        <v>208</v>
      </c>
    </row>
    <row r="61" spans="2:9" x14ac:dyDescent="0.3">
      <c r="B61" s="280"/>
      <c r="C61" s="80" t="s">
        <v>140</v>
      </c>
      <c r="D61" s="60" t="s">
        <v>140</v>
      </c>
      <c r="E61" s="60" t="s">
        <v>209</v>
      </c>
      <c r="F61" s="60">
        <v>1</v>
      </c>
      <c r="G61" s="60">
        <f>VLOOKUP(E61,'Standard rooms list'!$B$3:$C$100,2,FALSE)</f>
        <v>12</v>
      </c>
      <c r="H61" s="60">
        <f t="shared" si="4"/>
        <v>12</v>
      </c>
      <c r="I61" s="81" t="s">
        <v>210</v>
      </c>
    </row>
    <row r="62" spans="2:9" x14ac:dyDescent="0.3">
      <c r="B62" s="280"/>
      <c r="C62" s="80" t="s">
        <v>140</v>
      </c>
      <c r="D62" s="60" t="s">
        <v>140</v>
      </c>
      <c r="E62" s="60" t="s">
        <v>211</v>
      </c>
      <c r="F62" s="60">
        <v>3</v>
      </c>
      <c r="G62" s="60">
        <f>VLOOKUP(E62,'Standard rooms list'!$B$3:$C$100,2,FALSE)</f>
        <v>8</v>
      </c>
      <c r="H62" s="60">
        <f t="shared" si="4"/>
        <v>24</v>
      </c>
      <c r="I62" s="81" t="s">
        <v>212</v>
      </c>
    </row>
    <row r="63" spans="2:9" x14ac:dyDescent="0.3">
      <c r="B63" s="280"/>
      <c r="C63" s="80" t="s">
        <v>140</v>
      </c>
      <c r="D63" s="60" t="s">
        <v>140</v>
      </c>
      <c r="E63" s="60" t="s">
        <v>213</v>
      </c>
      <c r="F63" s="153">
        <v>13</v>
      </c>
      <c r="G63" s="60">
        <v>8.3000000000000007</v>
      </c>
      <c r="H63" s="60">
        <f t="shared" si="4"/>
        <v>107.9</v>
      </c>
      <c r="I63" s="81" t="s">
        <v>214</v>
      </c>
    </row>
    <row r="64" spans="2:9" ht="12.9" x14ac:dyDescent="0.35">
      <c r="B64" s="280"/>
      <c r="C64" s="80" t="s">
        <v>140</v>
      </c>
      <c r="D64" s="60" t="s">
        <v>140</v>
      </c>
      <c r="E64" s="251" t="s">
        <v>147</v>
      </c>
      <c r="F64" s="252" t="s">
        <v>215</v>
      </c>
      <c r="G64" s="60">
        <v>0.125</v>
      </c>
      <c r="H64" s="253"/>
      <c r="I64" s="254" t="s">
        <v>216</v>
      </c>
    </row>
    <row r="65" spans="2:9" ht="12.9" x14ac:dyDescent="0.35">
      <c r="B65" s="280"/>
      <c r="C65" s="80" t="s">
        <v>140</v>
      </c>
      <c r="D65" s="60" t="s">
        <v>140</v>
      </c>
      <c r="E65" s="251" t="s">
        <v>217</v>
      </c>
      <c r="F65" s="252" t="s">
        <v>215</v>
      </c>
      <c r="G65" s="60">
        <v>6</v>
      </c>
      <c r="H65" s="253"/>
      <c r="I65" s="254" t="s">
        <v>218</v>
      </c>
    </row>
    <row r="66" spans="2:9" ht="12.9" x14ac:dyDescent="0.35">
      <c r="B66" s="280"/>
      <c r="C66" s="80" t="s">
        <v>140</v>
      </c>
      <c r="D66" s="60" t="s">
        <v>140</v>
      </c>
      <c r="E66" s="251" t="s">
        <v>111</v>
      </c>
      <c r="F66" s="255" t="s">
        <v>215</v>
      </c>
      <c r="G66" s="60">
        <f>VLOOKUP(E66,'Standard rooms list'!$B$3:$C$100,2,FALSE)</f>
        <v>8</v>
      </c>
      <c r="H66" s="60"/>
      <c r="I66" s="254" t="s">
        <v>219</v>
      </c>
    </row>
    <row r="67" spans="2:9" ht="12.9" x14ac:dyDescent="0.35">
      <c r="B67" s="280"/>
      <c r="C67" s="80" t="s">
        <v>140</v>
      </c>
      <c r="D67" s="60" t="s">
        <v>140</v>
      </c>
      <c r="E67" s="251" t="s">
        <v>220</v>
      </c>
      <c r="F67" s="255" t="s">
        <v>215</v>
      </c>
      <c r="G67" s="60">
        <v>6</v>
      </c>
      <c r="H67" s="60"/>
      <c r="I67" s="254" t="s">
        <v>219</v>
      </c>
    </row>
    <row r="68" spans="2:9" ht="12.9" x14ac:dyDescent="0.35">
      <c r="B68" s="280"/>
      <c r="C68" s="80" t="s">
        <v>140</v>
      </c>
      <c r="D68" s="60" t="s">
        <v>140</v>
      </c>
      <c r="E68" s="251" t="s">
        <v>221</v>
      </c>
      <c r="F68" s="252" t="s">
        <v>215</v>
      </c>
      <c r="G68" s="60">
        <v>0.75</v>
      </c>
      <c r="H68" s="60"/>
      <c r="I68" s="254" t="s">
        <v>216</v>
      </c>
    </row>
    <row r="69" spans="2:9" x14ac:dyDescent="0.3">
      <c r="B69" s="280"/>
      <c r="C69" s="80" t="s">
        <v>140</v>
      </c>
      <c r="D69" s="60" t="s">
        <v>140</v>
      </c>
      <c r="E69" s="60" t="s">
        <v>222</v>
      </c>
      <c r="F69" s="153">
        <v>5</v>
      </c>
      <c r="G69" s="60">
        <f>VLOOKUP(E69,'Standard rooms list'!$B$3:$C$100,2,FALSE)</f>
        <v>3</v>
      </c>
      <c r="H69" s="60">
        <f>G69*F69</f>
        <v>15</v>
      </c>
      <c r="I69" s="81" t="s">
        <v>223</v>
      </c>
    </row>
    <row r="70" spans="2:9" x14ac:dyDescent="0.3">
      <c r="B70" s="280"/>
      <c r="C70" s="80" t="s">
        <v>140</v>
      </c>
      <c r="D70" s="60" t="s">
        <v>140</v>
      </c>
      <c r="E70" s="60" t="s">
        <v>148</v>
      </c>
      <c r="F70" s="60">
        <v>6</v>
      </c>
      <c r="G70" s="60">
        <f>VLOOKUP(E70,'Standard rooms list'!$B$3:$C$100,2,FALSE)</f>
        <v>2</v>
      </c>
      <c r="H70" s="60">
        <f t="shared" si="4"/>
        <v>12</v>
      </c>
      <c r="I70" s="81" t="s">
        <v>224</v>
      </c>
    </row>
    <row r="71" spans="2:9" x14ac:dyDescent="0.3">
      <c r="B71" s="280"/>
      <c r="C71" s="80" t="s">
        <v>140</v>
      </c>
      <c r="D71" s="60" t="s">
        <v>140</v>
      </c>
      <c r="E71" s="60" t="s">
        <v>150</v>
      </c>
      <c r="F71" s="60">
        <v>1</v>
      </c>
      <c r="G71" s="60">
        <f>VLOOKUP(E71,'Standard rooms list'!$B$3:$C$100,2,FALSE)</f>
        <v>4.5</v>
      </c>
      <c r="H71" s="60">
        <f t="shared" si="4"/>
        <v>4.5</v>
      </c>
      <c r="I71" s="81"/>
    </row>
    <row r="72" spans="2:9" x14ac:dyDescent="0.3">
      <c r="B72" s="280"/>
      <c r="C72" s="80" t="s">
        <v>140</v>
      </c>
      <c r="D72" s="60" t="s">
        <v>140</v>
      </c>
      <c r="E72" s="60" t="s">
        <v>225</v>
      </c>
      <c r="F72" s="60">
        <v>21</v>
      </c>
      <c r="G72" s="60">
        <v>1.5</v>
      </c>
      <c r="H72" s="60">
        <f t="shared" si="4"/>
        <v>31.5</v>
      </c>
      <c r="I72" s="81" t="s">
        <v>226</v>
      </c>
    </row>
    <row r="73" spans="2:9" x14ac:dyDescent="0.3">
      <c r="B73" s="280"/>
      <c r="C73" s="80" t="s">
        <v>140</v>
      </c>
      <c r="D73" s="60" t="s">
        <v>140</v>
      </c>
      <c r="E73" s="60" t="s">
        <v>227</v>
      </c>
      <c r="F73" s="60">
        <v>3</v>
      </c>
      <c r="G73" s="60">
        <v>3</v>
      </c>
      <c r="H73" s="60">
        <f t="shared" si="4"/>
        <v>9</v>
      </c>
      <c r="I73" s="81"/>
    </row>
    <row r="74" spans="2:9" x14ac:dyDescent="0.3">
      <c r="B74" s="280"/>
      <c r="C74" s="80" t="s">
        <v>140</v>
      </c>
      <c r="D74" s="60" t="s">
        <v>140</v>
      </c>
      <c r="E74" s="60" t="s">
        <v>228</v>
      </c>
      <c r="F74" s="60">
        <v>1</v>
      </c>
      <c r="G74" s="60">
        <v>12</v>
      </c>
      <c r="H74" s="60">
        <f t="shared" si="4"/>
        <v>12</v>
      </c>
      <c r="I74" s="81"/>
    </row>
    <row r="75" spans="2:9" x14ac:dyDescent="0.3">
      <c r="B75" s="280"/>
      <c r="C75" s="80" t="s">
        <v>140</v>
      </c>
      <c r="D75" s="60" t="s">
        <v>140</v>
      </c>
      <c r="E75" s="84" t="s">
        <v>155</v>
      </c>
      <c r="F75" s="60">
        <v>6</v>
      </c>
      <c r="G75" s="60">
        <f>VLOOKUP(E75,'Standard rooms list'!$B$3:$C$100,2,FALSE)</f>
        <v>0.5</v>
      </c>
      <c r="H75" s="60">
        <f t="shared" ref="H75:H76" si="5">G75*F75</f>
        <v>3</v>
      </c>
      <c r="I75" s="81" t="s">
        <v>229</v>
      </c>
    </row>
    <row r="76" spans="2:9" x14ac:dyDescent="0.3">
      <c r="B76" s="280"/>
      <c r="C76" s="80" t="s">
        <v>140</v>
      </c>
      <c r="D76" s="60" t="s">
        <v>140</v>
      </c>
      <c r="E76" s="84" t="s">
        <v>137</v>
      </c>
      <c r="F76" s="60">
        <v>1</v>
      </c>
      <c r="G76" s="60">
        <f>VLOOKUP(E76,'Standard rooms list'!$B$3:$C$100,2,FALSE)</f>
        <v>4.5</v>
      </c>
      <c r="H76" s="60">
        <f t="shared" si="5"/>
        <v>4.5</v>
      </c>
      <c r="I76" s="81"/>
    </row>
    <row r="77" spans="2:9" ht="24.9" x14ac:dyDescent="0.3">
      <c r="B77" s="281"/>
      <c r="C77" s="80" t="s">
        <v>140</v>
      </c>
      <c r="D77" s="154" t="s">
        <v>140</v>
      </c>
      <c r="E77" s="154" t="s">
        <v>153</v>
      </c>
      <c r="F77" s="154">
        <v>26</v>
      </c>
      <c r="G77" s="154">
        <f>VLOOKUP(E77,'Standard rooms list'!$B$3:$C$100,2,FALSE)</f>
        <v>1.4</v>
      </c>
      <c r="H77" s="154">
        <f t="shared" si="4"/>
        <v>36.4</v>
      </c>
      <c r="I77" s="116" t="s">
        <v>230</v>
      </c>
    </row>
    <row r="78" spans="2:9" s="27" customFormat="1" x14ac:dyDescent="0.3">
      <c r="B78" s="130"/>
      <c r="C78" s="126"/>
      <c r="D78" s="126"/>
      <c r="E78" s="126"/>
      <c r="F78" s="126"/>
      <c r="G78" s="126" t="s">
        <v>47</v>
      </c>
      <c r="H78" s="150">
        <f>SUM(H60:H77)</f>
        <v>290.2</v>
      </c>
      <c r="I78" s="131"/>
    </row>
    <row r="80" spans="2:9" x14ac:dyDescent="0.3">
      <c r="B80" s="20"/>
      <c r="C80" s="21"/>
      <c r="D80" s="21"/>
      <c r="E80" s="21"/>
      <c r="F80" s="21"/>
      <c r="G80" s="23" t="s">
        <v>185</v>
      </c>
      <c r="H80" s="109">
        <f>SUM(H78,H59,H54,H40,H25)</f>
        <v>1227.4000000000001</v>
      </c>
      <c r="I80" s="22"/>
    </row>
  </sheetData>
  <mergeCells count="5">
    <mergeCell ref="B9:B24"/>
    <mergeCell ref="B26:B39"/>
    <mergeCell ref="B41:B53"/>
    <mergeCell ref="B55:B58"/>
    <mergeCell ref="B60:B77"/>
  </mergeCells>
  <phoneticPr fontId="26" type="noConversion"/>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32ED5E29-E142-4578-8B11-7D1A85B82BE9}">
          <x14:formula1>
            <xm:f>'Standard rooms list'!$B$3:$B$72</xm:f>
          </x14:formula1>
          <xm:sqref>E38 E54 E66 E40:E52 E9:E13 E15:E23 E25:E36 E69:E71 E59:E62</xm:sqref>
        </x14:dataValidation>
        <x14:dataValidation type="list" allowBlank="1" showInputMessage="1" showErrorMessage="1" xr:uid="{2BCCFDBC-E434-4C36-B34D-5F3BBF0FEF92}">
          <x14:formula1>
            <xm:f>'Standard rooms list'!$B$3:$B$76</xm:f>
          </x14:formula1>
          <xm:sqref>E39 E53</xm:sqref>
        </x14:dataValidation>
        <x14:dataValidation type="list" allowBlank="1" showInputMessage="1" showErrorMessage="1" xr:uid="{C4A1E65D-854D-4AA1-8B3D-D105ADE74CD5}">
          <x14:formula1>
            <xm:f>'Standard rooms list'!$B$3:$B$100</xm:f>
          </x14:formula1>
          <xm:sqref>E55:E58 E14 E75:E77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7DA55-9F5C-4AB7-B6F0-335423E80F84}">
  <sheetPr>
    <tabColor theme="5" tint="0.79998168889431442"/>
  </sheetPr>
  <dimension ref="B3:K282"/>
  <sheetViews>
    <sheetView topLeftCell="A160" zoomScale="58" zoomScaleNormal="70" workbookViewId="0">
      <selection activeCell="E211" sqref="E211"/>
    </sheetView>
  </sheetViews>
  <sheetFormatPr defaultColWidth="8.53515625" defaultRowHeight="12.45" x14ac:dyDescent="0.3"/>
  <cols>
    <col min="1" max="1" width="4.84375" style="2" customWidth="1"/>
    <col min="2" max="2" width="12.84375" style="59" customWidth="1"/>
    <col min="3" max="3" width="51.53515625" style="2" bestFit="1" customWidth="1"/>
    <col min="4" max="4" width="35.84375" style="2" bestFit="1" customWidth="1"/>
    <col min="5" max="5" width="50.15234375" style="2" bestFit="1" customWidth="1"/>
    <col min="6" max="6" width="17.53515625" style="2" customWidth="1"/>
    <col min="7" max="7" width="21.84375" style="2" customWidth="1"/>
    <col min="8" max="8" width="13.4609375" style="2" customWidth="1"/>
    <col min="9" max="9" width="145.53515625" style="57" customWidth="1"/>
    <col min="10" max="10" width="58.84375" style="58" customWidth="1"/>
    <col min="11" max="11" width="27.84375" style="58" customWidth="1"/>
    <col min="12" max="12" width="51" style="2" customWidth="1"/>
    <col min="13" max="13" width="32.84375" style="2" bestFit="1" customWidth="1"/>
    <col min="14" max="14" width="50.4609375" style="2" bestFit="1" customWidth="1"/>
    <col min="15" max="15" width="8.84375" style="2" bestFit="1" customWidth="1"/>
    <col min="16" max="17" width="8.53515625" style="2"/>
    <col min="18" max="18" width="84.53515625" style="2" bestFit="1" customWidth="1"/>
    <col min="19" max="16384" width="8.53515625" style="2"/>
  </cols>
  <sheetData>
    <row r="3" spans="2:11" ht="17.600000000000001" x14ac:dyDescent="0.4">
      <c r="B3" s="9" t="s">
        <v>231</v>
      </c>
    </row>
    <row r="5" spans="2:11" x14ac:dyDescent="0.3">
      <c r="B5" s="147"/>
      <c r="C5" s="2" t="s">
        <v>79</v>
      </c>
      <c r="G5" s="57"/>
      <c r="H5" s="58"/>
      <c r="I5" s="58"/>
      <c r="J5" s="2"/>
      <c r="K5" s="2"/>
    </row>
    <row r="6" spans="2:11" x14ac:dyDescent="0.3">
      <c r="G6" s="57"/>
      <c r="H6" s="58"/>
      <c r="I6" s="58"/>
      <c r="J6" s="2"/>
      <c r="K6" s="2"/>
    </row>
    <row r="7" spans="2:11" ht="12.65" customHeight="1" x14ac:dyDescent="0.3">
      <c r="G7" s="57"/>
      <c r="H7" s="58"/>
      <c r="I7" s="58"/>
      <c r="J7" s="2"/>
      <c r="K7" s="2"/>
    </row>
    <row r="8" spans="2:11" ht="12.65" customHeight="1" x14ac:dyDescent="0.3"/>
    <row r="9" spans="2:11" s="27" customFormat="1" ht="13.75" x14ac:dyDescent="0.3">
      <c r="B9" s="151" t="s">
        <v>80</v>
      </c>
      <c r="C9" s="28" t="s">
        <v>30</v>
      </c>
      <c r="D9" s="23" t="s">
        <v>31</v>
      </c>
      <c r="E9" s="23" t="s">
        <v>81</v>
      </c>
      <c r="F9" s="23" t="s">
        <v>82</v>
      </c>
      <c r="G9" s="23" t="s">
        <v>83</v>
      </c>
      <c r="H9" s="23" t="s">
        <v>84</v>
      </c>
      <c r="I9" s="29" t="s">
        <v>85</v>
      </c>
    </row>
    <row r="10" spans="2:11" s="27" customFormat="1" ht="12.65" customHeight="1" x14ac:dyDescent="0.3">
      <c r="B10" s="148"/>
      <c r="C10" s="129" t="s">
        <v>38</v>
      </c>
      <c r="D10" s="50"/>
      <c r="E10" s="50"/>
      <c r="F10" s="50"/>
      <c r="G10" s="50"/>
      <c r="H10" s="50"/>
      <c r="I10" s="149"/>
    </row>
    <row r="11" spans="2:11" ht="12.65" customHeight="1" x14ac:dyDescent="0.3">
      <c r="B11" s="279" t="s">
        <v>232</v>
      </c>
      <c r="C11" s="160" t="s">
        <v>233</v>
      </c>
      <c r="D11" s="161" t="s">
        <v>39</v>
      </c>
      <c r="E11" s="161" t="s">
        <v>187</v>
      </c>
      <c r="F11" s="162">
        <v>1</v>
      </c>
      <c r="G11" s="161">
        <f>VLOOKUP(E11,'Standard rooms list'!$B$3:$C$58,2,FALSE)</f>
        <v>8</v>
      </c>
      <c r="H11" s="163">
        <f>F11*G11</f>
        <v>8</v>
      </c>
      <c r="I11" s="164"/>
      <c r="J11" s="2"/>
      <c r="K11" s="2"/>
    </row>
    <row r="12" spans="2:11" ht="12.65" customHeight="1" x14ac:dyDescent="0.3">
      <c r="B12" s="280"/>
      <c r="C12" s="160" t="s">
        <v>233</v>
      </c>
      <c r="D12" s="165" t="s">
        <v>39</v>
      </c>
      <c r="E12" s="165" t="s">
        <v>188</v>
      </c>
      <c r="F12" s="166">
        <v>0</v>
      </c>
      <c r="G12" s="161">
        <f>VLOOKUP(E12,'Standard rooms list'!$B$3:$C$58,2,FALSE)</f>
        <v>12</v>
      </c>
      <c r="H12" s="167">
        <f>F12*G12</f>
        <v>0</v>
      </c>
      <c r="I12" s="168" t="s">
        <v>234</v>
      </c>
      <c r="J12" s="2"/>
      <c r="K12" s="2"/>
    </row>
    <row r="13" spans="2:11" x14ac:dyDescent="0.3">
      <c r="B13" s="280"/>
      <c r="C13" s="160" t="s">
        <v>233</v>
      </c>
      <c r="D13" s="169" t="s">
        <v>39</v>
      </c>
      <c r="E13" s="169" t="s">
        <v>101</v>
      </c>
      <c r="F13" s="169">
        <v>4</v>
      </c>
      <c r="G13" s="169">
        <f>VLOOKUP(E13,'Standard rooms list'!$B$3:$C$69,2,FALSE)</f>
        <v>2</v>
      </c>
      <c r="H13" s="169">
        <f>F13*G13</f>
        <v>8</v>
      </c>
      <c r="I13" s="174" t="s">
        <v>235</v>
      </c>
      <c r="J13" s="2"/>
      <c r="K13" s="2"/>
    </row>
    <row r="14" spans="2:11" x14ac:dyDescent="0.3">
      <c r="B14" s="280"/>
      <c r="C14" s="160" t="s">
        <v>233</v>
      </c>
      <c r="D14" s="161" t="s">
        <v>39</v>
      </c>
      <c r="E14" s="161" t="s">
        <v>103</v>
      </c>
      <c r="F14" s="161">
        <v>3</v>
      </c>
      <c r="G14" s="161">
        <f>VLOOKUP(E14,'Standard rooms list'!$B$3:$C$69,2,FALSE)</f>
        <v>2</v>
      </c>
      <c r="H14" s="161">
        <f>F14*G14</f>
        <v>6</v>
      </c>
      <c r="I14" s="164" t="s">
        <v>104</v>
      </c>
      <c r="J14" s="2"/>
      <c r="K14" s="2"/>
    </row>
    <row r="15" spans="2:11" x14ac:dyDescent="0.3">
      <c r="B15" s="280"/>
      <c r="C15" s="160" t="s">
        <v>233</v>
      </c>
      <c r="D15" s="161" t="s">
        <v>39</v>
      </c>
      <c r="E15" s="161" t="s">
        <v>105</v>
      </c>
      <c r="F15" s="161">
        <v>1</v>
      </c>
      <c r="G15" s="161">
        <f>VLOOKUP(E15,'Standard rooms list'!$B$3:$C$69,2,FALSE)</f>
        <v>5.5</v>
      </c>
      <c r="H15" s="161">
        <f>F15*G15</f>
        <v>5.5</v>
      </c>
      <c r="I15" s="164" t="s">
        <v>236</v>
      </c>
      <c r="J15" s="2"/>
      <c r="K15" s="2"/>
    </row>
    <row r="16" spans="2:11" x14ac:dyDescent="0.3">
      <c r="B16" s="280"/>
      <c r="C16" s="160" t="s">
        <v>233</v>
      </c>
      <c r="D16" s="161" t="s">
        <v>39</v>
      </c>
      <c r="E16" s="161" t="s">
        <v>91</v>
      </c>
      <c r="F16" s="162">
        <v>1</v>
      </c>
      <c r="G16" s="161">
        <f>VLOOKUP(E16,'Standard rooms list'!$B$3:$C$58,2,FALSE)</f>
        <v>5</v>
      </c>
      <c r="H16" s="163">
        <f t="shared" ref="H16:H19" si="0">F16*G16</f>
        <v>5</v>
      </c>
      <c r="I16" s="164"/>
      <c r="J16" s="2"/>
      <c r="K16" s="2"/>
    </row>
    <row r="17" spans="2:11" x14ac:dyDescent="0.3">
      <c r="B17" s="280"/>
      <c r="C17" s="160" t="s">
        <v>233</v>
      </c>
      <c r="D17" s="161" t="s">
        <v>39</v>
      </c>
      <c r="E17" s="161" t="s">
        <v>92</v>
      </c>
      <c r="F17" s="162">
        <v>1</v>
      </c>
      <c r="G17" s="161">
        <f>VLOOKUP(E17,'Standard rooms list'!$B$3:$C$58,2,FALSE)</f>
        <v>5.5</v>
      </c>
      <c r="H17" s="163">
        <f t="shared" si="0"/>
        <v>5.5</v>
      </c>
      <c r="I17" s="164"/>
      <c r="J17" s="2"/>
      <c r="K17" s="2"/>
    </row>
    <row r="18" spans="2:11" x14ac:dyDescent="0.3">
      <c r="B18" s="280"/>
      <c r="C18" s="160" t="s">
        <v>233</v>
      </c>
      <c r="D18" s="161" t="s">
        <v>39</v>
      </c>
      <c r="E18" s="161" t="s">
        <v>90</v>
      </c>
      <c r="F18" s="162">
        <v>1</v>
      </c>
      <c r="G18" s="161">
        <f>VLOOKUP(E18,'Standard rooms list'!$B$3:$C$58,2,FALSE)</f>
        <v>12</v>
      </c>
      <c r="H18" s="163">
        <f t="shared" si="0"/>
        <v>12</v>
      </c>
      <c r="I18" s="164"/>
      <c r="J18" s="2"/>
      <c r="K18" s="2"/>
    </row>
    <row r="19" spans="2:11" ht="12.65" customHeight="1" x14ac:dyDescent="0.3">
      <c r="B19" s="280"/>
      <c r="C19" s="160" t="s">
        <v>233</v>
      </c>
      <c r="D19" s="161" t="s">
        <v>39</v>
      </c>
      <c r="E19" s="154" t="s">
        <v>93</v>
      </c>
      <c r="F19" s="154">
        <v>1</v>
      </c>
      <c r="G19" s="161">
        <f>VLOOKUP(E19,'Standard rooms list'!$B$3:$C$74,2,FALSE)</f>
        <v>8</v>
      </c>
      <c r="H19" s="163">
        <f t="shared" si="0"/>
        <v>8</v>
      </c>
      <c r="I19" s="116"/>
      <c r="J19" s="2"/>
      <c r="K19" s="2"/>
    </row>
    <row r="20" spans="2:11" x14ac:dyDescent="0.3">
      <c r="B20" s="280"/>
      <c r="C20" s="160" t="s">
        <v>233</v>
      </c>
      <c r="D20" s="161" t="s">
        <v>39</v>
      </c>
      <c r="E20" s="161" t="s">
        <v>98</v>
      </c>
      <c r="F20" s="161">
        <v>1</v>
      </c>
      <c r="G20" s="161">
        <f>VLOOKUP(E20,'Standard rooms list'!$B$3:$C$69,2,FALSE)</f>
        <v>4.5</v>
      </c>
      <c r="H20" s="161">
        <f t="shared" ref="H20" si="1">F20*G20</f>
        <v>4.5</v>
      </c>
      <c r="I20" s="164"/>
      <c r="J20" s="2"/>
      <c r="K20" s="2"/>
    </row>
    <row r="21" spans="2:11" x14ac:dyDescent="0.3">
      <c r="B21" s="280"/>
      <c r="C21" s="160" t="s">
        <v>233</v>
      </c>
      <c r="D21" s="161" t="s">
        <v>39</v>
      </c>
      <c r="E21" s="161" t="s">
        <v>109</v>
      </c>
      <c r="F21" s="161">
        <v>1</v>
      </c>
      <c r="G21" s="161">
        <f>VLOOKUP(E21,'Standard rooms list'!$B$3:$C$69,2,FALSE)</f>
        <v>2.5</v>
      </c>
      <c r="H21" s="161">
        <f>F21*G21</f>
        <v>2.5</v>
      </c>
      <c r="I21" s="164"/>
      <c r="J21" s="2"/>
      <c r="K21" s="2"/>
    </row>
    <row r="22" spans="2:11" ht="74.599999999999994" x14ac:dyDescent="0.3">
      <c r="B22" s="280"/>
      <c r="C22" s="160" t="s">
        <v>233</v>
      </c>
      <c r="D22" s="161" t="s">
        <v>39</v>
      </c>
      <c r="E22" s="161" t="s">
        <v>95</v>
      </c>
      <c r="F22" s="161">
        <v>1</v>
      </c>
      <c r="G22" s="161">
        <f>VLOOKUP(E22,'Standard rooms list'!$B$3:$C$69,2,FALSE)</f>
        <v>16</v>
      </c>
      <c r="H22" s="161">
        <f>G22*F22</f>
        <v>16</v>
      </c>
      <c r="I22" s="164" t="s">
        <v>237</v>
      </c>
      <c r="J22" s="2"/>
      <c r="K22" s="2"/>
    </row>
    <row r="23" spans="2:11" x14ac:dyDescent="0.3">
      <c r="B23" s="280"/>
      <c r="C23" s="160" t="s">
        <v>233</v>
      </c>
      <c r="D23" s="161" t="s">
        <v>39</v>
      </c>
      <c r="E23" s="165" t="s">
        <v>204</v>
      </c>
      <c r="F23" s="165">
        <v>1</v>
      </c>
      <c r="G23" s="161">
        <f>VLOOKUP(E23,'Standard rooms list'!$B$3:$C$69,2,FALSE)</f>
        <v>15</v>
      </c>
      <c r="H23" s="161">
        <f>G23*F23</f>
        <v>15</v>
      </c>
      <c r="I23" s="168" t="s">
        <v>97</v>
      </c>
      <c r="J23" s="2"/>
      <c r="K23" s="2"/>
    </row>
    <row r="24" spans="2:11" x14ac:dyDescent="0.3">
      <c r="B24" s="280"/>
      <c r="C24" s="170" t="s">
        <v>233</v>
      </c>
      <c r="D24" s="165" t="s">
        <v>39</v>
      </c>
      <c r="E24" s="176" t="s">
        <v>111</v>
      </c>
      <c r="F24" s="176">
        <v>2</v>
      </c>
      <c r="G24" s="165">
        <f>VLOOKUP(E24,'Standard rooms list'!$B$3:$C$69,2,FALSE)</f>
        <v>8</v>
      </c>
      <c r="H24" s="165">
        <f>G24*F24</f>
        <v>16</v>
      </c>
      <c r="I24" s="168"/>
      <c r="J24" s="2"/>
      <c r="K24" s="2"/>
    </row>
    <row r="25" spans="2:11" s="27" customFormat="1" x14ac:dyDescent="0.3">
      <c r="B25" s="196"/>
      <c r="C25" s="126"/>
      <c r="D25" s="126"/>
      <c r="E25" s="126"/>
      <c r="F25" s="126"/>
      <c r="G25" s="126" t="s">
        <v>47</v>
      </c>
      <c r="H25" s="126">
        <f>SUM(H11:H24)</f>
        <v>112</v>
      </c>
      <c r="I25" s="131"/>
    </row>
    <row r="26" spans="2:11" x14ac:dyDescent="0.3">
      <c r="B26" s="280" t="s">
        <v>232</v>
      </c>
      <c r="C26" s="171" t="s">
        <v>233</v>
      </c>
      <c r="D26" s="172" t="s">
        <v>63</v>
      </c>
      <c r="E26" s="172" t="s">
        <v>111</v>
      </c>
      <c r="F26" s="172">
        <v>1</v>
      </c>
      <c r="G26" s="169">
        <f>VLOOKUP(E26,'Standard rooms list'!$B$3:$C$69,2,FALSE)</f>
        <v>8</v>
      </c>
      <c r="H26" s="169">
        <f>G26*F26</f>
        <v>8</v>
      </c>
      <c r="I26" s="175" t="s">
        <v>238</v>
      </c>
      <c r="J26" s="2"/>
      <c r="K26" s="2"/>
    </row>
    <row r="27" spans="2:11" x14ac:dyDescent="0.3">
      <c r="B27" s="280"/>
      <c r="C27" s="160" t="s">
        <v>233</v>
      </c>
      <c r="D27" s="161" t="s">
        <v>63</v>
      </c>
      <c r="E27" s="177" t="s">
        <v>141</v>
      </c>
      <c r="F27" s="177">
        <v>3</v>
      </c>
      <c r="G27" s="161">
        <f>VLOOKUP(E27,'Standard rooms list'!$B$3:$C$69,2,FALSE)</f>
        <v>4.5999999999999996</v>
      </c>
      <c r="H27" s="161">
        <f>G27*F27</f>
        <v>13.799999999999999</v>
      </c>
      <c r="I27" s="164" t="s">
        <v>239</v>
      </c>
      <c r="J27" s="2"/>
      <c r="K27" s="2"/>
    </row>
    <row r="28" spans="2:11" ht="12.65" customHeight="1" x14ac:dyDescent="0.3">
      <c r="B28" s="280"/>
      <c r="C28" s="170" t="s">
        <v>233</v>
      </c>
      <c r="D28" s="165" t="s">
        <v>63</v>
      </c>
      <c r="E28" s="165" t="s">
        <v>151</v>
      </c>
      <c r="F28" s="165">
        <v>4</v>
      </c>
      <c r="G28" s="165">
        <f>VLOOKUP(E28,'Standard rooms list'!$B$3:$C$69,2,FALSE)</f>
        <v>1.8</v>
      </c>
      <c r="H28" s="165">
        <f>G28*F28</f>
        <v>7.2</v>
      </c>
      <c r="I28" s="168" t="s">
        <v>240</v>
      </c>
      <c r="J28" s="2"/>
      <c r="K28" s="2"/>
    </row>
    <row r="29" spans="2:11" s="27" customFormat="1" x14ac:dyDescent="0.3">
      <c r="B29" s="197"/>
      <c r="C29" s="133"/>
      <c r="D29" s="133"/>
      <c r="E29" s="133"/>
      <c r="F29" s="133"/>
      <c r="G29" s="133" t="s">
        <v>47</v>
      </c>
      <c r="H29" s="133">
        <f>SUM(H26:H28)</f>
        <v>28.999999999999996</v>
      </c>
      <c r="I29" s="135"/>
    </row>
    <row r="30" spans="2:11" s="27" customFormat="1" x14ac:dyDescent="0.3">
      <c r="B30" s="198"/>
      <c r="C30" s="122"/>
      <c r="D30" s="122"/>
      <c r="E30" s="122"/>
      <c r="F30" s="122" t="s">
        <v>241</v>
      </c>
      <c r="G30" s="122"/>
      <c r="H30" s="122">
        <f>SUM(H29,H25)</f>
        <v>141</v>
      </c>
      <c r="I30" s="141"/>
    </row>
    <row r="31" spans="2:11" s="27" customFormat="1" x14ac:dyDescent="0.3">
      <c r="B31" s="199"/>
      <c r="C31" s="50" t="s">
        <v>100</v>
      </c>
      <c r="D31" s="137"/>
      <c r="E31" s="137"/>
      <c r="F31" s="137"/>
      <c r="G31" s="137"/>
      <c r="H31" s="137"/>
      <c r="I31" s="138"/>
    </row>
    <row r="32" spans="2:11" x14ac:dyDescent="0.3">
      <c r="B32" s="280" t="s">
        <v>86</v>
      </c>
      <c r="C32" s="14" t="s">
        <v>100</v>
      </c>
      <c r="D32" s="2" t="s">
        <v>39</v>
      </c>
      <c r="E32" s="2" t="s">
        <v>101</v>
      </c>
      <c r="F32" s="2">
        <f>((SUM(F38,F40,F41,F42,F43)*2)+(F44*8))</f>
        <v>78</v>
      </c>
      <c r="G32" s="2">
        <f>VLOOKUP(E32,'Standard rooms list'!$B$3:$C$58,2,FALSE)</f>
        <v>2</v>
      </c>
      <c r="H32" s="2">
        <f>F32*G32</f>
        <v>156</v>
      </c>
      <c r="I32" s="15" t="s">
        <v>102</v>
      </c>
      <c r="J32" s="2"/>
      <c r="K32" s="2"/>
    </row>
    <row r="33" spans="2:11" x14ac:dyDescent="0.3">
      <c r="B33" s="280"/>
      <c r="C33" s="14" t="s">
        <v>100</v>
      </c>
      <c r="D33" s="2" t="s">
        <v>39</v>
      </c>
      <c r="E33" s="2" t="s">
        <v>103</v>
      </c>
      <c r="F33" s="2">
        <f>ROUNDUP(F32*0.1,0)</f>
        <v>8</v>
      </c>
      <c r="G33" s="2">
        <f>VLOOKUP(E33,'Standard rooms list'!$B$3:$C$58,2,FALSE)</f>
        <v>2</v>
      </c>
      <c r="H33" s="2">
        <f t="shared" ref="H33:H37" si="2">F33*G33</f>
        <v>16</v>
      </c>
      <c r="I33" s="15" t="s">
        <v>104</v>
      </c>
      <c r="J33" s="2"/>
      <c r="K33" s="2"/>
    </row>
    <row r="34" spans="2:11" x14ac:dyDescent="0.3">
      <c r="B34" s="280"/>
      <c r="C34" s="14" t="s">
        <v>100</v>
      </c>
      <c r="D34" s="2" t="s">
        <v>39</v>
      </c>
      <c r="E34" s="2" t="s">
        <v>105</v>
      </c>
      <c r="F34" s="2">
        <v>3</v>
      </c>
      <c r="G34" s="2">
        <f>VLOOKUP(E34,'Standard rooms list'!$B$3:$C$58,2,FALSE)</f>
        <v>5.5</v>
      </c>
      <c r="H34" s="2">
        <f t="shared" si="2"/>
        <v>16.5</v>
      </c>
      <c r="I34" s="15" t="s">
        <v>106</v>
      </c>
      <c r="J34" s="2"/>
      <c r="K34" s="2"/>
    </row>
    <row r="35" spans="2:11" x14ac:dyDescent="0.3">
      <c r="B35" s="280"/>
      <c r="C35" s="14" t="s">
        <v>100</v>
      </c>
      <c r="D35" s="2" t="s">
        <v>39</v>
      </c>
      <c r="E35" s="60" t="s">
        <v>107</v>
      </c>
      <c r="F35" s="2">
        <v>3</v>
      </c>
      <c r="G35" s="2">
        <f>VLOOKUP(E35,'Standard rooms list'!$B$3:$C$58,2,FALSE)</f>
        <v>2.5</v>
      </c>
      <c r="H35" s="2">
        <f t="shared" si="2"/>
        <v>7.5</v>
      </c>
      <c r="I35" s="15" t="s">
        <v>108</v>
      </c>
      <c r="J35" s="2"/>
      <c r="K35" s="2"/>
    </row>
    <row r="36" spans="2:11" x14ac:dyDescent="0.3">
      <c r="B36" s="280"/>
      <c r="C36" s="14" t="s">
        <v>100</v>
      </c>
      <c r="D36" s="2" t="s">
        <v>39</v>
      </c>
      <c r="E36" s="2" t="s">
        <v>109</v>
      </c>
      <c r="F36" s="2">
        <v>4</v>
      </c>
      <c r="G36" s="2">
        <f>VLOOKUP(E36,'Standard rooms list'!$B$3:$C$58,2,FALSE)</f>
        <v>2.5</v>
      </c>
      <c r="H36" s="2">
        <f t="shared" si="2"/>
        <v>10</v>
      </c>
      <c r="I36" s="15" t="s">
        <v>110</v>
      </c>
      <c r="J36" s="2"/>
      <c r="K36" s="2"/>
    </row>
    <row r="37" spans="2:11" x14ac:dyDescent="0.3">
      <c r="B37" s="280"/>
      <c r="C37" s="14" t="s">
        <v>100</v>
      </c>
      <c r="D37" s="2" t="s">
        <v>39</v>
      </c>
      <c r="E37" s="2" t="s">
        <v>98</v>
      </c>
      <c r="F37" s="2">
        <v>2</v>
      </c>
      <c r="G37" s="2">
        <f>VLOOKUP(E37,'Standard rooms list'!$B$3:$C$58,2,FALSE)</f>
        <v>4.5</v>
      </c>
      <c r="H37" s="2">
        <f t="shared" si="2"/>
        <v>9</v>
      </c>
      <c r="I37" s="15" t="s">
        <v>110</v>
      </c>
      <c r="J37" s="2"/>
      <c r="K37" s="2"/>
    </row>
    <row r="38" spans="2:11" x14ac:dyDescent="0.3">
      <c r="B38" s="280"/>
      <c r="C38" s="80" t="s">
        <v>100</v>
      </c>
      <c r="D38" s="60" t="s">
        <v>39</v>
      </c>
      <c r="E38" s="152" t="s">
        <v>111</v>
      </c>
      <c r="F38" s="152">
        <v>2</v>
      </c>
      <c r="G38" s="60">
        <f>VLOOKUP(E38,'Standard rooms list'!$B$3:$C$58,2,FALSE)</f>
        <v>8</v>
      </c>
      <c r="H38" s="60">
        <f>G38*F38</f>
        <v>16</v>
      </c>
      <c r="I38" s="81"/>
      <c r="J38" s="2"/>
      <c r="K38" s="2"/>
    </row>
    <row r="39" spans="2:11" s="27" customFormat="1" x14ac:dyDescent="0.3">
      <c r="B39" s="196"/>
      <c r="C39" s="126"/>
      <c r="D39" s="126"/>
      <c r="E39" s="126"/>
      <c r="F39" s="126"/>
      <c r="G39" s="126" t="s">
        <v>47</v>
      </c>
      <c r="H39" s="126">
        <f>SUM(H32:H38)</f>
        <v>231</v>
      </c>
      <c r="I39" s="131"/>
    </row>
    <row r="40" spans="2:11" x14ac:dyDescent="0.3">
      <c r="B40" s="280" t="s">
        <v>86</v>
      </c>
      <c r="C40" s="14" t="s">
        <v>100</v>
      </c>
      <c r="D40" s="2" t="s">
        <v>112</v>
      </c>
      <c r="E40" s="146" t="s">
        <v>113</v>
      </c>
      <c r="F40" s="146">
        <v>16</v>
      </c>
      <c r="G40" s="2">
        <f>VLOOKUP(E40,'Standard rooms list'!$B$3:$C$58,2,FALSE)</f>
        <v>13.5</v>
      </c>
      <c r="H40" s="2">
        <f t="shared" ref="H40:H47" si="3">G40*F40</f>
        <v>216</v>
      </c>
      <c r="I40" s="15"/>
      <c r="J40" s="2"/>
      <c r="K40" s="2"/>
    </row>
    <row r="41" spans="2:11" x14ac:dyDescent="0.3">
      <c r="B41" s="280"/>
      <c r="C41" s="14" t="s">
        <v>100</v>
      </c>
      <c r="D41" s="2" t="s">
        <v>112</v>
      </c>
      <c r="E41" s="146" t="s">
        <v>114</v>
      </c>
      <c r="F41" s="146">
        <v>4</v>
      </c>
      <c r="G41" s="2">
        <f>VLOOKUP(E41,'Standard rooms list'!$B$3:$C$58,2,FALSE)</f>
        <v>16</v>
      </c>
      <c r="H41" s="2">
        <f t="shared" si="3"/>
        <v>64</v>
      </c>
      <c r="I41" s="15"/>
      <c r="J41" s="2"/>
      <c r="K41" s="2"/>
    </row>
    <row r="42" spans="2:11" x14ac:dyDescent="0.3">
      <c r="B42" s="280"/>
      <c r="C42" s="14" t="s">
        <v>100</v>
      </c>
      <c r="D42" s="2" t="s">
        <v>112</v>
      </c>
      <c r="E42" s="146" t="s">
        <v>115</v>
      </c>
      <c r="F42" s="146">
        <v>4</v>
      </c>
      <c r="G42" s="2">
        <f>VLOOKUP(E42,'Standard rooms list'!$B$3:$C$58,2,FALSE)</f>
        <v>16</v>
      </c>
      <c r="H42" s="2">
        <f t="shared" si="3"/>
        <v>64</v>
      </c>
      <c r="I42" s="15" t="s">
        <v>116</v>
      </c>
      <c r="J42" s="2"/>
      <c r="K42" s="2"/>
    </row>
    <row r="43" spans="2:11" x14ac:dyDescent="0.3">
      <c r="B43" s="280"/>
      <c r="C43" s="14" t="s">
        <v>100</v>
      </c>
      <c r="D43" s="2" t="s">
        <v>112</v>
      </c>
      <c r="E43" s="146" t="s">
        <v>117</v>
      </c>
      <c r="F43" s="146">
        <v>1</v>
      </c>
      <c r="G43" s="2">
        <f>VLOOKUP(E43,'Standard rooms list'!$B$3:$C$58,2,FALSE)</f>
        <v>20</v>
      </c>
      <c r="H43" s="2">
        <f t="shared" si="3"/>
        <v>20</v>
      </c>
      <c r="I43" s="15"/>
      <c r="J43" s="2"/>
      <c r="K43" s="2"/>
    </row>
    <row r="44" spans="2:11" x14ac:dyDescent="0.3">
      <c r="B44" s="280"/>
      <c r="C44" s="14" t="s">
        <v>100</v>
      </c>
      <c r="D44" s="2" t="s">
        <v>112</v>
      </c>
      <c r="E44" s="146" t="s">
        <v>118</v>
      </c>
      <c r="F44" s="146">
        <v>3</v>
      </c>
      <c r="G44" s="2">
        <f>VLOOKUP(E44,'Standard rooms list'!$B$3:$C$58,2,FALSE)</f>
        <v>32.5</v>
      </c>
      <c r="H44" s="2">
        <f t="shared" si="3"/>
        <v>97.5</v>
      </c>
      <c r="I44" s="15" t="s">
        <v>119</v>
      </c>
      <c r="J44" s="2"/>
      <c r="K44" s="2"/>
    </row>
    <row r="45" spans="2:11" x14ac:dyDescent="0.3">
      <c r="B45" s="280"/>
      <c r="C45" s="14" t="s">
        <v>100</v>
      </c>
      <c r="D45" s="2" t="s">
        <v>112</v>
      </c>
      <c r="E45" s="2" t="s">
        <v>120</v>
      </c>
      <c r="F45" s="2">
        <v>1.5</v>
      </c>
      <c r="G45" s="2">
        <f>VLOOKUP(E45,'Standard rooms list'!$B$3:$C$58,2,FALSE)</f>
        <v>5</v>
      </c>
      <c r="H45" s="2">
        <f t="shared" si="3"/>
        <v>7.5</v>
      </c>
      <c r="I45" s="15" t="s">
        <v>121</v>
      </c>
      <c r="J45" s="2"/>
      <c r="K45" s="2"/>
    </row>
    <row r="46" spans="2:11" x14ac:dyDescent="0.3">
      <c r="B46" s="280"/>
      <c r="C46" s="14" t="s">
        <v>100</v>
      </c>
      <c r="D46" s="2" t="s">
        <v>112</v>
      </c>
      <c r="E46" s="2" t="s">
        <v>122</v>
      </c>
      <c r="F46" s="2">
        <v>1</v>
      </c>
      <c r="G46" s="2">
        <f>VLOOKUP(E46,'Standard rooms list'!$B$3:$C$58,2,FALSE)</f>
        <v>8</v>
      </c>
      <c r="H46" s="2">
        <f t="shared" si="3"/>
        <v>8</v>
      </c>
      <c r="I46" s="15" t="s">
        <v>123</v>
      </c>
      <c r="J46" s="2"/>
      <c r="K46" s="2"/>
    </row>
    <row r="47" spans="2:11" x14ac:dyDescent="0.3">
      <c r="B47" s="280"/>
      <c r="C47" s="14" t="s">
        <v>100</v>
      </c>
      <c r="D47" s="2" t="s">
        <v>112</v>
      </c>
      <c r="E47" s="2" t="s">
        <v>124</v>
      </c>
      <c r="F47" s="2">
        <v>2</v>
      </c>
      <c r="G47" s="2">
        <f>VLOOKUP(E47,'Standard rooms list'!$B$3:$C$58,2,FALSE)</f>
        <v>4.5</v>
      </c>
      <c r="H47" s="2">
        <f t="shared" si="3"/>
        <v>9</v>
      </c>
      <c r="I47" s="15"/>
      <c r="J47" s="2"/>
      <c r="K47" s="2"/>
    </row>
    <row r="48" spans="2:11" s="27" customFormat="1" x14ac:dyDescent="0.3">
      <c r="B48" s="196"/>
      <c r="C48" s="126"/>
      <c r="D48" s="126"/>
      <c r="E48" s="126"/>
      <c r="F48" s="126"/>
      <c r="G48" s="203" t="s">
        <v>47</v>
      </c>
      <c r="H48" s="126">
        <f>SUM(H40:H47)</f>
        <v>486</v>
      </c>
      <c r="I48" s="131"/>
    </row>
    <row r="49" spans="2:11" x14ac:dyDescent="0.3">
      <c r="B49" s="280" t="s">
        <v>86</v>
      </c>
      <c r="C49" s="14" t="s">
        <v>100</v>
      </c>
      <c r="D49" s="2" t="s">
        <v>125</v>
      </c>
      <c r="E49" s="2" t="s">
        <v>126</v>
      </c>
      <c r="F49" s="2">
        <v>2</v>
      </c>
      <c r="G49" s="2">
        <f>VLOOKUP(E49,'Standard rooms list'!$B$3:$C$68,2,FALSE)</f>
        <v>8</v>
      </c>
      <c r="H49" s="2">
        <f t="shared" ref="H49:H57" si="4">G49*F49</f>
        <v>16</v>
      </c>
      <c r="I49" s="15" t="s">
        <v>127</v>
      </c>
      <c r="J49" s="2"/>
      <c r="K49" s="2"/>
    </row>
    <row r="50" spans="2:11" x14ac:dyDescent="0.3">
      <c r="B50" s="280"/>
      <c r="C50" s="14" t="s">
        <v>100</v>
      </c>
      <c r="D50" s="2" t="s">
        <v>125</v>
      </c>
      <c r="E50" s="2" t="s">
        <v>128</v>
      </c>
      <c r="F50" s="2">
        <v>2</v>
      </c>
      <c r="G50" s="2">
        <f>VLOOKUP(E50,'Standard rooms list'!$B$3:$C$68,2,FALSE)</f>
        <v>8</v>
      </c>
      <c r="H50" s="2">
        <f t="shared" si="4"/>
        <v>16</v>
      </c>
      <c r="I50" s="15" t="s">
        <v>127</v>
      </c>
      <c r="J50" s="2"/>
      <c r="K50" s="2"/>
    </row>
    <row r="51" spans="2:11" x14ac:dyDescent="0.3">
      <c r="B51" s="280"/>
      <c r="C51" s="14" t="s">
        <v>100</v>
      </c>
      <c r="D51" s="2" t="s">
        <v>125</v>
      </c>
      <c r="E51" s="2" t="s">
        <v>129</v>
      </c>
      <c r="F51" s="2">
        <v>1</v>
      </c>
      <c r="G51" s="2">
        <f>VLOOKUP(E51,'Standard rooms list'!$B$3:$C$68,2,FALSE)</f>
        <v>8</v>
      </c>
      <c r="H51" s="2">
        <f t="shared" si="4"/>
        <v>8</v>
      </c>
      <c r="I51" s="15"/>
      <c r="J51" s="2"/>
      <c r="K51" s="2"/>
    </row>
    <row r="52" spans="2:11" x14ac:dyDescent="0.3">
      <c r="B52" s="280"/>
      <c r="C52" s="80" t="s">
        <v>100</v>
      </c>
      <c r="D52" s="60" t="s">
        <v>125</v>
      </c>
      <c r="E52" s="60" t="s">
        <v>130</v>
      </c>
      <c r="F52" s="60">
        <v>1</v>
      </c>
      <c r="G52" s="60">
        <f>VLOOKUP(E52,'Standard rooms list'!$B$3:$C$68,2,FALSE)</f>
        <v>2</v>
      </c>
      <c r="H52" s="60">
        <f t="shared" si="4"/>
        <v>2</v>
      </c>
      <c r="I52" s="81"/>
      <c r="J52" s="2"/>
      <c r="K52" s="2"/>
    </row>
    <row r="53" spans="2:11" x14ac:dyDescent="0.3">
      <c r="B53" s="280"/>
      <c r="C53" s="14" t="s">
        <v>100</v>
      </c>
      <c r="D53" s="2" t="s">
        <v>125</v>
      </c>
      <c r="E53" s="2" t="s">
        <v>131</v>
      </c>
      <c r="F53" s="2">
        <v>1</v>
      </c>
      <c r="G53" s="2">
        <f>VLOOKUP(E53,'Standard rooms list'!$B$3:$C$68,2,FALSE)</f>
        <v>8</v>
      </c>
      <c r="H53" s="2">
        <f t="shared" si="4"/>
        <v>8</v>
      </c>
      <c r="I53" s="15" t="s">
        <v>132</v>
      </c>
      <c r="J53" s="2"/>
      <c r="K53" s="2"/>
    </row>
    <row r="54" spans="2:11" x14ac:dyDescent="0.3">
      <c r="B54" s="280"/>
      <c r="C54" s="14" t="s">
        <v>100</v>
      </c>
      <c r="D54" s="2" t="s">
        <v>125</v>
      </c>
      <c r="E54" s="2" t="s">
        <v>133</v>
      </c>
      <c r="F54" s="2">
        <v>1</v>
      </c>
      <c r="G54" s="2">
        <f>VLOOKUP(E54,'Standard rooms list'!$B$3:$C$68,2,FALSE)</f>
        <v>2</v>
      </c>
      <c r="H54" s="2">
        <f t="shared" si="4"/>
        <v>2</v>
      </c>
      <c r="I54" s="15"/>
      <c r="J54" s="2"/>
      <c r="K54" s="2"/>
    </row>
    <row r="55" spans="2:11" x14ac:dyDescent="0.3">
      <c r="B55" s="280"/>
      <c r="C55" s="14" t="s">
        <v>100</v>
      </c>
      <c r="D55" s="2" t="s">
        <v>125</v>
      </c>
      <c r="E55" s="2" t="s">
        <v>96</v>
      </c>
      <c r="F55" s="2">
        <v>1</v>
      </c>
      <c r="G55" s="2">
        <f>VLOOKUP(E55,'Standard rooms list'!$B$3:$C$68,2,FALSE)</f>
        <v>10</v>
      </c>
      <c r="H55" s="2">
        <f t="shared" si="4"/>
        <v>10</v>
      </c>
      <c r="I55" s="15" t="s">
        <v>134</v>
      </c>
      <c r="J55" s="2"/>
      <c r="K55" s="2"/>
    </row>
    <row r="56" spans="2:11" x14ac:dyDescent="0.3">
      <c r="B56" s="280"/>
      <c r="C56" s="14" t="s">
        <v>100</v>
      </c>
      <c r="D56" s="2" t="s">
        <v>125</v>
      </c>
      <c r="E56" s="2" t="s">
        <v>135</v>
      </c>
      <c r="F56" s="2">
        <v>1</v>
      </c>
      <c r="G56" s="2">
        <f>VLOOKUP(E56,'Standard rooms list'!$B$3:$C$150,2,FALSE)</f>
        <v>8</v>
      </c>
      <c r="H56" s="2">
        <f>G56*F56</f>
        <v>8</v>
      </c>
      <c r="I56" s="15"/>
      <c r="J56" s="2"/>
      <c r="K56" s="2"/>
    </row>
    <row r="57" spans="2:11" x14ac:dyDescent="0.3">
      <c r="B57" s="280"/>
      <c r="C57" s="14" t="s">
        <v>100</v>
      </c>
      <c r="D57" s="2" t="s">
        <v>125</v>
      </c>
      <c r="E57" s="2" t="s">
        <v>136</v>
      </c>
      <c r="F57" s="2">
        <v>1</v>
      </c>
      <c r="G57" s="2">
        <f>VLOOKUP(E57,'Standard rooms list'!$B$3:$C$68,2,FALSE)</f>
        <v>2</v>
      </c>
      <c r="H57" s="2">
        <f t="shared" si="4"/>
        <v>2</v>
      </c>
      <c r="I57" s="15"/>
      <c r="J57" s="2"/>
      <c r="K57" s="2"/>
    </row>
    <row r="58" spans="2:11" s="27" customFormat="1" x14ac:dyDescent="0.3">
      <c r="B58" s="196"/>
      <c r="C58" s="126"/>
      <c r="D58" s="126"/>
      <c r="E58" s="126"/>
      <c r="F58" s="126"/>
      <c r="G58" s="203" t="s">
        <v>47</v>
      </c>
      <c r="H58" s="126">
        <f>SUM(H49:H57)</f>
        <v>72</v>
      </c>
      <c r="I58" s="131"/>
    </row>
    <row r="59" spans="2:11" x14ac:dyDescent="0.3">
      <c r="B59" s="280" t="s">
        <v>86</v>
      </c>
      <c r="C59" s="14" t="s">
        <v>100</v>
      </c>
      <c r="D59" s="2" t="s">
        <v>45</v>
      </c>
      <c r="E59" s="2" t="s">
        <v>137</v>
      </c>
      <c r="F59" s="2">
        <v>1</v>
      </c>
      <c r="G59" s="2">
        <f>VLOOKUP(E59,'Standard rooms list'!$B$3:$C$100,2,FALSE)</f>
        <v>4.5</v>
      </c>
      <c r="H59" s="2">
        <f>F59*G59</f>
        <v>4.5</v>
      </c>
      <c r="I59" s="15"/>
      <c r="J59" s="2"/>
      <c r="K59" s="2"/>
    </row>
    <row r="60" spans="2:11" x14ac:dyDescent="0.3">
      <c r="B60" s="280"/>
      <c r="C60" s="14" t="s">
        <v>100</v>
      </c>
      <c r="D60" s="2" t="s">
        <v>45</v>
      </c>
      <c r="E60" s="2" t="s">
        <v>138</v>
      </c>
      <c r="F60" s="2">
        <v>1</v>
      </c>
      <c r="G60" s="2">
        <f>VLOOKUP(E60,'Standard rooms list'!$B$3:$C$69,2,FALSE)</f>
        <v>6</v>
      </c>
      <c r="H60" s="2">
        <f t="shared" ref="H60:H62" si="5">F60*G60</f>
        <v>6</v>
      </c>
      <c r="I60" s="15"/>
      <c r="J60" s="2"/>
      <c r="K60" s="2"/>
    </row>
    <row r="61" spans="2:11" x14ac:dyDescent="0.3">
      <c r="B61" s="280"/>
      <c r="C61" s="14" t="s">
        <v>100</v>
      </c>
      <c r="D61" s="2" t="s">
        <v>45</v>
      </c>
      <c r="E61" s="2" t="s">
        <v>139</v>
      </c>
      <c r="F61" s="2">
        <v>1</v>
      </c>
      <c r="G61" s="2">
        <f>VLOOKUP(E61,'Standard rooms list'!$B$3:$C$69,2,FALSE)</f>
        <v>4</v>
      </c>
      <c r="H61" s="2">
        <f t="shared" si="5"/>
        <v>4</v>
      </c>
      <c r="I61" s="15"/>
      <c r="J61" s="2"/>
      <c r="K61" s="2"/>
    </row>
    <row r="62" spans="2:11" x14ac:dyDescent="0.3">
      <c r="B62" s="280"/>
      <c r="C62" s="14" t="s">
        <v>100</v>
      </c>
      <c r="D62" s="2" t="s">
        <v>45</v>
      </c>
      <c r="E62" s="2" t="s">
        <v>101</v>
      </c>
      <c r="F62" s="2">
        <v>6</v>
      </c>
      <c r="G62" s="2">
        <f>VLOOKUP(E62,'Standard rooms list'!$B$3:$C$69,2,FALSE)</f>
        <v>2</v>
      </c>
      <c r="H62" s="2">
        <f t="shared" si="5"/>
        <v>12</v>
      </c>
      <c r="I62" s="15"/>
      <c r="J62" s="2"/>
      <c r="K62" s="2"/>
    </row>
    <row r="63" spans="2:11" s="27" customFormat="1" x14ac:dyDescent="0.3">
      <c r="B63" s="196"/>
      <c r="C63" s="126"/>
      <c r="D63" s="126"/>
      <c r="E63" s="126"/>
      <c r="F63" s="126"/>
      <c r="G63" s="203" t="s">
        <v>47</v>
      </c>
      <c r="H63" s="126">
        <f>SUM(H59:H62)</f>
        <v>26.5</v>
      </c>
      <c r="I63" s="131"/>
    </row>
    <row r="64" spans="2:11" x14ac:dyDescent="0.3">
      <c r="B64" s="280" t="s">
        <v>86</v>
      </c>
      <c r="C64" s="14" t="s">
        <v>100</v>
      </c>
      <c r="D64" s="2" t="s">
        <v>140</v>
      </c>
      <c r="E64" s="146" t="s">
        <v>141</v>
      </c>
      <c r="F64" s="146">
        <v>3</v>
      </c>
      <c r="G64" s="2">
        <f>VLOOKUP(E64,'Standard rooms list'!$B$3:$C$68,2,FALSE)</f>
        <v>4.5999999999999996</v>
      </c>
      <c r="H64" s="2">
        <f t="shared" ref="H64:H75" si="6">G64*F64</f>
        <v>13.799999999999999</v>
      </c>
      <c r="I64" s="15" t="s">
        <v>142</v>
      </c>
      <c r="J64" s="2"/>
      <c r="K64" s="2"/>
    </row>
    <row r="65" spans="2:11" x14ac:dyDescent="0.3">
      <c r="B65" s="280"/>
      <c r="C65" s="14" t="s">
        <v>100</v>
      </c>
      <c r="D65" s="2" t="s">
        <v>140</v>
      </c>
      <c r="E65" s="2" t="s">
        <v>111</v>
      </c>
      <c r="F65" s="2">
        <v>1</v>
      </c>
      <c r="G65" s="2">
        <f>VLOOKUP(E65,'Standard rooms list'!$B$3:$C$68,2,FALSE)</f>
        <v>8</v>
      </c>
      <c r="H65" s="2">
        <f t="shared" si="6"/>
        <v>8</v>
      </c>
      <c r="I65" s="15"/>
      <c r="J65" s="2"/>
      <c r="K65" s="2"/>
    </row>
    <row r="66" spans="2:11" x14ac:dyDescent="0.3">
      <c r="B66" s="280"/>
      <c r="C66" s="14" t="s">
        <v>100</v>
      </c>
      <c r="D66" s="2" t="s">
        <v>140</v>
      </c>
      <c r="E66" s="2" t="s">
        <v>143</v>
      </c>
      <c r="F66" s="2">
        <v>3</v>
      </c>
      <c r="G66" s="2">
        <f>VLOOKUP(E66,'Standard rooms list'!$B$3:$C$68,2,FALSE)</f>
        <v>8</v>
      </c>
      <c r="H66" s="2">
        <f t="shared" si="6"/>
        <v>24</v>
      </c>
      <c r="I66" s="15" t="s">
        <v>144</v>
      </c>
      <c r="J66" s="2"/>
      <c r="K66" s="2"/>
    </row>
    <row r="67" spans="2:11" x14ac:dyDescent="0.3">
      <c r="B67" s="280"/>
      <c r="C67" s="14" t="s">
        <v>100</v>
      </c>
      <c r="D67" s="155" t="s">
        <v>140</v>
      </c>
      <c r="E67" s="155" t="s">
        <v>145</v>
      </c>
      <c r="F67" s="156">
        <f>(SUM(F38,F40,F41,F42,F43,F44)*0.6)</f>
        <v>18</v>
      </c>
      <c r="G67" s="155">
        <f>VLOOKUP(E67,'Standard rooms list'!$B$3:$C$68,2,FALSE)</f>
        <v>5</v>
      </c>
      <c r="H67" s="155">
        <f t="shared" si="6"/>
        <v>90</v>
      </c>
      <c r="I67" s="114" t="s">
        <v>146</v>
      </c>
      <c r="J67" s="2"/>
      <c r="K67" s="2"/>
    </row>
    <row r="68" spans="2:11" x14ac:dyDescent="0.3">
      <c r="B68" s="280"/>
      <c r="C68" s="43" t="s">
        <v>100</v>
      </c>
      <c r="D68" s="155" t="s">
        <v>140</v>
      </c>
      <c r="E68" s="60" t="s">
        <v>147</v>
      </c>
      <c r="F68" s="156">
        <f>F67</f>
        <v>18</v>
      </c>
      <c r="G68" s="155">
        <v>0.125</v>
      </c>
      <c r="H68" s="157">
        <f t="shared" si="6"/>
        <v>2.25</v>
      </c>
      <c r="I68" s="114"/>
      <c r="J68" s="2"/>
      <c r="K68" s="2"/>
    </row>
    <row r="69" spans="2:11" x14ac:dyDescent="0.3">
      <c r="B69" s="280"/>
      <c r="C69" s="14" t="s">
        <v>100</v>
      </c>
      <c r="D69" s="2" t="s">
        <v>140</v>
      </c>
      <c r="E69" s="2" t="s">
        <v>148</v>
      </c>
      <c r="F69" s="2">
        <v>2</v>
      </c>
      <c r="G69" s="2">
        <f>VLOOKUP(E69,'Standard rooms list'!$B$3:$C$68,2,FALSE)</f>
        <v>2</v>
      </c>
      <c r="H69" s="2">
        <f t="shared" si="6"/>
        <v>4</v>
      </c>
      <c r="I69" s="15" t="s">
        <v>149</v>
      </c>
      <c r="J69" s="2"/>
      <c r="K69" s="2"/>
    </row>
    <row r="70" spans="2:11" x14ac:dyDescent="0.3">
      <c r="B70" s="280"/>
      <c r="C70" s="14" t="s">
        <v>100</v>
      </c>
      <c r="D70" s="2" t="s">
        <v>140</v>
      </c>
      <c r="E70" s="2" t="s">
        <v>150</v>
      </c>
      <c r="F70" s="2">
        <v>1</v>
      </c>
      <c r="G70" s="2">
        <f>VLOOKUP(E70,'Standard rooms list'!$B$3:$C$68,2,FALSE)</f>
        <v>4.5</v>
      </c>
      <c r="H70" s="2">
        <f t="shared" si="6"/>
        <v>4.5</v>
      </c>
      <c r="I70" s="15" t="s">
        <v>149</v>
      </c>
      <c r="J70" s="2"/>
      <c r="K70" s="2"/>
    </row>
    <row r="71" spans="2:11" x14ac:dyDescent="0.3">
      <c r="B71" s="280"/>
      <c r="C71" s="14" t="s">
        <v>100</v>
      </c>
      <c r="D71" s="2" t="s">
        <v>140</v>
      </c>
      <c r="E71" s="2" t="s">
        <v>151</v>
      </c>
      <c r="F71" s="2">
        <f>SUM(F38,F40,F41,F42,F43,F44)</f>
        <v>30</v>
      </c>
      <c r="G71" s="2">
        <f>VLOOKUP(E71,'Standard rooms list'!$B$3:$C$68,2,FALSE)</f>
        <v>1.8</v>
      </c>
      <c r="H71" s="2">
        <f t="shared" si="6"/>
        <v>54</v>
      </c>
      <c r="I71" s="15" t="s">
        <v>152</v>
      </c>
      <c r="J71" s="2"/>
      <c r="K71" s="2"/>
    </row>
    <row r="72" spans="2:11" x14ac:dyDescent="0.3">
      <c r="B72" s="280"/>
      <c r="C72" s="14" t="s">
        <v>100</v>
      </c>
      <c r="D72" s="2" t="s">
        <v>140</v>
      </c>
      <c r="E72" s="2" t="s">
        <v>153</v>
      </c>
      <c r="F72" s="2">
        <f>F71</f>
        <v>30</v>
      </c>
      <c r="G72" s="2">
        <f>VLOOKUP(E72,'Standard rooms list'!$B$3:$C$68,2,FALSE)</f>
        <v>1.4</v>
      </c>
      <c r="H72" s="2">
        <f t="shared" si="6"/>
        <v>42</v>
      </c>
      <c r="I72" s="15" t="s">
        <v>152</v>
      </c>
      <c r="J72" s="2"/>
      <c r="K72" s="2"/>
    </row>
    <row r="73" spans="2:11" x14ac:dyDescent="0.3">
      <c r="B73" s="280"/>
      <c r="C73" s="14" t="s">
        <v>100</v>
      </c>
      <c r="D73" s="2" t="s">
        <v>140</v>
      </c>
      <c r="E73" s="2" t="s">
        <v>154</v>
      </c>
      <c r="F73" s="2">
        <v>1</v>
      </c>
      <c r="G73" s="2">
        <f>VLOOKUP(E73,'Standard rooms list'!$B$3:$C$150,2,FALSE)</f>
        <v>6</v>
      </c>
      <c r="H73" s="2">
        <f t="shared" si="6"/>
        <v>6</v>
      </c>
      <c r="I73" s="15"/>
      <c r="J73" s="2"/>
      <c r="K73" s="2"/>
    </row>
    <row r="74" spans="2:11" x14ac:dyDescent="0.3">
      <c r="B74" s="280"/>
      <c r="C74" s="14" t="s">
        <v>100</v>
      </c>
      <c r="D74" s="2" t="s">
        <v>140</v>
      </c>
      <c r="E74" s="2" t="s">
        <v>137</v>
      </c>
      <c r="F74" s="2">
        <v>1</v>
      </c>
      <c r="G74" s="2">
        <f>VLOOKUP(E74,'Standard rooms list'!$B$3:$C$150,2,FALSE)</f>
        <v>4.5</v>
      </c>
      <c r="H74" s="2">
        <f t="shared" si="6"/>
        <v>4.5</v>
      </c>
      <c r="I74" s="15"/>
      <c r="J74" s="2"/>
      <c r="K74" s="2"/>
    </row>
    <row r="75" spans="2:11" x14ac:dyDescent="0.3">
      <c r="B75" s="280"/>
      <c r="C75" s="14" t="s">
        <v>100</v>
      </c>
      <c r="D75" s="2" t="s">
        <v>140</v>
      </c>
      <c r="E75" s="2" t="s">
        <v>155</v>
      </c>
      <c r="F75" s="2">
        <v>5</v>
      </c>
      <c r="G75" s="2">
        <f>VLOOKUP(E75,'Standard rooms list'!$B$3:$C$150,2,FALSE)</f>
        <v>0.5</v>
      </c>
      <c r="H75" s="2">
        <f t="shared" si="6"/>
        <v>2.5</v>
      </c>
      <c r="I75" s="15"/>
      <c r="J75" s="2"/>
      <c r="K75" s="2"/>
    </row>
    <row r="76" spans="2:11" s="27" customFormat="1" x14ac:dyDescent="0.3">
      <c r="B76" s="197"/>
      <c r="C76" s="133"/>
      <c r="D76" s="133"/>
      <c r="E76" s="133"/>
      <c r="F76" s="133"/>
      <c r="G76" s="203" t="s">
        <v>47</v>
      </c>
      <c r="H76" s="134">
        <f>SUM(H64:H75)</f>
        <v>255.55</v>
      </c>
      <c r="I76" s="135"/>
    </row>
    <row r="77" spans="2:11" s="27" customFormat="1" x14ac:dyDescent="0.3">
      <c r="B77" s="198"/>
      <c r="C77" s="122"/>
      <c r="D77" s="122"/>
      <c r="E77" s="122"/>
      <c r="F77" s="122" t="s">
        <v>156</v>
      </c>
      <c r="G77" s="122"/>
      <c r="H77" s="123">
        <f>SUM(H76,H63,H58,H48,H39)</f>
        <v>1071.05</v>
      </c>
      <c r="I77" s="141"/>
    </row>
    <row r="78" spans="2:11" s="27" customFormat="1" x14ac:dyDescent="0.3">
      <c r="B78" s="199"/>
      <c r="C78" s="50" t="s">
        <v>242</v>
      </c>
      <c r="D78" s="137"/>
      <c r="E78" s="137"/>
      <c r="F78" s="137"/>
      <c r="G78" s="137"/>
      <c r="H78" s="137"/>
      <c r="I78" s="138"/>
    </row>
    <row r="79" spans="2:11" x14ac:dyDescent="0.3">
      <c r="B79" s="280" t="s">
        <v>86</v>
      </c>
      <c r="C79" s="80" t="s">
        <v>157</v>
      </c>
      <c r="D79" s="60" t="s">
        <v>39</v>
      </c>
      <c r="E79" s="60" t="s">
        <v>101</v>
      </c>
      <c r="F79" s="2">
        <f>(SUM(F85,F103,F104,F105,F106,F111,F112)*2)+(F120*8)</f>
        <v>50</v>
      </c>
      <c r="G79" s="60">
        <f>VLOOKUP(E79,'Standard rooms list'!$B$3:$C$68,2,FALSE)</f>
        <v>2</v>
      </c>
      <c r="H79" s="60">
        <f>F79*G79</f>
        <v>100</v>
      </c>
      <c r="I79" s="81" t="s">
        <v>102</v>
      </c>
      <c r="J79" s="2"/>
      <c r="K79" s="2"/>
    </row>
    <row r="80" spans="2:11" x14ac:dyDescent="0.3">
      <c r="B80" s="280"/>
      <c r="C80" s="80" t="s">
        <v>157</v>
      </c>
      <c r="D80" s="60" t="s">
        <v>39</v>
      </c>
      <c r="E80" s="60" t="s">
        <v>103</v>
      </c>
      <c r="F80" s="2">
        <f>ROUNDUP(F79*0.1,0)</f>
        <v>5</v>
      </c>
      <c r="G80" s="60">
        <f>VLOOKUP(E80,'Standard rooms list'!$B$3:$C$68,2,FALSE)</f>
        <v>2</v>
      </c>
      <c r="H80" s="60">
        <f t="shared" ref="H80:H84" si="7">F80*G80</f>
        <v>10</v>
      </c>
      <c r="I80" s="81" t="s">
        <v>104</v>
      </c>
      <c r="J80" s="2"/>
      <c r="K80" s="2"/>
    </row>
    <row r="81" spans="2:11" x14ac:dyDescent="0.3">
      <c r="B81" s="280"/>
      <c r="C81" s="80" t="s">
        <v>157</v>
      </c>
      <c r="D81" s="60" t="s">
        <v>39</v>
      </c>
      <c r="E81" s="60" t="s">
        <v>105</v>
      </c>
      <c r="F81" s="60">
        <v>2</v>
      </c>
      <c r="G81" s="60">
        <f>VLOOKUP(E81,'Standard rooms list'!$B$3:$C$68,2,FALSE)</f>
        <v>5.5</v>
      </c>
      <c r="H81" s="60">
        <f t="shared" si="7"/>
        <v>11</v>
      </c>
      <c r="I81" s="81" t="s">
        <v>106</v>
      </c>
      <c r="J81" s="2"/>
      <c r="K81" s="2"/>
    </row>
    <row r="82" spans="2:11" x14ac:dyDescent="0.3">
      <c r="B82" s="280"/>
      <c r="C82" s="80" t="s">
        <v>157</v>
      </c>
      <c r="D82" s="60" t="s">
        <v>39</v>
      </c>
      <c r="E82" s="60" t="s">
        <v>107</v>
      </c>
      <c r="F82" s="60">
        <v>2</v>
      </c>
      <c r="G82" s="60">
        <f>VLOOKUP(E82,'Standard rooms list'!$B$3:$C$68,2,FALSE)</f>
        <v>2.5</v>
      </c>
      <c r="H82" s="60">
        <f t="shared" si="7"/>
        <v>5</v>
      </c>
      <c r="I82" s="81" t="s">
        <v>158</v>
      </c>
      <c r="J82" s="2"/>
      <c r="K82" s="2"/>
    </row>
    <row r="83" spans="2:11" x14ac:dyDescent="0.3">
      <c r="B83" s="280"/>
      <c r="C83" s="80" t="s">
        <v>157</v>
      </c>
      <c r="D83" s="60" t="s">
        <v>39</v>
      </c>
      <c r="E83" s="60" t="s">
        <v>109</v>
      </c>
      <c r="F83" s="60">
        <v>3</v>
      </c>
      <c r="G83" s="60">
        <f>VLOOKUP(E83,'Standard rooms list'!$B$3:$C$68,2,FALSE)</f>
        <v>2.5</v>
      </c>
      <c r="H83" s="60">
        <f t="shared" si="7"/>
        <v>7.5</v>
      </c>
      <c r="I83" s="81"/>
      <c r="J83" s="2"/>
      <c r="K83" s="2"/>
    </row>
    <row r="84" spans="2:11" x14ac:dyDescent="0.3">
      <c r="B84" s="280"/>
      <c r="C84" s="80" t="s">
        <v>157</v>
      </c>
      <c r="D84" s="60" t="s">
        <v>39</v>
      </c>
      <c r="E84" s="60" t="s">
        <v>98</v>
      </c>
      <c r="F84" s="60">
        <v>2</v>
      </c>
      <c r="G84" s="60">
        <f>VLOOKUP(E84,'Standard rooms list'!$B$3:$C$68,2,FALSE)</f>
        <v>4.5</v>
      </c>
      <c r="H84" s="60">
        <f t="shared" si="7"/>
        <v>9</v>
      </c>
      <c r="I84" s="81"/>
      <c r="J84" s="2"/>
      <c r="K84" s="2"/>
    </row>
    <row r="85" spans="2:11" x14ac:dyDescent="0.3">
      <c r="B85" s="280"/>
      <c r="C85" s="80" t="s">
        <v>157</v>
      </c>
      <c r="D85" s="60" t="s">
        <v>39</v>
      </c>
      <c r="E85" s="146" t="s">
        <v>111</v>
      </c>
      <c r="F85" s="146">
        <v>2</v>
      </c>
      <c r="G85" s="2">
        <f>VLOOKUP(E85,'Standard rooms list'!$B$3:$C$68,2,FALSE)</f>
        <v>8</v>
      </c>
      <c r="H85" s="2">
        <f>G85*F85</f>
        <v>16</v>
      </c>
      <c r="I85" s="15"/>
      <c r="J85" s="2"/>
      <c r="K85" s="2"/>
    </row>
    <row r="86" spans="2:11" s="27" customFormat="1" ht="11.5" customHeight="1" x14ac:dyDescent="0.3">
      <c r="B86" s="196"/>
      <c r="C86" s="126"/>
      <c r="D86" s="126"/>
      <c r="E86" s="126"/>
      <c r="F86" s="126"/>
      <c r="G86" s="203" t="s">
        <v>47</v>
      </c>
      <c r="H86" s="126">
        <f>SUM(H79:H85)</f>
        <v>158.5</v>
      </c>
      <c r="I86" s="131"/>
    </row>
    <row r="87" spans="2:11" x14ac:dyDescent="0.3">
      <c r="B87" s="280" t="s">
        <v>232</v>
      </c>
      <c r="C87" s="171" t="s">
        <v>243</v>
      </c>
      <c r="D87" s="178" t="s">
        <v>244</v>
      </c>
      <c r="E87" s="179" t="s">
        <v>103</v>
      </c>
      <c r="F87" s="169">
        <f>(SUM(F94,F95)*2)+(F96*8)</f>
        <v>22</v>
      </c>
      <c r="G87" s="169">
        <f>VLOOKUP(E87,'Standard rooms list'!$B$3:$C$69,2,FALSE)</f>
        <v>2</v>
      </c>
      <c r="H87" s="169">
        <f t="shared" ref="H87:H92" si="8">F87*G87</f>
        <v>44</v>
      </c>
      <c r="I87" s="174" t="s">
        <v>102</v>
      </c>
      <c r="J87" s="2"/>
      <c r="K87" s="2"/>
    </row>
    <row r="88" spans="2:11" x14ac:dyDescent="0.3">
      <c r="B88" s="280"/>
      <c r="C88" s="160" t="s">
        <v>243</v>
      </c>
      <c r="D88" s="180" t="s">
        <v>244</v>
      </c>
      <c r="E88" s="163" t="s">
        <v>103</v>
      </c>
      <c r="F88" s="161">
        <f>ROUNDUP(F87*0.3,0)</f>
        <v>7</v>
      </c>
      <c r="G88" s="169">
        <f>VLOOKUP(E88,'Standard rooms list'!$B$3:$C$69,2,FALSE)</f>
        <v>2</v>
      </c>
      <c r="H88" s="161">
        <f t="shared" si="8"/>
        <v>14</v>
      </c>
      <c r="I88" s="116" t="s">
        <v>245</v>
      </c>
      <c r="J88" s="2"/>
      <c r="K88" s="2"/>
    </row>
    <row r="89" spans="2:11" x14ac:dyDescent="0.3">
      <c r="B89" s="280"/>
      <c r="C89" s="160" t="s">
        <v>243</v>
      </c>
      <c r="D89" s="180" t="s">
        <v>244</v>
      </c>
      <c r="E89" s="163" t="s">
        <v>105</v>
      </c>
      <c r="F89" s="161">
        <v>1</v>
      </c>
      <c r="G89" s="169">
        <f>VLOOKUP(E89,'Standard rooms list'!$B$3:$C$69,2,FALSE)</f>
        <v>5.5</v>
      </c>
      <c r="H89" s="161">
        <f t="shared" si="8"/>
        <v>5.5</v>
      </c>
      <c r="I89" s="116" t="s">
        <v>106</v>
      </c>
      <c r="J89" s="2"/>
      <c r="K89" s="2"/>
    </row>
    <row r="90" spans="2:11" x14ac:dyDescent="0.3">
      <c r="B90" s="280"/>
      <c r="C90" s="160" t="s">
        <v>243</v>
      </c>
      <c r="D90" s="180" t="s">
        <v>244</v>
      </c>
      <c r="E90" s="163" t="s">
        <v>107</v>
      </c>
      <c r="F90" s="161">
        <v>1</v>
      </c>
      <c r="G90" s="169">
        <f>VLOOKUP(E90,'Standard rooms list'!$B$3:$C$69,2,FALSE)</f>
        <v>2.5</v>
      </c>
      <c r="H90" s="161">
        <f t="shared" si="8"/>
        <v>2.5</v>
      </c>
      <c r="I90" s="116" t="s">
        <v>158</v>
      </c>
      <c r="J90" s="2"/>
      <c r="K90" s="2"/>
    </row>
    <row r="91" spans="2:11" x14ac:dyDescent="0.3">
      <c r="B91" s="280"/>
      <c r="C91" s="160" t="s">
        <v>243</v>
      </c>
      <c r="D91" s="181" t="s">
        <v>244</v>
      </c>
      <c r="E91" s="163" t="s">
        <v>109</v>
      </c>
      <c r="F91" s="161">
        <v>1</v>
      </c>
      <c r="G91" s="169">
        <f>VLOOKUP(E91,'Standard rooms list'!$B$3:$C$69,2,FALSE)</f>
        <v>2.5</v>
      </c>
      <c r="H91" s="161">
        <f t="shared" si="8"/>
        <v>2.5</v>
      </c>
      <c r="I91" s="164"/>
      <c r="J91" s="2"/>
      <c r="K91" s="2"/>
    </row>
    <row r="92" spans="2:11" x14ac:dyDescent="0.3">
      <c r="B92" s="280"/>
      <c r="C92" s="170" t="s">
        <v>243</v>
      </c>
      <c r="D92" s="182" t="s">
        <v>244</v>
      </c>
      <c r="E92" s="167" t="s">
        <v>98</v>
      </c>
      <c r="F92" s="165">
        <v>2</v>
      </c>
      <c r="G92" s="172">
        <f>VLOOKUP(E92,'Standard rooms list'!$B$3:$C$69,2,FALSE)</f>
        <v>4.5</v>
      </c>
      <c r="H92" s="165">
        <f t="shared" si="8"/>
        <v>9</v>
      </c>
      <c r="I92" s="168"/>
      <c r="J92" s="2"/>
      <c r="K92" s="2"/>
    </row>
    <row r="93" spans="2:11" s="27" customFormat="1" x14ac:dyDescent="0.3">
      <c r="B93" s="196"/>
      <c r="C93" s="126"/>
      <c r="D93" s="126"/>
      <c r="E93" s="200"/>
      <c r="F93" s="200"/>
      <c r="G93" s="203" t="s">
        <v>47</v>
      </c>
      <c r="H93" s="126">
        <f>SUM(H87:H92)</f>
        <v>77.5</v>
      </c>
      <c r="I93" s="131"/>
    </row>
    <row r="94" spans="2:11" ht="12.65" customHeight="1" x14ac:dyDescent="0.3">
      <c r="B94" s="280" t="s">
        <v>232</v>
      </c>
      <c r="C94" s="171" t="s">
        <v>243</v>
      </c>
      <c r="D94" s="169" t="s">
        <v>246</v>
      </c>
      <c r="E94" s="183" t="s">
        <v>113</v>
      </c>
      <c r="F94" s="183">
        <v>2</v>
      </c>
      <c r="G94" s="169">
        <f>VLOOKUP(E94,'Standard rooms list'!$B$3:$C$69,2,FALSE)</f>
        <v>13.5</v>
      </c>
      <c r="H94" s="169">
        <f t="shared" ref="H94:H101" si="9">G94*F94</f>
        <v>27</v>
      </c>
      <c r="I94" s="174"/>
      <c r="J94" s="2"/>
      <c r="K94" s="2"/>
    </row>
    <row r="95" spans="2:11" x14ac:dyDescent="0.3">
      <c r="B95" s="280"/>
      <c r="C95" s="160" t="s">
        <v>243</v>
      </c>
      <c r="D95" s="161" t="s">
        <v>246</v>
      </c>
      <c r="E95" s="177" t="s">
        <v>114</v>
      </c>
      <c r="F95" s="177">
        <v>1</v>
      </c>
      <c r="G95" s="161">
        <f>VLOOKUP(E95,'Standard rooms list'!$B$3:$C$69,2,FALSE)</f>
        <v>16</v>
      </c>
      <c r="H95" s="161">
        <f t="shared" si="9"/>
        <v>16</v>
      </c>
      <c r="I95" s="116"/>
      <c r="J95" s="2"/>
      <c r="K95" s="2"/>
    </row>
    <row r="96" spans="2:11" ht="12.65" customHeight="1" x14ac:dyDescent="0.3">
      <c r="B96" s="280"/>
      <c r="C96" s="160" t="s">
        <v>243</v>
      </c>
      <c r="D96" s="161" t="s">
        <v>246</v>
      </c>
      <c r="E96" s="177" t="s">
        <v>118</v>
      </c>
      <c r="F96" s="177">
        <v>2</v>
      </c>
      <c r="G96" s="161">
        <f>VLOOKUP(E96,'Standard rooms list'!$B$3:$C$69,2,FALSE)</f>
        <v>32.5</v>
      </c>
      <c r="H96" s="161">
        <f t="shared" si="9"/>
        <v>65</v>
      </c>
      <c r="I96" s="116"/>
      <c r="J96" s="2"/>
      <c r="K96" s="2"/>
    </row>
    <row r="97" spans="2:11" ht="12.65" customHeight="1" x14ac:dyDescent="0.3">
      <c r="B97" s="280"/>
      <c r="C97" s="160" t="s">
        <v>243</v>
      </c>
      <c r="D97" s="161" t="s">
        <v>246</v>
      </c>
      <c r="E97" s="161" t="s">
        <v>120</v>
      </c>
      <c r="F97" s="161">
        <v>1</v>
      </c>
      <c r="G97" s="161">
        <f>VLOOKUP(E97,'Standard rooms list'!$B$3:$C$69,2,FALSE)</f>
        <v>5</v>
      </c>
      <c r="H97" s="161">
        <f>G97*F97</f>
        <v>5</v>
      </c>
      <c r="I97" s="116" t="s">
        <v>121</v>
      </c>
      <c r="J97" s="2"/>
      <c r="K97" s="2"/>
    </row>
    <row r="98" spans="2:11" ht="12.65" customHeight="1" x14ac:dyDescent="0.3">
      <c r="B98" s="280"/>
      <c r="C98" s="160" t="s">
        <v>243</v>
      </c>
      <c r="D98" s="161" t="s">
        <v>246</v>
      </c>
      <c r="E98" s="161" t="s">
        <v>197</v>
      </c>
      <c r="F98" s="161">
        <v>1</v>
      </c>
      <c r="G98" s="161">
        <f>VLOOKUP(E98,'Standard rooms list'!$B$3:$C$69,2,FALSE)</f>
        <v>3</v>
      </c>
      <c r="H98" s="161">
        <f>G98*F98</f>
        <v>3</v>
      </c>
      <c r="I98" s="116"/>
      <c r="J98" s="2"/>
      <c r="K98" s="2"/>
    </row>
    <row r="99" spans="2:11" x14ac:dyDescent="0.3">
      <c r="B99" s="280"/>
      <c r="C99" s="160" t="s">
        <v>243</v>
      </c>
      <c r="D99" s="161" t="s">
        <v>246</v>
      </c>
      <c r="E99" s="161" t="s">
        <v>124</v>
      </c>
      <c r="F99" s="161">
        <v>1</v>
      </c>
      <c r="G99" s="161">
        <f>VLOOKUP(E99,'Standard rooms list'!$B$3:$C$69,2,FALSE)</f>
        <v>4.5</v>
      </c>
      <c r="H99" s="161">
        <f t="shared" si="9"/>
        <v>4.5</v>
      </c>
      <c r="I99" s="116"/>
      <c r="J99" s="2"/>
      <c r="K99" s="2"/>
    </row>
    <row r="100" spans="2:11" x14ac:dyDescent="0.3">
      <c r="B100" s="280"/>
      <c r="C100" s="160" t="s">
        <v>243</v>
      </c>
      <c r="D100" s="161" t="s">
        <v>112</v>
      </c>
      <c r="E100" s="161" t="s">
        <v>131</v>
      </c>
      <c r="F100" s="161">
        <v>1</v>
      </c>
      <c r="G100" s="161">
        <f>VLOOKUP(E100,'Standard rooms list'!$B$3:$C$69,2,FALSE)</f>
        <v>8</v>
      </c>
      <c r="H100" s="161">
        <f t="shared" si="9"/>
        <v>8</v>
      </c>
      <c r="I100" s="164" t="s">
        <v>132</v>
      </c>
      <c r="J100" s="2"/>
      <c r="K100" s="2"/>
    </row>
    <row r="101" spans="2:11" x14ac:dyDescent="0.3">
      <c r="B101" s="280"/>
      <c r="C101" s="170" t="s">
        <v>243</v>
      </c>
      <c r="D101" s="165" t="s">
        <v>112</v>
      </c>
      <c r="E101" s="165" t="s">
        <v>131</v>
      </c>
      <c r="F101" s="165">
        <v>1</v>
      </c>
      <c r="G101" s="165">
        <f>VLOOKUP(E101,'Standard rooms list'!$B$3:$C$69,2,FALSE)</f>
        <v>8</v>
      </c>
      <c r="H101" s="165">
        <f t="shared" si="9"/>
        <v>8</v>
      </c>
      <c r="I101" s="168" t="s">
        <v>205</v>
      </c>
      <c r="J101" s="2"/>
      <c r="K101" s="2"/>
    </row>
    <row r="102" spans="2:11" s="27" customFormat="1" x14ac:dyDescent="0.3">
      <c r="B102" s="196"/>
      <c r="C102" s="126"/>
      <c r="D102" s="126"/>
      <c r="E102" s="126"/>
      <c r="F102" s="126"/>
      <c r="G102" s="203" t="s">
        <v>47</v>
      </c>
      <c r="H102" s="126">
        <f>SUM(H94:H101)</f>
        <v>136.5</v>
      </c>
      <c r="I102" s="131"/>
    </row>
    <row r="103" spans="2:11" x14ac:dyDescent="0.3">
      <c r="B103" s="280" t="s">
        <v>86</v>
      </c>
      <c r="C103" s="80" t="s">
        <v>159</v>
      </c>
      <c r="D103" s="2" t="s">
        <v>112</v>
      </c>
      <c r="E103" s="146" t="s">
        <v>113</v>
      </c>
      <c r="F103" s="146">
        <v>2</v>
      </c>
      <c r="G103" s="2">
        <f>VLOOKUP(E103,'Standard rooms list'!$B$3:$C$68,2,FALSE)</f>
        <v>13.5</v>
      </c>
      <c r="H103" s="2">
        <f t="shared" ref="H103:H106" si="10">G103*F103</f>
        <v>27</v>
      </c>
      <c r="I103" s="15"/>
      <c r="J103" s="2"/>
      <c r="K103" s="2"/>
    </row>
    <row r="104" spans="2:11" x14ac:dyDescent="0.3">
      <c r="B104" s="280"/>
      <c r="C104" s="80" t="s">
        <v>159</v>
      </c>
      <c r="D104" s="2" t="s">
        <v>112</v>
      </c>
      <c r="E104" s="146" t="s">
        <v>114</v>
      </c>
      <c r="F104" s="146">
        <v>1</v>
      </c>
      <c r="G104" s="2">
        <f>VLOOKUP(E104,'Standard rooms list'!$B$3:$C$68,2,FALSE)</f>
        <v>16</v>
      </c>
      <c r="H104" s="2">
        <f t="shared" si="10"/>
        <v>16</v>
      </c>
      <c r="I104" s="15"/>
      <c r="J104" s="2"/>
      <c r="K104" s="2"/>
    </row>
    <row r="105" spans="2:11" x14ac:dyDescent="0.3">
      <c r="B105" s="280"/>
      <c r="C105" s="80" t="s">
        <v>159</v>
      </c>
      <c r="D105" s="2" t="s">
        <v>112</v>
      </c>
      <c r="E105" s="146" t="s">
        <v>115</v>
      </c>
      <c r="F105" s="146">
        <v>4</v>
      </c>
      <c r="G105" s="2">
        <f>VLOOKUP(E105,'Standard rooms list'!$B$3:$C$68,2,FALSE)</f>
        <v>16</v>
      </c>
      <c r="H105" s="2">
        <f t="shared" si="10"/>
        <v>64</v>
      </c>
      <c r="I105" s="15"/>
      <c r="J105" s="2"/>
      <c r="K105" s="2"/>
    </row>
    <row r="106" spans="2:11" x14ac:dyDescent="0.3">
      <c r="B106" s="280"/>
      <c r="C106" s="80" t="s">
        <v>159</v>
      </c>
      <c r="D106" s="2" t="s">
        <v>112</v>
      </c>
      <c r="E106" s="146" t="s">
        <v>117</v>
      </c>
      <c r="F106" s="146">
        <v>1</v>
      </c>
      <c r="G106" s="2">
        <f>VLOOKUP(E106,'Standard rooms list'!$B$3:$C$68,2,FALSE)</f>
        <v>20</v>
      </c>
      <c r="H106" s="2">
        <f t="shared" si="10"/>
        <v>20</v>
      </c>
      <c r="I106" s="15"/>
      <c r="J106" s="2"/>
      <c r="K106" s="2"/>
    </row>
    <row r="107" spans="2:11" s="60" customFormat="1" x14ac:dyDescent="0.3">
      <c r="B107" s="280"/>
      <c r="C107" s="80" t="s">
        <v>159</v>
      </c>
      <c r="D107" s="60" t="s">
        <v>112</v>
      </c>
      <c r="E107" s="60" t="s">
        <v>124</v>
      </c>
      <c r="F107" s="60">
        <v>1</v>
      </c>
      <c r="G107" s="60">
        <f>VLOOKUP(E107,'Standard rooms list'!$B$3:$C$68,2,FALSE)</f>
        <v>4.5</v>
      </c>
      <c r="H107" s="60">
        <f>G107*F107</f>
        <v>4.5</v>
      </c>
      <c r="I107" s="81"/>
    </row>
    <row r="108" spans="2:11" s="60" customFormat="1" x14ac:dyDescent="0.3">
      <c r="B108" s="280"/>
      <c r="C108" s="80" t="s">
        <v>159</v>
      </c>
      <c r="D108" s="60" t="s">
        <v>112</v>
      </c>
      <c r="E108" s="154" t="s">
        <v>131</v>
      </c>
      <c r="F108" s="154">
        <v>1</v>
      </c>
      <c r="G108" s="154">
        <f>VLOOKUP(E108,'Standard rooms list'!$B$3:$C$68,2,FALSE)</f>
        <v>8</v>
      </c>
      <c r="H108" s="154">
        <f t="shared" ref="H108:H109" si="11">G108*F108</f>
        <v>8</v>
      </c>
      <c r="I108" s="83" t="s">
        <v>160</v>
      </c>
    </row>
    <row r="109" spans="2:11" s="60" customFormat="1" x14ac:dyDescent="0.3">
      <c r="B109" s="280"/>
      <c r="C109" s="80" t="s">
        <v>159</v>
      </c>
      <c r="D109" s="60" t="s">
        <v>112</v>
      </c>
      <c r="E109" s="154" t="s">
        <v>131</v>
      </c>
      <c r="F109" s="154">
        <v>1</v>
      </c>
      <c r="G109" s="154">
        <f>VLOOKUP(E109,'Standard rooms list'!$B$3:$C$68,2,FALSE)</f>
        <v>8</v>
      </c>
      <c r="H109" s="154">
        <f t="shared" si="11"/>
        <v>8</v>
      </c>
      <c r="I109" s="83" t="s">
        <v>161</v>
      </c>
    </row>
    <row r="110" spans="2:11" s="27" customFormat="1" x14ac:dyDescent="0.3">
      <c r="B110" s="196"/>
      <c r="C110" s="126"/>
      <c r="D110" s="126"/>
      <c r="E110" s="126"/>
      <c r="F110" s="126"/>
      <c r="G110" s="203" t="s">
        <v>47</v>
      </c>
      <c r="H110" s="126">
        <f>SUM(H103:H109)</f>
        <v>147.5</v>
      </c>
      <c r="I110" s="131"/>
    </row>
    <row r="111" spans="2:11" s="60" customFormat="1" x14ac:dyDescent="0.3">
      <c r="B111" s="284" t="s">
        <v>86</v>
      </c>
      <c r="C111" s="80" t="s">
        <v>162</v>
      </c>
      <c r="D111" s="60" t="s">
        <v>112</v>
      </c>
      <c r="E111" s="152" t="s">
        <v>115</v>
      </c>
      <c r="F111" s="152">
        <v>2</v>
      </c>
      <c r="G111" s="60">
        <f>VLOOKUP(E111,'Standard rooms list'!$B$3:$C$68,2,FALSE)</f>
        <v>16</v>
      </c>
      <c r="H111" s="60">
        <f t="shared" ref="H111:H117" si="12">G111*F111</f>
        <v>32</v>
      </c>
      <c r="I111" s="81" t="s">
        <v>163</v>
      </c>
    </row>
    <row r="112" spans="2:11" s="60" customFormat="1" x14ac:dyDescent="0.3">
      <c r="B112" s="284"/>
      <c r="C112" s="80" t="s">
        <v>162</v>
      </c>
      <c r="D112" s="60" t="s">
        <v>112</v>
      </c>
      <c r="E112" s="152" t="s">
        <v>117</v>
      </c>
      <c r="F112" s="152">
        <v>1</v>
      </c>
      <c r="G112" s="60">
        <f>VLOOKUP(E112,'Standard rooms list'!$B$3:$C$68,2,FALSE)</f>
        <v>20</v>
      </c>
      <c r="H112" s="60">
        <f t="shared" si="12"/>
        <v>20</v>
      </c>
      <c r="I112" s="81" t="s">
        <v>164</v>
      </c>
    </row>
    <row r="113" spans="2:11" s="60" customFormat="1" x14ac:dyDescent="0.3">
      <c r="B113" s="284"/>
      <c r="C113" s="80" t="s">
        <v>162</v>
      </c>
      <c r="D113" s="60" t="s">
        <v>112</v>
      </c>
      <c r="E113" s="60" t="s">
        <v>98</v>
      </c>
      <c r="F113" s="60">
        <v>1</v>
      </c>
      <c r="G113" s="60">
        <f>VLOOKUP(E113,'Standard rooms list'!$B$3:$C$68,2,FALSE)</f>
        <v>4.5</v>
      </c>
      <c r="H113" s="60">
        <f t="shared" si="12"/>
        <v>4.5</v>
      </c>
      <c r="I113" s="81" t="s">
        <v>165</v>
      </c>
    </row>
    <row r="114" spans="2:11" s="60" customFormat="1" x14ac:dyDescent="0.3">
      <c r="B114" s="284"/>
      <c r="C114" s="80" t="s">
        <v>162</v>
      </c>
      <c r="D114" s="60" t="s">
        <v>112</v>
      </c>
      <c r="E114" s="60" t="s">
        <v>166</v>
      </c>
      <c r="F114" s="60">
        <v>3</v>
      </c>
      <c r="G114" s="60">
        <f>VLOOKUP(E114,'Standard rooms list'!$B$3:$C$68,2,FALSE)</f>
        <v>4.5</v>
      </c>
      <c r="H114" s="60">
        <f t="shared" si="12"/>
        <v>13.5</v>
      </c>
      <c r="I114" s="81" t="s">
        <v>167</v>
      </c>
    </row>
    <row r="115" spans="2:11" s="60" customFormat="1" x14ac:dyDescent="0.3">
      <c r="B115" s="284"/>
      <c r="C115" s="80" t="s">
        <v>162</v>
      </c>
      <c r="D115" s="60" t="s">
        <v>112</v>
      </c>
      <c r="E115" s="60" t="s">
        <v>168</v>
      </c>
      <c r="F115" s="60">
        <v>3</v>
      </c>
      <c r="G115" s="60">
        <f>VLOOKUP(E115,'Standard rooms list'!$B$3:$C$68,2,FALSE)</f>
        <v>4.5999999999999996</v>
      </c>
      <c r="H115" s="60">
        <f t="shared" si="12"/>
        <v>13.799999999999999</v>
      </c>
      <c r="I115" s="81" t="s">
        <v>167</v>
      </c>
    </row>
    <row r="116" spans="2:11" s="60" customFormat="1" x14ac:dyDescent="0.3">
      <c r="B116" s="284"/>
      <c r="C116" s="80" t="s">
        <v>162</v>
      </c>
      <c r="D116" s="60" t="s">
        <v>112</v>
      </c>
      <c r="E116" s="154" t="s">
        <v>131</v>
      </c>
      <c r="F116" s="154">
        <v>1</v>
      </c>
      <c r="G116" s="154">
        <f>VLOOKUP(E116,'Standard rooms list'!$B$3:$C$68,2,FALSE)</f>
        <v>8</v>
      </c>
      <c r="H116" s="154">
        <f t="shared" si="12"/>
        <v>8</v>
      </c>
      <c r="I116" s="83" t="s">
        <v>169</v>
      </c>
    </row>
    <row r="117" spans="2:11" s="60" customFormat="1" x14ac:dyDescent="0.3">
      <c r="B117" s="284"/>
      <c r="C117" s="80" t="s">
        <v>162</v>
      </c>
      <c r="D117" s="60" t="s">
        <v>112</v>
      </c>
      <c r="E117" s="154" t="s">
        <v>131</v>
      </c>
      <c r="F117" s="154">
        <v>1</v>
      </c>
      <c r="G117" s="154">
        <f>VLOOKUP(E117,'Standard rooms list'!$B$3:$C$68,2,FALSE)</f>
        <v>8</v>
      </c>
      <c r="H117" s="154">
        <f t="shared" si="12"/>
        <v>8</v>
      </c>
      <c r="I117" s="83" t="s">
        <v>161</v>
      </c>
    </row>
    <row r="118" spans="2:11" s="27" customFormat="1" x14ac:dyDescent="0.3">
      <c r="B118" s="196"/>
      <c r="C118" s="126"/>
      <c r="D118" s="126"/>
      <c r="E118" s="126"/>
      <c r="F118" s="126"/>
      <c r="G118" s="203" t="s">
        <v>47</v>
      </c>
      <c r="H118" s="126">
        <f>SUM(H111:H117)</f>
        <v>99.8</v>
      </c>
      <c r="I118" s="131"/>
    </row>
    <row r="119" spans="2:11" s="60" customFormat="1" x14ac:dyDescent="0.3">
      <c r="B119" s="284" t="s">
        <v>86</v>
      </c>
      <c r="C119" s="82" t="s">
        <v>157</v>
      </c>
      <c r="D119" s="154" t="s">
        <v>170</v>
      </c>
      <c r="E119" s="154" t="s">
        <v>122</v>
      </c>
      <c r="F119" s="154">
        <v>1</v>
      </c>
      <c r="G119" s="154">
        <f>VLOOKUP(E119,'Standard rooms list'!$B$3:$C$68,2,FALSE)</f>
        <v>8</v>
      </c>
      <c r="H119" s="154">
        <f>G119*F119</f>
        <v>8</v>
      </c>
      <c r="I119" s="83"/>
    </row>
    <row r="120" spans="2:11" s="60" customFormat="1" x14ac:dyDescent="0.3">
      <c r="B120" s="284"/>
      <c r="C120" s="82" t="s">
        <v>157</v>
      </c>
      <c r="D120" s="154" t="s">
        <v>170</v>
      </c>
      <c r="E120" s="158" t="s">
        <v>118</v>
      </c>
      <c r="F120" s="158">
        <v>3</v>
      </c>
      <c r="G120" s="154">
        <f>VLOOKUP(E120,'Standard rooms list'!$B$3:$C$68,2,FALSE)</f>
        <v>32.5</v>
      </c>
      <c r="H120" s="154">
        <f>G120*F120</f>
        <v>97.5</v>
      </c>
      <c r="I120" s="83" t="s">
        <v>171</v>
      </c>
    </row>
    <row r="121" spans="2:11" s="60" customFormat="1" x14ac:dyDescent="0.3">
      <c r="B121" s="284"/>
      <c r="C121" s="82" t="s">
        <v>157</v>
      </c>
      <c r="D121" s="154" t="s">
        <v>170</v>
      </c>
      <c r="E121" s="154" t="s">
        <v>120</v>
      </c>
      <c r="F121" s="154">
        <v>1.5</v>
      </c>
      <c r="G121" s="154">
        <f>VLOOKUP(E121,'Standard rooms list'!$B$3:$C$68,2,FALSE)</f>
        <v>5</v>
      </c>
      <c r="H121" s="154">
        <f>G121*F121</f>
        <v>7.5</v>
      </c>
      <c r="I121" s="83" t="s">
        <v>121</v>
      </c>
    </row>
    <row r="122" spans="2:11" s="27" customFormat="1" ht="14.5" customHeight="1" x14ac:dyDescent="0.3">
      <c r="B122" s="196"/>
      <c r="C122" s="126"/>
      <c r="D122" s="126"/>
      <c r="E122" s="126"/>
      <c r="F122" s="126"/>
      <c r="G122" s="203" t="s">
        <v>47</v>
      </c>
      <c r="H122" s="126">
        <f>SUM(H119:H121)</f>
        <v>113</v>
      </c>
      <c r="I122" s="131"/>
    </row>
    <row r="123" spans="2:11" x14ac:dyDescent="0.3">
      <c r="B123" s="280" t="s">
        <v>232</v>
      </c>
      <c r="C123" s="80" t="s">
        <v>64</v>
      </c>
      <c r="D123" s="154" t="s">
        <v>125</v>
      </c>
      <c r="E123" s="154" t="s">
        <v>126</v>
      </c>
      <c r="F123" s="154">
        <v>2</v>
      </c>
      <c r="G123" s="154">
        <f>VLOOKUP(E123,'Standard rooms list'!$B$3:$C$68,2,FALSE)</f>
        <v>8</v>
      </c>
      <c r="H123" s="154">
        <f t="shared" ref="H123:H131" si="13">G123*F123</f>
        <v>16</v>
      </c>
      <c r="I123" s="83" t="s">
        <v>127</v>
      </c>
      <c r="J123" s="2"/>
      <c r="K123" s="2"/>
    </row>
    <row r="124" spans="2:11" x14ac:dyDescent="0.3">
      <c r="B124" s="280"/>
      <c r="C124" s="80" t="s">
        <v>64</v>
      </c>
      <c r="D124" s="154" t="s">
        <v>125</v>
      </c>
      <c r="E124" s="154" t="s">
        <v>128</v>
      </c>
      <c r="F124" s="154">
        <v>2</v>
      </c>
      <c r="G124" s="154">
        <f>VLOOKUP(E124,'Standard rooms list'!$B$3:$C$68,2,FALSE)</f>
        <v>8</v>
      </c>
      <c r="H124" s="154">
        <f t="shared" si="13"/>
        <v>16</v>
      </c>
      <c r="I124" s="83" t="s">
        <v>247</v>
      </c>
      <c r="J124" s="2"/>
      <c r="K124" s="2"/>
    </row>
    <row r="125" spans="2:11" x14ac:dyDescent="0.3">
      <c r="B125" s="280"/>
      <c r="C125" s="80" t="s">
        <v>64</v>
      </c>
      <c r="D125" s="154" t="s">
        <v>125</v>
      </c>
      <c r="E125" s="154" t="s">
        <v>172</v>
      </c>
      <c r="F125" s="154">
        <v>2</v>
      </c>
      <c r="G125" s="154">
        <f>VLOOKUP(E125,'Standard rooms list'!$B$3:$C$75,2,FALSE)</f>
        <v>4</v>
      </c>
      <c r="H125" s="154">
        <f t="shared" si="13"/>
        <v>8</v>
      </c>
      <c r="I125" s="83" t="s">
        <v>173</v>
      </c>
      <c r="J125" s="2"/>
      <c r="K125" s="2"/>
    </row>
    <row r="126" spans="2:11" x14ac:dyDescent="0.3">
      <c r="B126" s="280"/>
      <c r="C126" s="80" t="s">
        <v>64</v>
      </c>
      <c r="D126" s="154" t="s">
        <v>125</v>
      </c>
      <c r="E126" s="154" t="s">
        <v>129</v>
      </c>
      <c r="F126" s="154">
        <v>1</v>
      </c>
      <c r="G126" s="154">
        <f>VLOOKUP(E126,'Standard rooms list'!$B$3:$C$68,2,FALSE)</f>
        <v>8</v>
      </c>
      <c r="H126" s="154">
        <f t="shared" si="13"/>
        <v>8</v>
      </c>
      <c r="I126" s="83"/>
      <c r="J126" s="2"/>
      <c r="K126" s="2"/>
    </row>
    <row r="127" spans="2:11" x14ac:dyDescent="0.3">
      <c r="B127" s="280"/>
      <c r="C127" s="80" t="s">
        <v>64</v>
      </c>
      <c r="D127" s="154" t="s">
        <v>125</v>
      </c>
      <c r="E127" s="154" t="s">
        <v>130</v>
      </c>
      <c r="F127" s="154">
        <v>2</v>
      </c>
      <c r="G127" s="154">
        <f>VLOOKUP(E127,'Standard rooms list'!$B$3:$C$68,2,FALSE)</f>
        <v>2</v>
      </c>
      <c r="H127" s="154">
        <f t="shared" si="13"/>
        <v>4</v>
      </c>
      <c r="I127" s="83"/>
      <c r="J127" s="2"/>
      <c r="K127" s="2"/>
    </row>
    <row r="128" spans="2:11" x14ac:dyDescent="0.3">
      <c r="B128" s="280"/>
      <c r="C128" s="80" t="s">
        <v>64</v>
      </c>
      <c r="D128" s="154" t="s">
        <v>125</v>
      </c>
      <c r="E128" s="154" t="s">
        <v>133</v>
      </c>
      <c r="F128" s="154">
        <v>2</v>
      </c>
      <c r="G128" s="154">
        <f>VLOOKUP(E128,'Standard rooms list'!$B$3:$C$68,2,FALSE)</f>
        <v>2</v>
      </c>
      <c r="H128" s="154">
        <f t="shared" si="13"/>
        <v>4</v>
      </c>
      <c r="I128" s="83"/>
      <c r="J128" s="2"/>
      <c r="K128" s="2"/>
    </row>
    <row r="129" spans="2:11" x14ac:dyDescent="0.3">
      <c r="B129" s="280"/>
      <c r="C129" s="80" t="s">
        <v>64</v>
      </c>
      <c r="D129" s="154" t="s">
        <v>125</v>
      </c>
      <c r="E129" s="154" t="s">
        <v>204</v>
      </c>
      <c r="F129" s="154">
        <v>1</v>
      </c>
      <c r="G129" s="154">
        <f>VLOOKUP(E129,'Standard rooms list'!$B$3:$C$68,2,FALSE)</f>
        <v>15</v>
      </c>
      <c r="H129" s="154">
        <f>G129*F129</f>
        <v>15</v>
      </c>
      <c r="I129" s="83" t="s">
        <v>248</v>
      </c>
      <c r="J129" s="2"/>
      <c r="K129" s="2"/>
    </row>
    <row r="130" spans="2:11" ht="12.65" customHeight="1" x14ac:dyDescent="0.3">
      <c r="B130" s="280"/>
      <c r="C130" s="80" t="s">
        <v>64</v>
      </c>
      <c r="D130" s="60" t="s">
        <v>125</v>
      </c>
      <c r="E130" s="60" t="s">
        <v>136</v>
      </c>
      <c r="F130" s="60">
        <v>1</v>
      </c>
      <c r="G130" s="60">
        <f>VLOOKUP(E130,'Standard rooms list'!$B$3:$C$68,2,FALSE)</f>
        <v>2</v>
      </c>
      <c r="H130" s="60">
        <f t="shared" si="13"/>
        <v>2</v>
      </c>
      <c r="I130" s="81"/>
      <c r="J130" s="2"/>
      <c r="K130" s="2"/>
    </row>
    <row r="131" spans="2:11" ht="12.65" customHeight="1" x14ac:dyDescent="0.3">
      <c r="B131" s="280"/>
      <c r="C131" s="80" t="s">
        <v>64</v>
      </c>
      <c r="D131" s="154" t="s">
        <v>125</v>
      </c>
      <c r="E131" s="154" t="s">
        <v>135</v>
      </c>
      <c r="F131" s="154">
        <v>1</v>
      </c>
      <c r="G131" s="154">
        <f>VLOOKUP(E131,'Standard rooms list'!$B$3:$C$68,2,FALSE)</f>
        <v>8</v>
      </c>
      <c r="H131" s="154">
        <f t="shared" si="13"/>
        <v>8</v>
      </c>
      <c r="I131" s="83"/>
      <c r="J131" s="2"/>
      <c r="K131" s="2"/>
    </row>
    <row r="132" spans="2:11" s="27" customFormat="1" x14ac:dyDescent="0.3">
      <c r="B132" s="196"/>
      <c r="C132" s="126"/>
      <c r="D132" s="126"/>
      <c r="E132" s="126"/>
      <c r="F132" s="126"/>
      <c r="G132" s="203" t="s">
        <v>47</v>
      </c>
      <c r="H132" s="126">
        <f>SUM(H123:H131)</f>
        <v>81</v>
      </c>
      <c r="I132" s="131"/>
    </row>
    <row r="133" spans="2:11" x14ac:dyDescent="0.3">
      <c r="B133" s="280" t="s">
        <v>232</v>
      </c>
      <c r="C133" s="80" t="s">
        <v>64</v>
      </c>
      <c r="D133" s="60" t="s">
        <v>140</v>
      </c>
      <c r="E133" s="152" t="s">
        <v>141</v>
      </c>
      <c r="F133" s="152">
        <v>6</v>
      </c>
      <c r="G133" s="60">
        <f>VLOOKUP(E133,'Standard rooms list'!$B$3:$C$68,2,FALSE)</f>
        <v>4.5999999999999996</v>
      </c>
      <c r="H133" s="60">
        <f t="shared" ref="H133:H143" si="14">G133*F133</f>
        <v>27.599999999999998</v>
      </c>
      <c r="I133" s="283" t="s">
        <v>249</v>
      </c>
      <c r="J133" s="2"/>
      <c r="K133" s="2"/>
    </row>
    <row r="134" spans="2:11" x14ac:dyDescent="0.3">
      <c r="B134" s="280"/>
      <c r="C134" s="80" t="s">
        <v>64</v>
      </c>
      <c r="D134" s="60" t="s">
        <v>140</v>
      </c>
      <c r="E134" s="60" t="s">
        <v>111</v>
      </c>
      <c r="F134" s="60">
        <v>2</v>
      </c>
      <c r="G134" s="60">
        <f>VLOOKUP(E134,'Standard rooms list'!$B$3:$C$68,2,FALSE)</f>
        <v>8</v>
      </c>
      <c r="H134" s="60">
        <f t="shared" si="14"/>
        <v>16</v>
      </c>
      <c r="I134" s="283"/>
      <c r="J134" s="2"/>
      <c r="K134" s="2"/>
    </row>
    <row r="135" spans="2:11" x14ac:dyDescent="0.3">
      <c r="B135" s="280"/>
      <c r="C135" s="80" t="s">
        <v>64</v>
      </c>
      <c r="D135" s="60" t="s">
        <v>140</v>
      </c>
      <c r="E135" s="60" t="s">
        <v>143</v>
      </c>
      <c r="F135" s="60">
        <v>1</v>
      </c>
      <c r="G135" s="60">
        <f>VLOOKUP(E135,'Standard rooms list'!$B$3:$C$68,2,FALSE)</f>
        <v>8</v>
      </c>
      <c r="H135" s="60">
        <f t="shared" si="14"/>
        <v>8</v>
      </c>
      <c r="I135" s="81" t="s">
        <v>176</v>
      </c>
      <c r="J135" s="2"/>
      <c r="K135" s="2"/>
    </row>
    <row r="136" spans="2:11" x14ac:dyDescent="0.3">
      <c r="B136" s="280"/>
      <c r="C136" s="80" t="s">
        <v>64</v>
      </c>
      <c r="D136" s="60" t="s">
        <v>140</v>
      </c>
      <c r="E136" s="60" t="s">
        <v>143</v>
      </c>
      <c r="F136" s="60">
        <v>1</v>
      </c>
      <c r="G136" s="60">
        <f>VLOOKUP(E136,'Standard rooms list'!$B$3:$C$68,2,FALSE)</f>
        <v>8</v>
      </c>
      <c r="H136" s="60">
        <f t="shared" si="14"/>
        <v>8</v>
      </c>
      <c r="I136" s="81" t="s">
        <v>177</v>
      </c>
      <c r="J136" s="2"/>
      <c r="K136" s="2"/>
    </row>
    <row r="137" spans="2:11" x14ac:dyDescent="0.3">
      <c r="B137" s="280"/>
      <c r="C137" s="80" t="s">
        <v>64</v>
      </c>
      <c r="D137" s="60" t="s">
        <v>140</v>
      </c>
      <c r="E137" s="60" t="s">
        <v>143</v>
      </c>
      <c r="F137" s="60">
        <v>1</v>
      </c>
      <c r="G137" s="60">
        <f>VLOOKUP(E137,'Standard rooms list'!$B$3:$C$68,2,FALSE)</f>
        <v>8</v>
      </c>
      <c r="H137" s="60">
        <f t="shared" si="14"/>
        <v>8</v>
      </c>
      <c r="I137" s="81" t="s">
        <v>250</v>
      </c>
      <c r="J137" s="2"/>
      <c r="K137" s="2"/>
    </row>
    <row r="138" spans="2:11" x14ac:dyDescent="0.3">
      <c r="B138" s="280"/>
      <c r="C138" s="80" t="s">
        <v>64</v>
      </c>
      <c r="D138" s="60" t="s">
        <v>140</v>
      </c>
      <c r="E138" s="60" t="s">
        <v>145</v>
      </c>
      <c r="F138" s="153">
        <f>(SUM(F85,F94,F95,F96,F103,F104,F105,F106,F111,F112,F120)*0.8)</f>
        <v>16.8</v>
      </c>
      <c r="G138" s="60">
        <f>VLOOKUP(E138,'Standard rooms list'!$B$3:$C$68,2,FALSE)</f>
        <v>5</v>
      </c>
      <c r="H138" s="60">
        <f t="shared" si="14"/>
        <v>84</v>
      </c>
      <c r="I138" s="81" t="s">
        <v>251</v>
      </c>
      <c r="J138" s="2"/>
      <c r="K138" s="2"/>
    </row>
    <row r="139" spans="2:11" x14ac:dyDescent="0.3">
      <c r="B139" s="280"/>
      <c r="C139" s="80" t="s">
        <v>64</v>
      </c>
      <c r="D139" s="60" t="s">
        <v>140</v>
      </c>
      <c r="E139" s="60" t="s">
        <v>147</v>
      </c>
      <c r="F139" s="153">
        <f>F138</f>
        <v>16.8</v>
      </c>
      <c r="G139" s="60">
        <v>0.125</v>
      </c>
      <c r="H139" s="60">
        <f>G139*F139</f>
        <v>2.1</v>
      </c>
      <c r="I139" s="81"/>
      <c r="J139" s="2"/>
      <c r="K139" s="2"/>
    </row>
    <row r="140" spans="2:11" x14ac:dyDescent="0.3">
      <c r="B140" s="280"/>
      <c r="C140" s="80" t="s">
        <v>64</v>
      </c>
      <c r="D140" s="60" t="s">
        <v>140</v>
      </c>
      <c r="E140" s="60" t="s">
        <v>148</v>
      </c>
      <c r="F140" s="60">
        <v>3</v>
      </c>
      <c r="G140" s="60">
        <f>VLOOKUP(E140,'Standard rooms list'!$B$3:$C$68,2,FALSE)</f>
        <v>2</v>
      </c>
      <c r="H140" s="60">
        <f t="shared" si="14"/>
        <v>6</v>
      </c>
      <c r="I140" s="81" t="s">
        <v>149</v>
      </c>
      <c r="J140" s="2"/>
      <c r="K140" s="2"/>
    </row>
    <row r="141" spans="2:11" x14ac:dyDescent="0.3">
      <c r="B141" s="280"/>
      <c r="C141" s="80" t="s">
        <v>64</v>
      </c>
      <c r="D141" s="60" t="s">
        <v>140</v>
      </c>
      <c r="E141" s="60" t="s">
        <v>150</v>
      </c>
      <c r="F141" s="60">
        <v>1</v>
      </c>
      <c r="G141" s="60">
        <f>VLOOKUP(E141,'Standard rooms list'!$B$3:$C$68,2,FALSE)</f>
        <v>4.5</v>
      </c>
      <c r="H141" s="60">
        <f t="shared" si="14"/>
        <v>4.5</v>
      </c>
      <c r="I141" s="81" t="s">
        <v>149</v>
      </c>
      <c r="J141" s="2"/>
      <c r="K141" s="2"/>
    </row>
    <row r="142" spans="2:11" x14ac:dyDescent="0.3">
      <c r="B142" s="280"/>
      <c r="C142" s="80" t="s">
        <v>64</v>
      </c>
      <c r="D142" s="60" t="s">
        <v>140</v>
      </c>
      <c r="E142" s="60" t="s">
        <v>151</v>
      </c>
      <c r="F142" s="60">
        <f>SUM(F85,F94,F95,F96,F103,F104,F105,F106,F111,F112,F120)</f>
        <v>21</v>
      </c>
      <c r="G142" s="60">
        <f>VLOOKUP(E142,'Standard rooms list'!$B$3:$C$68,2,FALSE)</f>
        <v>1.8</v>
      </c>
      <c r="H142" s="60">
        <f t="shared" si="14"/>
        <v>37.800000000000004</v>
      </c>
      <c r="I142" s="81" t="s">
        <v>179</v>
      </c>
      <c r="J142" s="2"/>
      <c r="K142" s="2"/>
    </row>
    <row r="143" spans="2:11" x14ac:dyDescent="0.3">
      <c r="B143" s="280"/>
      <c r="C143" s="80" t="s">
        <v>64</v>
      </c>
      <c r="D143" s="60" t="s">
        <v>140</v>
      </c>
      <c r="E143" s="60" t="s">
        <v>153</v>
      </c>
      <c r="F143" s="60">
        <f>F142</f>
        <v>21</v>
      </c>
      <c r="G143" s="60">
        <f>VLOOKUP(E143,'Standard rooms list'!$B$3:$C$68,2,FALSE)</f>
        <v>1.4</v>
      </c>
      <c r="H143" s="60">
        <f t="shared" si="14"/>
        <v>29.4</v>
      </c>
      <c r="I143" s="81" t="s">
        <v>179</v>
      </c>
      <c r="J143" s="2"/>
      <c r="K143" s="2"/>
    </row>
    <row r="144" spans="2:11" x14ac:dyDescent="0.3">
      <c r="B144" s="280"/>
      <c r="C144" s="80" t="s">
        <v>64</v>
      </c>
      <c r="D144" s="60" t="s">
        <v>140</v>
      </c>
      <c r="E144" s="2" t="s">
        <v>154</v>
      </c>
      <c r="F144" s="2">
        <v>1</v>
      </c>
      <c r="G144" s="2">
        <f>VLOOKUP(E144,'Standard rooms list'!$B$3:$C$150,2,FALSE)</f>
        <v>6</v>
      </c>
      <c r="H144" s="2">
        <f>G144*F144</f>
        <v>6</v>
      </c>
      <c r="I144" s="81"/>
      <c r="J144" s="2"/>
      <c r="K144" s="2"/>
    </row>
    <row r="145" spans="2:11" x14ac:dyDescent="0.3">
      <c r="B145" s="280"/>
      <c r="C145" s="80" t="s">
        <v>64</v>
      </c>
      <c r="D145" s="60" t="s">
        <v>140</v>
      </c>
      <c r="E145" s="2" t="s">
        <v>137</v>
      </c>
      <c r="F145" s="2">
        <v>1</v>
      </c>
      <c r="G145" s="2">
        <f>VLOOKUP(E145,'Standard rooms list'!$B$3:$C$150,2,FALSE)</f>
        <v>4.5</v>
      </c>
      <c r="H145" s="2">
        <f>G145*F145</f>
        <v>4.5</v>
      </c>
      <c r="I145" s="81"/>
      <c r="J145" s="2"/>
      <c r="K145" s="2"/>
    </row>
    <row r="146" spans="2:11" x14ac:dyDescent="0.3">
      <c r="B146" s="280"/>
      <c r="C146" s="80" t="s">
        <v>64</v>
      </c>
      <c r="D146" s="60" t="s">
        <v>140</v>
      </c>
      <c r="E146" s="2" t="s">
        <v>155</v>
      </c>
      <c r="F146" s="2">
        <v>7</v>
      </c>
      <c r="G146" s="2">
        <f>VLOOKUP(E146,'Standard rooms list'!$B$3:$C$150,2,FALSE)</f>
        <v>0.5</v>
      </c>
      <c r="H146" s="2">
        <f>G146*F146</f>
        <v>3.5</v>
      </c>
      <c r="I146" s="81"/>
      <c r="J146" s="2"/>
      <c r="K146" s="2"/>
    </row>
    <row r="147" spans="2:11" s="27" customFormat="1" x14ac:dyDescent="0.3">
      <c r="B147" s="197"/>
      <c r="C147" s="133"/>
      <c r="D147" s="133"/>
      <c r="E147" s="133"/>
      <c r="F147" s="133"/>
      <c r="G147" s="203" t="s">
        <v>47</v>
      </c>
      <c r="H147" s="133">
        <f>SUM(H133:H146)</f>
        <v>245.4</v>
      </c>
      <c r="I147" s="135"/>
    </row>
    <row r="148" spans="2:11" s="27" customFormat="1" ht="14.5" customHeight="1" x14ac:dyDescent="0.3">
      <c r="B148" s="198"/>
      <c r="C148" s="122"/>
      <c r="D148" s="122"/>
      <c r="E148" s="278" t="s">
        <v>252</v>
      </c>
      <c r="F148" s="278"/>
      <c r="G148" s="278"/>
      <c r="H148" s="122">
        <f>SUM(H147,H132,H122,H118,H110,H102,H93,H86)</f>
        <v>1059.1999999999998</v>
      </c>
      <c r="I148" s="141"/>
    </row>
    <row r="149" spans="2:11" s="27" customFormat="1" x14ac:dyDescent="0.3">
      <c r="B149" s="199"/>
      <c r="C149" s="201" t="s">
        <v>253</v>
      </c>
      <c r="D149" s="201"/>
      <c r="E149" s="201"/>
      <c r="F149" s="201"/>
      <c r="G149" s="201"/>
      <c r="H149" s="201"/>
      <c r="I149" s="202"/>
    </row>
    <row r="150" spans="2:11" x14ac:dyDescent="0.3">
      <c r="B150" s="280" t="s">
        <v>232</v>
      </c>
      <c r="C150" s="171" t="s">
        <v>254</v>
      </c>
      <c r="D150" s="184" t="s">
        <v>244</v>
      </c>
      <c r="E150" s="184" t="s">
        <v>87</v>
      </c>
      <c r="F150" s="184">
        <v>1</v>
      </c>
      <c r="G150" s="184">
        <f>VLOOKUP(E150,'Standard rooms list'!$B$3:$C$69,2,FALSE)</f>
        <v>6</v>
      </c>
      <c r="H150" s="184">
        <f>F150*G150</f>
        <v>6</v>
      </c>
      <c r="I150" s="185"/>
      <c r="J150" s="2"/>
      <c r="K150" s="2"/>
    </row>
    <row r="151" spans="2:11" x14ac:dyDescent="0.3">
      <c r="B151" s="280"/>
      <c r="C151" s="160" t="s">
        <v>254</v>
      </c>
      <c r="D151" s="184" t="s">
        <v>244</v>
      </c>
      <c r="E151" s="184" t="s">
        <v>101</v>
      </c>
      <c r="F151" s="184">
        <f>(SUM(F164,F165,F167)*2)+(F166*8)</f>
        <v>14</v>
      </c>
      <c r="G151" s="186">
        <f>VLOOKUP(E151,'Standard rooms list'!$B$3:$C$69,2,FALSE)</f>
        <v>2</v>
      </c>
      <c r="H151" s="184">
        <f>F151*G151</f>
        <v>28</v>
      </c>
      <c r="I151" s="187" t="s">
        <v>255</v>
      </c>
      <c r="J151" s="2"/>
      <c r="K151" s="2"/>
    </row>
    <row r="152" spans="2:11" x14ac:dyDescent="0.3">
      <c r="B152" s="280"/>
      <c r="C152" s="160" t="s">
        <v>254</v>
      </c>
      <c r="D152" s="184" t="s">
        <v>244</v>
      </c>
      <c r="E152" s="186" t="s">
        <v>103</v>
      </c>
      <c r="F152" s="186">
        <v>3</v>
      </c>
      <c r="G152" s="186">
        <f>VLOOKUP(E152,'Standard rooms list'!$B$3:$C$69,2,FALSE)</f>
        <v>2</v>
      </c>
      <c r="H152" s="186">
        <f t="shared" ref="H152:H156" si="15">F152*G152</f>
        <v>6</v>
      </c>
      <c r="I152" s="114" t="s">
        <v>256</v>
      </c>
      <c r="J152" s="2"/>
      <c r="K152" s="2"/>
    </row>
    <row r="153" spans="2:11" x14ac:dyDescent="0.3">
      <c r="B153" s="280"/>
      <c r="C153" s="160" t="s">
        <v>254</v>
      </c>
      <c r="D153" s="184" t="s">
        <v>244</v>
      </c>
      <c r="E153" s="186" t="s">
        <v>105</v>
      </c>
      <c r="F153" s="186">
        <v>1</v>
      </c>
      <c r="G153" s="186">
        <f>VLOOKUP(E153,'Standard rooms list'!$B$3:$C$69,2,FALSE)</f>
        <v>5.5</v>
      </c>
      <c r="H153" s="186">
        <f t="shared" si="15"/>
        <v>5.5</v>
      </c>
      <c r="I153" s="187" t="s">
        <v>257</v>
      </c>
      <c r="J153" s="2"/>
      <c r="K153" s="2"/>
    </row>
    <row r="154" spans="2:11" x14ac:dyDescent="0.3">
      <c r="B154" s="280"/>
      <c r="C154" s="160" t="s">
        <v>254</v>
      </c>
      <c r="D154" s="184" t="s">
        <v>244</v>
      </c>
      <c r="E154" s="186" t="s">
        <v>109</v>
      </c>
      <c r="F154" s="186">
        <v>2</v>
      </c>
      <c r="G154" s="186">
        <f>VLOOKUP(E154,'Standard rooms list'!$B$3:$C$69,2,FALSE)</f>
        <v>2.5</v>
      </c>
      <c r="H154" s="186">
        <f t="shared" si="15"/>
        <v>5</v>
      </c>
      <c r="I154" s="187" t="s">
        <v>258</v>
      </c>
      <c r="J154" s="2"/>
      <c r="K154" s="2"/>
    </row>
    <row r="155" spans="2:11" x14ac:dyDescent="0.3">
      <c r="B155" s="280"/>
      <c r="C155" s="160" t="s">
        <v>254</v>
      </c>
      <c r="D155" s="184" t="s">
        <v>244</v>
      </c>
      <c r="E155" s="186" t="s">
        <v>98</v>
      </c>
      <c r="F155" s="186">
        <v>1</v>
      </c>
      <c r="G155" s="186">
        <f>VLOOKUP(E155,'Standard rooms list'!$B$3:$C$69,2,FALSE)</f>
        <v>4.5</v>
      </c>
      <c r="H155" s="186">
        <f t="shared" si="15"/>
        <v>4.5</v>
      </c>
      <c r="I155" s="187" t="s">
        <v>258</v>
      </c>
      <c r="J155" s="2"/>
      <c r="K155" s="2"/>
    </row>
    <row r="156" spans="2:11" x14ac:dyDescent="0.3">
      <c r="B156" s="280"/>
      <c r="C156" s="170" t="s">
        <v>254</v>
      </c>
      <c r="D156" s="188" t="s">
        <v>244</v>
      </c>
      <c r="E156" s="155" t="s">
        <v>259</v>
      </c>
      <c r="F156" s="155">
        <v>1</v>
      </c>
      <c r="G156" s="189">
        <f>VLOOKUP(E156,'Standard rooms list'!$B$3:$C$69,2,FALSE)</f>
        <v>10</v>
      </c>
      <c r="H156" s="155">
        <f t="shared" si="15"/>
        <v>10</v>
      </c>
      <c r="I156" s="190"/>
      <c r="J156" s="2"/>
      <c r="K156" s="2"/>
    </row>
    <row r="157" spans="2:11" s="27" customFormat="1" x14ac:dyDescent="0.3">
      <c r="B157" s="196"/>
      <c r="C157" s="203"/>
      <c r="D157" s="203"/>
      <c r="E157" s="203"/>
      <c r="F157" s="203"/>
      <c r="G157" s="203" t="s">
        <v>47</v>
      </c>
      <c r="H157" s="203">
        <f>SUM(H150:H156)</f>
        <v>65</v>
      </c>
      <c r="I157" s="204"/>
    </row>
    <row r="158" spans="2:11" x14ac:dyDescent="0.3">
      <c r="B158" s="280" t="s">
        <v>232</v>
      </c>
      <c r="C158" s="171" t="s">
        <v>260</v>
      </c>
      <c r="D158" s="184" t="s">
        <v>39</v>
      </c>
      <c r="E158" s="184" t="s">
        <v>101</v>
      </c>
      <c r="F158" s="184">
        <f>(SUM(F175,F176,F177,F178)*2)</f>
        <v>14</v>
      </c>
      <c r="G158" s="184">
        <f>VLOOKUP(E158,'Standard rooms list'!$B$3:$C$69,2,FALSE)</f>
        <v>2</v>
      </c>
      <c r="H158" s="184">
        <f>F158*G158</f>
        <v>28</v>
      </c>
      <c r="I158" s="191" t="s">
        <v>261</v>
      </c>
      <c r="J158" s="2"/>
      <c r="K158" s="2"/>
    </row>
    <row r="159" spans="2:11" x14ac:dyDescent="0.3">
      <c r="B159" s="280"/>
      <c r="C159" s="160" t="s">
        <v>260</v>
      </c>
      <c r="D159" s="186" t="s">
        <v>39</v>
      </c>
      <c r="E159" s="186" t="s">
        <v>103</v>
      </c>
      <c r="F159" s="186">
        <v>3</v>
      </c>
      <c r="G159" s="186">
        <f>VLOOKUP(E159,'Standard rooms list'!$B$3:$C$69,2,FALSE)</f>
        <v>2</v>
      </c>
      <c r="H159" s="186">
        <f t="shared" ref="H159:H162" si="16">F159*G159</f>
        <v>6</v>
      </c>
      <c r="I159" s="187" t="s">
        <v>262</v>
      </c>
      <c r="J159" s="2"/>
      <c r="K159" s="2"/>
    </row>
    <row r="160" spans="2:11" x14ac:dyDescent="0.3">
      <c r="B160" s="280"/>
      <c r="C160" s="160" t="s">
        <v>260</v>
      </c>
      <c r="D160" s="186" t="s">
        <v>39</v>
      </c>
      <c r="E160" s="186" t="s">
        <v>105</v>
      </c>
      <c r="F160" s="186">
        <v>1</v>
      </c>
      <c r="G160" s="186">
        <f>VLOOKUP(E160,'Standard rooms list'!$B$3:$C$69,2,FALSE)</f>
        <v>5.5</v>
      </c>
      <c r="H160" s="186">
        <f t="shared" si="16"/>
        <v>5.5</v>
      </c>
      <c r="I160" s="187" t="s">
        <v>257</v>
      </c>
      <c r="J160" s="2"/>
      <c r="K160" s="2"/>
    </row>
    <row r="161" spans="2:11" x14ac:dyDescent="0.3">
      <c r="B161" s="280"/>
      <c r="C161" s="160" t="s">
        <v>260</v>
      </c>
      <c r="D161" s="186" t="s">
        <v>39</v>
      </c>
      <c r="E161" s="186" t="s">
        <v>109</v>
      </c>
      <c r="F161" s="186">
        <v>1</v>
      </c>
      <c r="G161" s="186">
        <f>VLOOKUP(E161,'Standard rooms list'!$B$3:$C$69,2,FALSE)</f>
        <v>2.5</v>
      </c>
      <c r="H161" s="186">
        <f t="shared" si="16"/>
        <v>2.5</v>
      </c>
      <c r="I161" s="192"/>
      <c r="J161" s="2"/>
      <c r="K161" s="2"/>
    </row>
    <row r="162" spans="2:11" x14ac:dyDescent="0.3">
      <c r="B162" s="280"/>
      <c r="C162" s="170" t="s">
        <v>260</v>
      </c>
      <c r="D162" s="189" t="s">
        <v>39</v>
      </c>
      <c r="E162" s="189" t="s">
        <v>98</v>
      </c>
      <c r="F162" s="189">
        <v>1</v>
      </c>
      <c r="G162" s="189">
        <f>VLOOKUP(E162,'Standard rooms list'!$B$3:$C$69,2,FALSE)</f>
        <v>4.5</v>
      </c>
      <c r="H162" s="189">
        <f t="shared" si="16"/>
        <v>4.5</v>
      </c>
      <c r="I162" s="193"/>
      <c r="J162" s="2"/>
      <c r="K162" s="2"/>
    </row>
    <row r="163" spans="2:11" s="27" customFormat="1" x14ac:dyDescent="0.3">
      <c r="B163" s="196"/>
      <c r="C163" s="203"/>
      <c r="D163" s="203"/>
      <c r="E163" s="203"/>
      <c r="F163" s="203"/>
      <c r="G163" s="203" t="s">
        <v>47</v>
      </c>
      <c r="H163" s="203">
        <f>SUM(H158:H162)</f>
        <v>46.5</v>
      </c>
      <c r="I163" s="204"/>
    </row>
    <row r="164" spans="2:11" x14ac:dyDescent="0.3">
      <c r="B164" s="280" t="s">
        <v>232</v>
      </c>
      <c r="C164" s="171" t="s">
        <v>254</v>
      </c>
      <c r="D164" s="169" t="s">
        <v>112</v>
      </c>
      <c r="E164" s="183" t="s">
        <v>111</v>
      </c>
      <c r="F164" s="183">
        <v>1</v>
      </c>
      <c r="G164" s="169">
        <f>VLOOKUP(E164,'Standard rooms list'!$B$3:$C$69,2,FALSE)</f>
        <v>8</v>
      </c>
      <c r="H164" s="169">
        <f>G164*F164</f>
        <v>8</v>
      </c>
      <c r="I164" s="174"/>
      <c r="J164" s="2"/>
      <c r="K164" s="2"/>
    </row>
    <row r="165" spans="2:11" x14ac:dyDescent="0.3">
      <c r="B165" s="280"/>
      <c r="C165" s="160" t="s">
        <v>254</v>
      </c>
      <c r="D165" s="169" t="s">
        <v>112</v>
      </c>
      <c r="E165" s="177" t="s">
        <v>113</v>
      </c>
      <c r="F165" s="177">
        <v>1</v>
      </c>
      <c r="G165" s="161">
        <f>VLOOKUP(E165,'Standard rooms list'!$B$3:$C$69,2,FALSE)</f>
        <v>13.5</v>
      </c>
      <c r="H165" s="161">
        <f t="shared" ref="H165:H173" si="17">G165*F165</f>
        <v>13.5</v>
      </c>
      <c r="I165" s="164" t="s">
        <v>263</v>
      </c>
      <c r="J165" s="2"/>
      <c r="K165" s="2"/>
    </row>
    <row r="166" spans="2:11" x14ac:dyDescent="0.3">
      <c r="B166" s="280"/>
      <c r="C166" s="160" t="s">
        <v>254</v>
      </c>
      <c r="D166" s="169" t="s">
        <v>112</v>
      </c>
      <c r="E166" s="177" t="s">
        <v>118</v>
      </c>
      <c r="F166" s="177">
        <v>1</v>
      </c>
      <c r="G166" s="161">
        <f>VLOOKUP(E166,'Standard rooms list'!$B$3:$C$69,2,FALSE)</f>
        <v>32.5</v>
      </c>
      <c r="H166" s="161">
        <f t="shared" si="17"/>
        <v>32.5</v>
      </c>
      <c r="I166" s="164"/>
      <c r="J166" s="2"/>
      <c r="K166" s="2"/>
    </row>
    <row r="167" spans="2:11" x14ac:dyDescent="0.3">
      <c r="B167" s="280"/>
      <c r="C167" s="160" t="s">
        <v>254</v>
      </c>
      <c r="D167" s="169" t="s">
        <v>112</v>
      </c>
      <c r="E167" s="177" t="s">
        <v>115</v>
      </c>
      <c r="F167" s="177">
        <v>1</v>
      </c>
      <c r="G167" s="161">
        <f>VLOOKUP(E167,'Standard rooms list'!$B$3:$C$69,2,FALSE)</f>
        <v>16</v>
      </c>
      <c r="H167" s="161">
        <f>G167*F167</f>
        <v>16</v>
      </c>
      <c r="I167" s="164"/>
      <c r="J167" s="2"/>
      <c r="K167" s="2"/>
    </row>
    <row r="168" spans="2:11" x14ac:dyDescent="0.3">
      <c r="B168" s="280"/>
      <c r="C168" s="160" t="s">
        <v>254</v>
      </c>
      <c r="D168" s="169" t="s">
        <v>112</v>
      </c>
      <c r="E168" s="161" t="s">
        <v>120</v>
      </c>
      <c r="F168" s="161">
        <v>1</v>
      </c>
      <c r="G168" s="161">
        <v>5</v>
      </c>
      <c r="H168" s="161">
        <f>G168*F168</f>
        <v>5</v>
      </c>
      <c r="I168" s="164" t="s">
        <v>264</v>
      </c>
      <c r="J168" s="2"/>
      <c r="K168" s="2"/>
    </row>
    <row r="169" spans="2:11" x14ac:dyDescent="0.3">
      <c r="B169" s="280"/>
      <c r="C169" s="160" t="s">
        <v>254</v>
      </c>
      <c r="D169" s="169" t="s">
        <v>112</v>
      </c>
      <c r="E169" s="161" t="s">
        <v>265</v>
      </c>
      <c r="F169" s="161">
        <v>1</v>
      </c>
      <c r="G169" s="161">
        <f>VLOOKUP(E169,'Standard rooms list'!$B$3:$C$70,2,FALSE)</f>
        <v>8</v>
      </c>
      <c r="H169" s="161">
        <f t="shared" si="17"/>
        <v>8</v>
      </c>
      <c r="I169" s="164" t="s">
        <v>266</v>
      </c>
      <c r="J169" s="2"/>
      <c r="K169" s="2"/>
    </row>
    <row r="170" spans="2:11" x14ac:dyDescent="0.3">
      <c r="B170" s="280"/>
      <c r="C170" s="160" t="s">
        <v>254</v>
      </c>
      <c r="D170" s="169" t="s">
        <v>112</v>
      </c>
      <c r="E170" s="161" t="s">
        <v>197</v>
      </c>
      <c r="F170" s="161">
        <v>1</v>
      </c>
      <c r="G170" s="161">
        <f>VLOOKUP(E170,'Standard rooms list'!$B$3:$C$70,2,FALSE)</f>
        <v>3</v>
      </c>
      <c r="H170" s="161">
        <f>G170*F170</f>
        <v>3</v>
      </c>
      <c r="I170" s="164"/>
      <c r="J170" s="2"/>
      <c r="K170" s="2"/>
    </row>
    <row r="171" spans="2:11" x14ac:dyDescent="0.3">
      <c r="B171" s="280"/>
      <c r="C171" s="160" t="s">
        <v>254</v>
      </c>
      <c r="D171" s="169" t="s">
        <v>112</v>
      </c>
      <c r="E171" s="154" t="s">
        <v>98</v>
      </c>
      <c r="F171" s="154">
        <v>1</v>
      </c>
      <c r="G171" s="161">
        <f>VLOOKUP(E171,'Standard rooms list'!$B$3:$C$69,2,FALSE)</f>
        <v>4.5</v>
      </c>
      <c r="H171" s="154">
        <f t="shared" si="17"/>
        <v>4.5</v>
      </c>
      <c r="I171" s="116" t="s">
        <v>267</v>
      </c>
      <c r="J171" s="2"/>
      <c r="K171" s="2"/>
    </row>
    <row r="172" spans="2:11" x14ac:dyDescent="0.3">
      <c r="B172" s="280"/>
      <c r="C172" s="160" t="s">
        <v>254</v>
      </c>
      <c r="D172" s="169" t="s">
        <v>112</v>
      </c>
      <c r="E172" s="161" t="s">
        <v>131</v>
      </c>
      <c r="F172" s="161">
        <v>1</v>
      </c>
      <c r="G172" s="161">
        <f>VLOOKUP(E172,'Standard rooms list'!$B$3:$C$69,2,FALSE)</f>
        <v>8</v>
      </c>
      <c r="H172" s="161">
        <f t="shared" si="17"/>
        <v>8</v>
      </c>
      <c r="I172" s="164" t="s">
        <v>268</v>
      </c>
      <c r="J172" s="2"/>
      <c r="K172" s="2"/>
    </row>
    <row r="173" spans="2:11" x14ac:dyDescent="0.3">
      <c r="B173" s="280"/>
      <c r="C173" s="170" t="s">
        <v>254</v>
      </c>
      <c r="D173" s="172" t="s">
        <v>112</v>
      </c>
      <c r="E173" s="165" t="s">
        <v>131</v>
      </c>
      <c r="F173" s="165">
        <v>1</v>
      </c>
      <c r="G173" s="165">
        <f>VLOOKUP(E173,'Standard rooms list'!$B$3:$C$69,2,FALSE)</f>
        <v>8</v>
      </c>
      <c r="H173" s="165">
        <f t="shared" si="17"/>
        <v>8</v>
      </c>
      <c r="I173" s="168" t="s">
        <v>132</v>
      </c>
      <c r="J173" s="2"/>
      <c r="K173" s="2"/>
    </row>
    <row r="174" spans="2:11" s="27" customFormat="1" x14ac:dyDescent="0.3">
      <c r="B174" s="196"/>
      <c r="C174" s="203"/>
      <c r="D174" s="203"/>
      <c r="E174" s="203"/>
      <c r="F174" s="203"/>
      <c r="G174" s="203" t="s">
        <v>47</v>
      </c>
      <c r="H174" s="203">
        <f>SUM(H164:H173)</f>
        <v>106.5</v>
      </c>
      <c r="I174" s="204"/>
    </row>
    <row r="175" spans="2:11" x14ac:dyDescent="0.3">
      <c r="B175" s="280" t="s">
        <v>232</v>
      </c>
      <c r="C175" s="171" t="s">
        <v>260</v>
      </c>
      <c r="D175" s="169" t="s">
        <v>112</v>
      </c>
      <c r="E175" s="183" t="s">
        <v>113</v>
      </c>
      <c r="F175" s="183">
        <v>1</v>
      </c>
      <c r="G175" s="169">
        <f>VLOOKUP(E175,'Standard rooms list'!$B$3:$C$69,2,FALSE)</f>
        <v>13.5</v>
      </c>
      <c r="H175" s="169">
        <f>G175*F175</f>
        <v>13.5</v>
      </c>
      <c r="I175" s="174"/>
      <c r="J175" s="2"/>
      <c r="K175" s="2"/>
    </row>
    <row r="176" spans="2:11" x14ac:dyDescent="0.3">
      <c r="B176" s="280"/>
      <c r="C176" s="160" t="s">
        <v>260</v>
      </c>
      <c r="D176" s="161" t="s">
        <v>112</v>
      </c>
      <c r="E176" s="177" t="s">
        <v>114</v>
      </c>
      <c r="F176" s="177">
        <v>1</v>
      </c>
      <c r="G176" s="161">
        <f>VLOOKUP(E176,'Standard rooms list'!$B$3:$C$69,2,FALSE)</f>
        <v>16</v>
      </c>
      <c r="H176" s="161">
        <f>G176*F176</f>
        <v>16</v>
      </c>
      <c r="I176" s="164"/>
      <c r="J176" s="2"/>
      <c r="K176" s="2"/>
    </row>
    <row r="177" spans="2:11" x14ac:dyDescent="0.3">
      <c r="B177" s="280"/>
      <c r="C177" s="160" t="s">
        <v>260</v>
      </c>
      <c r="D177" s="161" t="s">
        <v>112</v>
      </c>
      <c r="E177" s="177" t="s">
        <v>115</v>
      </c>
      <c r="F177" s="177">
        <v>4</v>
      </c>
      <c r="G177" s="161">
        <f>VLOOKUP(E177,'Standard rooms list'!$B$3:$C$69,2,FALSE)</f>
        <v>16</v>
      </c>
      <c r="H177" s="161">
        <f t="shared" ref="H177:H181" si="18">G177*F177</f>
        <v>64</v>
      </c>
      <c r="I177" s="164"/>
      <c r="J177" s="2"/>
      <c r="K177" s="2"/>
    </row>
    <row r="178" spans="2:11" x14ac:dyDescent="0.3">
      <c r="B178" s="280"/>
      <c r="C178" s="160" t="s">
        <v>260</v>
      </c>
      <c r="D178" s="161" t="s">
        <v>112</v>
      </c>
      <c r="E178" s="177" t="s">
        <v>117</v>
      </c>
      <c r="F178" s="177">
        <v>1</v>
      </c>
      <c r="G178" s="161">
        <f>VLOOKUP(E178,'Standard rooms list'!$B$3:$C$69,2,FALSE)</f>
        <v>20</v>
      </c>
      <c r="H178" s="161">
        <f t="shared" si="18"/>
        <v>20</v>
      </c>
      <c r="I178" s="164"/>
      <c r="J178" s="2"/>
      <c r="K178" s="2"/>
    </row>
    <row r="179" spans="2:11" x14ac:dyDescent="0.3">
      <c r="B179" s="280"/>
      <c r="C179" s="160" t="s">
        <v>260</v>
      </c>
      <c r="D179" s="161" t="s">
        <v>112</v>
      </c>
      <c r="E179" s="161" t="s">
        <v>269</v>
      </c>
      <c r="F179" s="161">
        <v>1</v>
      </c>
      <c r="G179" s="161">
        <f>VLOOKUP(E179,'Standard rooms list'!$B$3:$C$69,2,FALSE)</f>
        <v>16</v>
      </c>
      <c r="H179" s="161">
        <f t="shared" si="18"/>
        <v>16</v>
      </c>
      <c r="I179" s="164"/>
      <c r="J179" s="2"/>
      <c r="K179" s="2"/>
    </row>
    <row r="180" spans="2:11" x14ac:dyDescent="0.3">
      <c r="B180" s="280"/>
      <c r="C180" s="160" t="s">
        <v>260</v>
      </c>
      <c r="D180" s="161" t="s">
        <v>112</v>
      </c>
      <c r="E180" s="161" t="s">
        <v>270</v>
      </c>
      <c r="F180" s="161">
        <v>1</v>
      </c>
      <c r="G180" s="161">
        <f>VLOOKUP(E180,'Standard rooms list'!$B$3:$C$69,2,FALSE)</f>
        <v>4</v>
      </c>
      <c r="H180" s="161">
        <f t="shared" si="18"/>
        <v>4</v>
      </c>
      <c r="I180" s="164"/>
      <c r="J180" s="2"/>
      <c r="K180" s="2"/>
    </row>
    <row r="181" spans="2:11" x14ac:dyDescent="0.3">
      <c r="B181" s="280"/>
      <c r="C181" s="170" t="s">
        <v>260</v>
      </c>
      <c r="D181" s="165" t="s">
        <v>112</v>
      </c>
      <c r="E181" s="165" t="s">
        <v>271</v>
      </c>
      <c r="F181" s="165">
        <v>1</v>
      </c>
      <c r="G181" s="165">
        <f>VLOOKUP(E181,'Standard rooms list'!$B$3:$C$69,2,FALSE)</f>
        <v>4.5</v>
      </c>
      <c r="H181" s="165">
        <f t="shared" si="18"/>
        <v>4.5</v>
      </c>
      <c r="I181" s="168"/>
      <c r="J181" s="2"/>
      <c r="K181" s="2"/>
    </row>
    <row r="182" spans="2:11" x14ac:dyDescent="0.3">
      <c r="B182" s="280"/>
      <c r="C182" s="160" t="s">
        <v>260</v>
      </c>
      <c r="D182" s="161" t="s">
        <v>125</v>
      </c>
      <c r="E182" s="161" t="s">
        <v>131</v>
      </c>
      <c r="F182" s="161">
        <v>1</v>
      </c>
      <c r="G182" s="161">
        <f>VLOOKUP(E182,'Standard rooms list'!$B$3:$C$69,2,FALSE)</f>
        <v>8</v>
      </c>
      <c r="H182" s="161">
        <f>F182*G182</f>
        <v>8</v>
      </c>
      <c r="I182" s="164" t="s">
        <v>132</v>
      </c>
      <c r="J182" s="2"/>
      <c r="K182" s="2"/>
    </row>
    <row r="183" spans="2:11" x14ac:dyDescent="0.3">
      <c r="B183" s="280"/>
      <c r="C183" s="170" t="s">
        <v>260</v>
      </c>
      <c r="D183" s="165" t="s">
        <v>125</v>
      </c>
      <c r="E183" s="165" t="s">
        <v>131</v>
      </c>
      <c r="F183" s="165">
        <v>1</v>
      </c>
      <c r="G183" s="165">
        <f>VLOOKUP(E183,'Standard rooms list'!$B$3:$C$69,2,FALSE)</f>
        <v>8</v>
      </c>
      <c r="H183" s="165">
        <f>F183*G183</f>
        <v>8</v>
      </c>
      <c r="I183" s="168" t="s">
        <v>206</v>
      </c>
      <c r="J183" s="2"/>
      <c r="K183" s="2"/>
    </row>
    <row r="184" spans="2:11" s="27" customFormat="1" x14ac:dyDescent="0.3">
      <c r="B184" s="196"/>
      <c r="C184" s="203"/>
      <c r="D184" s="203"/>
      <c r="E184" s="203"/>
      <c r="F184" s="203"/>
      <c r="G184" s="203" t="s">
        <v>47</v>
      </c>
      <c r="H184" s="203">
        <f>SUM(H175:H183)</f>
        <v>154</v>
      </c>
      <c r="I184" s="204"/>
    </row>
    <row r="185" spans="2:11" x14ac:dyDescent="0.3">
      <c r="B185" s="280" t="s">
        <v>232</v>
      </c>
      <c r="C185" s="171" t="s">
        <v>272</v>
      </c>
      <c r="D185" s="169" t="s">
        <v>125</v>
      </c>
      <c r="E185" s="169" t="s">
        <v>130</v>
      </c>
      <c r="F185" s="169">
        <v>1</v>
      </c>
      <c r="G185" s="169">
        <f>VLOOKUP(E185,'Standard rooms list'!$B$3:$C$69,2,FALSE)</f>
        <v>2</v>
      </c>
      <c r="H185" s="169">
        <f>F185*G185</f>
        <v>2</v>
      </c>
      <c r="I185" s="174"/>
      <c r="J185" s="2"/>
      <c r="K185" s="2"/>
    </row>
    <row r="186" spans="2:11" x14ac:dyDescent="0.3">
      <c r="B186" s="280"/>
      <c r="C186" s="171" t="s">
        <v>272</v>
      </c>
      <c r="D186" s="161" t="s">
        <v>125</v>
      </c>
      <c r="E186" s="161" t="s">
        <v>273</v>
      </c>
      <c r="F186" s="161">
        <v>1</v>
      </c>
      <c r="G186" s="161">
        <f>VLOOKUP(E186,'Standard rooms list'!$B$3:$C$71,2,FALSE)</f>
        <v>3</v>
      </c>
      <c r="H186" s="161">
        <f t="shared" ref="H186:H195" si="19">F186*G186</f>
        <v>3</v>
      </c>
      <c r="I186" s="164" t="s">
        <v>274</v>
      </c>
      <c r="J186" s="2"/>
      <c r="K186" s="2"/>
    </row>
    <row r="187" spans="2:11" x14ac:dyDescent="0.3">
      <c r="B187" s="280"/>
      <c r="C187" s="171" t="s">
        <v>272</v>
      </c>
      <c r="D187" s="161" t="s">
        <v>125</v>
      </c>
      <c r="E187" s="161" t="s">
        <v>126</v>
      </c>
      <c r="F187" s="161">
        <v>2</v>
      </c>
      <c r="G187" s="161">
        <f>VLOOKUP(E187,'Standard rooms list'!$B$3:$C$69,2,FALSE)</f>
        <v>8</v>
      </c>
      <c r="H187" s="161">
        <f t="shared" si="19"/>
        <v>16</v>
      </c>
      <c r="I187" s="164" t="s">
        <v>127</v>
      </c>
      <c r="J187" s="2"/>
      <c r="K187" s="2"/>
    </row>
    <row r="188" spans="2:11" x14ac:dyDescent="0.3">
      <c r="B188" s="280"/>
      <c r="C188" s="171" t="s">
        <v>272</v>
      </c>
      <c r="D188" s="161" t="s">
        <v>125</v>
      </c>
      <c r="E188" s="161" t="s">
        <v>128</v>
      </c>
      <c r="F188" s="161">
        <v>2</v>
      </c>
      <c r="G188" s="161">
        <f>VLOOKUP(E188,'Standard rooms list'!$B$3:$C$69,2,FALSE)</f>
        <v>8</v>
      </c>
      <c r="H188" s="161">
        <f t="shared" si="19"/>
        <v>16</v>
      </c>
      <c r="I188" s="164" t="s">
        <v>127</v>
      </c>
      <c r="J188" s="2"/>
      <c r="K188" s="2"/>
    </row>
    <row r="189" spans="2:11" x14ac:dyDescent="0.3">
      <c r="B189" s="280"/>
      <c r="C189" s="171" t="s">
        <v>272</v>
      </c>
      <c r="D189" s="161" t="s">
        <v>125</v>
      </c>
      <c r="E189" s="161" t="s">
        <v>129</v>
      </c>
      <c r="F189" s="161">
        <v>1</v>
      </c>
      <c r="G189" s="161">
        <f>VLOOKUP(E189,'Standard rooms list'!$B$3:$C$69,2,FALSE)</f>
        <v>8</v>
      </c>
      <c r="H189" s="161">
        <f t="shared" si="19"/>
        <v>8</v>
      </c>
      <c r="I189" s="164"/>
      <c r="J189" s="2"/>
      <c r="K189" s="2"/>
    </row>
    <row r="190" spans="2:11" x14ac:dyDescent="0.3">
      <c r="B190" s="280"/>
      <c r="C190" s="171" t="s">
        <v>272</v>
      </c>
      <c r="D190" s="161" t="s">
        <v>125</v>
      </c>
      <c r="E190" s="161" t="s">
        <v>275</v>
      </c>
      <c r="F190" s="161">
        <v>1</v>
      </c>
      <c r="G190" s="161">
        <f>VLOOKUP(E190,'Standard rooms list'!$B$3:$C$69,2,FALSE)</f>
        <v>12</v>
      </c>
      <c r="H190" s="161">
        <f t="shared" si="19"/>
        <v>12</v>
      </c>
      <c r="I190" s="164"/>
      <c r="J190" s="2"/>
      <c r="K190" s="2"/>
    </row>
    <row r="191" spans="2:11" x14ac:dyDescent="0.3">
      <c r="B191" s="280"/>
      <c r="C191" s="171" t="s">
        <v>272</v>
      </c>
      <c r="D191" s="161" t="s">
        <v>125</v>
      </c>
      <c r="E191" s="161" t="s">
        <v>276</v>
      </c>
      <c r="F191" s="161">
        <v>1</v>
      </c>
      <c r="G191" s="161">
        <f>VLOOKUP(E191,'Standard rooms list'!$B$3:$C$69,2,FALSE)</f>
        <v>3</v>
      </c>
      <c r="H191" s="161">
        <f t="shared" si="19"/>
        <v>3</v>
      </c>
      <c r="I191" s="164"/>
      <c r="J191" s="2"/>
      <c r="K191" s="2"/>
    </row>
    <row r="192" spans="2:11" x14ac:dyDescent="0.3">
      <c r="B192" s="280"/>
      <c r="C192" s="171" t="s">
        <v>272</v>
      </c>
      <c r="D192" s="161" t="s">
        <v>125</v>
      </c>
      <c r="E192" s="161" t="s">
        <v>277</v>
      </c>
      <c r="F192" s="161">
        <v>1</v>
      </c>
      <c r="G192" s="161">
        <f>VLOOKUP(E192,'Standard rooms list'!$B$3:$C$69,2,FALSE)</f>
        <v>2</v>
      </c>
      <c r="H192" s="161">
        <f t="shared" si="19"/>
        <v>2</v>
      </c>
      <c r="I192" s="164"/>
      <c r="J192" s="2"/>
      <c r="K192" s="2"/>
    </row>
    <row r="193" spans="2:11" x14ac:dyDescent="0.3">
      <c r="B193" s="280"/>
      <c r="C193" s="171" t="s">
        <v>272</v>
      </c>
      <c r="D193" s="161" t="s">
        <v>125</v>
      </c>
      <c r="E193" s="161" t="s">
        <v>96</v>
      </c>
      <c r="F193" s="161">
        <v>1</v>
      </c>
      <c r="G193" s="161">
        <f>VLOOKUP(E193,'Standard rooms list'!$B$3:$C$69,2,FALSE)</f>
        <v>10</v>
      </c>
      <c r="H193" s="161">
        <f>F193*G193</f>
        <v>10</v>
      </c>
      <c r="I193" s="164" t="s">
        <v>278</v>
      </c>
      <c r="J193" s="2"/>
      <c r="K193" s="2"/>
    </row>
    <row r="194" spans="2:11" x14ac:dyDescent="0.3">
      <c r="B194" s="280"/>
      <c r="C194" s="171" t="s">
        <v>272</v>
      </c>
      <c r="D194" s="161" t="s">
        <v>125</v>
      </c>
      <c r="E194" s="161" t="s">
        <v>136</v>
      </c>
      <c r="F194" s="161">
        <v>1</v>
      </c>
      <c r="G194" s="161">
        <f>VLOOKUP(E194,'Standard rooms list'!$B$3:$C$69,2,FALSE)</f>
        <v>2</v>
      </c>
      <c r="H194" s="161">
        <f t="shared" si="19"/>
        <v>2</v>
      </c>
      <c r="I194" s="164"/>
      <c r="J194" s="2"/>
      <c r="K194" s="2"/>
    </row>
    <row r="195" spans="2:11" x14ac:dyDescent="0.3">
      <c r="B195" s="280"/>
      <c r="C195" s="194" t="s">
        <v>272</v>
      </c>
      <c r="D195" s="165" t="s">
        <v>125</v>
      </c>
      <c r="E195" s="165" t="s">
        <v>135</v>
      </c>
      <c r="F195" s="165">
        <v>1</v>
      </c>
      <c r="G195" s="165">
        <f>VLOOKUP(E195,'Standard rooms list'!$B$3:$C$69,2,FALSE)</f>
        <v>8</v>
      </c>
      <c r="H195" s="165">
        <f t="shared" si="19"/>
        <v>8</v>
      </c>
      <c r="I195" s="168"/>
      <c r="J195" s="2"/>
      <c r="K195" s="2"/>
    </row>
    <row r="196" spans="2:11" s="27" customFormat="1" x14ac:dyDescent="0.3">
      <c r="B196" s="196"/>
      <c r="C196" s="203"/>
      <c r="D196" s="203"/>
      <c r="E196" s="203"/>
      <c r="F196" s="203"/>
      <c r="G196" s="203" t="s">
        <v>47</v>
      </c>
      <c r="H196" s="203">
        <f>SUM(H185:H195)</f>
        <v>82</v>
      </c>
      <c r="I196" s="204"/>
    </row>
    <row r="197" spans="2:11" x14ac:dyDescent="0.3">
      <c r="B197" s="280" t="s">
        <v>232</v>
      </c>
      <c r="C197" s="171" t="s">
        <v>272</v>
      </c>
      <c r="D197" s="169" t="s">
        <v>140</v>
      </c>
      <c r="E197" s="183" t="s">
        <v>141</v>
      </c>
      <c r="F197" s="183">
        <v>2</v>
      </c>
      <c r="G197" s="169">
        <f>VLOOKUP(E197,'Standard rooms list'!$B$3:$C$69,2,FALSE)</f>
        <v>4.5999999999999996</v>
      </c>
      <c r="H197" s="169">
        <f t="shared" ref="H197:H205" si="20">G197*F197</f>
        <v>9.1999999999999993</v>
      </c>
      <c r="I197" s="174" t="s">
        <v>279</v>
      </c>
      <c r="J197" s="2"/>
      <c r="K197" s="2"/>
    </row>
    <row r="198" spans="2:11" x14ac:dyDescent="0.3">
      <c r="B198" s="280"/>
      <c r="C198" s="171" t="s">
        <v>272</v>
      </c>
      <c r="D198" s="161" t="s">
        <v>140</v>
      </c>
      <c r="E198" s="161" t="s">
        <v>143</v>
      </c>
      <c r="F198" s="161">
        <v>1</v>
      </c>
      <c r="G198" s="161">
        <f>VLOOKUP(E198,'Standard rooms list'!$B$3:$C$69,2,FALSE)</f>
        <v>8</v>
      </c>
      <c r="H198" s="161">
        <f t="shared" si="20"/>
        <v>8</v>
      </c>
      <c r="I198" s="164" t="s">
        <v>280</v>
      </c>
      <c r="J198" s="2"/>
      <c r="K198" s="2"/>
    </row>
    <row r="199" spans="2:11" x14ac:dyDescent="0.3">
      <c r="B199" s="280"/>
      <c r="C199" s="171" t="s">
        <v>272</v>
      </c>
      <c r="D199" s="161" t="s">
        <v>140</v>
      </c>
      <c r="E199" s="161" t="s">
        <v>143</v>
      </c>
      <c r="F199" s="161">
        <v>1</v>
      </c>
      <c r="G199" s="161">
        <f>VLOOKUP(E199,'Standard rooms list'!$B$3:$C$69,2,FALSE)</f>
        <v>8</v>
      </c>
      <c r="H199" s="161">
        <f t="shared" si="20"/>
        <v>8</v>
      </c>
      <c r="I199" s="164" t="s">
        <v>281</v>
      </c>
      <c r="J199" s="2"/>
      <c r="K199" s="2"/>
    </row>
    <row r="200" spans="2:11" x14ac:dyDescent="0.3">
      <c r="B200" s="280"/>
      <c r="C200" s="171" t="s">
        <v>272</v>
      </c>
      <c r="D200" s="161" t="s">
        <v>140</v>
      </c>
      <c r="E200" s="161" t="s">
        <v>145</v>
      </c>
      <c r="F200" s="195">
        <f>(SUM(F164,F165,F166,F167,F175,F177,F178,F179,F176)*0.8)</f>
        <v>9.6000000000000014</v>
      </c>
      <c r="G200" s="161">
        <f>VLOOKUP(E200,'Standard rooms list'!$B$3:$C$69,2,FALSE)</f>
        <v>5</v>
      </c>
      <c r="H200" s="161">
        <f t="shared" si="20"/>
        <v>48.000000000000007</v>
      </c>
      <c r="I200" s="164" t="s">
        <v>282</v>
      </c>
      <c r="J200" s="2"/>
      <c r="K200" s="2"/>
    </row>
    <row r="201" spans="2:11" x14ac:dyDescent="0.3">
      <c r="B201" s="280"/>
      <c r="C201" s="171" t="s">
        <v>272</v>
      </c>
      <c r="D201" s="161" t="s">
        <v>140</v>
      </c>
      <c r="E201" s="60" t="s">
        <v>147</v>
      </c>
      <c r="F201" s="195">
        <f>F200</f>
        <v>9.6000000000000014</v>
      </c>
      <c r="G201" s="161">
        <v>0.125</v>
      </c>
      <c r="H201" s="161">
        <f>G201*F201</f>
        <v>1.2000000000000002</v>
      </c>
      <c r="I201" s="164"/>
      <c r="J201" s="2"/>
      <c r="K201" s="2"/>
    </row>
    <row r="202" spans="2:11" ht="25" customHeight="1" x14ac:dyDescent="0.3">
      <c r="B202" s="280"/>
      <c r="C202" s="171" t="s">
        <v>272</v>
      </c>
      <c r="D202" s="161" t="s">
        <v>140</v>
      </c>
      <c r="E202" s="161" t="s">
        <v>148</v>
      </c>
      <c r="F202" s="161">
        <v>2</v>
      </c>
      <c r="G202" s="161">
        <f>VLOOKUP(E202,'Standard rooms list'!$B$3:$C$69,2,FALSE)</f>
        <v>2</v>
      </c>
      <c r="H202" s="161">
        <f t="shared" si="20"/>
        <v>4</v>
      </c>
      <c r="I202" s="164"/>
      <c r="J202" s="2"/>
      <c r="K202" s="2"/>
    </row>
    <row r="203" spans="2:11" x14ac:dyDescent="0.3">
      <c r="B203" s="280"/>
      <c r="C203" s="171" t="s">
        <v>272</v>
      </c>
      <c r="D203" s="161" t="s">
        <v>140</v>
      </c>
      <c r="E203" s="161" t="s">
        <v>150</v>
      </c>
      <c r="F203" s="161">
        <v>1</v>
      </c>
      <c r="G203" s="161">
        <f>VLOOKUP(E203,'Standard rooms list'!$B$3:$C$69,2,FALSE)</f>
        <v>4.5</v>
      </c>
      <c r="H203" s="161">
        <f t="shared" si="20"/>
        <v>4.5</v>
      </c>
      <c r="I203" s="164"/>
      <c r="J203" s="2"/>
      <c r="K203" s="2"/>
    </row>
    <row r="204" spans="2:11" x14ac:dyDescent="0.3">
      <c r="B204" s="280"/>
      <c r="C204" s="171" t="s">
        <v>272</v>
      </c>
      <c r="D204" s="161" t="s">
        <v>140</v>
      </c>
      <c r="E204" s="161" t="s">
        <v>151</v>
      </c>
      <c r="F204" s="161">
        <f>SUM(F164,F165,F166,F167,F175,F177,F178,F179,F176)</f>
        <v>12</v>
      </c>
      <c r="G204" s="161">
        <f>VLOOKUP(E204,'Standard rooms list'!$B$3:$C$69,2,FALSE)</f>
        <v>1.8</v>
      </c>
      <c r="H204" s="161">
        <f t="shared" si="20"/>
        <v>21.6</v>
      </c>
      <c r="I204" s="164" t="s">
        <v>283</v>
      </c>
      <c r="J204" s="2"/>
      <c r="K204" s="2"/>
    </row>
    <row r="205" spans="2:11" x14ac:dyDescent="0.3">
      <c r="B205" s="280"/>
      <c r="C205" s="171" t="s">
        <v>272</v>
      </c>
      <c r="D205" s="161" t="s">
        <v>140</v>
      </c>
      <c r="E205" s="161" t="s">
        <v>153</v>
      </c>
      <c r="F205" s="161">
        <f>F204</f>
        <v>12</v>
      </c>
      <c r="G205" s="161">
        <f>VLOOKUP(E205,'Standard rooms list'!$B$3:$C$69,2,FALSE)</f>
        <v>1.4</v>
      </c>
      <c r="H205" s="161">
        <f t="shared" si="20"/>
        <v>16.799999999999997</v>
      </c>
      <c r="I205" s="164" t="s">
        <v>284</v>
      </c>
      <c r="J205" s="2"/>
      <c r="K205" s="2"/>
    </row>
    <row r="206" spans="2:11" x14ac:dyDescent="0.3">
      <c r="B206" s="280"/>
      <c r="C206" s="171" t="s">
        <v>272</v>
      </c>
      <c r="D206" s="161" t="s">
        <v>140</v>
      </c>
      <c r="E206" s="2" t="s">
        <v>154</v>
      </c>
      <c r="F206" s="2">
        <v>1</v>
      </c>
      <c r="G206" s="2">
        <f>VLOOKUP(E206,'Standard rooms list'!$B$3:$C$150,2,FALSE)</f>
        <v>6</v>
      </c>
      <c r="H206" s="2">
        <f>G206*F206</f>
        <v>6</v>
      </c>
      <c r="I206" s="116"/>
      <c r="J206" s="2"/>
      <c r="K206" s="2"/>
    </row>
    <row r="207" spans="2:11" x14ac:dyDescent="0.3">
      <c r="B207" s="280"/>
      <c r="C207" s="171" t="s">
        <v>272</v>
      </c>
      <c r="D207" s="161" t="s">
        <v>140</v>
      </c>
      <c r="E207" s="2" t="s">
        <v>137</v>
      </c>
      <c r="F207" s="2">
        <v>1</v>
      </c>
      <c r="G207" s="2">
        <f>VLOOKUP(E207,'Standard rooms list'!$B$3:$C$150,2,FALSE)</f>
        <v>4.5</v>
      </c>
      <c r="H207" s="2">
        <f>G207*F207</f>
        <v>4.5</v>
      </c>
      <c r="I207" s="116"/>
      <c r="J207" s="2"/>
      <c r="K207" s="2"/>
    </row>
    <row r="208" spans="2:11" x14ac:dyDescent="0.3">
      <c r="B208" s="280"/>
      <c r="C208" s="194" t="s">
        <v>272</v>
      </c>
      <c r="D208" s="165" t="s">
        <v>140</v>
      </c>
      <c r="E208" s="2" t="s">
        <v>155</v>
      </c>
      <c r="F208" s="2">
        <v>5</v>
      </c>
      <c r="G208" s="2">
        <f>VLOOKUP(E208,'Standard rooms list'!$B$3:$C$150,2,FALSE)</f>
        <v>0.5</v>
      </c>
      <c r="H208" s="2">
        <f>G208*F208</f>
        <v>2.5</v>
      </c>
      <c r="I208" s="116"/>
      <c r="J208" s="2"/>
      <c r="K208" s="2"/>
    </row>
    <row r="209" spans="2:11" s="27" customFormat="1" x14ac:dyDescent="0.3">
      <c r="B209" s="197"/>
      <c r="C209" s="205"/>
      <c r="D209" s="205"/>
      <c r="E209" s="205"/>
      <c r="F209" s="205"/>
      <c r="G209" s="205" t="s">
        <v>47</v>
      </c>
      <c r="H209" s="205">
        <f>SUM(H197:H208)</f>
        <v>134.30000000000001</v>
      </c>
      <c r="I209" s="206"/>
    </row>
    <row r="210" spans="2:11" s="27" customFormat="1" ht="14.5" customHeight="1" x14ac:dyDescent="0.3">
      <c r="B210" s="198"/>
      <c r="C210" s="207"/>
      <c r="D210" s="207"/>
      <c r="E210" s="282" t="s">
        <v>285</v>
      </c>
      <c r="F210" s="282"/>
      <c r="G210" s="282"/>
      <c r="H210" s="63">
        <f>SUM(H209,H196,H184,H174,H163,H157)</f>
        <v>588.29999999999995</v>
      </c>
      <c r="I210" s="208"/>
    </row>
    <row r="211" spans="2:11" s="27" customFormat="1" x14ac:dyDescent="0.3">
      <c r="B211" s="199"/>
      <c r="C211" s="50" t="s">
        <v>58</v>
      </c>
      <c r="D211" s="137"/>
      <c r="E211" s="137"/>
      <c r="F211" s="137"/>
      <c r="G211" s="137"/>
      <c r="H211" s="137"/>
      <c r="I211" s="138"/>
    </row>
    <row r="212" spans="2:11" x14ac:dyDescent="0.3">
      <c r="B212" s="285" t="s">
        <v>232</v>
      </c>
      <c r="C212" s="80" t="s">
        <v>58</v>
      </c>
      <c r="D212" s="60" t="s">
        <v>181</v>
      </c>
      <c r="E212" s="60" t="s">
        <v>182</v>
      </c>
      <c r="F212" s="60">
        <v>1</v>
      </c>
      <c r="G212" s="60">
        <f>VLOOKUP(E212,'Standard rooms list'!$B$3:$C$68,2,FALSE)</f>
        <v>8</v>
      </c>
      <c r="H212" s="60">
        <f t="shared" ref="H212:H213" si="21">G212*F212</f>
        <v>8</v>
      </c>
      <c r="I212" s="81" t="s">
        <v>183</v>
      </c>
      <c r="J212" s="56"/>
      <c r="K212" s="2"/>
    </row>
    <row r="213" spans="2:11" x14ac:dyDescent="0.3">
      <c r="B213" s="285"/>
      <c r="C213" s="79" t="s">
        <v>58</v>
      </c>
      <c r="D213" s="60" t="s">
        <v>181</v>
      </c>
      <c r="E213" s="60" t="s">
        <v>286</v>
      </c>
      <c r="F213" s="60">
        <v>1</v>
      </c>
      <c r="G213" s="60">
        <f>VLOOKUP(E213,'Standard rooms list'!$B$3:$C$79,2,FALSE)</f>
        <v>30</v>
      </c>
      <c r="H213" s="60">
        <f t="shared" si="21"/>
        <v>30</v>
      </c>
      <c r="I213" s="81"/>
      <c r="J213" s="2"/>
      <c r="K213" s="2"/>
    </row>
    <row r="214" spans="2:11" s="27" customFormat="1" x14ac:dyDescent="0.3">
      <c r="B214" s="209"/>
      <c r="C214" s="173"/>
      <c r="D214" s="173"/>
      <c r="E214" s="173"/>
      <c r="F214" s="173"/>
      <c r="G214" s="173" t="s">
        <v>47</v>
      </c>
      <c r="H214" s="173">
        <f>SUM(H212:H213)</f>
        <v>38</v>
      </c>
      <c r="I214" s="210"/>
    </row>
    <row r="215" spans="2:11" x14ac:dyDescent="0.3">
      <c r="I215" s="2"/>
      <c r="J215" s="2"/>
      <c r="K215" s="2"/>
    </row>
    <row r="216" spans="2:11" s="27" customFormat="1" x14ac:dyDescent="0.3">
      <c r="B216" s="211"/>
      <c r="C216" s="212"/>
      <c r="D216" s="212"/>
      <c r="E216" s="212"/>
      <c r="F216" s="212"/>
      <c r="G216" s="23" t="s">
        <v>185</v>
      </c>
      <c r="H216" s="109">
        <f>SUM(H214,H210,H148,H77,H30)</f>
        <v>2897.5499999999997</v>
      </c>
      <c r="I216" s="213"/>
    </row>
    <row r="217" spans="2:11" x14ac:dyDescent="0.3">
      <c r="I217" s="2"/>
      <c r="J217" s="2"/>
      <c r="K217" s="2"/>
    </row>
    <row r="218" spans="2:11" x14ac:dyDescent="0.3">
      <c r="I218" s="2"/>
      <c r="J218" s="2"/>
      <c r="K218" s="2"/>
    </row>
    <row r="219" spans="2:11" x14ac:dyDescent="0.3">
      <c r="I219" s="2"/>
      <c r="J219" s="2"/>
      <c r="K219" s="2"/>
    </row>
    <row r="220" spans="2:11" x14ac:dyDescent="0.3">
      <c r="I220" s="2"/>
      <c r="J220" s="2"/>
      <c r="K220" s="2"/>
    </row>
    <row r="221" spans="2:11" x14ac:dyDescent="0.3">
      <c r="I221" s="2"/>
      <c r="J221" s="2"/>
      <c r="K221" s="2"/>
    </row>
    <row r="222" spans="2:11" x14ac:dyDescent="0.3">
      <c r="I222" s="2"/>
      <c r="J222" s="2"/>
      <c r="K222" s="2"/>
    </row>
    <row r="223" spans="2:11" x14ac:dyDescent="0.3">
      <c r="I223" s="2"/>
      <c r="J223" s="2"/>
      <c r="K223" s="2"/>
    </row>
    <row r="224" spans="2:11" x14ac:dyDescent="0.3">
      <c r="I224" s="2"/>
      <c r="J224" s="2"/>
      <c r="K224" s="2"/>
    </row>
    <row r="225" spans="9:11" x14ac:dyDescent="0.3">
      <c r="I225" s="2"/>
      <c r="J225" s="2"/>
      <c r="K225" s="2"/>
    </row>
    <row r="226" spans="9:11" x14ac:dyDescent="0.3">
      <c r="I226" s="2"/>
      <c r="J226" s="2"/>
      <c r="K226" s="2"/>
    </row>
    <row r="227" spans="9:11" x14ac:dyDescent="0.3">
      <c r="I227" s="2"/>
      <c r="J227" s="2"/>
      <c r="K227" s="2"/>
    </row>
    <row r="228" spans="9:11" x14ac:dyDescent="0.3">
      <c r="I228" s="2"/>
      <c r="J228" s="2"/>
      <c r="K228" s="2"/>
    </row>
    <row r="229" spans="9:11" x14ac:dyDescent="0.3">
      <c r="I229" s="2"/>
      <c r="J229" s="2"/>
      <c r="K229" s="2"/>
    </row>
    <row r="230" spans="9:11" x14ac:dyDescent="0.3">
      <c r="I230" s="2"/>
      <c r="J230" s="2"/>
      <c r="K230" s="2"/>
    </row>
    <row r="231" spans="9:11" x14ac:dyDescent="0.3">
      <c r="I231" s="2"/>
      <c r="J231" s="2"/>
      <c r="K231" s="2"/>
    </row>
    <row r="232" spans="9:11" x14ac:dyDescent="0.3">
      <c r="I232" s="2"/>
      <c r="J232" s="2"/>
      <c r="K232" s="2"/>
    </row>
    <row r="233" spans="9:11" x14ac:dyDescent="0.3">
      <c r="I233" s="2"/>
      <c r="J233" s="2"/>
      <c r="K233" s="2"/>
    </row>
    <row r="234" spans="9:11" x14ac:dyDescent="0.3">
      <c r="I234" s="2"/>
      <c r="J234" s="2"/>
      <c r="K234" s="2"/>
    </row>
    <row r="235" spans="9:11" x14ac:dyDescent="0.3">
      <c r="I235" s="2"/>
      <c r="J235" s="2"/>
      <c r="K235" s="2"/>
    </row>
    <row r="236" spans="9:11" x14ac:dyDescent="0.3">
      <c r="I236" s="2"/>
      <c r="J236" s="2"/>
      <c r="K236" s="2"/>
    </row>
    <row r="237" spans="9:11" x14ac:dyDescent="0.3">
      <c r="I237" s="2"/>
      <c r="J237" s="2"/>
      <c r="K237" s="2"/>
    </row>
    <row r="238" spans="9:11" x14ac:dyDescent="0.3">
      <c r="I238" s="2"/>
      <c r="J238" s="2"/>
      <c r="K238" s="2"/>
    </row>
    <row r="239" spans="9:11" x14ac:dyDescent="0.3">
      <c r="I239" s="2"/>
      <c r="J239" s="2"/>
      <c r="K239" s="2"/>
    </row>
    <row r="240" spans="9:11" x14ac:dyDescent="0.3">
      <c r="I240" s="2"/>
      <c r="J240" s="2"/>
      <c r="K240" s="2"/>
    </row>
    <row r="241" spans="9:11" x14ac:dyDescent="0.3">
      <c r="I241" s="2"/>
      <c r="J241" s="2"/>
      <c r="K241" s="2"/>
    </row>
    <row r="242" spans="9:11" x14ac:dyDescent="0.3">
      <c r="I242" s="2"/>
      <c r="J242" s="2"/>
      <c r="K242" s="2"/>
    </row>
    <row r="243" spans="9:11" x14ac:dyDescent="0.3">
      <c r="I243" s="2"/>
      <c r="J243" s="2"/>
      <c r="K243" s="2"/>
    </row>
    <row r="244" spans="9:11" x14ac:dyDescent="0.3">
      <c r="I244" s="2"/>
      <c r="J244" s="2"/>
      <c r="K244" s="2"/>
    </row>
    <row r="245" spans="9:11" x14ac:dyDescent="0.3">
      <c r="I245" s="2"/>
      <c r="J245" s="2"/>
      <c r="K245" s="2"/>
    </row>
    <row r="246" spans="9:11" x14ac:dyDescent="0.3">
      <c r="I246" s="2"/>
      <c r="J246" s="2"/>
      <c r="K246" s="2"/>
    </row>
    <row r="247" spans="9:11" x14ac:dyDescent="0.3">
      <c r="I247" s="2"/>
      <c r="J247" s="2"/>
      <c r="K247" s="2"/>
    </row>
    <row r="248" spans="9:11" x14ac:dyDescent="0.3">
      <c r="I248" s="2"/>
      <c r="J248" s="2"/>
      <c r="K248" s="2"/>
    </row>
    <row r="249" spans="9:11" x14ac:dyDescent="0.3">
      <c r="I249" s="2"/>
      <c r="J249" s="2"/>
      <c r="K249" s="2"/>
    </row>
    <row r="250" spans="9:11" x14ac:dyDescent="0.3">
      <c r="I250" s="2"/>
      <c r="J250" s="2"/>
      <c r="K250" s="2"/>
    </row>
    <row r="251" spans="9:11" x14ac:dyDescent="0.3">
      <c r="I251" s="2"/>
      <c r="J251" s="2"/>
      <c r="K251" s="2"/>
    </row>
    <row r="252" spans="9:11" x14ac:dyDescent="0.3">
      <c r="I252" s="2"/>
      <c r="J252" s="2"/>
      <c r="K252" s="2"/>
    </row>
    <row r="253" spans="9:11" x14ac:dyDescent="0.3">
      <c r="I253" s="2"/>
      <c r="J253" s="2"/>
      <c r="K253" s="2"/>
    </row>
    <row r="254" spans="9:11" x14ac:dyDescent="0.3">
      <c r="I254" s="2"/>
      <c r="J254" s="2"/>
      <c r="K254" s="2"/>
    </row>
    <row r="255" spans="9:11" x14ac:dyDescent="0.3">
      <c r="I255" s="2"/>
      <c r="J255" s="2"/>
      <c r="K255" s="2"/>
    </row>
    <row r="256" spans="9:11" x14ac:dyDescent="0.3">
      <c r="I256" s="2"/>
      <c r="J256" s="2"/>
      <c r="K256" s="2"/>
    </row>
    <row r="257" spans="9:11" x14ac:dyDescent="0.3">
      <c r="I257" s="2"/>
      <c r="J257" s="2"/>
      <c r="K257" s="2"/>
    </row>
    <row r="258" spans="9:11" x14ac:dyDescent="0.3">
      <c r="I258" s="2"/>
      <c r="J258" s="2"/>
      <c r="K258" s="2"/>
    </row>
    <row r="259" spans="9:11" x14ac:dyDescent="0.3">
      <c r="I259" s="2"/>
      <c r="J259" s="2"/>
      <c r="K259" s="2"/>
    </row>
    <row r="260" spans="9:11" x14ac:dyDescent="0.3">
      <c r="I260" s="2"/>
      <c r="J260" s="2"/>
      <c r="K260" s="2"/>
    </row>
    <row r="261" spans="9:11" x14ac:dyDescent="0.3">
      <c r="I261" s="2"/>
      <c r="J261" s="2"/>
      <c r="K261" s="2"/>
    </row>
    <row r="262" spans="9:11" x14ac:dyDescent="0.3">
      <c r="I262" s="2"/>
      <c r="J262" s="2"/>
      <c r="K262" s="2"/>
    </row>
    <row r="263" spans="9:11" x14ac:dyDescent="0.3">
      <c r="I263" s="2"/>
      <c r="J263" s="2"/>
      <c r="K263" s="2"/>
    </row>
    <row r="264" spans="9:11" x14ac:dyDescent="0.3">
      <c r="I264" s="2"/>
      <c r="J264" s="2"/>
      <c r="K264" s="2"/>
    </row>
    <row r="265" spans="9:11" x14ac:dyDescent="0.3">
      <c r="I265" s="2"/>
      <c r="J265" s="2"/>
      <c r="K265" s="2"/>
    </row>
    <row r="266" spans="9:11" x14ac:dyDescent="0.3">
      <c r="I266" s="2"/>
      <c r="J266" s="2"/>
      <c r="K266" s="2"/>
    </row>
    <row r="267" spans="9:11" x14ac:dyDescent="0.3">
      <c r="I267" s="2"/>
      <c r="J267" s="2"/>
      <c r="K267" s="2"/>
    </row>
    <row r="268" spans="9:11" x14ac:dyDescent="0.3">
      <c r="I268" s="2"/>
      <c r="J268" s="2"/>
      <c r="K268" s="2"/>
    </row>
    <row r="269" spans="9:11" x14ac:dyDescent="0.3">
      <c r="I269" s="2"/>
      <c r="J269" s="2"/>
      <c r="K269" s="2"/>
    </row>
    <row r="270" spans="9:11" x14ac:dyDescent="0.3">
      <c r="I270" s="2"/>
      <c r="J270" s="2"/>
      <c r="K270" s="2"/>
    </row>
    <row r="271" spans="9:11" x14ac:dyDescent="0.3">
      <c r="I271" s="2"/>
      <c r="J271" s="2"/>
      <c r="K271" s="2"/>
    </row>
    <row r="272" spans="9:11" x14ac:dyDescent="0.3">
      <c r="I272" s="2"/>
      <c r="J272" s="2"/>
      <c r="K272" s="2"/>
    </row>
    <row r="273" spans="9:11" x14ac:dyDescent="0.3">
      <c r="I273" s="2"/>
      <c r="J273" s="2"/>
      <c r="K273" s="2"/>
    </row>
    <row r="274" spans="9:11" x14ac:dyDescent="0.3">
      <c r="I274" s="2"/>
      <c r="J274" s="2"/>
      <c r="K274" s="2"/>
    </row>
    <row r="275" spans="9:11" x14ac:dyDescent="0.3">
      <c r="I275" s="2"/>
      <c r="J275" s="2"/>
      <c r="K275" s="2"/>
    </row>
    <row r="276" spans="9:11" x14ac:dyDescent="0.3">
      <c r="I276" s="2"/>
      <c r="J276" s="2"/>
      <c r="K276" s="2"/>
    </row>
    <row r="277" spans="9:11" x14ac:dyDescent="0.3">
      <c r="I277" s="2"/>
      <c r="J277" s="2"/>
      <c r="K277" s="2"/>
    </row>
    <row r="278" spans="9:11" x14ac:dyDescent="0.3">
      <c r="I278" s="2"/>
      <c r="J278" s="2"/>
      <c r="K278" s="2"/>
    </row>
    <row r="279" spans="9:11" x14ac:dyDescent="0.3">
      <c r="I279" s="2"/>
      <c r="J279" s="2"/>
      <c r="K279" s="2"/>
    </row>
    <row r="280" spans="9:11" x14ac:dyDescent="0.3">
      <c r="I280" s="2"/>
      <c r="J280" s="2"/>
      <c r="K280" s="2"/>
    </row>
    <row r="281" spans="9:11" x14ac:dyDescent="0.3">
      <c r="I281" s="2"/>
      <c r="J281" s="2"/>
      <c r="K281" s="2"/>
    </row>
    <row r="282" spans="9:11" x14ac:dyDescent="0.3">
      <c r="I282" s="2"/>
      <c r="J282" s="2"/>
      <c r="K282" s="2"/>
    </row>
  </sheetData>
  <mergeCells count="25">
    <mergeCell ref="B123:B131"/>
    <mergeCell ref="B185:B195"/>
    <mergeCell ref="B197:B208"/>
    <mergeCell ref="B212:B213"/>
    <mergeCell ref="B133:B146"/>
    <mergeCell ref="B150:B156"/>
    <mergeCell ref="B158:B162"/>
    <mergeCell ref="B164:B173"/>
    <mergeCell ref="B175:B183"/>
    <mergeCell ref="E148:G148"/>
    <mergeCell ref="E210:G210"/>
    <mergeCell ref="I133:I134"/>
    <mergeCell ref="B11:B24"/>
    <mergeCell ref="B26:B28"/>
    <mergeCell ref="B32:B38"/>
    <mergeCell ref="B40:B47"/>
    <mergeCell ref="B49:B57"/>
    <mergeCell ref="B59:B62"/>
    <mergeCell ref="B64:B75"/>
    <mergeCell ref="B79:B85"/>
    <mergeCell ref="B87:B92"/>
    <mergeCell ref="B94:B101"/>
    <mergeCell ref="B103:B109"/>
    <mergeCell ref="B111:B117"/>
    <mergeCell ref="B119:B121"/>
  </mergeCells>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886191BE-D9F6-4EF0-90A1-FA229DD4C7DE}">
          <x14:formula1>
            <xm:f>'Standard rooms list'!$B$3:$B$69</xm:f>
          </x14:formula1>
          <xm:sqref>E87:E92 E13:E15 E20:E29 E171:E177 E94:E101 E149:E168 E179:E185 E187:E200 E202:E205 E61 E209</xm:sqref>
        </x14:dataValidation>
        <x14:dataValidation type="list" allowBlank="1" showInputMessage="1" showErrorMessage="1" xr:uid="{8EC653D5-23C7-4DE2-B6D3-9338622350B3}">
          <x14:formula1>
            <xm:f>'Standard rooms list'!$B$3:$B$68</xm:f>
          </x14:formula1>
          <xm:sqref>E103:E105 E64:E67 E107:E109 E212 E126:E131 E133:E138 E140:E143 E62 E69:E72 E32:E38 E40:E47 E49:E57 E60 E79:E85 E111:E124</xm:sqref>
        </x14:dataValidation>
        <x14:dataValidation type="list" allowBlank="1" showInputMessage="1" showErrorMessage="1" xr:uid="{49E33CAE-2966-4E90-BF25-19AA169D0EC9}">
          <x14:formula1>
            <xm:f>'Standard rooms list'!$B$3:$B$70</xm:f>
          </x14:formula1>
          <xm:sqref>E169:E170</xm:sqref>
        </x14:dataValidation>
        <x14:dataValidation type="list" allowBlank="1" showInputMessage="1" showErrorMessage="1" xr:uid="{2E22CE55-7A23-47A6-AF89-688EA326105C}">
          <x14:formula1>
            <xm:f>'Standard rooms list'!$B$3:$B$71</xm:f>
          </x14:formula1>
          <xm:sqref>E186</xm:sqref>
        </x14:dataValidation>
        <x14:dataValidation type="list" allowBlank="1" showInputMessage="1" showErrorMessage="1" xr:uid="{F5FC5011-0C5B-49E7-AF02-770353722B10}">
          <x14:formula1>
            <xm:f>'Standard rooms list'!$B$3:$B$74</xm:f>
          </x14:formula1>
          <xm:sqref>E11:E19</xm:sqref>
        </x14:dataValidation>
        <x14:dataValidation type="list" allowBlank="1" showInputMessage="1" showErrorMessage="1" xr:uid="{B84534BA-18B0-4322-8126-C3C2674E74BF}">
          <x14:formula1>
            <xm:f>'Standard rooms list'!$B$3:$B$75</xm:f>
          </x14:formula1>
          <xm:sqref>E125</xm:sqref>
        </x14:dataValidation>
        <x14:dataValidation type="list" allowBlank="1" showInputMessage="1" showErrorMessage="1" xr:uid="{E6AE5ED2-8196-4F14-BF03-BF5CBD38DE65}">
          <x14:formula1>
            <xm:f>'Standard rooms list'!$B$3:$B$79</xm:f>
          </x14:formula1>
          <xm:sqref>E213</xm:sqref>
        </x14:dataValidation>
        <x14:dataValidation type="list" allowBlank="1" showInputMessage="1" showErrorMessage="1" xr:uid="{9A5F5949-87EC-4796-9478-6CE03FD6CD12}">
          <x14:formula1>
            <xm:f>'Standard rooms list'!$B$3:$B$100</xm:f>
          </x14:formula1>
          <xm:sqref>E178 E59 E106</xm:sqref>
        </x14:dataValidation>
        <x14:dataValidation type="list" allowBlank="1" showInputMessage="1" showErrorMessage="1" xr:uid="{B2D4971C-17B9-4E44-A8CB-21F071619F4B}">
          <x14:formula1>
            <xm:f>'Standard rooms list'!$B$3:$B$150</xm:f>
          </x14:formula1>
          <xm:sqref>E144:E146 E206:E208 E56 E73:E75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CC4E-F871-49CA-9A17-9A1E86C61B2F}">
  <sheetPr>
    <tabColor theme="5" tint="0.79998168889431442"/>
  </sheetPr>
  <dimension ref="B2:I93"/>
  <sheetViews>
    <sheetView topLeftCell="D66" zoomScaleNormal="100" workbookViewId="0">
      <selection activeCell="F76" sqref="F76"/>
    </sheetView>
  </sheetViews>
  <sheetFormatPr defaultColWidth="8.53515625" defaultRowHeight="12.45" x14ac:dyDescent="0.3"/>
  <cols>
    <col min="1" max="1" width="5" style="2" customWidth="1"/>
    <col min="2" max="2" width="8.53515625" style="125"/>
    <col min="3" max="3" width="31.15234375" style="2" customWidth="1"/>
    <col min="4" max="4" width="32.53515625" style="2" bestFit="1" customWidth="1"/>
    <col min="5" max="5" width="45.53515625" style="2" customWidth="1"/>
    <col min="6" max="7" width="17.53515625" style="2" customWidth="1"/>
    <col min="8" max="8" width="13.4609375" style="2" customWidth="1"/>
    <col min="9" max="9" width="107.84375" style="2" customWidth="1"/>
    <col min="10" max="16384" width="8.53515625" style="2"/>
  </cols>
  <sheetData>
    <row r="2" spans="2:9" ht="17.600000000000001" x14ac:dyDescent="0.4">
      <c r="B2" s="9" t="s">
        <v>287</v>
      </c>
    </row>
    <row r="4" spans="2:9" x14ac:dyDescent="0.3">
      <c r="B4" s="147"/>
      <c r="C4" s="2" t="s">
        <v>79</v>
      </c>
    </row>
    <row r="6" spans="2:9" x14ac:dyDescent="0.3">
      <c r="C6" s="1"/>
    </row>
    <row r="7" spans="2:9" ht="13.75" x14ac:dyDescent="0.3">
      <c r="B7" s="214" t="s">
        <v>80</v>
      </c>
      <c r="C7" s="28" t="s">
        <v>30</v>
      </c>
      <c r="D7" s="23" t="s">
        <v>31</v>
      </c>
      <c r="E7" s="23" t="s">
        <v>81</v>
      </c>
      <c r="F7" s="23" t="s">
        <v>82</v>
      </c>
      <c r="G7" s="23" t="s">
        <v>83</v>
      </c>
      <c r="H7" s="23" t="s">
        <v>84</v>
      </c>
      <c r="I7" s="29" t="s">
        <v>85</v>
      </c>
    </row>
    <row r="8" spans="2:9" x14ac:dyDescent="0.3">
      <c r="B8" s="215"/>
      <c r="C8" s="129" t="s">
        <v>38</v>
      </c>
      <c r="D8" s="50"/>
      <c r="E8" s="50"/>
      <c r="F8" s="50"/>
      <c r="G8" s="50"/>
      <c r="H8" s="50"/>
      <c r="I8" s="149"/>
    </row>
    <row r="9" spans="2:9" x14ac:dyDescent="0.3">
      <c r="B9" s="279" t="s">
        <v>232</v>
      </c>
      <c r="C9" s="87" t="s">
        <v>38</v>
      </c>
      <c r="D9" s="88" t="s">
        <v>39</v>
      </c>
      <c r="E9" s="88" t="s">
        <v>187</v>
      </c>
      <c r="F9" s="88">
        <v>1</v>
      </c>
      <c r="G9" s="88">
        <f>VLOOKUP(E9,'Standard rooms list'!$B$3:$C$73,2,FALSE)</f>
        <v>8</v>
      </c>
      <c r="H9" s="88">
        <f>F9*G9</f>
        <v>8</v>
      </c>
      <c r="I9" s="89"/>
    </row>
    <row r="10" spans="2:9" x14ac:dyDescent="0.3">
      <c r="B10" s="280"/>
      <c r="C10" s="80" t="s">
        <v>38</v>
      </c>
      <c r="D10" s="60" t="s">
        <v>39</v>
      </c>
      <c r="E10" s="60" t="s">
        <v>188</v>
      </c>
      <c r="F10" s="60">
        <v>0</v>
      </c>
      <c r="G10" s="60">
        <f>VLOOKUP(E10,'Standard rooms list'!$B$3:$C$73,2,FALSE)</f>
        <v>12</v>
      </c>
      <c r="H10" s="60">
        <f>F10*G10</f>
        <v>0</v>
      </c>
      <c r="I10" s="81" t="s">
        <v>234</v>
      </c>
    </row>
    <row r="11" spans="2:9" x14ac:dyDescent="0.3">
      <c r="B11" s="280"/>
      <c r="C11" s="80" t="s">
        <v>38</v>
      </c>
      <c r="D11" s="60" t="s">
        <v>39</v>
      </c>
      <c r="E11" s="60" t="s">
        <v>90</v>
      </c>
      <c r="F11" s="60">
        <v>1</v>
      </c>
      <c r="G11" s="60">
        <f>VLOOKUP(E11,'Standard rooms list'!$B$3:$C$73,2,FALSE)</f>
        <v>12</v>
      </c>
      <c r="H11" s="60">
        <f>F11*G11</f>
        <v>12</v>
      </c>
      <c r="I11" s="81"/>
    </row>
    <row r="12" spans="2:9" x14ac:dyDescent="0.3">
      <c r="B12" s="280"/>
      <c r="C12" s="80" t="s">
        <v>38</v>
      </c>
      <c r="D12" s="60" t="s">
        <v>39</v>
      </c>
      <c r="E12" s="60" t="s">
        <v>91</v>
      </c>
      <c r="F12" s="60">
        <v>1</v>
      </c>
      <c r="G12" s="60">
        <f>VLOOKUP(E12,'Standard rooms list'!$B$3:$C$73,2,FALSE)</f>
        <v>5</v>
      </c>
      <c r="H12" s="60">
        <f t="shared" ref="H12:H14" si="0">F12*G12</f>
        <v>5</v>
      </c>
      <c r="I12" s="81"/>
    </row>
    <row r="13" spans="2:9" x14ac:dyDescent="0.3">
      <c r="B13" s="280"/>
      <c r="C13" s="80" t="s">
        <v>38</v>
      </c>
      <c r="D13" s="60" t="s">
        <v>39</v>
      </c>
      <c r="E13" s="60" t="s">
        <v>92</v>
      </c>
      <c r="F13" s="60">
        <v>1</v>
      </c>
      <c r="G13" s="60">
        <f>VLOOKUP(E13,'Standard rooms list'!$B$3:$C$73,2,FALSE)</f>
        <v>5.5</v>
      </c>
      <c r="H13" s="60">
        <f t="shared" si="0"/>
        <v>5.5</v>
      </c>
      <c r="I13" s="81"/>
    </row>
    <row r="14" spans="2:9" x14ac:dyDescent="0.3">
      <c r="B14" s="280"/>
      <c r="C14" s="80" t="s">
        <v>38</v>
      </c>
      <c r="D14" s="60" t="s">
        <v>39</v>
      </c>
      <c r="E14" s="60" t="s">
        <v>93</v>
      </c>
      <c r="F14" s="60">
        <v>1</v>
      </c>
      <c r="G14" s="60">
        <f>VLOOKUP(E14,'Standard rooms list'!$B$3:$C$73,2,FALSE)</f>
        <v>8</v>
      </c>
      <c r="H14" s="60">
        <f t="shared" si="0"/>
        <v>8</v>
      </c>
      <c r="I14" s="81"/>
    </row>
    <row r="15" spans="2:9" x14ac:dyDescent="0.3">
      <c r="B15" s="280"/>
      <c r="C15" s="80" t="s">
        <v>38</v>
      </c>
      <c r="D15" s="60" t="s">
        <v>39</v>
      </c>
      <c r="E15" s="60" t="s">
        <v>101</v>
      </c>
      <c r="F15" s="60">
        <f>(SUM(F32,F33,F34,F35,F36,F22)*2)+(F37*8)</f>
        <v>112</v>
      </c>
      <c r="G15" s="60">
        <f>VLOOKUP(E15,'Standard rooms list'!$B$3:$C$73,2,FALSE)</f>
        <v>2</v>
      </c>
      <c r="H15" s="60">
        <f>F15*G15</f>
        <v>224</v>
      </c>
      <c r="I15" s="81" t="s">
        <v>288</v>
      </c>
    </row>
    <row r="16" spans="2:9" x14ac:dyDescent="0.3">
      <c r="B16" s="280"/>
      <c r="C16" s="80" t="s">
        <v>38</v>
      </c>
      <c r="D16" s="60" t="s">
        <v>39</v>
      </c>
      <c r="E16" s="60" t="s">
        <v>103</v>
      </c>
      <c r="F16" s="60">
        <f>ROUNDUP(F15*0.1,0)</f>
        <v>12</v>
      </c>
      <c r="G16" s="60">
        <f>VLOOKUP(E16,'Standard rooms list'!$B$3:$C$73,2,FALSE)</f>
        <v>2</v>
      </c>
      <c r="H16" s="60">
        <f t="shared" ref="H16:H23" si="1">F16*G16</f>
        <v>24</v>
      </c>
      <c r="I16" s="81" t="s">
        <v>289</v>
      </c>
    </row>
    <row r="17" spans="2:9" x14ac:dyDescent="0.3">
      <c r="B17" s="280"/>
      <c r="C17" s="80" t="s">
        <v>38</v>
      </c>
      <c r="D17" s="60" t="s">
        <v>39</v>
      </c>
      <c r="E17" s="60" t="s">
        <v>105</v>
      </c>
      <c r="F17" s="60">
        <v>3</v>
      </c>
      <c r="G17" s="60">
        <f>VLOOKUP(E17,'Standard rooms list'!$B$3:$C$73,2,FALSE)</f>
        <v>5.5</v>
      </c>
      <c r="H17" s="60">
        <f t="shared" si="1"/>
        <v>16.5</v>
      </c>
      <c r="I17" s="81" t="s">
        <v>290</v>
      </c>
    </row>
    <row r="18" spans="2:9" x14ac:dyDescent="0.3">
      <c r="B18" s="280"/>
      <c r="C18" s="80" t="s">
        <v>38</v>
      </c>
      <c r="D18" s="60" t="s">
        <v>39</v>
      </c>
      <c r="E18" s="60" t="s">
        <v>107</v>
      </c>
      <c r="F18" s="60">
        <v>3</v>
      </c>
      <c r="G18" s="60">
        <f>VLOOKUP(E18,'Standard rooms list'!$B$3:$C$73,2,FALSE)</f>
        <v>2.5</v>
      </c>
      <c r="H18" s="60">
        <f t="shared" si="1"/>
        <v>7.5</v>
      </c>
      <c r="I18" s="81" t="s">
        <v>290</v>
      </c>
    </row>
    <row r="19" spans="2:9" x14ac:dyDescent="0.3">
      <c r="B19" s="280"/>
      <c r="C19" s="80" t="s">
        <v>38</v>
      </c>
      <c r="D19" s="60" t="s">
        <v>39</v>
      </c>
      <c r="E19" s="60" t="s">
        <v>109</v>
      </c>
      <c r="F19" s="60">
        <v>3</v>
      </c>
      <c r="G19" s="60">
        <f>VLOOKUP(E19,'Standard rooms list'!$B$3:$C$73,2,FALSE)</f>
        <v>2.5</v>
      </c>
      <c r="H19" s="60">
        <f t="shared" si="1"/>
        <v>7.5</v>
      </c>
      <c r="I19" s="81" t="s">
        <v>291</v>
      </c>
    </row>
    <row r="20" spans="2:9" x14ac:dyDescent="0.3">
      <c r="B20" s="280"/>
      <c r="C20" s="80" t="s">
        <v>38</v>
      </c>
      <c r="D20" s="60" t="s">
        <v>39</v>
      </c>
      <c r="E20" s="60" t="s">
        <v>98</v>
      </c>
      <c r="F20" s="60">
        <v>2</v>
      </c>
      <c r="G20" s="60">
        <f>VLOOKUP(E20,'Standard rooms list'!$B$3:$C$73,2,FALSE)</f>
        <v>4.5</v>
      </c>
      <c r="H20" s="60">
        <f t="shared" si="1"/>
        <v>9</v>
      </c>
      <c r="I20" s="81" t="s">
        <v>292</v>
      </c>
    </row>
    <row r="21" spans="2:9" x14ac:dyDescent="0.3">
      <c r="B21" s="280"/>
      <c r="C21" s="80" t="s">
        <v>38</v>
      </c>
      <c r="D21" s="60" t="s">
        <v>39</v>
      </c>
      <c r="E21" s="60" t="s">
        <v>95</v>
      </c>
      <c r="F21" s="60">
        <v>1</v>
      </c>
      <c r="G21" s="60">
        <f>VLOOKUP(E21,'Standard rooms list'!$B$3:$C$73,2,FALSE)</f>
        <v>16</v>
      </c>
      <c r="H21" s="60">
        <f t="shared" si="1"/>
        <v>16</v>
      </c>
      <c r="I21" s="81"/>
    </row>
    <row r="22" spans="2:9" x14ac:dyDescent="0.3">
      <c r="B22" s="280"/>
      <c r="C22" s="80" t="s">
        <v>38</v>
      </c>
      <c r="D22" s="60" t="s">
        <v>39</v>
      </c>
      <c r="E22" s="152" t="s">
        <v>111</v>
      </c>
      <c r="F22" s="152">
        <v>3</v>
      </c>
      <c r="G22" s="60">
        <f>VLOOKUP(E22,'Standard rooms list'!$B$3:$C$72,2,FALSE)</f>
        <v>8</v>
      </c>
      <c r="H22" s="60">
        <f t="shared" si="1"/>
        <v>24</v>
      </c>
      <c r="I22" s="81"/>
    </row>
    <row r="23" spans="2:9" x14ac:dyDescent="0.3">
      <c r="B23" s="280"/>
      <c r="C23" s="80" t="s">
        <v>38</v>
      </c>
      <c r="D23" s="60" t="s">
        <v>39</v>
      </c>
      <c r="E23" s="60" t="s">
        <v>204</v>
      </c>
      <c r="F23" s="60">
        <v>1</v>
      </c>
      <c r="G23" s="60">
        <v>15</v>
      </c>
      <c r="H23" s="60">
        <f t="shared" si="1"/>
        <v>15</v>
      </c>
      <c r="I23" s="81" t="s">
        <v>293</v>
      </c>
    </row>
    <row r="24" spans="2:9" x14ac:dyDescent="0.3">
      <c r="B24" s="280"/>
      <c r="C24" s="85" t="s">
        <v>38</v>
      </c>
      <c r="D24" s="90" t="s">
        <v>294</v>
      </c>
      <c r="E24" s="90" t="s">
        <v>87</v>
      </c>
      <c r="F24" s="90">
        <v>1</v>
      </c>
      <c r="G24" s="60">
        <f>VLOOKUP(E24,'Standard rooms list'!$B$3:$C$73,2,FALSE)</f>
        <v>6</v>
      </c>
      <c r="H24" s="90">
        <f>F24*G24</f>
        <v>6</v>
      </c>
      <c r="I24" s="91"/>
    </row>
    <row r="25" spans="2:9" x14ac:dyDescent="0.3">
      <c r="B25" s="280"/>
      <c r="C25" s="85" t="s">
        <v>38</v>
      </c>
      <c r="D25" s="90" t="s">
        <v>294</v>
      </c>
      <c r="E25" s="90" t="s">
        <v>101</v>
      </c>
      <c r="F25" s="90">
        <v>7</v>
      </c>
      <c r="G25" s="60">
        <f>VLOOKUP(E25,'Standard rooms list'!$B$3:$C$73,2,FALSE)</f>
        <v>2</v>
      </c>
      <c r="H25" s="90">
        <f>F25*G25</f>
        <v>14</v>
      </c>
      <c r="I25" s="91"/>
    </row>
    <row r="26" spans="2:9" x14ac:dyDescent="0.3">
      <c r="B26" s="280"/>
      <c r="C26" s="85" t="s">
        <v>38</v>
      </c>
      <c r="D26" s="90" t="s">
        <v>294</v>
      </c>
      <c r="E26" s="92" t="s">
        <v>103</v>
      </c>
      <c r="F26" s="92">
        <v>3</v>
      </c>
      <c r="G26" s="60">
        <f>VLOOKUP(E26,'Standard rooms list'!$B$3:$C$73,2,FALSE)</f>
        <v>2</v>
      </c>
      <c r="H26" s="92">
        <f t="shared" ref="H26:H30" si="2">F26*G26</f>
        <v>6</v>
      </c>
      <c r="I26" s="86"/>
    </row>
    <row r="27" spans="2:9" x14ac:dyDescent="0.3">
      <c r="B27" s="280"/>
      <c r="C27" s="85" t="s">
        <v>38</v>
      </c>
      <c r="D27" s="90" t="s">
        <v>294</v>
      </c>
      <c r="E27" s="92" t="s">
        <v>105</v>
      </c>
      <c r="F27" s="92">
        <v>1</v>
      </c>
      <c r="G27" s="60">
        <f>VLOOKUP(E27,'Standard rooms list'!$B$3:$C$73,2,FALSE)</f>
        <v>5.5</v>
      </c>
      <c r="H27" s="92">
        <f t="shared" si="2"/>
        <v>5.5</v>
      </c>
      <c r="I27" s="86"/>
    </row>
    <row r="28" spans="2:9" x14ac:dyDescent="0.3">
      <c r="B28" s="280"/>
      <c r="C28" s="110" t="s">
        <v>38</v>
      </c>
      <c r="D28" s="111" t="s">
        <v>294</v>
      </c>
      <c r="E28" s="112" t="s">
        <v>98</v>
      </c>
      <c r="F28" s="112">
        <v>1</v>
      </c>
      <c r="G28" s="60">
        <f>VLOOKUP(E28,'Standard rooms list'!$B$3:$C$73,2,FALSE)</f>
        <v>4.5</v>
      </c>
      <c r="H28" s="112">
        <f t="shared" si="2"/>
        <v>4.5</v>
      </c>
      <c r="I28" s="113" t="s">
        <v>295</v>
      </c>
    </row>
    <row r="29" spans="2:9" x14ac:dyDescent="0.3">
      <c r="B29" s="280"/>
      <c r="C29" s="80" t="s">
        <v>38</v>
      </c>
      <c r="D29" s="60" t="s">
        <v>294</v>
      </c>
      <c r="E29" s="60" t="s">
        <v>259</v>
      </c>
      <c r="F29" s="60">
        <v>1</v>
      </c>
      <c r="G29" s="60">
        <f>VLOOKUP(E29,'Standard rooms list'!$B$3:$C$73,2,FALSE)</f>
        <v>10</v>
      </c>
      <c r="H29" s="60">
        <f t="shared" si="2"/>
        <v>10</v>
      </c>
      <c r="I29" s="81"/>
    </row>
    <row r="30" spans="2:9" x14ac:dyDescent="0.3">
      <c r="B30" s="280"/>
      <c r="C30" s="80" t="s">
        <v>38</v>
      </c>
      <c r="D30" s="60" t="s">
        <v>39</v>
      </c>
      <c r="E30" s="60" t="s">
        <v>190</v>
      </c>
      <c r="F30" s="60">
        <v>0</v>
      </c>
      <c r="G30" s="60">
        <v>150</v>
      </c>
      <c r="H30" s="60">
        <f t="shared" si="2"/>
        <v>0</v>
      </c>
      <c r="I30" s="81"/>
    </row>
    <row r="31" spans="2:9" x14ac:dyDescent="0.3">
      <c r="B31" s="196"/>
      <c r="C31" s="126"/>
      <c r="D31" s="126"/>
      <c r="E31" s="126"/>
      <c r="F31" s="126"/>
      <c r="G31" s="126" t="s">
        <v>47</v>
      </c>
      <c r="H31" s="126">
        <f>SUM(H9:H30)</f>
        <v>428</v>
      </c>
      <c r="I31" s="131"/>
    </row>
    <row r="32" spans="2:9" x14ac:dyDescent="0.3">
      <c r="B32" s="280" t="s">
        <v>232</v>
      </c>
      <c r="C32" s="80" t="s">
        <v>42</v>
      </c>
      <c r="D32" s="60" t="s">
        <v>112</v>
      </c>
      <c r="E32" s="152" t="s">
        <v>111</v>
      </c>
      <c r="F32" s="152">
        <v>2</v>
      </c>
      <c r="G32" s="60">
        <f>VLOOKUP(E32,'Standard rooms list'!$B$3:$C$73,2,FALSE)</f>
        <v>8</v>
      </c>
      <c r="H32" s="60">
        <f>G32*F32</f>
        <v>16</v>
      </c>
      <c r="I32" s="81"/>
    </row>
    <row r="33" spans="2:9" x14ac:dyDescent="0.3">
      <c r="B33" s="280"/>
      <c r="C33" s="80" t="s">
        <v>42</v>
      </c>
      <c r="D33" s="60" t="s">
        <v>112</v>
      </c>
      <c r="E33" s="152" t="s">
        <v>113</v>
      </c>
      <c r="F33" s="152">
        <v>13</v>
      </c>
      <c r="G33" s="60">
        <f>VLOOKUP(E33,'Standard rooms list'!$B$3:$C$73,2,FALSE)</f>
        <v>13.5</v>
      </c>
      <c r="H33" s="60">
        <f t="shared" ref="H33:H66" si="3">G33*F33</f>
        <v>175.5</v>
      </c>
      <c r="I33" s="81"/>
    </row>
    <row r="34" spans="2:9" x14ac:dyDescent="0.3">
      <c r="B34" s="280"/>
      <c r="C34" s="80" t="s">
        <v>42</v>
      </c>
      <c r="D34" s="60" t="s">
        <v>112</v>
      </c>
      <c r="E34" s="152" t="s">
        <v>114</v>
      </c>
      <c r="F34" s="152">
        <v>3</v>
      </c>
      <c r="G34" s="60">
        <f>VLOOKUP(E34,'Standard rooms list'!$B$3:$C$100,2,FALSE)</f>
        <v>16</v>
      </c>
      <c r="H34" s="60">
        <f t="shared" si="3"/>
        <v>48</v>
      </c>
      <c r="I34" s="81"/>
    </row>
    <row r="35" spans="2:9" x14ac:dyDescent="0.3">
      <c r="B35" s="280"/>
      <c r="C35" s="80" t="s">
        <v>42</v>
      </c>
      <c r="D35" s="60" t="s">
        <v>112</v>
      </c>
      <c r="E35" s="152" t="s">
        <v>115</v>
      </c>
      <c r="F35" s="152">
        <v>9</v>
      </c>
      <c r="G35" s="60">
        <f>VLOOKUP(E35,'Standard rooms list'!$B$3:$C$73,2,FALSE)</f>
        <v>16</v>
      </c>
      <c r="H35" s="60">
        <f t="shared" si="3"/>
        <v>144</v>
      </c>
      <c r="I35" s="81"/>
    </row>
    <row r="36" spans="2:9" x14ac:dyDescent="0.3">
      <c r="B36" s="280"/>
      <c r="C36" s="80" t="s">
        <v>42</v>
      </c>
      <c r="D36" s="60" t="s">
        <v>112</v>
      </c>
      <c r="E36" s="152" t="s">
        <v>117</v>
      </c>
      <c r="F36" s="152">
        <v>2</v>
      </c>
      <c r="G36" s="60">
        <f>VLOOKUP(E36,'Standard rooms list'!$B$3:$C$73,2,FALSE)</f>
        <v>20</v>
      </c>
      <c r="H36" s="60">
        <f t="shared" si="3"/>
        <v>40</v>
      </c>
      <c r="I36" s="81"/>
    </row>
    <row r="37" spans="2:9" x14ac:dyDescent="0.3">
      <c r="B37" s="280"/>
      <c r="C37" s="80" t="s">
        <v>42</v>
      </c>
      <c r="D37" s="60" t="s">
        <v>112</v>
      </c>
      <c r="E37" s="152" t="s">
        <v>118</v>
      </c>
      <c r="F37" s="152">
        <v>6</v>
      </c>
      <c r="G37" s="60">
        <f>VLOOKUP(E37,'Standard rooms list'!$B$3:$C$73,2,FALSE)</f>
        <v>32.5</v>
      </c>
      <c r="H37" s="60">
        <f t="shared" si="3"/>
        <v>195</v>
      </c>
      <c r="I37" s="81" t="s">
        <v>119</v>
      </c>
    </row>
    <row r="38" spans="2:9" x14ac:dyDescent="0.3">
      <c r="B38" s="280"/>
      <c r="C38" s="80" t="s">
        <v>42</v>
      </c>
      <c r="D38" s="60" t="s">
        <v>112</v>
      </c>
      <c r="E38" s="60" t="s">
        <v>120</v>
      </c>
      <c r="F38" s="60">
        <v>6</v>
      </c>
      <c r="G38" s="60">
        <f>VLOOKUP(E38,'Standard rooms list'!$B$3:$C$73,2,FALSE)</f>
        <v>5</v>
      </c>
      <c r="H38" s="60">
        <f t="shared" si="3"/>
        <v>30</v>
      </c>
      <c r="I38" s="81" t="s">
        <v>195</v>
      </c>
    </row>
    <row r="39" spans="2:9" x14ac:dyDescent="0.3">
      <c r="B39" s="280"/>
      <c r="C39" s="80" t="s">
        <v>42</v>
      </c>
      <c r="D39" s="60" t="s">
        <v>112</v>
      </c>
      <c r="E39" s="60" t="s">
        <v>265</v>
      </c>
      <c r="F39" s="60">
        <v>1</v>
      </c>
      <c r="G39" s="60">
        <f>VLOOKUP(E39,'Standard rooms list'!$B$3:$C$73,2,FALSE)</f>
        <v>8</v>
      </c>
      <c r="H39" s="60">
        <f t="shared" si="3"/>
        <v>8</v>
      </c>
      <c r="I39" s="81" t="s">
        <v>296</v>
      </c>
    </row>
    <row r="40" spans="2:9" x14ac:dyDescent="0.3">
      <c r="B40" s="280"/>
      <c r="C40" s="80" t="s">
        <v>42</v>
      </c>
      <c r="D40" s="60" t="s">
        <v>112</v>
      </c>
      <c r="E40" s="60" t="s">
        <v>124</v>
      </c>
      <c r="F40" s="60">
        <v>3</v>
      </c>
      <c r="G40" s="60">
        <f>VLOOKUP(E40,'Standard rooms list'!$B$3:$C$73,2,FALSE)</f>
        <v>4.5</v>
      </c>
      <c r="H40" s="60">
        <f t="shared" si="3"/>
        <v>13.5</v>
      </c>
      <c r="I40" s="81"/>
    </row>
    <row r="41" spans="2:9" x14ac:dyDescent="0.3">
      <c r="B41" s="280"/>
      <c r="C41" s="80" t="s">
        <v>42</v>
      </c>
      <c r="D41" s="60" t="s">
        <v>112</v>
      </c>
      <c r="E41" s="60" t="s">
        <v>166</v>
      </c>
      <c r="F41" s="60">
        <v>2</v>
      </c>
      <c r="G41" s="60">
        <f>VLOOKUP(E41,'Standard rooms list'!$B$3:$C$73,2,FALSE)</f>
        <v>4.5</v>
      </c>
      <c r="H41" s="60">
        <f t="shared" si="3"/>
        <v>9</v>
      </c>
      <c r="I41" s="81" t="s">
        <v>297</v>
      </c>
    </row>
    <row r="42" spans="2:9" x14ac:dyDescent="0.3">
      <c r="B42" s="280"/>
      <c r="C42" s="80" t="s">
        <v>42</v>
      </c>
      <c r="D42" s="60" t="s">
        <v>112</v>
      </c>
      <c r="E42" s="60" t="s">
        <v>198</v>
      </c>
      <c r="F42" s="60">
        <v>1</v>
      </c>
      <c r="G42" s="60">
        <v>3</v>
      </c>
      <c r="H42" s="60">
        <f t="shared" si="3"/>
        <v>3</v>
      </c>
      <c r="I42" s="81"/>
    </row>
    <row r="43" spans="2:9" x14ac:dyDescent="0.3">
      <c r="B43" s="280"/>
      <c r="C43" s="80" t="s">
        <v>42</v>
      </c>
      <c r="D43" s="60" t="s">
        <v>112</v>
      </c>
      <c r="E43" s="60" t="s">
        <v>168</v>
      </c>
      <c r="F43" s="60">
        <v>3</v>
      </c>
      <c r="G43" s="60">
        <f>VLOOKUP(E43,'Standard rooms list'!$B$3:$C$73,2,FALSE)</f>
        <v>4.5999999999999996</v>
      </c>
      <c r="H43" s="60">
        <f t="shared" si="3"/>
        <v>13.799999999999999</v>
      </c>
      <c r="I43" s="81" t="s">
        <v>297</v>
      </c>
    </row>
    <row r="44" spans="2:9" x14ac:dyDescent="0.3">
      <c r="B44" s="280"/>
      <c r="C44" s="80" t="s">
        <v>42</v>
      </c>
      <c r="D44" s="60" t="s">
        <v>112</v>
      </c>
      <c r="E44" s="60" t="s">
        <v>98</v>
      </c>
      <c r="F44" s="60">
        <v>1</v>
      </c>
      <c r="G44" s="60">
        <f>VLOOKUP(E44,'Standard rooms list'!$B$3:$C$73,2,FALSE)</f>
        <v>4.5</v>
      </c>
      <c r="H44" s="60">
        <f t="shared" si="3"/>
        <v>4.5</v>
      </c>
      <c r="I44" s="81" t="s">
        <v>298</v>
      </c>
    </row>
    <row r="45" spans="2:9" x14ac:dyDescent="0.3">
      <c r="B45" s="280"/>
      <c r="C45" s="80" t="s">
        <v>42</v>
      </c>
      <c r="D45" s="60" t="s">
        <v>112</v>
      </c>
      <c r="E45" s="60" t="s">
        <v>122</v>
      </c>
      <c r="F45" s="60">
        <v>1</v>
      </c>
      <c r="G45" s="60">
        <f>VLOOKUP(E45,'Standard rooms list'!$B$3:$C$73,2,FALSE)</f>
        <v>8</v>
      </c>
      <c r="H45" s="60">
        <f>G45*F45</f>
        <v>8</v>
      </c>
      <c r="I45" s="81" t="s">
        <v>196</v>
      </c>
    </row>
    <row r="46" spans="2:9" x14ac:dyDescent="0.3">
      <c r="B46" s="280"/>
      <c r="C46" s="80" t="s">
        <v>42</v>
      </c>
      <c r="D46" s="60" t="s">
        <v>112</v>
      </c>
      <c r="E46" s="60" t="s">
        <v>197</v>
      </c>
      <c r="F46" s="60">
        <v>2</v>
      </c>
      <c r="G46" s="60">
        <f>VLOOKUP(E46,'Standard rooms list'!$B$3:$C$73,2,FALSE)</f>
        <v>3</v>
      </c>
      <c r="H46" s="60">
        <f>G46*F46</f>
        <v>6</v>
      </c>
      <c r="I46" s="81"/>
    </row>
    <row r="47" spans="2:9" x14ac:dyDescent="0.3">
      <c r="B47" s="280"/>
      <c r="C47" s="80" t="s">
        <v>42</v>
      </c>
      <c r="D47" s="60" t="s">
        <v>112</v>
      </c>
      <c r="E47" s="60" t="s">
        <v>172</v>
      </c>
      <c r="F47" s="60">
        <v>3</v>
      </c>
      <c r="G47" s="60">
        <f>VLOOKUP(E47,'Standard rooms list'!$B$3:$C$75,2,FALSE)</f>
        <v>4</v>
      </c>
      <c r="H47" s="60">
        <f>G47*F47</f>
        <v>12</v>
      </c>
      <c r="I47" s="81" t="s">
        <v>299</v>
      </c>
    </row>
    <row r="48" spans="2:9" x14ac:dyDescent="0.3">
      <c r="B48" s="196"/>
      <c r="C48" s="126"/>
      <c r="D48" s="126"/>
      <c r="E48" s="126"/>
      <c r="F48" s="126"/>
      <c r="G48" s="126" t="s">
        <v>47</v>
      </c>
      <c r="H48" s="126">
        <f>SUM(H32:H47)</f>
        <v>726.3</v>
      </c>
      <c r="I48" s="131"/>
    </row>
    <row r="49" spans="2:9" x14ac:dyDescent="0.3">
      <c r="B49" s="280" t="s">
        <v>232</v>
      </c>
      <c r="C49" s="80" t="s">
        <v>201</v>
      </c>
      <c r="D49" s="60" t="s">
        <v>125</v>
      </c>
      <c r="E49" s="60" t="s">
        <v>126</v>
      </c>
      <c r="F49" s="2">
        <v>3</v>
      </c>
      <c r="G49" s="60">
        <f>VLOOKUP(E49,'Standard rooms list'!$B$3:$C$73,2,FALSE)</f>
        <v>8</v>
      </c>
      <c r="H49" s="60">
        <f t="shared" si="3"/>
        <v>24</v>
      </c>
      <c r="I49" s="81" t="s">
        <v>127</v>
      </c>
    </row>
    <row r="50" spans="2:9" x14ac:dyDescent="0.3">
      <c r="B50" s="280"/>
      <c r="C50" s="80" t="s">
        <v>201</v>
      </c>
      <c r="D50" s="60" t="s">
        <v>125</v>
      </c>
      <c r="E50" s="60" t="s">
        <v>128</v>
      </c>
      <c r="F50" s="2">
        <v>3</v>
      </c>
      <c r="G50" s="60">
        <f>VLOOKUP(E50,'Standard rooms list'!$B$3:$C$73,2,FALSE)</f>
        <v>8</v>
      </c>
      <c r="H50" s="60">
        <f t="shared" si="3"/>
        <v>24</v>
      </c>
      <c r="I50" s="81" t="s">
        <v>127</v>
      </c>
    </row>
    <row r="51" spans="2:9" x14ac:dyDescent="0.3">
      <c r="B51" s="280"/>
      <c r="C51" s="80" t="s">
        <v>201</v>
      </c>
      <c r="D51" s="60" t="s">
        <v>125</v>
      </c>
      <c r="E51" s="60" t="s">
        <v>129</v>
      </c>
      <c r="F51" s="60">
        <v>1</v>
      </c>
      <c r="G51" s="60">
        <f>VLOOKUP(E51,'Standard rooms list'!$B$3:$C$73,2,FALSE)</f>
        <v>8</v>
      </c>
      <c r="H51" s="60">
        <f t="shared" si="3"/>
        <v>8</v>
      </c>
      <c r="I51" s="81"/>
    </row>
    <row r="52" spans="2:9" x14ac:dyDescent="0.3">
      <c r="B52" s="280"/>
      <c r="C52" s="80" t="s">
        <v>201</v>
      </c>
      <c r="D52" s="60" t="s">
        <v>125</v>
      </c>
      <c r="E52" s="60" t="s">
        <v>275</v>
      </c>
      <c r="F52" s="60">
        <v>1</v>
      </c>
      <c r="G52" s="60">
        <f>VLOOKUP(E52,'Standard rooms list'!$B$3:$C$73,2,FALSE)</f>
        <v>12</v>
      </c>
      <c r="H52" s="60">
        <f t="shared" si="3"/>
        <v>12</v>
      </c>
      <c r="I52" s="81"/>
    </row>
    <row r="53" spans="2:9" x14ac:dyDescent="0.3">
      <c r="B53" s="280"/>
      <c r="C53" s="80" t="s">
        <v>201</v>
      </c>
      <c r="D53" s="60" t="s">
        <v>125</v>
      </c>
      <c r="E53" s="60" t="s">
        <v>130</v>
      </c>
      <c r="F53" s="60">
        <v>2</v>
      </c>
      <c r="G53" s="60">
        <f>VLOOKUP(E53,'Standard rooms list'!$B$3:$C$73,2,FALSE)</f>
        <v>2</v>
      </c>
      <c r="H53" s="60">
        <f t="shared" si="3"/>
        <v>4</v>
      </c>
      <c r="I53" s="81"/>
    </row>
    <row r="54" spans="2:9" x14ac:dyDescent="0.3">
      <c r="B54" s="280"/>
      <c r="C54" s="80" t="s">
        <v>201</v>
      </c>
      <c r="D54" s="60" t="s">
        <v>125</v>
      </c>
      <c r="E54" s="60" t="s">
        <v>273</v>
      </c>
      <c r="F54" s="60">
        <v>2</v>
      </c>
      <c r="G54" s="60">
        <f>VLOOKUP(E54,'Standard rooms list'!$B$3:$C$73,2,FALSE)</f>
        <v>3</v>
      </c>
      <c r="H54" s="60">
        <f t="shared" si="3"/>
        <v>6</v>
      </c>
      <c r="I54" s="81"/>
    </row>
    <row r="55" spans="2:9" x14ac:dyDescent="0.3">
      <c r="B55" s="280"/>
      <c r="C55" s="80" t="s">
        <v>201</v>
      </c>
      <c r="D55" s="60" t="s">
        <v>125</v>
      </c>
      <c r="E55" s="60" t="s">
        <v>276</v>
      </c>
      <c r="F55" s="60">
        <v>2</v>
      </c>
      <c r="G55" s="60">
        <f>VLOOKUP(E55,'Standard rooms list'!$B$3:$C$73,2,FALSE)</f>
        <v>3</v>
      </c>
      <c r="H55" s="60">
        <f t="shared" si="3"/>
        <v>6</v>
      </c>
      <c r="I55" s="81"/>
    </row>
    <row r="56" spans="2:9" x14ac:dyDescent="0.3">
      <c r="B56" s="280"/>
      <c r="C56" s="80" t="s">
        <v>201</v>
      </c>
      <c r="D56" s="60" t="s">
        <v>125</v>
      </c>
      <c r="E56" s="60" t="s">
        <v>203</v>
      </c>
      <c r="F56" s="60">
        <v>2</v>
      </c>
      <c r="G56" s="60">
        <f>VLOOKUP(E56,'Standard rooms list'!$B$3:$C$73,2,FALSE)</f>
        <v>4</v>
      </c>
      <c r="H56" s="60">
        <f t="shared" si="3"/>
        <v>8</v>
      </c>
      <c r="I56" s="81"/>
    </row>
    <row r="57" spans="2:9" x14ac:dyDescent="0.3">
      <c r="B57" s="280"/>
      <c r="C57" s="80" t="s">
        <v>201</v>
      </c>
      <c r="D57" s="60" t="s">
        <v>125</v>
      </c>
      <c r="E57" s="60" t="s">
        <v>96</v>
      </c>
      <c r="F57" s="60">
        <v>2</v>
      </c>
      <c r="G57" s="60">
        <f>VLOOKUP(E57,'Standard rooms list'!$B$3:$C$73,2,FALSE)</f>
        <v>10</v>
      </c>
      <c r="H57" s="60">
        <f t="shared" si="3"/>
        <v>20</v>
      </c>
      <c r="I57" s="81" t="s">
        <v>132</v>
      </c>
    </row>
    <row r="58" spans="2:9" x14ac:dyDescent="0.3">
      <c r="B58" s="280"/>
      <c r="C58" s="80" t="s">
        <v>201</v>
      </c>
      <c r="D58" s="60" t="s">
        <v>125</v>
      </c>
      <c r="E58" s="60" t="s">
        <v>133</v>
      </c>
      <c r="F58" s="60">
        <v>2</v>
      </c>
      <c r="G58" s="60">
        <f>VLOOKUP(E58,'Standard rooms list'!$B$3:$C$73,2,FALSE)</f>
        <v>2</v>
      </c>
      <c r="H58" s="60">
        <f t="shared" si="3"/>
        <v>4</v>
      </c>
      <c r="I58" s="81"/>
    </row>
    <row r="59" spans="2:9" x14ac:dyDescent="0.3">
      <c r="B59" s="280"/>
      <c r="C59" s="80" t="s">
        <v>201</v>
      </c>
      <c r="D59" s="60" t="s">
        <v>125</v>
      </c>
      <c r="E59" s="60" t="s">
        <v>300</v>
      </c>
      <c r="F59" s="60">
        <v>1</v>
      </c>
      <c r="G59" s="60">
        <v>20</v>
      </c>
      <c r="H59" s="60">
        <f t="shared" si="3"/>
        <v>20</v>
      </c>
      <c r="I59" s="81" t="s">
        <v>205</v>
      </c>
    </row>
    <row r="60" spans="2:9" x14ac:dyDescent="0.3">
      <c r="B60" s="280"/>
      <c r="C60" s="80" t="s">
        <v>201</v>
      </c>
      <c r="D60" s="60" t="s">
        <v>125</v>
      </c>
      <c r="E60" s="60" t="s">
        <v>204</v>
      </c>
      <c r="F60" s="60">
        <v>1</v>
      </c>
      <c r="G60" s="60">
        <f>VLOOKUP(E60,'Standard rooms list'!$B$3:$C$73,2,FALSE)</f>
        <v>15</v>
      </c>
      <c r="H60" s="60">
        <f t="shared" si="3"/>
        <v>15</v>
      </c>
      <c r="I60" s="81" t="s">
        <v>206</v>
      </c>
    </row>
    <row r="61" spans="2:9" x14ac:dyDescent="0.3">
      <c r="B61" s="280"/>
      <c r="C61" s="80" t="s">
        <v>201</v>
      </c>
      <c r="D61" s="60" t="s">
        <v>125</v>
      </c>
      <c r="E61" s="60" t="s">
        <v>136</v>
      </c>
      <c r="F61" s="60">
        <v>2</v>
      </c>
      <c r="G61" s="60">
        <f>VLOOKUP(E61,'Standard rooms list'!$B$3:$C$73,2,FALSE)</f>
        <v>2</v>
      </c>
      <c r="H61" s="60">
        <f t="shared" si="3"/>
        <v>4</v>
      </c>
      <c r="I61" s="81" t="s">
        <v>301</v>
      </c>
    </row>
    <row r="62" spans="2:9" x14ac:dyDescent="0.3">
      <c r="B62" s="280"/>
      <c r="C62" s="80" t="s">
        <v>201</v>
      </c>
      <c r="D62" s="60" t="s">
        <v>125</v>
      </c>
      <c r="E62" s="60" t="s">
        <v>182</v>
      </c>
      <c r="F62" s="60">
        <v>1</v>
      </c>
      <c r="G62" s="60">
        <f>VLOOKUP(E62,'Standard rooms list'!$B$3:$C$73,2,FALSE)</f>
        <v>8</v>
      </c>
      <c r="H62" s="60">
        <f t="shared" si="3"/>
        <v>8</v>
      </c>
      <c r="I62" s="81"/>
    </row>
    <row r="63" spans="2:9" x14ac:dyDescent="0.3">
      <c r="B63" s="280"/>
      <c r="C63" s="80" t="s">
        <v>201</v>
      </c>
      <c r="D63" s="60" t="s">
        <v>125</v>
      </c>
      <c r="E63" s="60" t="s">
        <v>135</v>
      </c>
      <c r="F63" s="60">
        <v>2</v>
      </c>
      <c r="G63" s="60">
        <f>VLOOKUP(E63,'Standard rooms list'!$B$3:$C$73,2,FALSE)</f>
        <v>8</v>
      </c>
      <c r="H63" s="60">
        <f t="shared" si="3"/>
        <v>16</v>
      </c>
      <c r="I63" s="81" t="s">
        <v>301</v>
      </c>
    </row>
    <row r="64" spans="2:9" x14ac:dyDescent="0.3">
      <c r="B64" s="280"/>
      <c r="C64" s="80" t="s">
        <v>201</v>
      </c>
      <c r="D64" s="60" t="s">
        <v>125</v>
      </c>
      <c r="E64" s="92" t="s">
        <v>269</v>
      </c>
      <c r="F64" s="92">
        <v>1</v>
      </c>
      <c r="G64" s="60">
        <f>VLOOKUP(E64,'Standard rooms list'!$B$3:$C$73,2,FALSE)</f>
        <v>16</v>
      </c>
      <c r="H64" s="92">
        <f t="shared" si="3"/>
        <v>16</v>
      </c>
      <c r="I64" s="86"/>
    </row>
    <row r="65" spans="2:9" x14ac:dyDescent="0.3">
      <c r="B65" s="280"/>
      <c r="C65" s="80" t="s">
        <v>201</v>
      </c>
      <c r="D65" s="60" t="s">
        <v>125</v>
      </c>
      <c r="E65" s="92" t="s">
        <v>270</v>
      </c>
      <c r="F65" s="92">
        <v>1</v>
      </c>
      <c r="G65" s="60">
        <f>VLOOKUP(E65,'Standard rooms list'!$B$3:$C$73,2,FALSE)</f>
        <v>4</v>
      </c>
      <c r="H65" s="92">
        <f t="shared" si="3"/>
        <v>4</v>
      </c>
      <c r="I65" s="86"/>
    </row>
    <row r="66" spans="2:9" x14ac:dyDescent="0.3">
      <c r="B66" s="280"/>
      <c r="C66" s="80" t="s">
        <v>201</v>
      </c>
      <c r="D66" s="60" t="s">
        <v>125</v>
      </c>
      <c r="E66" s="60" t="s">
        <v>286</v>
      </c>
      <c r="F66" s="60">
        <v>1</v>
      </c>
      <c r="G66" s="60">
        <f>VLOOKUP(E66,'Standard rooms list'!$B$3:$C$79,2,FALSE)</f>
        <v>30</v>
      </c>
      <c r="H66" s="60">
        <f t="shared" si="3"/>
        <v>30</v>
      </c>
      <c r="I66" s="81"/>
    </row>
    <row r="67" spans="2:9" s="27" customFormat="1" x14ac:dyDescent="0.3">
      <c r="B67" s="196"/>
      <c r="C67" s="126"/>
      <c r="D67" s="126"/>
      <c r="E67" s="126"/>
      <c r="F67" s="126"/>
      <c r="G67" s="126" t="s">
        <v>47</v>
      </c>
      <c r="H67" s="126">
        <f>SUM(H49:H66)</f>
        <v>229</v>
      </c>
      <c r="I67" s="131"/>
    </row>
    <row r="68" spans="2:9" x14ac:dyDescent="0.3">
      <c r="B68" s="280" t="s">
        <v>232</v>
      </c>
      <c r="C68" s="14" t="s">
        <v>45</v>
      </c>
      <c r="D68" s="2" t="s">
        <v>45</v>
      </c>
      <c r="E68" s="2" t="s">
        <v>137</v>
      </c>
      <c r="F68" s="2">
        <v>1</v>
      </c>
      <c r="G68" s="2">
        <f>VLOOKUP(E68,'Standard rooms list'!$B$3:$C$100,2,FALSE)</f>
        <v>4.5</v>
      </c>
      <c r="H68" s="2">
        <f>F68*G68</f>
        <v>4.5</v>
      </c>
      <c r="I68" s="15"/>
    </row>
    <row r="69" spans="2:9" x14ac:dyDescent="0.3">
      <c r="B69" s="280"/>
      <c r="C69" s="14" t="s">
        <v>45</v>
      </c>
      <c r="D69" s="2" t="s">
        <v>45</v>
      </c>
      <c r="E69" s="2" t="s">
        <v>138</v>
      </c>
      <c r="F69" s="2">
        <v>1</v>
      </c>
      <c r="G69" s="2">
        <f>VLOOKUP(E69,'Standard rooms list'!$B$3:$C$73,2,FALSE)</f>
        <v>6</v>
      </c>
      <c r="H69" s="2">
        <f t="shared" ref="H69:H71" si="4">F69*G69</f>
        <v>6</v>
      </c>
      <c r="I69" s="15"/>
    </row>
    <row r="70" spans="2:9" x14ac:dyDescent="0.3">
      <c r="B70" s="280"/>
      <c r="C70" s="14" t="s">
        <v>45</v>
      </c>
      <c r="D70" s="2" t="s">
        <v>45</v>
      </c>
      <c r="E70" s="2" t="s">
        <v>139</v>
      </c>
      <c r="F70" s="2">
        <v>1</v>
      </c>
      <c r="G70" s="2">
        <f>VLOOKUP(E70,'Standard rooms list'!$B$3:$C$73,2,FALSE)</f>
        <v>4</v>
      </c>
      <c r="H70" s="2">
        <f t="shared" si="4"/>
        <v>4</v>
      </c>
      <c r="I70" s="15"/>
    </row>
    <row r="71" spans="2:9" x14ac:dyDescent="0.3">
      <c r="B71" s="280"/>
      <c r="C71" s="14" t="s">
        <v>45</v>
      </c>
      <c r="D71" s="2" t="s">
        <v>45</v>
      </c>
      <c r="E71" s="2" t="s">
        <v>101</v>
      </c>
      <c r="F71" s="2">
        <v>6</v>
      </c>
      <c r="G71" s="2">
        <f>VLOOKUP(E71,'Standard rooms list'!$B$3:$C$73,2,FALSE)</f>
        <v>2</v>
      </c>
      <c r="H71" s="2">
        <f t="shared" si="4"/>
        <v>12</v>
      </c>
      <c r="I71" s="15"/>
    </row>
    <row r="72" spans="2:9" s="27" customFormat="1" x14ac:dyDescent="0.3">
      <c r="B72" s="196"/>
      <c r="C72" s="126"/>
      <c r="D72" s="126"/>
      <c r="E72" s="126"/>
      <c r="F72" s="126"/>
      <c r="G72" s="126" t="s">
        <v>47</v>
      </c>
      <c r="H72" s="126">
        <f>SUM(H68:H71)</f>
        <v>26.5</v>
      </c>
      <c r="I72" s="131"/>
    </row>
    <row r="73" spans="2:9" x14ac:dyDescent="0.3">
      <c r="B73" s="280" t="s">
        <v>232</v>
      </c>
      <c r="C73" s="80" t="s">
        <v>140</v>
      </c>
      <c r="D73" s="60" t="s">
        <v>140</v>
      </c>
      <c r="E73" s="152" t="s">
        <v>141</v>
      </c>
      <c r="F73" s="152">
        <v>11</v>
      </c>
      <c r="G73" s="60">
        <f>VLOOKUP(E73,'Standard rooms list'!$B$3:$C$73,2,FALSE)</f>
        <v>4.5999999999999996</v>
      </c>
      <c r="H73" s="60">
        <f t="shared" ref="H73:H90" si="5">G73*F73</f>
        <v>50.599999999999994</v>
      </c>
      <c r="I73" s="81" t="s">
        <v>302</v>
      </c>
    </row>
    <row r="74" spans="2:9" x14ac:dyDescent="0.3">
      <c r="B74" s="280"/>
      <c r="C74" s="80" t="s">
        <v>140</v>
      </c>
      <c r="D74" s="60" t="s">
        <v>140</v>
      </c>
      <c r="E74" s="60" t="s">
        <v>209</v>
      </c>
      <c r="F74" s="60">
        <v>3</v>
      </c>
      <c r="G74" s="60">
        <f>VLOOKUP(E74,'Standard rooms list'!$B$3:$C$73,2,FALSE)</f>
        <v>12</v>
      </c>
      <c r="H74" s="60">
        <f t="shared" si="5"/>
        <v>36</v>
      </c>
      <c r="I74" s="81" t="s">
        <v>303</v>
      </c>
    </row>
    <row r="75" spans="2:9" x14ac:dyDescent="0.3">
      <c r="B75" s="280"/>
      <c r="C75" s="80" t="s">
        <v>140</v>
      </c>
      <c r="D75" s="60" t="s">
        <v>140</v>
      </c>
      <c r="E75" s="60" t="s">
        <v>143</v>
      </c>
      <c r="F75" s="60">
        <v>3</v>
      </c>
      <c r="G75" s="60">
        <f>VLOOKUP(E75,'Standard rooms list'!$B$3:$C$73,2,FALSE)</f>
        <v>8</v>
      </c>
      <c r="H75" s="60">
        <f t="shared" si="5"/>
        <v>24</v>
      </c>
      <c r="I75" s="81" t="s">
        <v>212</v>
      </c>
    </row>
    <row r="76" spans="2:9" x14ac:dyDescent="0.3">
      <c r="B76" s="280"/>
      <c r="C76" s="80" t="s">
        <v>140</v>
      </c>
      <c r="D76" s="60" t="s">
        <v>140</v>
      </c>
      <c r="E76" s="60" t="s">
        <v>213</v>
      </c>
      <c r="F76" s="153">
        <v>22</v>
      </c>
      <c r="G76" s="60">
        <v>8.3000000000000007</v>
      </c>
      <c r="H76" s="60">
        <f t="shared" si="5"/>
        <v>182.60000000000002</v>
      </c>
      <c r="I76" s="81" t="s">
        <v>304</v>
      </c>
    </row>
    <row r="77" spans="2:9" ht="12.9" x14ac:dyDescent="0.35">
      <c r="B77" s="280"/>
      <c r="C77" s="80" t="s">
        <v>140</v>
      </c>
      <c r="D77" s="60" t="s">
        <v>140</v>
      </c>
      <c r="E77" s="251" t="s">
        <v>147</v>
      </c>
      <c r="F77" s="252" t="s">
        <v>215</v>
      </c>
      <c r="G77" s="60">
        <v>0.125</v>
      </c>
      <c r="H77" s="60"/>
      <c r="I77" s="254" t="s">
        <v>305</v>
      </c>
    </row>
    <row r="78" spans="2:9" ht="12.9" x14ac:dyDescent="0.35">
      <c r="B78" s="280"/>
      <c r="C78" s="80" t="s">
        <v>140</v>
      </c>
      <c r="D78" s="60" t="s">
        <v>140</v>
      </c>
      <c r="E78" s="251" t="s">
        <v>217</v>
      </c>
      <c r="F78" s="252" t="s">
        <v>215</v>
      </c>
      <c r="G78" s="60">
        <v>6</v>
      </c>
      <c r="H78" s="253"/>
      <c r="I78" s="254" t="s">
        <v>218</v>
      </c>
    </row>
    <row r="79" spans="2:9" ht="12.9" x14ac:dyDescent="0.35">
      <c r="B79" s="280"/>
      <c r="C79" s="80" t="s">
        <v>140</v>
      </c>
      <c r="D79" s="60" t="s">
        <v>140</v>
      </c>
      <c r="E79" s="251" t="s">
        <v>111</v>
      </c>
      <c r="F79" s="255" t="s">
        <v>215</v>
      </c>
      <c r="G79" s="60">
        <f>VLOOKUP(E79,'Standard rooms list'!$B$3:$C$73,2,FALSE)</f>
        <v>8</v>
      </c>
      <c r="H79" s="60"/>
      <c r="I79" s="254" t="s">
        <v>306</v>
      </c>
    </row>
    <row r="80" spans="2:9" ht="12.9" x14ac:dyDescent="0.35">
      <c r="B80" s="280"/>
      <c r="C80" s="80" t="s">
        <v>140</v>
      </c>
      <c r="D80" s="60" t="s">
        <v>140</v>
      </c>
      <c r="E80" s="251" t="s">
        <v>220</v>
      </c>
      <c r="F80" s="255" t="s">
        <v>215</v>
      </c>
      <c r="G80" s="60">
        <v>6</v>
      </c>
      <c r="H80" s="60"/>
      <c r="I80" s="254" t="s">
        <v>307</v>
      </c>
    </row>
    <row r="81" spans="2:9" ht="12.9" x14ac:dyDescent="0.35">
      <c r="B81" s="280"/>
      <c r="C81" s="80" t="s">
        <v>140</v>
      </c>
      <c r="D81" s="60" t="s">
        <v>140</v>
      </c>
      <c r="E81" s="251" t="s">
        <v>221</v>
      </c>
      <c r="F81" s="252" t="s">
        <v>215</v>
      </c>
      <c r="G81" s="60">
        <v>0.75</v>
      </c>
      <c r="H81" s="60"/>
      <c r="I81" s="254" t="s">
        <v>305</v>
      </c>
    </row>
    <row r="82" spans="2:9" x14ac:dyDescent="0.3">
      <c r="B82" s="280"/>
      <c r="C82" s="80" t="s">
        <v>140</v>
      </c>
      <c r="D82" s="60" t="s">
        <v>140</v>
      </c>
      <c r="E82" s="60" t="s">
        <v>222</v>
      </c>
      <c r="F82" s="153">
        <v>8</v>
      </c>
      <c r="G82" s="60">
        <f>VLOOKUP(E82,'Standard rooms list'!$B$3:$C$73,2,FALSE)</f>
        <v>3</v>
      </c>
      <c r="H82" s="60">
        <f>G82*F82</f>
        <v>24</v>
      </c>
      <c r="I82" s="81" t="s">
        <v>223</v>
      </c>
    </row>
    <row r="83" spans="2:9" ht="24.9" x14ac:dyDescent="0.3">
      <c r="B83" s="280"/>
      <c r="C83" s="80" t="s">
        <v>140</v>
      </c>
      <c r="D83" s="154" t="s">
        <v>140</v>
      </c>
      <c r="E83" s="154" t="s">
        <v>148</v>
      </c>
      <c r="F83" s="154">
        <v>8</v>
      </c>
      <c r="G83" s="154">
        <f>VLOOKUP(E83,'Standard rooms list'!$B$3:$C$73,2,FALSE)</f>
        <v>2</v>
      </c>
      <c r="H83" s="154">
        <f t="shared" si="5"/>
        <v>16</v>
      </c>
      <c r="I83" s="116" t="s">
        <v>308</v>
      </c>
    </row>
    <row r="84" spans="2:9" x14ac:dyDescent="0.3">
      <c r="B84" s="280"/>
      <c r="C84" s="80" t="s">
        <v>140</v>
      </c>
      <c r="D84" s="60" t="s">
        <v>140</v>
      </c>
      <c r="E84" s="60" t="s">
        <v>150</v>
      </c>
      <c r="F84" s="60">
        <v>2</v>
      </c>
      <c r="G84" s="60">
        <f>VLOOKUP(E84,'Standard rooms list'!$B$3:$C$73,2,FALSE)</f>
        <v>4.5</v>
      </c>
      <c r="H84" s="60">
        <f t="shared" si="5"/>
        <v>9</v>
      </c>
      <c r="I84" s="81"/>
    </row>
    <row r="85" spans="2:9" x14ac:dyDescent="0.3">
      <c r="B85" s="280"/>
      <c r="C85" s="80" t="s">
        <v>140</v>
      </c>
      <c r="D85" s="60" t="s">
        <v>140</v>
      </c>
      <c r="E85" s="60" t="s">
        <v>225</v>
      </c>
      <c r="F85" s="60">
        <v>36</v>
      </c>
      <c r="G85" s="60">
        <v>1.5</v>
      </c>
      <c r="H85" s="60">
        <f t="shared" si="5"/>
        <v>54</v>
      </c>
      <c r="I85" s="81" t="s">
        <v>309</v>
      </c>
    </row>
    <row r="86" spans="2:9" x14ac:dyDescent="0.3">
      <c r="B86" s="280"/>
      <c r="C86" s="80" t="s">
        <v>140</v>
      </c>
      <c r="D86" s="60" t="s">
        <v>140</v>
      </c>
      <c r="E86" s="60" t="s">
        <v>227</v>
      </c>
      <c r="F86" s="60">
        <v>4</v>
      </c>
      <c r="G86" s="60">
        <v>3</v>
      </c>
      <c r="H86" s="60">
        <f t="shared" si="5"/>
        <v>12</v>
      </c>
      <c r="I86" s="81"/>
    </row>
    <row r="87" spans="2:9" x14ac:dyDescent="0.3">
      <c r="B87" s="280"/>
      <c r="C87" s="80" t="s">
        <v>140</v>
      </c>
      <c r="D87" s="60" t="s">
        <v>140</v>
      </c>
      <c r="E87" s="60" t="s">
        <v>228</v>
      </c>
      <c r="F87" s="60">
        <v>1</v>
      </c>
      <c r="G87" s="60">
        <v>12</v>
      </c>
      <c r="H87" s="60">
        <f t="shared" si="5"/>
        <v>12</v>
      </c>
      <c r="I87" s="81"/>
    </row>
    <row r="88" spans="2:9" x14ac:dyDescent="0.3">
      <c r="B88" s="280"/>
      <c r="C88" s="80" t="s">
        <v>140</v>
      </c>
      <c r="D88" s="60" t="s">
        <v>140</v>
      </c>
      <c r="E88" s="84" t="s">
        <v>155</v>
      </c>
      <c r="F88" s="60">
        <v>10</v>
      </c>
      <c r="G88" s="60">
        <f>VLOOKUP(E88,'Standard rooms list'!$B$3:$C$100,2,FALSE)</f>
        <v>0.5</v>
      </c>
      <c r="H88" s="60">
        <f t="shared" si="5"/>
        <v>5</v>
      </c>
      <c r="I88" s="81" t="s">
        <v>229</v>
      </c>
    </row>
    <row r="89" spans="2:9" x14ac:dyDescent="0.3">
      <c r="B89" s="280"/>
      <c r="C89" s="80" t="s">
        <v>140</v>
      </c>
      <c r="D89" s="60" t="s">
        <v>140</v>
      </c>
      <c r="E89" s="84" t="s">
        <v>137</v>
      </c>
      <c r="F89" s="60">
        <v>1</v>
      </c>
      <c r="G89" s="60">
        <f>VLOOKUP(E89,'Standard rooms list'!$B$3:$C$100,2,FALSE)</f>
        <v>4.5</v>
      </c>
      <c r="H89" s="60">
        <f t="shared" si="5"/>
        <v>4.5</v>
      </c>
      <c r="I89" s="81"/>
    </row>
    <row r="90" spans="2:9" x14ac:dyDescent="0.3">
      <c r="B90" s="280"/>
      <c r="C90" s="80" t="s">
        <v>140</v>
      </c>
      <c r="D90" s="60" t="s">
        <v>140</v>
      </c>
      <c r="E90" s="60" t="s">
        <v>153</v>
      </c>
      <c r="F90" s="60">
        <v>38</v>
      </c>
      <c r="G90" s="60">
        <f>VLOOKUP(E90,'Standard rooms list'!$B$3:$C$100,2,FALSE)</f>
        <v>1.4</v>
      </c>
      <c r="H90" s="60">
        <f t="shared" si="5"/>
        <v>53.199999999999996</v>
      </c>
      <c r="I90" s="81" t="s">
        <v>310</v>
      </c>
    </row>
    <row r="91" spans="2:9" s="27" customFormat="1" x14ac:dyDescent="0.3">
      <c r="B91" s="196"/>
      <c r="C91" s="126"/>
      <c r="D91" s="126"/>
      <c r="E91" s="126"/>
      <c r="F91" s="126"/>
      <c r="G91" s="126" t="s">
        <v>47</v>
      </c>
      <c r="H91" s="126">
        <f>SUM(H73:H90)</f>
        <v>482.90000000000003</v>
      </c>
      <c r="I91" s="131"/>
    </row>
    <row r="93" spans="2:9" x14ac:dyDescent="0.3">
      <c r="B93" s="216"/>
      <c r="C93" s="212"/>
      <c r="D93" s="212"/>
      <c r="E93" s="212"/>
      <c r="F93" s="212"/>
      <c r="G93" s="23" t="s">
        <v>185</v>
      </c>
      <c r="H93" s="23">
        <f>SUM(H91,H72,H67,H48,H31)</f>
        <v>1892.7</v>
      </c>
      <c r="I93" s="213"/>
    </row>
  </sheetData>
  <mergeCells count="5">
    <mergeCell ref="B9:B30"/>
    <mergeCell ref="B32:B47"/>
    <mergeCell ref="B49:B66"/>
    <mergeCell ref="B68:B71"/>
    <mergeCell ref="B73:B90"/>
  </mergeCells>
  <phoneticPr fontId="26" type="noConversion"/>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F6F4886-7490-430D-8C14-C62A039359A0}">
          <x14:formula1>
            <xm:f>'Standard rooms list'!$B$3:$B$72</xm:f>
          </x14:formula1>
          <xm:sqref>E9:E13 E69:E72 E67 E48:E58 E15:E22 E24:E29 E60:E65 E31:E41 E43:E46</xm:sqref>
        </x14:dataValidation>
        <x14:dataValidation type="list" allowBlank="1" showInputMessage="1" showErrorMessage="1" xr:uid="{07DCB24F-0592-4686-8703-2873AE398F87}">
          <x14:formula1>
            <xm:f>'Standard rooms list'!$B$3:$B$73</xm:f>
          </x14:formula1>
          <xm:sqref>E14</xm:sqref>
        </x14:dataValidation>
        <x14:dataValidation type="list" allowBlank="1" showInputMessage="1" showErrorMessage="1" xr:uid="{1B16763A-71C4-40CD-A358-CF060462E699}">
          <x14:formula1>
            <xm:f>'Standard rooms list'!$B$3:$B$76</xm:f>
          </x14:formula1>
          <xm:sqref>E47</xm:sqref>
        </x14:dataValidation>
        <x14:dataValidation type="list" allowBlank="1" showInputMessage="1" showErrorMessage="1" xr:uid="{3B225CDA-4987-455B-BA3F-3EB7D451A162}">
          <x14:formula1>
            <xm:f>'Standard rooms list'!$B$3:$B$79</xm:f>
          </x14:formula1>
          <xm:sqref>E66</xm:sqref>
        </x14:dataValidation>
        <x14:dataValidation type="list" allowBlank="1" showInputMessage="1" showErrorMessage="1" xr:uid="{CD3D2AB8-F417-41DE-8DD6-08EBCC6AC7C8}">
          <x14:formula1>
            <xm:f>'Standard rooms list'!$B$3:$B$100</xm:f>
          </x14:formula1>
          <xm:sqref>E68 E88:E90 E79 E82:E84 E73:E75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BC9B-826E-43AF-8853-C897B541A2C0}">
  <sheetPr>
    <tabColor theme="4" tint="0.79998168889431442"/>
  </sheetPr>
  <dimension ref="B2:K316"/>
  <sheetViews>
    <sheetView topLeftCell="D23" zoomScale="70" zoomScaleNormal="70" workbookViewId="0">
      <selection activeCell="H66" sqref="H66"/>
    </sheetView>
  </sheetViews>
  <sheetFormatPr defaultColWidth="8.53515625" defaultRowHeight="12.45" x14ac:dyDescent="0.3"/>
  <cols>
    <col min="1" max="1" width="4.4609375" style="2" customWidth="1"/>
    <col min="2" max="2" width="8.53515625" style="2"/>
    <col min="3" max="3" width="67.15234375" style="2" bestFit="1" customWidth="1"/>
    <col min="4" max="4" width="35.84375" style="2" customWidth="1"/>
    <col min="5" max="5" width="53.69140625" style="2" customWidth="1"/>
    <col min="6" max="6" width="11.84375" style="2" customWidth="1"/>
    <col min="7" max="7" width="15.15234375" style="2" customWidth="1"/>
    <col min="8" max="8" width="13.4609375" style="2" customWidth="1"/>
    <col min="9" max="9" width="128.15234375" style="2" bestFit="1" customWidth="1"/>
    <col min="10" max="10" width="58.84375" style="58" customWidth="1"/>
    <col min="11" max="11" width="27.84375" style="58" customWidth="1"/>
    <col min="12" max="12" width="61.15234375" style="2" customWidth="1"/>
    <col min="13" max="13" width="32.84375" style="2" bestFit="1" customWidth="1"/>
    <col min="14" max="14" width="50.4609375" style="2" bestFit="1" customWidth="1"/>
    <col min="15" max="15" width="8.84375" style="2" bestFit="1" customWidth="1"/>
    <col min="16" max="17" width="8.53515625" style="2"/>
    <col min="18" max="18" width="84.53515625" style="2" bestFit="1" customWidth="1"/>
    <col min="19" max="21" width="8.53515625" style="2"/>
    <col min="22" max="22" width="33.53515625" style="2" customWidth="1"/>
    <col min="23" max="23" width="24.84375" style="2" customWidth="1"/>
    <col min="24" max="16384" width="8.53515625" style="2"/>
  </cols>
  <sheetData>
    <row r="2" spans="2:11" ht="17.600000000000001" x14ac:dyDescent="0.4">
      <c r="B2" s="9" t="s">
        <v>311</v>
      </c>
    </row>
    <row r="4" spans="2:11" x14ac:dyDescent="0.3">
      <c r="B4" s="147"/>
      <c r="C4" s="2" t="s">
        <v>79</v>
      </c>
    </row>
    <row r="5" spans="2:11" x14ac:dyDescent="0.3">
      <c r="H5" s="58"/>
      <c r="I5" s="58"/>
      <c r="J5" s="2"/>
      <c r="K5" s="2"/>
    </row>
    <row r="6" spans="2:11" x14ac:dyDescent="0.3">
      <c r="H6" s="58"/>
      <c r="I6" s="58"/>
      <c r="J6" s="2"/>
      <c r="K6" s="2"/>
    </row>
    <row r="7" spans="2:11" s="27" customFormat="1" ht="13.75" x14ac:dyDescent="0.3">
      <c r="B7" s="151" t="s">
        <v>80</v>
      </c>
      <c r="C7" s="28" t="s">
        <v>30</v>
      </c>
      <c r="D7" s="23" t="s">
        <v>31</v>
      </c>
      <c r="E7" s="23" t="s">
        <v>81</v>
      </c>
      <c r="F7" s="23" t="s">
        <v>82</v>
      </c>
      <c r="G7" s="23" t="s">
        <v>83</v>
      </c>
      <c r="H7" s="23" t="s">
        <v>84</v>
      </c>
      <c r="I7" s="29" t="s">
        <v>85</v>
      </c>
    </row>
    <row r="8" spans="2:11" s="27" customFormat="1" x14ac:dyDescent="0.3">
      <c r="B8" s="148"/>
      <c r="C8" s="129" t="s">
        <v>38</v>
      </c>
      <c r="D8" s="50"/>
      <c r="E8" s="50"/>
      <c r="F8" s="50"/>
      <c r="G8" s="50"/>
      <c r="H8" s="50"/>
      <c r="I8" s="149"/>
    </row>
    <row r="9" spans="2:11" x14ac:dyDescent="0.3">
      <c r="B9" s="279" t="s">
        <v>232</v>
      </c>
      <c r="C9" s="160" t="s">
        <v>233</v>
      </c>
      <c r="D9" s="161" t="s">
        <v>39</v>
      </c>
      <c r="E9" s="161" t="s">
        <v>187</v>
      </c>
      <c r="F9" s="162">
        <v>1</v>
      </c>
      <c r="G9" s="161">
        <f>VLOOKUP(E9,'Standard rooms list'!$B$3:$C$58,2,FALSE)</f>
        <v>8</v>
      </c>
      <c r="H9" s="163">
        <f>F9*G9</f>
        <v>8</v>
      </c>
      <c r="I9" s="164"/>
      <c r="J9" s="2"/>
      <c r="K9" s="2"/>
    </row>
    <row r="10" spans="2:11" x14ac:dyDescent="0.3">
      <c r="B10" s="280"/>
      <c r="C10" s="160" t="s">
        <v>233</v>
      </c>
      <c r="D10" s="165" t="s">
        <v>39</v>
      </c>
      <c r="E10" s="165" t="s">
        <v>188</v>
      </c>
      <c r="F10" s="166">
        <v>0</v>
      </c>
      <c r="G10" s="161">
        <f>VLOOKUP(E10,'Standard rooms list'!$B$3:$C$58,2,FALSE)</f>
        <v>12</v>
      </c>
      <c r="H10" s="167">
        <f>F10*G10</f>
        <v>0</v>
      </c>
      <c r="I10" s="168" t="s">
        <v>234</v>
      </c>
      <c r="J10" s="2"/>
      <c r="K10" s="2"/>
    </row>
    <row r="11" spans="2:11" x14ac:dyDescent="0.3">
      <c r="B11" s="280"/>
      <c r="C11" s="160" t="s">
        <v>233</v>
      </c>
      <c r="D11" s="169" t="s">
        <v>39</v>
      </c>
      <c r="E11" s="169" t="s">
        <v>101</v>
      </c>
      <c r="F11" s="169">
        <v>7</v>
      </c>
      <c r="G11" s="169">
        <f>VLOOKUP(E11,'Standard rooms list'!$B$3:$C$69,2,FALSE)</f>
        <v>2</v>
      </c>
      <c r="H11" s="169">
        <f>F11*G11</f>
        <v>14</v>
      </c>
      <c r="I11" s="174" t="s">
        <v>235</v>
      </c>
      <c r="J11" s="2"/>
      <c r="K11" s="2"/>
    </row>
    <row r="12" spans="2:11" x14ac:dyDescent="0.3">
      <c r="B12" s="280"/>
      <c r="C12" s="160" t="s">
        <v>233</v>
      </c>
      <c r="D12" s="161" t="s">
        <v>39</v>
      </c>
      <c r="E12" s="161" t="s">
        <v>103</v>
      </c>
      <c r="F12" s="161">
        <v>3</v>
      </c>
      <c r="G12" s="161">
        <f>VLOOKUP(E12,'Standard rooms list'!$B$3:$C$69,2,FALSE)</f>
        <v>2</v>
      </c>
      <c r="H12" s="161">
        <f>F12*G12</f>
        <v>6</v>
      </c>
      <c r="I12" s="164" t="s">
        <v>104</v>
      </c>
      <c r="J12" s="2"/>
      <c r="K12" s="2"/>
    </row>
    <row r="13" spans="2:11" x14ac:dyDescent="0.3">
      <c r="B13" s="280"/>
      <c r="C13" s="160" t="s">
        <v>233</v>
      </c>
      <c r="D13" s="161" t="s">
        <v>39</v>
      </c>
      <c r="E13" s="161" t="s">
        <v>105</v>
      </c>
      <c r="F13" s="161">
        <v>1</v>
      </c>
      <c r="G13" s="161">
        <f>VLOOKUP(E13,'Standard rooms list'!$B$3:$C$69,2,FALSE)</f>
        <v>5.5</v>
      </c>
      <c r="H13" s="161">
        <f>F13*G13</f>
        <v>5.5</v>
      </c>
      <c r="I13" s="164" t="s">
        <v>236</v>
      </c>
      <c r="J13" s="2"/>
      <c r="K13" s="2"/>
    </row>
    <row r="14" spans="2:11" x14ac:dyDescent="0.3">
      <c r="B14" s="280"/>
      <c r="C14" s="160" t="s">
        <v>233</v>
      </c>
      <c r="D14" s="161" t="s">
        <v>39</v>
      </c>
      <c r="E14" s="161" t="s">
        <v>91</v>
      </c>
      <c r="F14" s="162">
        <v>1</v>
      </c>
      <c r="G14" s="161">
        <f>VLOOKUP(E14,'Standard rooms list'!$B$3:$C$58,2,FALSE)</f>
        <v>5</v>
      </c>
      <c r="H14" s="163">
        <f t="shared" ref="H14:H18" si="0">F14*G14</f>
        <v>5</v>
      </c>
      <c r="I14" s="164"/>
      <c r="J14" s="2"/>
      <c r="K14" s="2"/>
    </row>
    <row r="15" spans="2:11" x14ac:dyDescent="0.3">
      <c r="B15" s="280"/>
      <c r="C15" s="160" t="s">
        <v>233</v>
      </c>
      <c r="D15" s="161" t="s">
        <v>39</v>
      </c>
      <c r="E15" s="161" t="s">
        <v>92</v>
      </c>
      <c r="F15" s="162">
        <v>1</v>
      </c>
      <c r="G15" s="161">
        <f>VLOOKUP(E15,'Standard rooms list'!$B$3:$C$58,2,FALSE)</f>
        <v>5.5</v>
      </c>
      <c r="H15" s="163">
        <f t="shared" si="0"/>
        <v>5.5</v>
      </c>
      <c r="I15" s="164"/>
      <c r="J15" s="2"/>
      <c r="K15" s="2"/>
    </row>
    <row r="16" spans="2:11" x14ac:dyDescent="0.3">
      <c r="B16" s="280"/>
      <c r="C16" s="160" t="s">
        <v>233</v>
      </c>
      <c r="D16" s="161" t="s">
        <v>39</v>
      </c>
      <c r="E16" s="161" t="s">
        <v>90</v>
      </c>
      <c r="F16" s="162">
        <v>1</v>
      </c>
      <c r="G16" s="161">
        <f>VLOOKUP(E16,'Standard rooms list'!$B$3:$C$58,2,FALSE)</f>
        <v>12</v>
      </c>
      <c r="H16" s="163">
        <f t="shared" si="0"/>
        <v>12</v>
      </c>
      <c r="I16" s="164"/>
      <c r="J16" s="2"/>
      <c r="K16" s="2"/>
    </row>
    <row r="17" spans="2:11" x14ac:dyDescent="0.3">
      <c r="B17" s="280"/>
      <c r="C17" s="160" t="s">
        <v>233</v>
      </c>
      <c r="D17" s="161" t="s">
        <v>39</v>
      </c>
      <c r="E17" s="154" t="s">
        <v>93</v>
      </c>
      <c r="F17" s="154">
        <v>1</v>
      </c>
      <c r="G17" s="161">
        <f>VLOOKUP(E17,'Standard rooms list'!$B$3:$C$74,2,FALSE)</f>
        <v>8</v>
      </c>
      <c r="H17" s="163">
        <f t="shared" si="0"/>
        <v>8</v>
      </c>
      <c r="I17" s="116"/>
      <c r="J17" s="2"/>
      <c r="K17" s="2"/>
    </row>
    <row r="18" spans="2:11" x14ac:dyDescent="0.3">
      <c r="B18" s="280"/>
      <c r="C18" s="160" t="s">
        <v>233</v>
      </c>
      <c r="D18" s="161" t="s">
        <v>39</v>
      </c>
      <c r="E18" s="161" t="s">
        <v>98</v>
      </c>
      <c r="F18" s="161">
        <v>1</v>
      </c>
      <c r="G18" s="161">
        <f>VLOOKUP(E18,'Standard rooms list'!$B$3:$C$69,2,FALSE)</f>
        <v>4.5</v>
      </c>
      <c r="H18" s="161">
        <f t="shared" si="0"/>
        <v>4.5</v>
      </c>
      <c r="I18" s="164"/>
      <c r="J18" s="2"/>
      <c r="K18" s="2"/>
    </row>
    <row r="19" spans="2:11" x14ac:dyDescent="0.3">
      <c r="B19" s="280"/>
      <c r="C19" s="160" t="s">
        <v>233</v>
      </c>
      <c r="D19" s="161" t="s">
        <v>39</v>
      </c>
      <c r="E19" s="161" t="s">
        <v>109</v>
      </c>
      <c r="F19" s="161">
        <v>1</v>
      </c>
      <c r="G19" s="161">
        <f>VLOOKUP(E19,'Standard rooms list'!$B$3:$C$69,2,FALSE)</f>
        <v>2.5</v>
      </c>
      <c r="H19" s="161">
        <f>F19*G19</f>
        <v>2.5</v>
      </c>
      <c r="I19" s="164"/>
      <c r="J19" s="2"/>
      <c r="K19" s="2"/>
    </row>
    <row r="20" spans="2:11" ht="87" x14ac:dyDescent="0.3">
      <c r="B20" s="280"/>
      <c r="C20" s="160" t="s">
        <v>233</v>
      </c>
      <c r="D20" s="161" t="s">
        <v>39</v>
      </c>
      <c r="E20" s="161" t="s">
        <v>95</v>
      </c>
      <c r="F20" s="161">
        <v>1</v>
      </c>
      <c r="G20" s="161">
        <f>VLOOKUP(E20,'Standard rooms list'!$B$3:$C$69,2,FALSE)</f>
        <v>16</v>
      </c>
      <c r="H20" s="161">
        <f>G20*F20</f>
        <v>16</v>
      </c>
      <c r="I20" s="164" t="s">
        <v>237</v>
      </c>
      <c r="J20" s="2"/>
      <c r="K20" s="2"/>
    </row>
    <row r="21" spans="2:11" x14ac:dyDescent="0.3">
      <c r="B21" s="280"/>
      <c r="C21" s="160" t="s">
        <v>233</v>
      </c>
      <c r="D21" s="161" t="s">
        <v>39</v>
      </c>
      <c r="E21" s="165" t="s">
        <v>204</v>
      </c>
      <c r="F21" s="165">
        <v>1</v>
      </c>
      <c r="G21" s="161">
        <f>VLOOKUP(E21,'Standard rooms list'!$B$3:$C$69,2,FALSE)</f>
        <v>15</v>
      </c>
      <c r="H21" s="161">
        <f>G21*F21</f>
        <v>15</v>
      </c>
      <c r="I21" s="168" t="s">
        <v>97</v>
      </c>
      <c r="J21" s="2"/>
      <c r="K21" s="2"/>
    </row>
    <row r="22" spans="2:11" ht="12" customHeight="1" x14ac:dyDescent="0.3">
      <c r="B22" s="280"/>
      <c r="C22" s="170" t="s">
        <v>233</v>
      </c>
      <c r="D22" s="165" t="s">
        <v>39</v>
      </c>
      <c r="E22" s="176" t="s">
        <v>111</v>
      </c>
      <c r="F22" s="176">
        <v>2</v>
      </c>
      <c r="G22" s="165">
        <f>VLOOKUP(E22,'Standard rooms list'!$B$3:$C$69,2,FALSE)</f>
        <v>8</v>
      </c>
      <c r="H22" s="165">
        <f>G22*F22</f>
        <v>16</v>
      </c>
      <c r="I22" s="168" t="s">
        <v>312</v>
      </c>
      <c r="J22" s="2"/>
      <c r="K22" s="2"/>
    </row>
    <row r="23" spans="2:11" x14ac:dyDescent="0.3">
      <c r="B23" s="196"/>
      <c r="C23" s="126"/>
      <c r="D23" s="126"/>
      <c r="E23" s="126"/>
      <c r="F23" s="126"/>
      <c r="G23" s="203" t="s">
        <v>47</v>
      </c>
      <c r="H23" s="126">
        <f>SUM(H9:H22)</f>
        <v>118</v>
      </c>
      <c r="I23" s="131"/>
      <c r="J23" s="2"/>
      <c r="K23" s="2"/>
    </row>
    <row r="24" spans="2:11" x14ac:dyDescent="0.3">
      <c r="B24" s="280" t="s">
        <v>232</v>
      </c>
      <c r="C24" s="171" t="s">
        <v>233</v>
      </c>
      <c r="D24" s="172" t="s">
        <v>63</v>
      </c>
      <c r="E24" s="172" t="s">
        <v>111</v>
      </c>
      <c r="F24" s="172">
        <v>1</v>
      </c>
      <c r="G24" s="169">
        <f>VLOOKUP(E24,'Standard rooms list'!$B$3:$C$69,2,FALSE)</f>
        <v>8</v>
      </c>
      <c r="H24" s="169">
        <f>G24*F24</f>
        <v>8</v>
      </c>
      <c r="I24" s="175" t="s">
        <v>238</v>
      </c>
      <c r="J24" s="2"/>
      <c r="K24" s="2"/>
    </row>
    <row r="25" spans="2:11" x14ac:dyDescent="0.3">
      <c r="B25" s="280"/>
      <c r="C25" s="160" t="s">
        <v>233</v>
      </c>
      <c r="D25" s="161" t="s">
        <v>63</v>
      </c>
      <c r="E25" s="177" t="s">
        <v>141</v>
      </c>
      <c r="F25" s="177">
        <v>3</v>
      </c>
      <c r="G25" s="161">
        <f>VLOOKUP(E25,'Standard rooms list'!$B$3:$C$69,2,FALSE)</f>
        <v>4.5999999999999996</v>
      </c>
      <c r="H25" s="161">
        <f>G25*F25</f>
        <v>13.799999999999999</v>
      </c>
      <c r="I25" s="164" t="s">
        <v>239</v>
      </c>
      <c r="J25" s="2"/>
      <c r="K25" s="2"/>
    </row>
    <row r="26" spans="2:11" x14ac:dyDescent="0.3">
      <c r="B26" s="280"/>
      <c r="C26" s="170" t="s">
        <v>233</v>
      </c>
      <c r="D26" s="165" t="s">
        <v>63</v>
      </c>
      <c r="E26" s="165" t="s">
        <v>151</v>
      </c>
      <c r="F26" s="165">
        <v>4</v>
      </c>
      <c r="G26" s="165">
        <f>VLOOKUP(E26,'Standard rooms list'!$B$3:$C$69,2,FALSE)</f>
        <v>1.8</v>
      </c>
      <c r="H26" s="165">
        <f>G26*F26</f>
        <v>7.2</v>
      </c>
      <c r="I26" s="168" t="s">
        <v>240</v>
      </c>
      <c r="J26" s="2"/>
      <c r="K26" s="2"/>
    </row>
    <row r="27" spans="2:11" x14ac:dyDescent="0.3">
      <c r="B27" s="197"/>
      <c r="C27" s="133"/>
      <c r="D27" s="133"/>
      <c r="E27" s="133"/>
      <c r="F27" s="133"/>
      <c r="G27" s="203" t="s">
        <v>47</v>
      </c>
      <c r="H27" s="133">
        <f>SUM(H24:H26)</f>
        <v>28.999999999999996</v>
      </c>
      <c r="I27" s="135"/>
      <c r="J27" s="2"/>
      <c r="K27" s="2"/>
    </row>
    <row r="28" spans="2:11" x14ac:dyDescent="0.3">
      <c r="B28" s="198"/>
      <c r="C28" s="122"/>
      <c r="D28" s="122"/>
      <c r="E28" s="122"/>
      <c r="F28" s="122" t="s">
        <v>241</v>
      </c>
      <c r="G28" s="122"/>
      <c r="H28" s="122">
        <f>SUM(H27,H23)</f>
        <v>147</v>
      </c>
      <c r="I28" s="141"/>
      <c r="J28" s="2"/>
      <c r="K28" s="2"/>
    </row>
    <row r="29" spans="2:11" x14ac:dyDescent="0.3">
      <c r="B29" s="199"/>
      <c r="C29" s="50" t="s">
        <v>100</v>
      </c>
      <c r="D29" s="137"/>
      <c r="E29" s="137"/>
      <c r="F29" s="137"/>
      <c r="G29" s="137"/>
      <c r="H29" s="137"/>
      <c r="I29" s="138"/>
      <c r="J29" s="2"/>
      <c r="K29" s="2"/>
    </row>
    <row r="30" spans="2:11" x14ac:dyDescent="0.3">
      <c r="B30" s="280" t="s">
        <v>86</v>
      </c>
      <c r="C30" s="14" t="s">
        <v>100</v>
      </c>
      <c r="D30" s="2" t="s">
        <v>39</v>
      </c>
      <c r="E30" s="2" t="s">
        <v>101</v>
      </c>
      <c r="F30" s="2">
        <f>((SUM(F36,F38,F39,F40,F41)*2)+(F42*8))</f>
        <v>78</v>
      </c>
      <c r="G30" s="2">
        <f>VLOOKUP(E30,'Standard rooms list'!$B$3:$C$58,2,FALSE)</f>
        <v>2</v>
      </c>
      <c r="H30" s="2">
        <f>F30*G30</f>
        <v>156</v>
      </c>
      <c r="I30" s="15" t="s">
        <v>102</v>
      </c>
      <c r="J30" s="2"/>
      <c r="K30" s="2"/>
    </row>
    <row r="31" spans="2:11" x14ac:dyDescent="0.3">
      <c r="B31" s="280"/>
      <c r="C31" s="14" t="s">
        <v>100</v>
      </c>
      <c r="D31" s="2" t="s">
        <v>39</v>
      </c>
      <c r="E31" s="2" t="s">
        <v>103</v>
      </c>
      <c r="F31" s="2">
        <f>ROUNDUP(F30*0.1,0)</f>
        <v>8</v>
      </c>
      <c r="G31" s="2">
        <f>VLOOKUP(E31,'Standard rooms list'!$B$3:$C$58,2,FALSE)</f>
        <v>2</v>
      </c>
      <c r="H31" s="2">
        <f t="shared" ref="H31:H35" si="1">F31*G31</f>
        <v>16</v>
      </c>
      <c r="I31" s="15" t="s">
        <v>104</v>
      </c>
      <c r="J31" s="2"/>
      <c r="K31" s="2"/>
    </row>
    <row r="32" spans="2:11" x14ac:dyDescent="0.3">
      <c r="B32" s="280"/>
      <c r="C32" s="14" t="s">
        <v>100</v>
      </c>
      <c r="D32" s="2" t="s">
        <v>39</v>
      </c>
      <c r="E32" s="2" t="s">
        <v>105</v>
      </c>
      <c r="F32" s="2">
        <v>3</v>
      </c>
      <c r="G32" s="2">
        <f>VLOOKUP(E32,'Standard rooms list'!$B$3:$C$58,2,FALSE)</f>
        <v>5.5</v>
      </c>
      <c r="H32" s="2">
        <f t="shared" si="1"/>
        <v>16.5</v>
      </c>
      <c r="I32" s="15" t="s">
        <v>106</v>
      </c>
      <c r="J32" s="2"/>
      <c r="K32" s="2"/>
    </row>
    <row r="33" spans="2:11" x14ac:dyDescent="0.3">
      <c r="B33" s="280"/>
      <c r="C33" s="14" t="s">
        <v>100</v>
      </c>
      <c r="D33" s="2" t="s">
        <v>39</v>
      </c>
      <c r="E33" s="60" t="s">
        <v>107</v>
      </c>
      <c r="F33" s="2">
        <v>3</v>
      </c>
      <c r="G33" s="2">
        <f>VLOOKUP(E33,'Standard rooms list'!$B$3:$C$58,2,FALSE)</f>
        <v>2.5</v>
      </c>
      <c r="H33" s="2">
        <f t="shared" si="1"/>
        <v>7.5</v>
      </c>
      <c r="I33" s="15" t="s">
        <v>108</v>
      </c>
      <c r="J33" s="2"/>
      <c r="K33" s="2"/>
    </row>
    <row r="34" spans="2:11" x14ac:dyDescent="0.3">
      <c r="B34" s="280"/>
      <c r="C34" s="14" t="s">
        <v>100</v>
      </c>
      <c r="D34" s="2" t="s">
        <v>39</v>
      </c>
      <c r="E34" s="2" t="s">
        <v>109</v>
      </c>
      <c r="F34" s="2">
        <v>4</v>
      </c>
      <c r="G34" s="2">
        <f>VLOOKUP(E34,'Standard rooms list'!$B$3:$C$58,2,FALSE)</f>
        <v>2.5</v>
      </c>
      <c r="H34" s="2">
        <f t="shared" si="1"/>
        <v>10</v>
      </c>
      <c r="I34" s="15" t="s">
        <v>110</v>
      </c>
      <c r="J34" s="2"/>
      <c r="K34" s="2"/>
    </row>
    <row r="35" spans="2:11" x14ac:dyDescent="0.3">
      <c r="B35" s="280"/>
      <c r="C35" s="14" t="s">
        <v>100</v>
      </c>
      <c r="D35" s="2" t="s">
        <v>39</v>
      </c>
      <c r="E35" s="2" t="s">
        <v>98</v>
      </c>
      <c r="F35" s="2">
        <v>2</v>
      </c>
      <c r="G35" s="2">
        <f>VLOOKUP(E35,'Standard rooms list'!$B$3:$C$58,2,FALSE)</f>
        <v>4.5</v>
      </c>
      <c r="H35" s="2">
        <f t="shared" si="1"/>
        <v>9</v>
      </c>
      <c r="I35" s="15" t="s">
        <v>110</v>
      </c>
      <c r="J35" s="2"/>
      <c r="K35" s="2"/>
    </row>
    <row r="36" spans="2:11" x14ac:dyDescent="0.3">
      <c r="B36" s="280"/>
      <c r="C36" s="80" t="s">
        <v>100</v>
      </c>
      <c r="D36" s="60" t="s">
        <v>39</v>
      </c>
      <c r="E36" s="152" t="s">
        <v>111</v>
      </c>
      <c r="F36" s="152">
        <v>2</v>
      </c>
      <c r="G36" s="60">
        <f>VLOOKUP(E36,'Standard rooms list'!$B$3:$C$58,2,FALSE)</f>
        <v>8</v>
      </c>
      <c r="H36" s="60">
        <f>G36*F36</f>
        <v>16</v>
      </c>
      <c r="I36" s="81"/>
      <c r="J36" s="2"/>
      <c r="K36" s="2"/>
    </row>
    <row r="37" spans="2:11" x14ac:dyDescent="0.3">
      <c r="B37" s="196"/>
      <c r="C37" s="126"/>
      <c r="D37" s="126"/>
      <c r="E37" s="126"/>
      <c r="F37" s="126"/>
      <c r="G37" s="203" t="s">
        <v>47</v>
      </c>
      <c r="H37" s="126">
        <f>SUM(H30:H36)</f>
        <v>231</v>
      </c>
      <c r="I37" s="131"/>
      <c r="J37" s="2"/>
      <c r="K37" s="2"/>
    </row>
    <row r="38" spans="2:11" x14ac:dyDescent="0.3">
      <c r="B38" s="280" t="s">
        <v>86</v>
      </c>
      <c r="C38" s="14" t="s">
        <v>100</v>
      </c>
      <c r="D38" s="2" t="s">
        <v>112</v>
      </c>
      <c r="E38" s="146" t="s">
        <v>113</v>
      </c>
      <c r="F38" s="146">
        <v>16</v>
      </c>
      <c r="G38" s="2">
        <f>VLOOKUP(E38,'Standard rooms list'!$B$3:$C$58,2,FALSE)</f>
        <v>13.5</v>
      </c>
      <c r="H38" s="2">
        <f t="shared" ref="H38:H45" si="2">G38*F38</f>
        <v>216</v>
      </c>
      <c r="I38" s="15"/>
      <c r="J38" s="2"/>
      <c r="K38" s="2"/>
    </row>
    <row r="39" spans="2:11" x14ac:dyDescent="0.3">
      <c r="B39" s="280"/>
      <c r="C39" s="14" t="s">
        <v>100</v>
      </c>
      <c r="D39" s="2" t="s">
        <v>112</v>
      </c>
      <c r="E39" s="146" t="s">
        <v>114</v>
      </c>
      <c r="F39" s="146">
        <v>4</v>
      </c>
      <c r="G39" s="2">
        <f>VLOOKUP(E39,'Standard rooms list'!$B$3:$C$58,2,FALSE)</f>
        <v>16</v>
      </c>
      <c r="H39" s="2">
        <f t="shared" si="2"/>
        <v>64</v>
      </c>
      <c r="I39" s="15"/>
      <c r="J39" s="2"/>
      <c r="K39" s="2"/>
    </row>
    <row r="40" spans="2:11" x14ac:dyDescent="0.3">
      <c r="B40" s="280"/>
      <c r="C40" s="14" t="s">
        <v>100</v>
      </c>
      <c r="D40" s="2" t="s">
        <v>112</v>
      </c>
      <c r="E40" s="146" t="s">
        <v>115</v>
      </c>
      <c r="F40" s="146">
        <v>4</v>
      </c>
      <c r="G40" s="2">
        <f>VLOOKUP(E40,'Standard rooms list'!$B$3:$C$58,2,FALSE)</f>
        <v>16</v>
      </c>
      <c r="H40" s="2">
        <f t="shared" si="2"/>
        <v>64</v>
      </c>
      <c r="I40" s="15" t="s">
        <v>116</v>
      </c>
      <c r="J40" s="2"/>
      <c r="K40" s="2"/>
    </row>
    <row r="41" spans="2:11" x14ac:dyDescent="0.3">
      <c r="B41" s="280"/>
      <c r="C41" s="14" t="s">
        <v>100</v>
      </c>
      <c r="D41" s="2" t="s">
        <v>112</v>
      </c>
      <c r="E41" s="146" t="s">
        <v>117</v>
      </c>
      <c r="F41" s="146">
        <v>1</v>
      </c>
      <c r="G41" s="2">
        <f>VLOOKUP(E41,'Standard rooms list'!$B$3:$C$58,2,FALSE)</f>
        <v>20</v>
      </c>
      <c r="H41" s="2">
        <f t="shared" si="2"/>
        <v>20</v>
      </c>
      <c r="I41" s="15"/>
      <c r="J41" s="2"/>
      <c r="K41" s="2"/>
    </row>
    <row r="42" spans="2:11" x14ac:dyDescent="0.3">
      <c r="B42" s="280"/>
      <c r="C42" s="14" t="s">
        <v>100</v>
      </c>
      <c r="D42" s="2" t="s">
        <v>112</v>
      </c>
      <c r="E42" s="146" t="s">
        <v>118</v>
      </c>
      <c r="F42" s="146">
        <v>3</v>
      </c>
      <c r="G42" s="2">
        <f>VLOOKUP(E42,'Standard rooms list'!$B$3:$C$58,2,FALSE)</f>
        <v>32.5</v>
      </c>
      <c r="H42" s="2">
        <f t="shared" si="2"/>
        <v>97.5</v>
      </c>
      <c r="I42" s="15" t="s">
        <v>119</v>
      </c>
      <c r="J42" s="2"/>
      <c r="K42" s="2"/>
    </row>
    <row r="43" spans="2:11" x14ac:dyDescent="0.3">
      <c r="B43" s="280"/>
      <c r="C43" s="14" t="s">
        <v>100</v>
      </c>
      <c r="D43" s="2" t="s">
        <v>112</v>
      </c>
      <c r="E43" s="2" t="s">
        <v>120</v>
      </c>
      <c r="F43" s="2">
        <v>1.5</v>
      </c>
      <c r="G43" s="2">
        <f>VLOOKUP(E43,'Standard rooms list'!$B$3:$C$58,2,FALSE)</f>
        <v>5</v>
      </c>
      <c r="H43" s="2">
        <f t="shared" si="2"/>
        <v>7.5</v>
      </c>
      <c r="I43" s="15" t="s">
        <v>121</v>
      </c>
      <c r="J43" s="2"/>
      <c r="K43" s="2"/>
    </row>
    <row r="44" spans="2:11" x14ac:dyDescent="0.3">
      <c r="B44" s="280"/>
      <c r="C44" s="14" t="s">
        <v>100</v>
      </c>
      <c r="D44" s="2" t="s">
        <v>112</v>
      </c>
      <c r="E44" s="2" t="s">
        <v>122</v>
      </c>
      <c r="F44" s="2">
        <v>1</v>
      </c>
      <c r="G44" s="2">
        <f>VLOOKUP(E44,'Standard rooms list'!$B$3:$C$58,2,FALSE)</f>
        <v>8</v>
      </c>
      <c r="H44" s="2">
        <f t="shared" si="2"/>
        <v>8</v>
      </c>
      <c r="I44" s="15" t="s">
        <v>123</v>
      </c>
      <c r="J44" s="2"/>
      <c r="K44" s="2"/>
    </row>
    <row r="45" spans="2:11" x14ac:dyDescent="0.3">
      <c r="B45" s="280"/>
      <c r="C45" s="14" t="s">
        <v>100</v>
      </c>
      <c r="D45" s="2" t="s">
        <v>112</v>
      </c>
      <c r="E45" s="2" t="s">
        <v>124</v>
      </c>
      <c r="F45" s="2">
        <v>2</v>
      </c>
      <c r="G45" s="2">
        <f>VLOOKUP(E45,'Standard rooms list'!$B$3:$C$58,2,FALSE)</f>
        <v>4.5</v>
      </c>
      <c r="H45" s="2">
        <f t="shared" si="2"/>
        <v>9</v>
      </c>
      <c r="I45" s="15"/>
      <c r="J45" s="2"/>
      <c r="K45" s="2"/>
    </row>
    <row r="46" spans="2:11" x14ac:dyDescent="0.3">
      <c r="B46" s="196"/>
      <c r="C46" s="126"/>
      <c r="D46" s="126"/>
      <c r="E46" s="126"/>
      <c r="F46" s="126"/>
      <c r="G46" s="203" t="s">
        <v>47</v>
      </c>
      <c r="H46" s="126">
        <f>SUM(H38:H45)</f>
        <v>486</v>
      </c>
      <c r="I46" s="131"/>
      <c r="J46" s="2"/>
      <c r="K46" s="2"/>
    </row>
    <row r="47" spans="2:11" x14ac:dyDescent="0.3">
      <c r="B47" s="280" t="s">
        <v>86</v>
      </c>
      <c r="C47" s="14" t="s">
        <v>100</v>
      </c>
      <c r="D47" s="2" t="s">
        <v>125</v>
      </c>
      <c r="E47" s="2" t="s">
        <v>126</v>
      </c>
      <c r="F47" s="2">
        <v>2</v>
      </c>
      <c r="G47" s="2">
        <f>VLOOKUP(E47,'Standard rooms list'!$B$3:$C$68,2,FALSE)</f>
        <v>8</v>
      </c>
      <c r="H47" s="2">
        <f t="shared" ref="H47:H55" si="3">G47*F47</f>
        <v>16</v>
      </c>
      <c r="I47" s="15" t="s">
        <v>127</v>
      </c>
      <c r="J47" s="2"/>
      <c r="K47" s="2"/>
    </row>
    <row r="48" spans="2:11" x14ac:dyDescent="0.3">
      <c r="B48" s="280"/>
      <c r="C48" s="14" t="s">
        <v>100</v>
      </c>
      <c r="D48" s="2" t="s">
        <v>125</v>
      </c>
      <c r="E48" s="2" t="s">
        <v>128</v>
      </c>
      <c r="F48" s="2">
        <v>2</v>
      </c>
      <c r="G48" s="2">
        <f>VLOOKUP(E48,'Standard rooms list'!$B$3:$C$68,2,FALSE)</f>
        <v>8</v>
      </c>
      <c r="H48" s="2">
        <f t="shared" si="3"/>
        <v>16</v>
      </c>
      <c r="I48" s="15" t="s">
        <v>127</v>
      </c>
      <c r="J48" s="2"/>
      <c r="K48" s="2"/>
    </row>
    <row r="49" spans="2:11" x14ac:dyDescent="0.3">
      <c r="B49" s="280"/>
      <c r="C49" s="14" t="s">
        <v>100</v>
      </c>
      <c r="D49" s="2" t="s">
        <v>125</v>
      </c>
      <c r="E49" s="2" t="s">
        <v>129</v>
      </c>
      <c r="F49" s="2">
        <v>1</v>
      </c>
      <c r="G49" s="2">
        <f>VLOOKUP(E49,'Standard rooms list'!$B$3:$C$68,2,FALSE)</f>
        <v>8</v>
      </c>
      <c r="H49" s="2">
        <f t="shared" si="3"/>
        <v>8</v>
      </c>
      <c r="I49" s="15"/>
      <c r="J49" s="2"/>
      <c r="K49" s="2"/>
    </row>
    <row r="50" spans="2:11" x14ac:dyDescent="0.3">
      <c r="B50" s="280"/>
      <c r="C50" s="80" t="s">
        <v>100</v>
      </c>
      <c r="D50" s="60" t="s">
        <v>125</v>
      </c>
      <c r="E50" s="60" t="s">
        <v>130</v>
      </c>
      <c r="F50" s="60">
        <v>1</v>
      </c>
      <c r="G50" s="60">
        <f>VLOOKUP(E50,'Standard rooms list'!$B$3:$C$68,2,FALSE)</f>
        <v>2</v>
      </c>
      <c r="H50" s="60">
        <f t="shared" si="3"/>
        <v>2</v>
      </c>
      <c r="I50" s="81"/>
      <c r="J50" s="2"/>
      <c r="K50" s="2"/>
    </row>
    <row r="51" spans="2:11" x14ac:dyDescent="0.3">
      <c r="B51" s="280"/>
      <c r="C51" s="14" t="s">
        <v>100</v>
      </c>
      <c r="D51" s="2" t="s">
        <v>125</v>
      </c>
      <c r="E51" s="2" t="s">
        <v>131</v>
      </c>
      <c r="F51" s="2">
        <v>1</v>
      </c>
      <c r="G51" s="2">
        <f>VLOOKUP(E51,'Standard rooms list'!$B$3:$C$68,2,FALSE)</f>
        <v>8</v>
      </c>
      <c r="H51" s="2">
        <f t="shared" si="3"/>
        <v>8</v>
      </c>
      <c r="I51" s="15" t="s">
        <v>132</v>
      </c>
      <c r="J51" s="2"/>
      <c r="K51" s="2"/>
    </row>
    <row r="52" spans="2:11" x14ac:dyDescent="0.3">
      <c r="B52" s="280"/>
      <c r="C52" s="14" t="s">
        <v>100</v>
      </c>
      <c r="D52" s="2" t="s">
        <v>125</v>
      </c>
      <c r="E52" s="2" t="s">
        <v>133</v>
      </c>
      <c r="F52" s="2">
        <v>1</v>
      </c>
      <c r="G52" s="2">
        <f>VLOOKUP(E52,'Standard rooms list'!$B$3:$C$68,2,FALSE)</f>
        <v>2</v>
      </c>
      <c r="H52" s="2">
        <f t="shared" si="3"/>
        <v>2</v>
      </c>
      <c r="I52" s="15"/>
      <c r="J52" s="2"/>
      <c r="K52" s="2"/>
    </row>
    <row r="53" spans="2:11" x14ac:dyDescent="0.3">
      <c r="B53" s="280"/>
      <c r="C53" s="14" t="s">
        <v>100</v>
      </c>
      <c r="D53" s="2" t="s">
        <v>125</v>
      </c>
      <c r="E53" s="2" t="s">
        <v>96</v>
      </c>
      <c r="F53" s="2">
        <v>1</v>
      </c>
      <c r="G53" s="2">
        <f>VLOOKUP(E53,'Standard rooms list'!$B$3:$C$68,2,FALSE)</f>
        <v>10</v>
      </c>
      <c r="H53" s="2">
        <f t="shared" si="3"/>
        <v>10</v>
      </c>
      <c r="I53" s="15" t="s">
        <v>134</v>
      </c>
      <c r="J53" s="2"/>
      <c r="K53" s="2"/>
    </row>
    <row r="54" spans="2:11" x14ac:dyDescent="0.3">
      <c r="B54" s="280"/>
      <c r="C54" s="14" t="s">
        <v>100</v>
      </c>
      <c r="D54" s="2" t="s">
        <v>125</v>
      </c>
      <c r="E54" s="2" t="s">
        <v>135</v>
      </c>
      <c r="F54" s="2">
        <v>1</v>
      </c>
      <c r="G54" s="2">
        <f>VLOOKUP(E54,'Standard rooms list'!$B$3:$C$150,2,FALSE)</f>
        <v>8</v>
      </c>
      <c r="H54" s="2">
        <f>G54*F54</f>
        <v>8</v>
      </c>
      <c r="I54" s="15"/>
      <c r="J54" s="2"/>
      <c r="K54" s="2"/>
    </row>
    <row r="55" spans="2:11" x14ac:dyDescent="0.3">
      <c r="B55" s="280"/>
      <c r="C55" s="14" t="s">
        <v>100</v>
      </c>
      <c r="D55" s="2" t="s">
        <v>125</v>
      </c>
      <c r="E55" s="2" t="s">
        <v>136</v>
      </c>
      <c r="F55" s="2">
        <v>1</v>
      </c>
      <c r="G55" s="2">
        <f>VLOOKUP(E55,'Standard rooms list'!$B$3:$C$68,2,FALSE)</f>
        <v>2</v>
      </c>
      <c r="H55" s="2">
        <f t="shared" si="3"/>
        <v>2</v>
      </c>
      <c r="I55" s="15"/>
      <c r="J55" s="2"/>
      <c r="K55" s="2"/>
    </row>
    <row r="56" spans="2:11" x14ac:dyDescent="0.3">
      <c r="B56" s="196"/>
      <c r="C56" s="126"/>
      <c r="D56" s="126"/>
      <c r="E56" s="126"/>
      <c r="F56" s="126"/>
      <c r="G56" s="203" t="s">
        <v>47</v>
      </c>
      <c r="H56" s="126">
        <f>SUM(H47:H55)</f>
        <v>72</v>
      </c>
      <c r="I56" s="131"/>
      <c r="J56" s="2"/>
      <c r="K56" s="2"/>
    </row>
    <row r="57" spans="2:11" x14ac:dyDescent="0.3">
      <c r="B57" s="280" t="s">
        <v>86</v>
      </c>
      <c r="C57" s="14" t="s">
        <v>100</v>
      </c>
      <c r="D57" s="2" t="s">
        <v>45</v>
      </c>
      <c r="E57" s="2" t="s">
        <v>137</v>
      </c>
      <c r="F57" s="2">
        <v>1</v>
      </c>
      <c r="G57" s="2">
        <f>VLOOKUP(E57,'Standard rooms list'!$B$3:$C$100,2,FALSE)</f>
        <v>4.5</v>
      </c>
      <c r="H57" s="2">
        <f>F57*G57</f>
        <v>4.5</v>
      </c>
      <c r="I57" s="15"/>
      <c r="J57" s="2"/>
      <c r="K57" s="2"/>
    </row>
    <row r="58" spans="2:11" x14ac:dyDescent="0.3">
      <c r="B58" s="280"/>
      <c r="C58" s="14" t="s">
        <v>100</v>
      </c>
      <c r="D58" s="2" t="s">
        <v>45</v>
      </c>
      <c r="E58" s="2" t="s">
        <v>138</v>
      </c>
      <c r="F58" s="2">
        <v>1</v>
      </c>
      <c r="G58" s="2">
        <f>VLOOKUP(E58,'Standard rooms list'!$B$3:$C$69,2,FALSE)</f>
        <v>6</v>
      </c>
      <c r="H58" s="2">
        <f t="shared" ref="H58:H60" si="4">F58*G58</f>
        <v>6</v>
      </c>
      <c r="I58" s="15"/>
      <c r="J58" s="2"/>
      <c r="K58" s="2"/>
    </row>
    <row r="59" spans="2:11" x14ac:dyDescent="0.3">
      <c r="B59" s="280"/>
      <c r="C59" s="14" t="s">
        <v>100</v>
      </c>
      <c r="D59" s="2" t="s">
        <v>45</v>
      </c>
      <c r="E59" s="2" t="s">
        <v>139</v>
      </c>
      <c r="F59" s="2">
        <v>1</v>
      </c>
      <c r="G59" s="2">
        <f>VLOOKUP(E59,'Standard rooms list'!$B$3:$C$69,2,FALSE)</f>
        <v>4</v>
      </c>
      <c r="H59" s="2">
        <f t="shared" si="4"/>
        <v>4</v>
      </c>
      <c r="I59" s="15"/>
      <c r="J59" s="2"/>
      <c r="K59" s="2"/>
    </row>
    <row r="60" spans="2:11" x14ac:dyDescent="0.3">
      <c r="B60" s="280"/>
      <c r="C60" s="14" t="s">
        <v>100</v>
      </c>
      <c r="D60" s="2" t="s">
        <v>45</v>
      </c>
      <c r="E60" s="2" t="s">
        <v>101</v>
      </c>
      <c r="F60" s="2">
        <v>6</v>
      </c>
      <c r="G60" s="2">
        <f>VLOOKUP(E60,'Standard rooms list'!$B$3:$C$69,2,FALSE)</f>
        <v>2</v>
      </c>
      <c r="H60" s="2">
        <f t="shared" si="4"/>
        <v>12</v>
      </c>
      <c r="I60" s="15"/>
      <c r="J60" s="2"/>
      <c r="K60" s="2"/>
    </row>
    <row r="61" spans="2:11" x14ac:dyDescent="0.3">
      <c r="B61" s="196"/>
      <c r="C61" s="126"/>
      <c r="D61" s="126"/>
      <c r="E61" s="126"/>
      <c r="F61" s="126"/>
      <c r="G61" s="203" t="s">
        <v>47</v>
      </c>
      <c r="H61" s="126">
        <f>SUM(H57:H60)</f>
        <v>26.5</v>
      </c>
      <c r="I61" s="131"/>
      <c r="J61" s="2"/>
      <c r="K61" s="2"/>
    </row>
    <row r="62" spans="2:11" x14ac:dyDescent="0.3">
      <c r="B62" s="280" t="s">
        <v>86</v>
      </c>
      <c r="C62" s="14" t="s">
        <v>100</v>
      </c>
      <c r="D62" s="2" t="s">
        <v>140</v>
      </c>
      <c r="E62" s="146" t="s">
        <v>141</v>
      </c>
      <c r="F62" s="146">
        <v>3</v>
      </c>
      <c r="G62" s="2">
        <f>VLOOKUP(E62,'Standard rooms list'!$B$3:$C$68,2,FALSE)</f>
        <v>4.5999999999999996</v>
      </c>
      <c r="H62" s="2">
        <f t="shared" ref="H62:H73" si="5">G62*F62</f>
        <v>13.799999999999999</v>
      </c>
      <c r="I62" s="15" t="s">
        <v>142</v>
      </c>
      <c r="J62" s="2"/>
      <c r="K62" s="2"/>
    </row>
    <row r="63" spans="2:11" x14ac:dyDescent="0.3">
      <c r="B63" s="280"/>
      <c r="C63" s="14" t="s">
        <v>100</v>
      </c>
      <c r="D63" s="2" t="s">
        <v>140</v>
      </c>
      <c r="E63" s="2" t="s">
        <v>111</v>
      </c>
      <c r="F63" s="2">
        <v>1</v>
      </c>
      <c r="G63" s="2">
        <f>VLOOKUP(E63,'Standard rooms list'!$B$3:$C$68,2,FALSE)</f>
        <v>8</v>
      </c>
      <c r="H63" s="2">
        <f t="shared" si="5"/>
        <v>8</v>
      </c>
      <c r="I63" s="15"/>
      <c r="J63" s="2"/>
      <c r="K63" s="2"/>
    </row>
    <row r="64" spans="2:11" x14ac:dyDescent="0.3">
      <c r="B64" s="280"/>
      <c r="C64" s="14" t="s">
        <v>100</v>
      </c>
      <c r="D64" s="2" t="s">
        <v>140</v>
      </c>
      <c r="E64" s="2" t="s">
        <v>143</v>
      </c>
      <c r="F64" s="2">
        <v>3</v>
      </c>
      <c r="G64" s="2">
        <f>VLOOKUP(E64,'Standard rooms list'!$B$3:$C$68,2,FALSE)</f>
        <v>8</v>
      </c>
      <c r="H64" s="2">
        <f t="shared" si="5"/>
        <v>24</v>
      </c>
      <c r="I64" s="15" t="s">
        <v>144</v>
      </c>
      <c r="J64" s="2"/>
      <c r="K64" s="2"/>
    </row>
    <row r="65" spans="2:11" x14ac:dyDescent="0.3">
      <c r="B65" s="280"/>
      <c r="C65" s="14" t="s">
        <v>100</v>
      </c>
      <c r="D65" s="155" t="s">
        <v>140</v>
      </c>
      <c r="E65" s="155" t="s">
        <v>145</v>
      </c>
      <c r="F65" s="156">
        <f>(SUM(F36,F38,F39,F40,F41,F42)*0.6)</f>
        <v>18</v>
      </c>
      <c r="G65" s="155">
        <f>VLOOKUP(E65,'Standard rooms list'!$B$3:$C$68,2,FALSE)</f>
        <v>5</v>
      </c>
      <c r="H65" s="155">
        <f t="shared" si="5"/>
        <v>90</v>
      </c>
      <c r="I65" s="114" t="s">
        <v>146</v>
      </c>
      <c r="J65" s="2"/>
      <c r="K65" s="2"/>
    </row>
    <row r="66" spans="2:11" x14ac:dyDescent="0.3">
      <c r="B66" s="280"/>
      <c r="C66" s="43" t="s">
        <v>100</v>
      </c>
      <c r="D66" s="155" t="s">
        <v>140</v>
      </c>
      <c r="E66" s="60" t="s">
        <v>147</v>
      </c>
      <c r="F66" s="156">
        <f>F65</f>
        <v>18</v>
      </c>
      <c r="G66" s="155">
        <v>0.125</v>
      </c>
      <c r="H66" s="157">
        <f t="shared" si="5"/>
        <v>2.25</v>
      </c>
      <c r="I66" s="114"/>
      <c r="J66" s="2"/>
      <c r="K66" s="2"/>
    </row>
    <row r="67" spans="2:11" x14ac:dyDescent="0.3">
      <c r="B67" s="280"/>
      <c r="C67" s="14" t="s">
        <v>100</v>
      </c>
      <c r="D67" s="2" t="s">
        <v>140</v>
      </c>
      <c r="E67" s="2" t="s">
        <v>148</v>
      </c>
      <c r="F67" s="2">
        <v>2</v>
      </c>
      <c r="G67" s="2">
        <f>VLOOKUP(E67,'Standard rooms list'!$B$3:$C$68,2,FALSE)</f>
        <v>2</v>
      </c>
      <c r="H67" s="2">
        <f t="shared" si="5"/>
        <v>4</v>
      </c>
      <c r="I67" s="15" t="s">
        <v>149</v>
      </c>
      <c r="J67" s="2"/>
      <c r="K67" s="2"/>
    </row>
    <row r="68" spans="2:11" x14ac:dyDescent="0.3">
      <c r="B68" s="280"/>
      <c r="C68" s="14" t="s">
        <v>100</v>
      </c>
      <c r="D68" s="2" t="s">
        <v>140</v>
      </c>
      <c r="E68" s="2" t="s">
        <v>150</v>
      </c>
      <c r="F68" s="2">
        <v>1</v>
      </c>
      <c r="G68" s="2">
        <f>VLOOKUP(E68,'Standard rooms list'!$B$3:$C$68,2,FALSE)</f>
        <v>4.5</v>
      </c>
      <c r="H68" s="2">
        <f t="shared" si="5"/>
        <v>4.5</v>
      </c>
      <c r="I68" s="15" t="s">
        <v>149</v>
      </c>
      <c r="J68" s="2"/>
      <c r="K68" s="2"/>
    </row>
    <row r="69" spans="2:11" x14ac:dyDescent="0.3">
      <c r="B69" s="280"/>
      <c r="C69" s="14" t="s">
        <v>100</v>
      </c>
      <c r="D69" s="2" t="s">
        <v>140</v>
      </c>
      <c r="E69" s="2" t="s">
        <v>151</v>
      </c>
      <c r="F69" s="2">
        <f>SUM(F36,F38,F39,F40,F41,F42)</f>
        <v>30</v>
      </c>
      <c r="G69" s="2">
        <f>VLOOKUP(E69,'Standard rooms list'!$B$3:$C$68,2,FALSE)</f>
        <v>1.8</v>
      </c>
      <c r="H69" s="2">
        <f t="shared" si="5"/>
        <v>54</v>
      </c>
      <c r="I69" s="15" t="s">
        <v>152</v>
      </c>
      <c r="J69" s="2"/>
      <c r="K69" s="2"/>
    </row>
    <row r="70" spans="2:11" x14ac:dyDescent="0.3">
      <c r="B70" s="280"/>
      <c r="C70" s="14" t="s">
        <v>100</v>
      </c>
      <c r="D70" s="2" t="s">
        <v>140</v>
      </c>
      <c r="E70" s="2" t="s">
        <v>153</v>
      </c>
      <c r="F70" s="2">
        <f>F69</f>
        <v>30</v>
      </c>
      <c r="G70" s="2">
        <f>VLOOKUP(E70,'Standard rooms list'!$B$3:$C$68,2,FALSE)</f>
        <v>1.4</v>
      </c>
      <c r="H70" s="2">
        <f t="shared" si="5"/>
        <v>42</v>
      </c>
      <c r="I70" s="15" t="s">
        <v>152</v>
      </c>
      <c r="J70" s="2"/>
      <c r="K70" s="2"/>
    </row>
    <row r="71" spans="2:11" x14ac:dyDescent="0.3">
      <c r="B71" s="280"/>
      <c r="C71" s="14" t="s">
        <v>100</v>
      </c>
      <c r="D71" s="2" t="s">
        <v>140</v>
      </c>
      <c r="E71" s="2" t="s">
        <v>154</v>
      </c>
      <c r="F71" s="2">
        <v>1</v>
      </c>
      <c r="G71" s="2">
        <f>VLOOKUP(E71,'Standard rooms list'!$B$3:$C$150,2,FALSE)</f>
        <v>6</v>
      </c>
      <c r="H71" s="2">
        <f t="shared" si="5"/>
        <v>6</v>
      </c>
      <c r="I71" s="15"/>
      <c r="J71" s="2"/>
      <c r="K71" s="2"/>
    </row>
    <row r="72" spans="2:11" x14ac:dyDescent="0.3">
      <c r="B72" s="280"/>
      <c r="C72" s="14" t="s">
        <v>100</v>
      </c>
      <c r="D72" s="2" t="s">
        <v>140</v>
      </c>
      <c r="E72" s="2" t="s">
        <v>137</v>
      </c>
      <c r="F72" s="2">
        <v>1</v>
      </c>
      <c r="G72" s="2">
        <f>VLOOKUP(E72,'Standard rooms list'!$B$3:$C$150,2,FALSE)</f>
        <v>4.5</v>
      </c>
      <c r="H72" s="2">
        <f t="shared" si="5"/>
        <v>4.5</v>
      </c>
      <c r="I72" s="15"/>
      <c r="J72" s="2"/>
      <c r="K72" s="2"/>
    </row>
    <row r="73" spans="2:11" x14ac:dyDescent="0.3">
      <c r="B73" s="280"/>
      <c r="C73" s="14" t="s">
        <v>100</v>
      </c>
      <c r="D73" s="2" t="s">
        <v>140</v>
      </c>
      <c r="E73" s="2" t="s">
        <v>155</v>
      </c>
      <c r="F73" s="2">
        <v>5</v>
      </c>
      <c r="G73" s="2">
        <f>VLOOKUP(E73,'Standard rooms list'!$B$3:$C$150,2,FALSE)</f>
        <v>0.5</v>
      </c>
      <c r="H73" s="2">
        <f t="shared" si="5"/>
        <v>2.5</v>
      </c>
      <c r="I73" s="15"/>
      <c r="J73" s="2"/>
      <c r="K73" s="2"/>
    </row>
    <row r="74" spans="2:11" x14ac:dyDescent="0.3">
      <c r="B74" s="197"/>
      <c r="C74" s="133"/>
      <c r="D74" s="133"/>
      <c r="E74" s="133"/>
      <c r="F74" s="133"/>
      <c r="G74" s="203" t="s">
        <v>47</v>
      </c>
      <c r="H74" s="134">
        <f>SUM(H62:H73)</f>
        <v>255.55</v>
      </c>
      <c r="I74" s="135"/>
      <c r="J74" s="2"/>
      <c r="K74" s="2"/>
    </row>
    <row r="75" spans="2:11" x14ac:dyDescent="0.3">
      <c r="B75" s="198"/>
      <c r="C75" s="121"/>
      <c r="D75" s="121"/>
      <c r="E75" s="121"/>
      <c r="F75" s="122" t="s">
        <v>156</v>
      </c>
      <c r="G75" s="122"/>
      <c r="H75" s="123">
        <f>SUM(H74,H61,H56,H46,H37)</f>
        <v>1071.05</v>
      </c>
      <c r="I75" s="124"/>
      <c r="J75" s="2"/>
      <c r="K75" s="2"/>
    </row>
    <row r="76" spans="2:11" x14ac:dyDescent="0.3">
      <c r="B76" s="199"/>
      <c r="C76" s="50" t="s">
        <v>242</v>
      </c>
      <c r="D76" s="137"/>
      <c r="E76" s="137"/>
      <c r="F76" s="137"/>
      <c r="G76" s="137"/>
      <c r="H76" s="137"/>
      <c r="I76" s="138"/>
      <c r="J76" s="2"/>
      <c r="K76" s="2"/>
    </row>
    <row r="77" spans="2:11" x14ac:dyDescent="0.3">
      <c r="B77" s="280" t="s">
        <v>86</v>
      </c>
      <c r="C77" s="80" t="s">
        <v>157</v>
      </c>
      <c r="D77" s="60" t="s">
        <v>39</v>
      </c>
      <c r="E77" s="60" t="s">
        <v>101</v>
      </c>
      <c r="F77" s="2">
        <f>(SUM(F83,F101,F102,F103,F104,F109,F110,F117,F118,F120)*2)+(F126*8)</f>
        <v>62</v>
      </c>
      <c r="G77" s="60">
        <f>VLOOKUP(E77,'Standard rooms list'!$B$3:$C$68,2,FALSE)</f>
        <v>2</v>
      </c>
      <c r="H77" s="60">
        <f>F77*G77</f>
        <v>124</v>
      </c>
      <c r="I77" s="81" t="s">
        <v>102</v>
      </c>
      <c r="J77" s="2"/>
      <c r="K77" s="2"/>
    </row>
    <row r="78" spans="2:11" x14ac:dyDescent="0.3">
      <c r="B78" s="280"/>
      <c r="C78" s="80" t="s">
        <v>157</v>
      </c>
      <c r="D78" s="60" t="s">
        <v>39</v>
      </c>
      <c r="E78" s="60" t="s">
        <v>103</v>
      </c>
      <c r="F78" s="2">
        <f>ROUNDUP(F77*0.1,0)</f>
        <v>7</v>
      </c>
      <c r="G78" s="60">
        <f>VLOOKUP(E78,'Standard rooms list'!$B$3:$C$68,2,FALSE)</f>
        <v>2</v>
      </c>
      <c r="H78" s="60">
        <f t="shared" ref="H78:H82" si="6">F78*G78</f>
        <v>14</v>
      </c>
      <c r="I78" s="81" t="s">
        <v>104</v>
      </c>
      <c r="J78" s="2"/>
      <c r="K78" s="2"/>
    </row>
    <row r="79" spans="2:11" x14ac:dyDescent="0.3">
      <c r="B79" s="280"/>
      <c r="C79" s="80" t="s">
        <v>157</v>
      </c>
      <c r="D79" s="60" t="s">
        <v>39</v>
      </c>
      <c r="E79" s="60" t="s">
        <v>105</v>
      </c>
      <c r="F79" s="60">
        <v>2</v>
      </c>
      <c r="G79" s="60">
        <f>VLOOKUP(E79,'Standard rooms list'!$B$3:$C$68,2,FALSE)</f>
        <v>5.5</v>
      </c>
      <c r="H79" s="60">
        <f t="shared" si="6"/>
        <v>11</v>
      </c>
      <c r="I79" s="81" t="s">
        <v>106</v>
      </c>
      <c r="J79" s="2"/>
      <c r="K79" s="2"/>
    </row>
    <row r="80" spans="2:11" x14ac:dyDescent="0.3">
      <c r="B80" s="280"/>
      <c r="C80" s="80" t="s">
        <v>157</v>
      </c>
      <c r="D80" s="60" t="s">
        <v>39</v>
      </c>
      <c r="E80" s="60" t="s">
        <v>107</v>
      </c>
      <c r="F80" s="60">
        <v>2</v>
      </c>
      <c r="G80" s="60">
        <f>VLOOKUP(E80,'Standard rooms list'!$B$3:$C$68,2,FALSE)</f>
        <v>2.5</v>
      </c>
      <c r="H80" s="60">
        <f t="shared" si="6"/>
        <v>5</v>
      </c>
      <c r="I80" s="81" t="s">
        <v>158</v>
      </c>
      <c r="J80" s="2"/>
      <c r="K80" s="2"/>
    </row>
    <row r="81" spans="2:11" x14ac:dyDescent="0.3">
      <c r="B81" s="280"/>
      <c r="C81" s="80" t="s">
        <v>157</v>
      </c>
      <c r="D81" s="60" t="s">
        <v>39</v>
      </c>
      <c r="E81" s="60" t="s">
        <v>109</v>
      </c>
      <c r="F81" s="60">
        <v>5</v>
      </c>
      <c r="G81" s="60">
        <f>VLOOKUP(E81,'Standard rooms list'!$B$3:$C$68,2,FALSE)</f>
        <v>2.5</v>
      </c>
      <c r="H81" s="60">
        <f t="shared" si="6"/>
        <v>12.5</v>
      </c>
      <c r="I81" s="81"/>
      <c r="J81" s="2"/>
      <c r="K81" s="2"/>
    </row>
    <row r="82" spans="2:11" x14ac:dyDescent="0.3">
      <c r="B82" s="280"/>
      <c r="C82" s="80" t="s">
        <v>157</v>
      </c>
      <c r="D82" s="60" t="s">
        <v>39</v>
      </c>
      <c r="E82" s="60" t="s">
        <v>98</v>
      </c>
      <c r="F82" s="60">
        <v>2</v>
      </c>
      <c r="G82" s="60">
        <f>VLOOKUP(E82,'Standard rooms list'!$B$3:$C$68,2,FALSE)</f>
        <v>4.5</v>
      </c>
      <c r="H82" s="60">
        <f t="shared" si="6"/>
        <v>9</v>
      </c>
      <c r="I82" s="81"/>
      <c r="J82" s="2"/>
      <c r="K82" s="2"/>
    </row>
    <row r="83" spans="2:11" x14ac:dyDescent="0.3">
      <c r="B83" s="280"/>
      <c r="C83" s="80" t="s">
        <v>157</v>
      </c>
      <c r="D83" s="60" t="s">
        <v>39</v>
      </c>
      <c r="E83" s="146" t="s">
        <v>111</v>
      </c>
      <c r="F83" s="146">
        <v>2</v>
      </c>
      <c r="G83" s="2">
        <f>VLOOKUP(E83,'Standard rooms list'!$B$3:$C$68,2,FALSE)</f>
        <v>8</v>
      </c>
      <c r="H83" s="2">
        <f>G83*F83</f>
        <v>16</v>
      </c>
      <c r="I83" s="15"/>
      <c r="J83" s="2"/>
      <c r="K83" s="2"/>
    </row>
    <row r="84" spans="2:11" ht="11.5" customHeight="1" x14ac:dyDescent="0.3">
      <c r="B84" s="196"/>
      <c r="C84" s="126"/>
      <c r="D84" s="126"/>
      <c r="E84" s="126"/>
      <c r="F84" s="126"/>
      <c r="G84" s="203" t="s">
        <v>47</v>
      </c>
      <c r="H84" s="126">
        <f>SUM(H77:H83)</f>
        <v>191.5</v>
      </c>
      <c r="I84" s="131"/>
      <c r="J84" s="2"/>
      <c r="K84" s="2"/>
    </row>
    <row r="85" spans="2:11" x14ac:dyDescent="0.3">
      <c r="B85" s="280" t="s">
        <v>232</v>
      </c>
      <c r="C85" s="171" t="s">
        <v>243</v>
      </c>
      <c r="D85" s="178" t="s">
        <v>244</v>
      </c>
      <c r="E85" s="179" t="s">
        <v>103</v>
      </c>
      <c r="F85" s="169">
        <f>(SUM(F92,F93)*2)+(F94*8)</f>
        <v>22</v>
      </c>
      <c r="G85" s="169">
        <f>VLOOKUP(E85,'Standard rooms list'!$B$3:$C$69,2,FALSE)</f>
        <v>2</v>
      </c>
      <c r="H85" s="169">
        <f t="shared" ref="H85:H90" si="7">F85*G85</f>
        <v>44</v>
      </c>
      <c r="I85" s="174" t="s">
        <v>102</v>
      </c>
      <c r="J85" s="2"/>
      <c r="K85" s="2"/>
    </row>
    <row r="86" spans="2:11" x14ac:dyDescent="0.3">
      <c r="B86" s="280"/>
      <c r="C86" s="160" t="s">
        <v>243</v>
      </c>
      <c r="D86" s="180" t="s">
        <v>244</v>
      </c>
      <c r="E86" s="163" t="s">
        <v>103</v>
      </c>
      <c r="F86" s="161">
        <f>ROUNDUP(F85*0.3,0)</f>
        <v>7</v>
      </c>
      <c r="G86" s="169">
        <f>VLOOKUP(E86,'Standard rooms list'!$B$3:$C$69,2,FALSE)</f>
        <v>2</v>
      </c>
      <c r="H86" s="161">
        <f t="shared" si="7"/>
        <v>14</v>
      </c>
      <c r="I86" s="116" t="s">
        <v>245</v>
      </c>
      <c r="J86" s="2"/>
      <c r="K86" s="2"/>
    </row>
    <row r="87" spans="2:11" x14ac:dyDescent="0.3">
      <c r="B87" s="280"/>
      <c r="C87" s="160" t="s">
        <v>243</v>
      </c>
      <c r="D87" s="180" t="s">
        <v>244</v>
      </c>
      <c r="E87" s="163" t="s">
        <v>105</v>
      </c>
      <c r="F87" s="161">
        <v>1</v>
      </c>
      <c r="G87" s="169">
        <f>VLOOKUP(E87,'Standard rooms list'!$B$3:$C$69,2,FALSE)</f>
        <v>5.5</v>
      </c>
      <c r="H87" s="161">
        <f t="shared" si="7"/>
        <v>5.5</v>
      </c>
      <c r="I87" s="116" t="s">
        <v>106</v>
      </c>
      <c r="J87" s="2"/>
      <c r="K87" s="2"/>
    </row>
    <row r="88" spans="2:11" x14ac:dyDescent="0.3">
      <c r="B88" s="280"/>
      <c r="C88" s="160" t="s">
        <v>243</v>
      </c>
      <c r="D88" s="180" t="s">
        <v>244</v>
      </c>
      <c r="E88" s="163" t="s">
        <v>107</v>
      </c>
      <c r="F88" s="161">
        <v>1</v>
      </c>
      <c r="G88" s="169">
        <f>VLOOKUP(E88,'Standard rooms list'!$B$3:$C$69,2,FALSE)</f>
        <v>2.5</v>
      </c>
      <c r="H88" s="161">
        <f t="shared" si="7"/>
        <v>2.5</v>
      </c>
      <c r="I88" s="116" t="s">
        <v>158</v>
      </c>
      <c r="J88" s="2"/>
      <c r="K88" s="2"/>
    </row>
    <row r="89" spans="2:11" x14ac:dyDescent="0.3">
      <c r="B89" s="280"/>
      <c r="C89" s="160" t="s">
        <v>243</v>
      </c>
      <c r="D89" s="181" t="s">
        <v>244</v>
      </c>
      <c r="E89" s="163" t="s">
        <v>109</v>
      </c>
      <c r="F89" s="161">
        <v>1</v>
      </c>
      <c r="G89" s="169">
        <f>VLOOKUP(E89,'Standard rooms list'!$B$3:$C$69,2,FALSE)</f>
        <v>2.5</v>
      </c>
      <c r="H89" s="161">
        <f t="shared" si="7"/>
        <v>2.5</v>
      </c>
      <c r="I89" s="164"/>
      <c r="J89" s="2"/>
      <c r="K89" s="2"/>
    </row>
    <row r="90" spans="2:11" x14ac:dyDescent="0.3">
      <c r="B90" s="280"/>
      <c r="C90" s="170" t="s">
        <v>243</v>
      </c>
      <c r="D90" s="182" t="s">
        <v>244</v>
      </c>
      <c r="E90" s="167" t="s">
        <v>98</v>
      </c>
      <c r="F90" s="165">
        <v>2</v>
      </c>
      <c r="G90" s="172">
        <f>VLOOKUP(E90,'Standard rooms list'!$B$3:$C$69,2,FALSE)</f>
        <v>4.5</v>
      </c>
      <c r="H90" s="165">
        <f t="shared" si="7"/>
        <v>9</v>
      </c>
      <c r="I90" s="168"/>
      <c r="J90" s="2"/>
      <c r="K90" s="2"/>
    </row>
    <row r="91" spans="2:11" x14ac:dyDescent="0.3">
      <c r="B91" s="196"/>
      <c r="C91" s="126"/>
      <c r="D91" s="126"/>
      <c r="E91" s="126"/>
      <c r="F91" s="126"/>
      <c r="G91" s="203" t="s">
        <v>47</v>
      </c>
      <c r="H91" s="126">
        <f>SUM(H85:H90)</f>
        <v>77.5</v>
      </c>
      <c r="I91" s="131"/>
      <c r="J91" s="2"/>
      <c r="K91" s="2"/>
    </row>
    <row r="92" spans="2:11" ht="12.65" customHeight="1" x14ac:dyDescent="0.3">
      <c r="B92" s="280" t="s">
        <v>232</v>
      </c>
      <c r="C92" s="171" t="s">
        <v>243</v>
      </c>
      <c r="D92" s="169" t="s">
        <v>246</v>
      </c>
      <c r="E92" s="183" t="s">
        <v>113</v>
      </c>
      <c r="F92" s="183">
        <v>2</v>
      </c>
      <c r="G92" s="169">
        <f>VLOOKUP(E92,'Standard rooms list'!$B$3:$C$69,2,FALSE)</f>
        <v>13.5</v>
      </c>
      <c r="H92" s="169">
        <f t="shared" ref="H92:H99" si="8">G92*F92</f>
        <v>27</v>
      </c>
      <c r="I92" s="174"/>
      <c r="J92" s="2"/>
      <c r="K92" s="2"/>
    </row>
    <row r="93" spans="2:11" x14ac:dyDescent="0.3">
      <c r="B93" s="280"/>
      <c r="C93" s="160" t="s">
        <v>243</v>
      </c>
      <c r="D93" s="161" t="s">
        <v>246</v>
      </c>
      <c r="E93" s="177" t="s">
        <v>114</v>
      </c>
      <c r="F93" s="177">
        <v>1</v>
      </c>
      <c r="G93" s="161">
        <f>VLOOKUP(E93,'Standard rooms list'!$B$3:$C$69,2,FALSE)</f>
        <v>16</v>
      </c>
      <c r="H93" s="161">
        <f t="shared" si="8"/>
        <v>16</v>
      </c>
      <c r="I93" s="116"/>
      <c r="J93" s="2"/>
      <c r="K93" s="2"/>
    </row>
    <row r="94" spans="2:11" ht="12.65" customHeight="1" x14ac:dyDescent="0.3">
      <c r="B94" s="280"/>
      <c r="C94" s="160" t="s">
        <v>243</v>
      </c>
      <c r="D94" s="161" t="s">
        <v>246</v>
      </c>
      <c r="E94" s="177" t="s">
        <v>118</v>
      </c>
      <c r="F94" s="177">
        <v>2</v>
      </c>
      <c r="G94" s="161">
        <f>VLOOKUP(E94,'Standard rooms list'!$B$3:$C$69,2,FALSE)</f>
        <v>32.5</v>
      </c>
      <c r="H94" s="161">
        <f t="shared" si="8"/>
        <v>65</v>
      </c>
      <c r="I94" s="116"/>
      <c r="J94" s="2"/>
      <c r="K94" s="2"/>
    </row>
    <row r="95" spans="2:11" ht="12.65" customHeight="1" x14ac:dyDescent="0.3">
      <c r="B95" s="280"/>
      <c r="C95" s="160" t="s">
        <v>243</v>
      </c>
      <c r="D95" s="161" t="s">
        <v>246</v>
      </c>
      <c r="E95" s="161" t="s">
        <v>120</v>
      </c>
      <c r="F95" s="161">
        <v>1</v>
      </c>
      <c r="G95" s="161">
        <f>VLOOKUP(E95,'Standard rooms list'!$B$3:$C$69,2,FALSE)</f>
        <v>5</v>
      </c>
      <c r="H95" s="161">
        <f>G95*F95</f>
        <v>5</v>
      </c>
      <c r="I95" s="116" t="s">
        <v>121</v>
      </c>
      <c r="J95" s="2"/>
      <c r="K95" s="2"/>
    </row>
    <row r="96" spans="2:11" ht="12.65" customHeight="1" x14ac:dyDescent="0.3">
      <c r="B96" s="280"/>
      <c r="C96" s="160" t="s">
        <v>243</v>
      </c>
      <c r="D96" s="161" t="s">
        <v>246</v>
      </c>
      <c r="E96" s="161" t="s">
        <v>197</v>
      </c>
      <c r="F96" s="161">
        <v>1</v>
      </c>
      <c r="G96" s="161">
        <f>VLOOKUP(E96,'Standard rooms list'!$B$3:$C$69,2,FALSE)</f>
        <v>3</v>
      </c>
      <c r="H96" s="161">
        <f>G96*F96</f>
        <v>3</v>
      </c>
      <c r="I96" s="116"/>
      <c r="J96" s="2"/>
      <c r="K96" s="2"/>
    </row>
    <row r="97" spans="2:11" x14ac:dyDescent="0.3">
      <c r="B97" s="280"/>
      <c r="C97" s="160" t="s">
        <v>243</v>
      </c>
      <c r="D97" s="161" t="s">
        <v>246</v>
      </c>
      <c r="E97" s="161" t="s">
        <v>124</v>
      </c>
      <c r="F97" s="161">
        <v>1</v>
      </c>
      <c r="G97" s="161">
        <f>VLOOKUP(E97,'Standard rooms list'!$B$3:$C$69,2,FALSE)</f>
        <v>4.5</v>
      </c>
      <c r="H97" s="161">
        <f t="shared" si="8"/>
        <v>4.5</v>
      </c>
      <c r="I97" s="116"/>
      <c r="J97" s="2"/>
      <c r="K97" s="2"/>
    </row>
    <row r="98" spans="2:11" x14ac:dyDescent="0.3">
      <c r="B98" s="280"/>
      <c r="C98" s="160" t="s">
        <v>243</v>
      </c>
      <c r="D98" s="161" t="s">
        <v>112</v>
      </c>
      <c r="E98" s="161" t="s">
        <v>131</v>
      </c>
      <c r="F98" s="161">
        <v>1</v>
      </c>
      <c r="G98" s="161">
        <f>VLOOKUP(E98,'Standard rooms list'!$B$3:$C$69,2,FALSE)</f>
        <v>8</v>
      </c>
      <c r="H98" s="161">
        <f t="shared" si="8"/>
        <v>8</v>
      </c>
      <c r="I98" s="164" t="s">
        <v>132</v>
      </c>
      <c r="J98" s="2"/>
      <c r="K98" s="2"/>
    </row>
    <row r="99" spans="2:11" x14ac:dyDescent="0.3">
      <c r="B99" s="280"/>
      <c r="C99" s="170" t="s">
        <v>243</v>
      </c>
      <c r="D99" s="165" t="s">
        <v>112</v>
      </c>
      <c r="E99" s="165" t="s">
        <v>131</v>
      </c>
      <c r="F99" s="165">
        <v>1</v>
      </c>
      <c r="G99" s="165">
        <f>VLOOKUP(E99,'Standard rooms list'!$B$3:$C$69,2,FALSE)</f>
        <v>8</v>
      </c>
      <c r="H99" s="165">
        <f t="shared" si="8"/>
        <v>8</v>
      </c>
      <c r="I99" s="168" t="s">
        <v>205</v>
      </c>
      <c r="J99" s="2"/>
      <c r="K99" s="2"/>
    </row>
    <row r="100" spans="2:11" x14ac:dyDescent="0.3">
      <c r="B100" s="196"/>
      <c r="C100" s="126"/>
      <c r="D100" s="126"/>
      <c r="E100" s="126"/>
      <c r="F100" s="126"/>
      <c r="G100" s="203" t="s">
        <v>47</v>
      </c>
      <c r="H100" s="126">
        <f>SUM(H92:H99)</f>
        <v>136.5</v>
      </c>
      <c r="I100" s="131"/>
      <c r="J100" s="2"/>
      <c r="K100" s="2"/>
    </row>
    <row r="101" spans="2:11" x14ac:dyDescent="0.3">
      <c r="B101" s="280" t="s">
        <v>86</v>
      </c>
      <c r="C101" s="80" t="s">
        <v>159</v>
      </c>
      <c r="D101" s="2" t="s">
        <v>112</v>
      </c>
      <c r="E101" s="146" t="s">
        <v>113</v>
      </c>
      <c r="F101" s="146">
        <v>2</v>
      </c>
      <c r="G101" s="2">
        <f>VLOOKUP(E101,'Standard rooms list'!$B$3:$C$68,2,FALSE)</f>
        <v>13.5</v>
      </c>
      <c r="H101" s="2">
        <f t="shared" ref="H101:H104" si="9">G101*F101</f>
        <v>27</v>
      </c>
      <c r="I101" s="15"/>
      <c r="J101" s="2"/>
      <c r="K101" s="2"/>
    </row>
    <row r="102" spans="2:11" x14ac:dyDescent="0.3">
      <c r="B102" s="280"/>
      <c r="C102" s="80" t="s">
        <v>159</v>
      </c>
      <c r="D102" s="2" t="s">
        <v>112</v>
      </c>
      <c r="E102" s="146" t="s">
        <v>114</v>
      </c>
      <c r="F102" s="146">
        <v>1</v>
      </c>
      <c r="G102" s="2">
        <f>VLOOKUP(E102,'Standard rooms list'!$B$3:$C$68,2,FALSE)</f>
        <v>16</v>
      </c>
      <c r="H102" s="2">
        <f t="shared" si="9"/>
        <v>16</v>
      </c>
      <c r="I102" s="15"/>
      <c r="J102" s="2"/>
      <c r="K102" s="2"/>
    </row>
    <row r="103" spans="2:11" x14ac:dyDescent="0.3">
      <c r="B103" s="280"/>
      <c r="C103" s="80" t="s">
        <v>159</v>
      </c>
      <c r="D103" s="2" t="s">
        <v>112</v>
      </c>
      <c r="E103" s="146" t="s">
        <v>115</v>
      </c>
      <c r="F103" s="146">
        <v>4</v>
      </c>
      <c r="G103" s="2">
        <f>VLOOKUP(E103,'Standard rooms list'!$B$3:$C$68,2,FALSE)</f>
        <v>16</v>
      </c>
      <c r="H103" s="2">
        <f t="shared" si="9"/>
        <v>64</v>
      </c>
      <c r="I103" s="15"/>
      <c r="J103" s="2"/>
      <c r="K103" s="2"/>
    </row>
    <row r="104" spans="2:11" x14ac:dyDescent="0.3">
      <c r="B104" s="280"/>
      <c r="C104" s="80" t="s">
        <v>159</v>
      </c>
      <c r="D104" s="2" t="s">
        <v>112</v>
      </c>
      <c r="E104" s="146" t="s">
        <v>117</v>
      </c>
      <c r="F104" s="146">
        <v>1</v>
      </c>
      <c r="G104" s="2">
        <f>VLOOKUP(E104,'Standard rooms list'!$B$3:$C$68,2,FALSE)</f>
        <v>20</v>
      </c>
      <c r="H104" s="2">
        <f t="shared" si="9"/>
        <v>20</v>
      </c>
      <c r="I104" s="15"/>
      <c r="J104" s="2"/>
      <c r="K104" s="2"/>
    </row>
    <row r="105" spans="2:11" s="60" customFormat="1" x14ac:dyDescent="0.3">
      <c r="B105" s="280"/>
      <c r="C105" s="80" t="s">
        <v>159</v>
      </c>
      <c r="D105" s="60" t="s">
        <v>112</v>
      </c>
      <c r="E105" s="60" t="s">
        <v>124</v>
      </c>
      <c r="F105" s="60">
        <v>1</v>
      </c>
      <c r="G105" s="60">
        <f>VLOOKUP(E105,'Standard rooms list'!$B$3:$C$68,2,FALSE)</f>
        <v>4.5</v>
      </c>
      <c r="H105" s="60">
        <f>G105*F105</f>
        <v>4.5</v>
      </c>
      <c r="I105" s="81"/>
    </row>
    <row r="106" spans="2:11" s="60" customFormat="1" x14ac:dyDescent="0.3">
      <c r="B106" s="280"/>
      <c r="C106" s="80" t="s">
        <v>159</v>
      </c>
      <c r="D106" s="60" t="s">
        <v>112</v>
      </c>
      <c r="E106" s="154" t="s">
        <v>131</v>
      </c>
      <c r="F106" s="154">
        <v>1</v>
      </c>
      <c r="G106" s="154">
        <f>VLOOKUP(E106,'Standard rooms list'!$B$3:$C$68,2,FALSE)</f>
        <v>8</v>
      </c>
      <c r="H106" s="154">
        <f t="shared" ref="H106:H107" si="10">G106*F106</f>
        <v>8</v>
      </c>
      <c r="I106" s="83" t="s">
        <v>160</v>
      </c>
    </row>
    <row r="107" spans="2:11" s="60" customFormat="1" x14ac:dyDescent="0.3">
      <c r="B107" s="280"/>
      <c r="C107" s="80" t="s">
        <v>159</v>
      </c>
      <c r="D107" s="60" t="s">
        <v>112</v>
      </c>
      <c r="E107" s="154" t="s">
        <v>131</v>
      </c>
      <c r="F107" s="154">
        <v>1</v>
      </c>
      <c r="G107" s="154">
        <f>VLOOKUP(E107,'Standard rooms list'!$B$3:$C$68,2,FALSE)</f>
        <v>8</v>
      </c>
      <c r="H107" s="154">
        <f t="shared" si="10"/>
        <v>8</v>
      </c>
      <c r="I107" s="83" t="s">
        <v>161</v>
      </c>
    </row>
    <row r="108" spans="2:11" x14ac:dyDescent="0.3">
      <c r="B108" s="196"/>
      <c r="C108" s="126"/>
      <c r="D108" s="126"/>
      <c r="E108" s="126"/>
      <c r="F108" s="126"/>
      <c r="G108" s="203" t="s">
        <v>47</v>
      </c>
      <c r="H108" s="126">
        <f>SUM(H101:H107)</f>
        <v>147.5</v>
      </c>
      <c r="I108" s="131"/>
      <c r="J108" s="2"/>
      <c r="K108" s="2"/>
    </row>
    <row r="109" spans="2:11" s="60" customFormat="1" x14ac:dyDescent="0.3">
      <c r="B109" s="284" t="s">
        <v>86</v>
      </c>
      <c r="C109" s="80" t="s">
        <v>162</v>
      </c>
      <c r="D109" s="60" t="s">
        <v>112</v>
      </c>
      <c r="E109" s="152" t="s">
        <v>115</v>
      </c>
      <c r="F109" s="152">
        <v>2</v>
      </c>
      <c r="G109" s="60">
        <f>VLOOKUP(E109,'Standard rooms list'!$B$3:$C$68,2,FALSE)</f>
        <v>16</v>
      </c>
      <c r="H109" s="60">
        <f t="shared" ref="H109:H115" si="11">G109*F109</f>
        <v>32</v>
      </c>
      <c r="I109" s="81" t="s">
        <v>163</v>
      </c>
    </row>
    <row r="110" spans="2:11" s="60" customFormat="1" x14ac:dyDescent="0.3">
      <c r="B110" s="284"/>
      <c r="C110" s="80" t="s">
        <v>162</v>
      </c>
      <c r="D110" s="60" t="s">
        <v>112</v>
      </c>
      <c r="E110" s="152" t="s">
        <v>117</v>
      </c>
      <c r="F110" s="152">
        <v>1</v>
      </c>
      <c r="G110" s="60">
        <f>VLOOKUP(E110,'Standard rooms list'!$B$3:$C$68,2,FALSE)</f>
        <v>20</v>
      </c>
      <c r="H110" s="60">
        <f t="shared" si="11"/>
        <v>20</v>
      </c>
      <c r="I110" s="81" t="s">
        <v>164</v>
      </c>
    </row>
    <row r="111" spans="2:11" s="60" customFormat="1" x14ac:dyDescent="0.3">
      <c r="B111" s="284"/>
      <c r="C111" s="80" t="s">
        <v>162</v>
      </c>
      <c r="D111" s="60" t="s">
        <v>112</v>
      </c>
      <c r="E111" s="60" t="s">
        <v>98</v>
      </c>
      <c r="F111" s="60">
        <v>1</v>
      </c>
      <c r="G111" s="60">
        <f>VLOOKUP(E111,'Standard rooms list'!$B$3:$C$68,2,FALSE)</f>
        <v>4.5</v>
      </c>
      <c r="H111" s="60">
        <f t="shared" si="11"/>
        <v>4.5</v>
      </c>
      <c r="I111" s="81" t="s">
        <v>165</v>
      </c>
    </row>
    <row r="112" spans="2:11" s="60" customFormat="1" x14ac:dyDescent="0.3">
      <c r="B112" s="284"/>
      <c r="C112" s="80" t="s">
        <v>162</v>
      </c>
      <c r="D112" s="60" t="s">
        <v>112</v>
      </c>
      <c r="E112" s="60" t="s">
        <v>166</v>
      </c>
      <c r="F112" s="60">
        <v>3</v>
      </c>
      <c r="G112" s="60">
        <f>VLOOKUP(E112,'Standard rooms list'!$B$3:$C$68,2,FALSE)</f>
        <v>4.5</v>
      </c>
      <c r="H112" s="60">
        <f t="shared" si="11"/>
        <v>13.5</v>
      </c>
      <c r="I112" s="81" t="s">
        <v>167</v>
      </c>
    </row>
    <row r="113" spans="2:11" s="60" customFormat="1" x14ac:dyDescent="0.3">
      <c r="B113" s="284"/>
      <c r="C113" s="80" t="s">
        <v>162</v>
      </c>
      <c r="D113" s="60" t="s">
        <v>112</v>
      </c>
      <c r="E113" s="60" t="s">
        <v>168</v>
      </c>
      <c r="F113" s="60">
        <v>3</v>
      </c>
      <c r="G113" s="60">
        <f>VLOOKUP(E113,'Standard rooms list'!$B$3:$C$68,2,FALSE)</f>
        <v>4.5999999999999996</v>
      </c>
      <c r="H113" s="60">
        <f t="shared" si="11"/>
        <v>13.799999999999999</v>
      </c>
      <c r="I113" s="81" t="s">
        <v>167</v>
      </c>
    </row>
    <row r="114" spans="2:11" s="60" customFormat="1" x14ac:dyDescent="0.3">
      <c r="B114" s="284"/>
      <c r="C114" s="80" t="s">
        <v>162</v>
      </c>
      <c r="D114" s="60" t="s">
        <v>112</v>
      </c>
      <c r="E114" s="154" t="s">
        <v>131</v>
      </c>
      <c r="F114" s="154">
        <v>1</v>
      </c>
      <c r="G114" s="154">
        <f>VLOOKUP(E114,'Standard rooms list'!$B$3:$C$68,2,FALSE)</f>
        <v>8</v>
      </c>
      <c r="H114" s="154">
        <f t="shared" si="11"/>
        <v>8</v>
      </c>
      <c r="I114" s="83" t="s">
        <v>169</v>
      </c>
    </row>
    <row r="115" spans="2:11" s="60" customFormat="1" x14ac:dyDescent="0.3">
      <c r="B115" s="284"/>
      <c r="C115" s="80" t="s">
        <v>162</v>
      </c>
      <c r="D115" s="60" t="s">
        <v>112</v>
      </c>
      <c r="E115" s="154" t="s">
        <v>131</v>
      </c>
      <c r="F115" s="154">
        <v>1</v>
      </c>
      <c r="G115" s="154">
        <f>VLOOKUP(E115,'Standard rooms list'!$B$3:$C$68,2,FALSE)</f>
        <v>8</v>
      </c>
      <c r="H115" s="154">
        <f t="shared" si="11"/>
        <v>8</v>
      </c>
      <c r="I115" s="83" t="s">
        <v>161</v>
      </c>
    </row>
    <row r="116" spans="2:11" x14ac:dyDescent="0.3">
      <c r="B116" s="196"/>
      <c r="C116" s="126"/>
      <c r="D116" s="126"/>
      <c r="E116" s="126"/>
      <c r="F116" s="126"/>
      <c r="G116" s="203" t="s">
        <v>47</v>
      </c>
      <c r="H116" s="126">
        <f>SUM(H109:H115)</f>
        <v>99.8</v>
      </c>
      <c r="I116" s="131"/>
      <c r="J116" s="2"/>
      <c r="K116" s="2"/>
    </row>
    <row r="117" spans="2:11" x14ac:dyDescent="0.3">
      <c r="B117" s="284" t="s">
        <v>313</v>
      </c>
      <c r="C117" s="221" t="s">
        <v>314</v>
      </c>
      <c r="D117" s="222" t="s">
        <v>112</v>
      </c>
      <c r="E117" s="219" t="s">
        <v>115</v>
      </c>
      <c r="F117" s="219">
        <v>2</v>
      </c>
      <c r="G117" s="222">
        <f>VLOOKUP(E117,'Standard rooms list'!$B$3:$C$72,2,FALSE)</f>
        <v>16</v>
      </c>
      <c r="H117" s="222">
        <f t="shared" ref="H117:H119" si="12">G117*F117</f>
        <v>32</v>
      </c>
      <c r="I117" s="226" t="s">
        <v>315</v>
      </c>
      <c r="J117" s="2"/>
      <c r="K117" s="2"/>
    </row>
    <row r="118" spans="2:11" x14ac:dyDescent="0.3">
      <c r="B118" s="284"/>
      <c r="C118" s="221" t="s">
        <v>314</v>
      </c>
      <c r="D118" s="26" t="s">
        <v>112</v>
      </c>
      <c r="E118" s="220" t="s">
        <v>117</v>
      </c>
      <c r="F118" s="220">
        <v>1</v>
      </c>
      <c r="G118" s="26">
        <f>VLOOKUP(E118,'Standard rooms list'!$B$3:$C$72,2,FALSE)</f>
        <v>20</v>
      </c>
      <c r="H118" s="26">
        <f t="shared" si="12"/>
        <v>20</v>
      </c>
      <c r="I118" s="100"/>
      <c r="J118" s="2"/>
      <c r="K118" s="2"/>
    </row>
    <row r="119" spans="2:11" x14ac:dyDescent="0.3">
      <c r="B119" s="284"/>
      <c r="C119" s="221" t="s">
        <v>314</v>
      </c>
      <c r="D119" s="26" t="s">
        <v>112</v>
      </c>
      <c r="E119" s="26" t="s">
        <v>124</v>
      </c>
      <c r="F119" s="26">
        <v>1</v>
      </c>
      <c r="G119" s="26">
        <f>VLOOKUP(E119,'Standard rooms list'!$B$3:$C$72,2,FALSE)</f>
        <v>4.5</v>
      </c>
      <c r="H119" s="26">
        <f t="shared" si="12"/>
        <v>4.5</v>
      </c>
      <c r="I119" s="100"/>
      <c r="J119" s="2"/>
      <c r="K119" s="2"/>
    </row>
    <row r="120" spans="2:11" x14ac:dyDescent="0.3">
      <c r="B120" s="284"/>
      <c r="C120" s="221" t="s">
        <v>314</v>
      </c>
      <c r="D120" s="2" t="s">
        <v>112</v>
      </c>
      <c r="E120" s="2" t="s">
        <v>316</v>
      </c>
      <c r="F120" s="2">
        <v>3</v>
      </c>
      <c r="G120" s="26">
        <f>VLOOKUP(E120,'Standard rooms list'!$B$3:$C$72,2,FALSE)</f>
        <v>8</v>
      </c>
      <c r="H120" s="2">
        <f>F120*G120</f>
        <v>24</v>
      </c>
      <c r="I120" s="15"/>
      <c r="J120" s="2"/>
      <c r="K120" s="2"/>
    </row>
    <row r="121" spans="2:11" x14ac:dyDescent="0.3">
      <c r="B121" s="284"/>
      <c r="C121" s="223" t="s">
        <v>314</v>
      </c>
      <c r="D121" s="224" t="s">
        <v>112</v>
      </c>
      <c r="E121" s="224" t="s">
        <v>166</v>
      </c>
      <c r="F121" s="224">
        <v>2</v>
      </c>
      <c r="G121" s="224">
        <f>VLOOKUP(E121,'Standard rooms list'!$B$3:$C$72,2,FALSE)</f>
        <v>4.5</v>
      </c>
      <c r="H121" s="224">
        <f>F121*G121</f>
        <v>9</v>
      </c>
      <c r="I121" s="225"/>
      <c r="J121" s="2"/>
      <c r="K121" s="2"/>
    </row>
    <row r="122" spans="2:11" x14ac:dyDescent="0.3">
      <c r="B122" s="284"/>
      <c r="C122" s="223" t="s">
        <v>314</v>
      </c>
      <c r="D122" s="224" t="s">
        <v>112</v>
      </c>
      <c r="E122" s="2" t="s">
        <v>131</v>
      </c>
      <c r="F122" s="2">
        <v>1</v>
      </c>
      <c r="G122" s="224">
        <f>VLOOKUP(E122,'Standard rooms list'!$B$3:$C$72,2,FALSE)</f>
        <v>8</v>
      </c>
      <c r="H122" s="224">
        <f>F122*G122</f>
        <v>8</v>
      </c>
      <c r="I122" s="15" t="s">
        <v>132</v>
      </c>
      <c r="J122" s="2"/>
      <c r="K122" s="2"/>
    </row>
    <row r="123" spans="2:11" x14ac:dyDescent="0.3">
      <c r="B123" s="284"/>
      <c r="C123" s="223" t="s">
        <v>314</v>
      </c>
      <c r="D123" s="224" t="s">
        <v>112</v>
      </c>
      <c r="E123" s="2" t="s">
        <v>131</v>
      </c>
      <c r="F123" s="2">
        <v>1</v>
      </c>
      <c r="G123" s="224">
        <f>VLOOKUP(E123,'Standard rooms list'!$B$3:$C$72,2,FALSE)</f>
        <v>8</v>
      </c>
      <c r="H123" s="224">
        <f>F123*G123</f>
        <v>8</v>
      </c>
      <c r="I123" s="15" t="s">
        <v>206</v>
      </c>
      <c r="J123" s="2"/>
      <c r="K123" s="2"/>
    </row>
    <row r="124" spans="2:11" x14ac:dyDescent="0.3">
      <c r="B124" s="196"/>
      <c r="C124" s="126"/>
      <c r="D124" s="126"/>
      <c r="E124" s="126"/>
      <c r="F124" s="126"/>
      <c r="G124" s="203" t="s">
        <v>47</v>
      </c>
      <c r="H124" s="126">
        <f>SUM(H117:H123)</f>
        <v>105.5</v>
      </c>
      <c r="I124" s="131"/>
      <c r="J124" s="2"/>
      <c r="K124" s="2"/>
    </row>
    <row r="125" spans="2:11" x14ac:dyDescent="0.3">
      <c r="B125" s="279" t="s">
        <v>313</v>
      </c>
      <c r="C125" s="80" t="s">
        <v>317</v>
      </c>
      <c r="D125" s="154" t="s">
        <v>170</v>
      </c>
      <c r="E125" s="154" t="s">
        <v>122</v>
      </c>
      <c r="F125" s="154">
        <v>1</v>
      </c>
      <c r="G125" s="154">
        <f>VLOOKUP(E125,'Standard rooms list'!$B$3:$C$68,2,FALSE)</f>
        <v>8</v>
      </c>
      <c r="H125" s="154">
        <f>G125*F125</f>
        <v>8</v>
      </c>
      <c r="I125" s="83"/>
      <c r="J125" s="2"/>
      <c r="K125" s="2"/>
    </row>
    <row r="126" spans="2:11" x14ac:dyDescent="0.3">
      <c r="B126" s="280"/>
      <c r="C126" s="80" t="s">
        <v>317</v>
      </c>
      <c r="D126" s="154" t="s">
        <v>170</v>
      </c>
      <c r="E126" s="158" t="s">
        <v>118</v>
      </c>
      <c r="F126" s="158">
        <v>3</v>
      </c>
      <c r="G126" s="154">
        <f>VLOOKUP(E126,'Standard rooms list'!$B$3:$C$68,2,FALSE)</f>
        <v>32.5</v>
      </c>
      <c r="H126" s="154">
        <f>G126*F126</f>
        <v>97.5</v>
      </c>
      <c r="I126" s="83" t="s">
        <v>171</v>
      </c>
      <c r="J126" s="2"/>
      <c r="K126" s="2"/>
    </row>
    <row r="127" spans="2:11" x14ac:dyDescent="0.3">
      <c r="B127" s="281"/>
      <c r="C127" s="80" t="s">
        <v>317</v>
      </c>
      <c r="D127" s="154" t="s">
        <v>170</v>
      </c>
      <c r="E127" s="154" t="s">
        <v>120</v>
      </c>
      <c r="F127" s="154">
        <v>1.5</v>
      </c>
      <c r="G127" s="154">
        <f>VLOOKUP(E127,'Standard rooms list'!$B$3:$C$68,2,FALSE)</f>
        <v>5</v>
      </c>
      <c r="H127" s="154">
        <f>G127*F127</f>
        <v>7.5</v>
      </c>
      <c r="I127" s="83" t="s">
        <v>121</v>
      </c>
      <c r="J127" s="2"/>
      <c r="K127" s="2"/>
    </row>
    <row r="128" spans="2:11" s="27" customFormat="1" x14ac:dyDescent="0.3">
      <c r="B128" s="196"/>
      <c r="C128" s="126"/>
      <c r="D128" s="126"/>
      <c r="E128" s="126"/>
      <c r="F128" s="126"/>
      <c r="G128" s="203" t="s">
        <v>47</v>
      </c>
      <c r="H128" s="126">
        <f>SUM(H125:H127)</f>
        <v>113</v>
      </c>
      <c r="I128" s="131"/>
    </row>
    <row r="129" spans="2:11" x14ac:dyDescent="0.3">
      <c r="B129" s="279" t="s">
        <v>313</v>
      </c>
      <c r="C129" s="80" t="s">
        <v>75</v>
      </c>
      <c r="D129" s="154" t="s">
        <v>125</v>
      </c>
      <c r="E129" s="154" t="s">
        <v>126</v>
      </c>
      <c r="F129" s="154">
        <v>4</v>
      </c>
      <c r="G129" s="154">
        <f>VLOOKUP(E129,'Standard rooms list'!$B$3:$C$68,2,FALSE)</f>
        <v>8</v>
      </c>
      <c r="H129" s="154">
        <f t="shared" ref="H129:H138" si="13">G129*F129</f>
        <v>32</v>
      </c>
      <c r="I129" s="83" t="s">
        <v>127</v>
      </c>
      <c r="J129" s="2"/>
      <c r="K129" s="2"/>
    </row>
    <row r="130" spans="2:11" x14ac:dyDescent="0.3">
      <c r="B130" s="280"/>
      <c r="C130" s="80" t="s">
        <v>75</v>
      </c>
      <c r="D130" s="154" t="s">
        <v>125</v>
      </c>
      <c r="E130" s="154" t="s">
        <v>128</v>
      </c>
      <c r="F130" s="154">
        <v>4</v>
      </c>
      <c r="G130" s="154">
        <f>VLOOKUP(E130,'Standard rooms list'!$B$3:$C$68,2,FALSE)</f>
        <v>8</v>
      </c>
      <c r="H130" s="154">
        <f t="shared" si="13"/>
        <v>32</v>
      </c>
      <c r="I130" s="83" t="s">
        <v>127</v>
      </c>
      <c r="J130" s="2"/>
      <c r="K130" s="2"/>
    </row>
    <row r="131" spans="2:11" x14ac:dyDescent="0.3">
      <c r="B131" s="280"/>
      <c r="C131" s="80" t="s">
        <v>75</v>
      </c>
      <c r="D131" s="154" t="s">
        <v>125</v>
      </c>
      <c r="E131" s="154" t="s">
        <v>172</v>
      </c>
      <c r="F131" s="154">
        <v>3</v>
      </c>
      <c r="G131" s="154">
        <f>VLOOKUP(E131,'Standard rooms list'!$B$3:$C$75,2,FALSE)</f>
        <v>4</v>
      </c>
      <c r="H131" s="154">
        <f t="shared" si="13"/>
        <v>12</v>
      </c>
      <c r="I131" s="83" t="s">
        <v>318</v>
      </c>
      <c r="J131" s="2"/>
      <c r="K131" s="2"/>
    </row>
    <row r="132" spans="2:11" x14ac:dyDescent="0.3">
      <c r="B132" s="280"/>
      <c r="C132" s="80" t="s">
        <v>75</v>
      </c>
      <c r="D132" s="154" t="s">
        <v>125</v>
      </c>
      <c r="E132" s="154" t="s">
        <v>129</v>
      </c>
      <c r="F132" s="154">
        <v>1</v>
      </c>
      <c r="G132" s="154">
        <f>VLOOKUP(E132,'Standard rooms list'!$B$3:$C$68,2,FALSE)</f>
        <v>8</v>
      </c>
      <c r="H132" s="154">
        <f t="shared" si="13"/>
        <v>8</v>
      </c>
      <c r="I132" s="83"/>
      <c r="J132" s="2"/>
      <c r="K132" s="2"/>
    </row>
    <row r="133" spans="2:11" x14ac:dyDescent="0.3">
      <c r="B133" s="280"/>
      <c r="C133" s="80" t="s">
        <v>75</v>
      </c>
      <c r="D133" s="154" t="s">
        <v>125</v>
      </c>
      <c r="E133" s="154" t="s">
        <v>130</v>
      </c>
      <c r="F133" s="154">
        <v>2</v>
      </c>
      <c r="G133" s="154">
        <f>VLOOKUP(E133,'Standard rooms list'!$B$3:$C$68,2,FALSE)</f>
        <v>2</v>
      </c>
      <c r="H133" s="154">
        <f t="shared" si="13"/>
        <v>4</v>
      </c>
      <c r="I133" s="83"/>
      <c r="J133" s="2"/>
      <c r="K133" s="2"/>
    </row>
    <row r="134" spans="2:11" x14ac:dyDescent="0.3">
      <c r="B134" s="280"/>
      <c r="C134" s="80" t="s">
        <v>75</v>
      </c>
      <c r="D134" s="154" t="s">
        <v>125</v>
      </c>
      <c r="E134" s="154" t="s">
        <v>133</v>
      </c>
      <c r="F134" s="154">
        <v>2</v>
      </c>
      <c r="G134" s="154">
        <f>VLOOKUP(E134,'Standard rooms list'!$B$3:$C$68,2,FALSE)</f>
        <v>2</v>
      </c>
      <c r="H134" s="154">
        <f t="shared" si="13"/>
        <v>4</v>
      </c>
      <c r="I134" s="83"/>
      <c r="J134" s="2"/>
      <c r="K134" s="2"/>
    </row>
    <row r="135" spans="2:11" x14ac:dyDescent="0.3">
      <c r="B135" s="280"/>
      <c r="C135" s="80" t="s">
        <v>75</v>
      </c>
      <c r="D135" s="154" t="s">
        <v>125</v>
      </c>
      <c r="E135" s="154" t="s">
        <v>273</v>
      </c>
      <c r="F135" s="154">
        <v>1</v>
      </c>
      <c r="G135" s="154">
        <f>VLOOKUP(E135,'Standard rooms list'!$B$3:$C$74,2,FALSE)</f>
        <v>3</v>
      </c>
      <c r="H135" s="154">
        <f t="shared" si="13"/>
        <v>3</v>
      </c>
      <c r="I135" s="83"/>
      <c r="J135" s="2"/>
      <c r="K135" s="2"/>
    </row>
    <row r="136" spans="2:11" x14ac:dyDescent="0.3">
      <c r="B136" s="280"/>
      <c r="C136" s="80" t="s">
        <v>75</v>
      </c>
      <c r="D136" s="154" t="s">
        <v>125</v>
      </c>
      <c r="E136" s="154" t="s">
        <v>276</v>
      </c>
      <c r="F136" s="154">
        <v>1</v>
      </c>
      <c r="G136" s="154">
        <f>VLOOKUP(E136,'Standard rooms list'!$B$3:$C$68,2,FALSE)</f>
        <v>3</v>
      </c>
      <c r="H136" s="154">
        <f t="shared" si="13"/>
        <v>3</v>
      </c>
      <c r="I136" s="83"/>
      <c r="J136" s="2"/>
      <c r="K136" s="2"/>
    </row>
    <row r="137" spans="2:11" x14ac:dyDescent="0.3">
      <c r="B137" s="280"/>
      <c r="C137" s="80" t="s">
        <v>75</v>
      </c>
      <c r="D137" s="60" t="s">
        <v>125</v>
      </c>
      <c r="E137" s="60" t="s">
        <v>136</v>
      </c>
      <c r="F137" s="60">
        <v>1</v>
      </c>
      <c r="G137" s="60">
        <f>VLOOKUP(E137,'Standard rooms list'!$B$3:$C$68,2,FALSE)</f>
        <v>2</v>
      </c>
      <c r="H137" s="60">
        <f t="shared" si="13"/>
        <v>2</v>
      </c>
      <c r="I137" s="81"/>
      <c r="J137" s="2"/>
      <c r="K137" s="2"/>
    </row>
    <row r="138" spans="2:11" x14ac:dyDescent="0.3">
      <c r="B138" s="280"/>
      <c r="C138" s="80" t="s">
        <v>75</v>
      </c>
      <c r="D138" s="154" t="s">
        <v>125</v>
      </c>
      <c r="E138" s="154" t="s">
        <v>135</v>
      </c>
      <c r="F138" s="154">
        <v>1</v>
      </c>
      <c r="G138" s="154">
        <f>VLOOKUP(E138,'Standard rooms list'!$B$3:$C$68,2,FALSE)</f>
        <v>8</v>
      </c>
      <c r="H138" s="154">
        <f t="shared" si="13"/>
        <v>8</v>
      </c>
      <c r="I138" s="83"/>
      <c r="J138" s="2"/>
      <c r="K138" s="2"/>
    </row>
    <row r="139" spans="2:11" s="27" customFormat="1" x14ac:dyDescent="0.3">
      <c r="B139" s="217"/>
      <c r="C139" s="173"/>
      <c r="D139" s="173"/>
      <c r="E139" s="173"/>
      <c r="F139" s="173"/>
      <c r="G139" s="203" t="s">
        <v>47</v>
      </c>
      <c r="H139" s="173">
        <f>SUM(H129:H138)</f>
        <v>108</v>
      </c>
      <c r="I139" s="210"/>
    </row>
    <row r="140" spans="2:11" ht="14.5" customHeight="1" x14ac:dyDescent="0.3">
      <c r="B140" s="279" t="s">
        <v>313</v>
      </c>
      <c r="C140" s="80" t="s">
        <v>75</v>
      </c>
      <c r="D140" s="60" t="s">
        <v>140</v>
      </c>
      <c r="E140" s="152" t="s">
        <v>141</v>
      </c>
      <c r="F140" s="152">
        <v>6</v>
      </c>
      <c r="G140" s="60">
        <f>VLOOKUP(E140,'Standard rooms list'!$B$3:$C$68,2,FALSE)</f>
        <v>4.5999999999999996</v>
      </c>
      <c r="H140" s="60">
        <f t="shared" ref="H140:H154" si="14">G140*F140</f>
        <v>27.599999999999998</v>
      </c>
      <c r="I140" s="283" t="s">
        <v>249</v>
      </c>
      <c r="J140" s="2"/>
      <c r="K140" s="2"/>
    </row>
    <row r="141" spans="2:11" x14ac:dyDescent="0.3">
      <c r="B141" s="280"/>
      <c r="C141" s="80" t="s">
        <v>75</v>
      </c>
      <c r="D141" s="60" t="s">
        <v>140</v>
      </c>
      <c r="E141" s="60" t="s">
        <v>111</v>
      </c>
      <c r="F141" s="60">
        <v>2</v>
      </c>
      <c r="G141" s="60">
        <f>VLOOKUP(E141,'Standard rooms list'!$B$3:$C$68,2,FALSE)</f>
        <v>8</v>
      </c>
      <c r="H141" s="60">
        <f t="shared" si="14"/>
        <v>16</v>
      </c>
      <c r="I141" s="283"/>
      <c r="J141" s="2"/>
      <c r="K141" s="2"/>
    </row>
    <row r="142" spans="2:11" x14ac:dyDescent="0.3">
      <c r="B142" s="280"/>
      <c r="C142" s="80" t="s">
        <v>75</v>
      </c>
      <c r="D142" s="60" t="s">
        <v>140</v>
      </c>
      <c r="E142" s="60" t="s">
        <v>143</v>
      </c>
      <c r="F142" s="60">
        <v>1</v>
      </c>
      <c r="G142" s="60">
        <f>VLOOKUP(E142,'Standard rooms list'!$B$3:$C$68,2,FALSE)</f>
        <v>8</v>
      </c>
      <c r="H142" s="60">
        <f t="shared" si="14"/>
        <v>8</v>
      </c>
      <c r="I142" s="81" t="s">
        <v>176</v>
      </c>
      <c r="J142" s="2"/>
      <c r="K142" s="2"/>
    </row>
    <row r="143" spans="2:11" x14ac:dyDescent="0.3">
      <c r="B143" s="280"/>
      <c r="C143" s="80" t="s">
        <v>75</v>
      </c>
      <c r="D143" s="60" t="s">
        <v>140</v>
      </c>
      <c r="E143" s="60" t="s">
        <v>143</v>
      </c>
      <c r="F143" s="60">
        <v>1</v>
      </c>
      <c r="G143" s="60">
        <f>VLOOKUP(E143,'Standard rooms list'!$B$3:$C$68,2,FALSE)</f>
        <v>8</v>
      </c>
      <c r="H143" s="60">
        <f t="shared" si="14"/>
        <v>8</v>
      </c>
      <c r="I143" s="81" t="s">
        <v>177</v>
      </c>
      <c r="J143" s="2"/>
      <c r="K143" s="2"/>
    </row>
    <row r="144" spans="2:11" x14ac:dyDescent="0.3">
      <c r="B144" s="280"/>
      <c r="C144" s="80" t="s">
        <v>75</v>
      </c>
      <c r="D144" s="60" t="s">
        <v>140</v>
      </c>
      <c r="E144" s="60" t="s">
        <v>143</v>
      </c>
      <c r="F144" s="60">
        <v>1</v>
      </c>
      <c r="G144" s="60">
        <f>VLOOKUP(E144,'Standard rooms list'!$B$3:$C$68,2,FALSE)</f>
        <v>8</v>
      </c>
      <c r="H144" s="60">
        <f t="shared" si="14"/>
        <v>8</v>
      </c>
      <c r="I144" s="81" t="s">
        <v>250</v>
      </c>
      <c r="J144" s="2"/>
      <c r="K144" s="2"/>
    </row>
    <row r="145" spans="2:11" x14ac:dyDescent="0.3">
      <c r="B145" s="280"/>
      <c r="C145" s="80" t="s">
        <v>75</v>
      </c>
      <c r="D145" s="60" t="s">
        <v>140</v>
      </c>
      <c r="E145" s="60" t="s">
        <v>143</v>
      </c>
      <c r="F145" s="60">
        <v>1</v>
      </c>
      <c r="G145" s="60">
        <f>VLOOKUP(E145,'Standard rooms list'!$B$3:$C$68,2,FALSE)</f>
        <v>8</v>
      </c>
      <c r="H145" s="60">
        <f t="shared" si="14"/>
        <v>8</v>
      </c>
      <c r="I145" s="81" t="s">
        <v>319</v>
      </c>
      <c r="J145" s="2"/>
      <c r="K145" s="2"/>
    </row>
    <row r="146" spans="2:11" x14ac:dyDescent="0.3">
      <c r="B146" s="280"/>
      <c r="C146" s="80" t="s">
        <v>75</v>
      </c>
      <c r="D146" s="60" t="s">
        <v>140</v>
      </c>
      <c r="E146" s="60" t="s">
        <v>145</v>
      </c>
      <c r="F146" s="153">
        <f>(SUM(F83,F92,F93,F94,F101,F102,F103,F104,F109,F110,F117,F118,F120,F126)*0.8)</f>
        <v>21.6</v>
      </c>
      <c r="G146" s="60">
        <f>VLOOKUP(E146,'Standard rooms list'!$B$3:$C$68,2,FALSE)</f>
        <v>5</v>
      </c>
      <c r="H146" s="60">
        <f t="shared" si="14"/>
        <v>108</v>
      </c>
      <c r="I146" s="81" t="s">
        <v>251</v>
      </c>
      <c r="J146" s="2"/>
      <c r="K146" s="2"/>
    </row>
    <row r="147" spans="2:11" x14ac:dyDescent="0.3">
      <c r="B147" s="280"/>
      <c r="C147" s="80" t="s">
        <v>75</v>
      </c>
      <c r="D147" s="60" t="s">
        <v>140</v>
      </c>
      <c r="E147" s="60" t="s">
        <v>147</v>
      </c>
      <c r="F147" s="153">
        <f>F146</f>
        <v>21.6</v>
      </c>
      <c r="G147" s="60">
        <v>0.125</v>
      </c>
      <c r="H147" s="60">
        <f t="shared" si="14"/>
        <v>2.7</v>
      </c>
      <c r="I147" s="81"/>
      <c r="J147" s="2"/>
      <c r="K147" s="2"/>
    </row>
    <row r="148" spans="2:11" x14ac:dyDescent="0.3">
      <c r="B148" s="280"/>
      <c r="C148" s="80" t="s">
        <v>75</v>
      </c>
      <c r="D148" s="60" t="s">
        <v>140</v>
      </c>
      <c r="E148" s="60" t="s">
        <v>148</v>
      </c>
      <c r="F148" s="60">
        <v>3</v>
      </c>
      <c r="G148" s="60">
        <f>VLOOKUP(E148,'Standard rooms list'!$B$3:$C$68,2,FALSE)</f>
        <v>2</v>
      </c>
      <c r="H148" s="60">
        <f t="shared" si="14"/>
        <v>6</v>
      </c>
      <c r="I148" s="81" t="s">
        <v>149</v>
      </c>
      <c r="J148" s="2"/>
      <c r="K148" s="2"/>
    </row>
    <row r="149" spans="2:11" x14ac:dyDescent="0.3">
      <c r="B149" s="280"/>
      <c r="C149" s="80" t="s">
        <v>75</v>
      </c>
      <c r="D149" s="60" t="s">
        <v>140</v>
      </c>
      <c r="E149" s="60" t="s">
        <v>150</v>
      </c>
      <c r="F149" s="60">
        <v>2</v>
      </c>
      <c r="G149" s="60">
        <f>VLOOKUP(E149,'Standard rooms list'!$B$3:$C$68,2,FALSE)</f>
        <v>4.5</v>
      </c>
      <c r="H149" s="60">
        <f t="shared" si="14"/>
        <v>9</v>
      </c>
      <c r="I149" s="81" t="s">
        <v>149</v>
      </c>
      <c r="J149" s="2"/>
      <c r="K149" s="2"/>
    </row>
    <row r="150" spans="2:11" x14ac:dyDescent="0.3">
      <c r="B150" s="280"/>
      <c r="C150" s="80" t="s">
        <v>75</v>
      </c>
      <c r="D150" s="60" t="s">
        <v>140</v>
      </c>
      <c r="E150" s="60" t="s">
        <v>151</v>
      </c>
      <c r="F150" s="60">
        <f>SUM(F83,F92,F93,F94,F101,F102,F103,F104,F109,F110,F117,F118,F120,F126)</f>
        <v>27</v>
      </c>
      <c r="G150" s="60">
        <f>VLOOKUP(E150,'Standard rooms list'!$B$3:$C$68,2,FALSE)</f>
        <v>1.8</v>
      </c>
      <c r="H150" s="60">
        <f t="shared" si="14"/>
        <v>48.6</v>
      </c>
      <c r="I150" s="81" t="s">
        <v>179</v>
      </c>
      <c r="J150" s="2"/>
      <c r="K150" s="2"/>
    </row>
    <row r="151" spans="2:11" x14ac:dyDescent="0.3">
      <c r="B151" s="280"/>
      <c r="C151" s="80" t="s">
        <v>75</v>
      </c>
      <c r="D151" s="60" t="s">
        <v>140</v>
      </c>
      <c r="E151" s="60" t="s">
        <v>153</v>
      </c>
      <c r="F151" s="60">
        <f>F150</f>
        <v>27</v>
      </c>
      <c r="G151" s="60">
        <f>VLOOKUP(E151,'Standard rooms list'!$B$3:$C$68,2,FALSE)</f>
        <v>1.4</v>
      </c>
      <c r="H151" s="60">
        <f t="shared" si="14"/>
        <v>37.799999999999997</v>
      </c>
      <c r="I151" s="81" t="s">
        <v>179</v>
      </c>
      <c r="J151" s="2"/>
      <c r="K151" s="2"/>
    </row>
    <row r="152" spans="2:11" x14ac:dyDescent="0.3">
      <c r="B152" s="280"/>
      <c r="C152" s="80" t="s">
        <v>75</v>
      </c>
      <c r="D152" s="60" t="s">
        <v>140</v>
      </c>
      <c r="E152" s="2" t="s">
        <v>154</v>
      </c>
      <c r="F152" s="2">
        <v>1</v>
      </c>
      <c r="G152" s="2">
        <f>VLOOKUP(E152,'Standard rooms list'!$B$3:$C$150,2,FALSE)</f>
        <v>6</v>
      </c>
      <c r="H152" s="2">
        <f t="shared" si="14"/>
        <v>6</v>
      </c>
      <c r="I152" s="81"/>
      <c r="J152" s="2"/>
      <c r="K152" s="2"/>
    </row>
    <row r="153" spans="2:11" x14ac:dyDescent="0.3">
      <c r="B153" s="280"/>
      <c r="C153" s="80" t="s">
        <v>75</v>
      </c>
      <c r="D153" s="60" t="s">
        <v>140</v>
      </c>
      <c r="E153" s="2" t="s">
        <v>137</v>
      </c>
      <c r="F153" s="2">
        <v>1</v>
      </c>
      <c r="G153" s="2">
        <f>VLOOKUP(E153,'Standard rooms list'!$B$3:$C$150,2,FALSE)</f>
        <v>4.5</v>
      </c>
      <c r="H153" s="2">
        <f t="shared" si="14"/>
        <v>4.5</v>
      </c>
      <c r="I153" s="81"/>
      <c r="J153" s="2"/>
      <c r="K153" s="2"/>
    </row>
    <row r="154" spans="2:11" x14ac:dyDescent="0.3">
      <c r="B154" s="280"/>
      <c r="C154" s="80" t="s">
        <v>75</v>
      </c>
      <c r="D154" s="60" t="s">
        <v>140</v>
      </c>
      <c r="E154" s="2" t="s">
        <v>155</v>
      </c>
      <c r="F154" s="2">
        <v>8</v>
      </c>
      <c r="G154" s="2">
        <f>VLOOKUP(E154,'Standard rooms list'!$B$3:$C$150,2,FALSE)</f>
        <v>0.5</v>
      </c>
      <c r="H154" s="2">
        <f t="shared" si="14"/>
        <v>4</v>
      </c>
      <c r="I154" s="81"/>
      <c r="J154" s="2"/>
      <c r="K154" s="2"/>
    </row>
    <row r="155" spans="2:11" s="27" customFormat="1" x14ac:dyDescent="0.3">
      <c r="B155" s="197"/>
      <c r="C155" s="133"/>
      <c r="D155" s="133"/>
      <c r="E155" s="133"/>
      <c r="F155" s="133"/>
      <c r="G155" s="203" t="s">
        <v>47</v>
      </c>
      <c r="H155" s="133">
        <f>SUM(H140:H154)</f>
        <v>302.2</v>
      </c>
      <c r="I155" s="135"/>
    </row>
    <row r="156" spans="2:11" s="27" customFormat="1" ht="14.5" customHeight="1" x14ac:dyDescent="0.3">
      <c r="B156" s="198"/>
      <c r="C156" s="122"/>
      <c r="D156" s="122"/>
      <c r="E156" s="278" t="s">
        <v>320</v>
      </c>
      <c r="F156" s="278"/>
      <c r="G156" s="278"/>
      <c r="H156" s="122">
        <f>SUM(H155,H139,H128,H124,H116,H108,H100,H91,H84)</f>
        <v>1281.5</v>
      </c>
      <c r="I156" s="141"/>
    </row>
    <row r="157" spans="2:11" s="27" customFormat="1" x14ac:dyDescent="0.3">
      <c r="B157" s="199"/>
      <c r="C157" s="201" t="s">
        <v>253</v>
      </c>
      <c r="D157" s="201"/>
      <c r="E157" s="201"/>
      <c r="F157" s="201"/>
      <c r="G157" s="201"/>
      <c r="H157" s="201"/>
      <c r="I157" s="202"/>
    </row>
    <row r="158" spans="2:11" ht="14.5" customHeight="1" x14ac:dyDescent="0.3">
      <c r="B158" s="279" t="s">
        <v>232</v>
      </c>
      <c r="C158" s="171" t="s">
        <v>254</v>
      </c>
      <c r="D158" s="184" t="s">
        <v>244</v>
      </c>
      <c r="E158" s="184" t="s">
        <v>87</v>
      </c>
      <c r="F158" s="184">
        <v>1</v>
      </c>
      <c r="G158" s="184">
        <f>VLOOKUP(E158,'Standard rooms list'!$B$3:$C$69,2,FALSE)</f>
        <v>6</v>
      </c>
      <c r="H158" s="184">
        <f>F158*G158</f>
        <v>6</v>
      </c>
      <c r="I158" s="185"/>
      <c r="J158" s="2"/>
      <c r="K158" s="2"/>
    </row>
    <row r="159" spans="2:11" ht="12.65" customHeight="1" x14ac:dyDescent="0.3">
      <c r="B159" s="280"/>
      <c r="C159" s="160" t="s">
        <v>254</v>
      </c>
      <c r="D159" s="184" t="s">
        <v>244</v>
      </c>
      <c r="E159" s="184" t="s">
        <v>101</v>
      </c>
      <c r="F159" s="184">
        <f>(SUM(F172,F173,F175)*2)+(F174*8)</f>
        <v>14</v>
      </c>
      <c r="G159" s="186">
        <f>VLOOKUP(E159,'Standard rooms list'!$B$3:$C$69,2,FALSE)</f>
        <v>2</v>
      </c>
      <c r="H159" s="184">
        <f>F159*G159</f>
        <v>28</v>
      </c>
      <c r="I159" s="187" t="s">
        <v>255</v>
      </c>
      <c r="J159" s="2"/>
      <c r="K159" s="2"/>
    </row>
    <row r="160" spans="2:11" x14ac:dyDescent="0.3">
      <c r="B160" s="280"/>
      <c r="C160" s="160" t="s">
        <v>254</v>
      </c>
      <c r="D160" s="184" t="s">
        <v>244</v>
      </c>
      <c r="E160" s="186" t="s">
        <v>103</v>
      </c>
      <c r="F160" s="186">
        <v>3</v>
      </c>
      <c r="G160" s="186">
        <f>VLOOKUP(E160,'Standard rooms list'!$B$3:$C$69,2,FALSE)</f>
        <v>2</v>
      </c>
      <c r="H160" s="186">
        <f t="shared" ref="H160:H164" si="15">F160*G160</f>
        <v>6</v>
      </c>
      <c r="I160" s="114" t="s">
        <v>256</v>
      </c>
      <c r="J160" s="2"/>
      <c r="K160" s="2"/>
    </row>
    <row r="161" spans="2:11" x14ac:dyDescent="0.3">
      <c r="B161" s="280"/>
      <c r="C161" s="160" t="s">
        <v>254</v>
      </c>
      <c r="D161" s="184" t="s">
        <v>244</v>
      </c>
      <c r="E161" s="186" t="s">
        <v>105</v>
      </c>
      <c r="F161" s="186">
        <v>1</v>
      </c>
      <c r="G161" s="186">
        <f>VLOOKUP(E161,'Standard rooms list'!$B$3:$C$69,2,FALSE)</f>
        <v>5.5</v>
      </c>
      <c r="H161" s="186">
        <f t="shared" si="15"/>
        <v>5.5</v>
      </c>
      <c r="I161" s="187" t="s">
        <v>257</v>
      </c>
      <c r="J161" s="2"/>
      <c r="K161" s="2"/>
    </row>
    <row r="162" spans="2:11" x14ac:dyDescent="0.3">
      <c r="B162" s="280"/>
      <c r="C162" s="160" t="s">
        <v>254</v>
      </c>
      <c r="D162" s="184" t="s">
        <v>244</v>
      </c>
      <c r="E162" s="186" t="s">
        <v>109</v>
      </c>
      <c r="F162" s="186">
        <v>2</v>
      </c>
      <c r="G162" s="186">
        <f>VLOOKUP(E162,'Standard rooms list'!$B$3:$C$69,2,FALSE)</f>
        <v>2.5</v>
      </c>
      <c r="H162" s="186">
        <f t="shared" si="15"/>
        <v>5</v>
      </c>
      <c r="I162" s="187" t="s">
        <v>258</v>
      </c>
      <c r="J162" s="2"/>
      <c r="K162" s="2"/>
    </row>
    <row r="163" spans="2:11" x14ac:dyDescent="0.3">
      <c r="B163" s="280"/>
      <c r="C163" s="160" t="s">
        <v>254</v>
      </c>
      <c r="D163" s="184" t="s">
        <v>244</v>
      </c>
      <c r="E163" s="186" t="s">
        <v>98</v>
      </c>
      <c r="F163" s="186">
        <v>1</v>
      </c>
      <c r="G163" s="186">
        <f>VLOOKUP(E163,'Standard rooms list'!$B$3:$C$69,2,FALSE)</f>
        <v>4.5</v>
      </c>
      <c r="H163" s="186">
        <f t="shared" si="15"/>
        <v>4.5</v>
      </c>
      <c r="I163" s="187" t="s">
        <v>258</v>
      </c>
      <c r="J163" s="2"/>
      <c r="K163" s="2"/>
    </row>
    <row r="164" spans="2:11" x14ac:dyDescent="0.3">
      <c r="B164" s="280"/>
      <c r="C164" s="170" t="s">
        <v>254</v>
      </c>
      <c r="D164" s="188" t="s">
        <v>244</v>
      </c>
      <c r="E164" s="155" t="s">
        <v>259</v>
      </c>
      <c r="F164" s="155">
        <v>1</v>
      </c>
      <c r="G164" s="189">
        <f>VLOOKUP(E164,'Standard rooms list'!$B$3:$C$69,2,FALSE)</f>
        <v>10</v>
      </c>
      <c r="H164" s="155">
        <f t="shared" si="15"/>
        <v>10</v>
      </c>
      <c r="I164" s="190"/>
      <c r="J164" s="2"/>
      <c r="K164" s="2"/>
    </row>
    <row r="165" spans="2:11" s="27" customFormat="1" x14ac:dyDescent="0.3">
      <c r="B165" s="196"/>
      <c r="C165" s="203"/>
      <c r="D165" s="203"/>
      <c r="E165" s="203"/>
      <c r="F165" s="203"/>
      <c r="G165" s="203" t="s">
        <v>47</v>
      </c>
      <c r="H165" s="203">
        <f>SUM(H158:H164)</f>
        <v>65</v>
      </c>
      <c r="I165" s="204"/>
    </row>
    <row r="166" spans="2:11" x14ac:dyDescent="0.3">
      <c r="B166" s="279" t="s">
        <v>232</v>
      </c>
      <c r="C166" s="171" t="s">
        <v>260</v>
      </c>
      <c r="D166" s="184" t="s">
        <v>39</v>
      </c>
      <c r="E166" s="184" t="s">
        <v>101</v>
      </c>
      <c r="F166" s="184">
        <f>(SUM(F183,F184,F185,F186)*2)</f>
        <v>14</v>
      </c>
      <c r="G166" s="184">
        <f>VLOOKUP(E166,'Standard rooms list'!$B$3:$C$69,2,FALSE)</f>
        <v>2</v>
      </c>
      <c r="H166" s="184">
        <f>F166*G166</f>
        <v>28</v>
      </c>
      <c r="I166" s="191" t="s">
        <v>261</v>
      </c>
      <c r="J166" s="2"/>
      <c r="K166" s="2"/>
    </row>
    <row r="167" spans="2:11" x14ac:dyDescent="0.3">
      <c r="B167" s="280"/>
      <c r="C167" s="160" t="s">
        <v>260</v>
      </c>
      <c r="D167" s="186" t="s">
        <v>39</v>
      </c>
      <c r="E167" s="186" t="s">
        <v>103</v>
      </c>
      <c r="F167" s="186">
        <v>3</v>
      </c>
      <c r="G167" s="186">
        <f>VLOOKUP(E167,'Standard rooms list'!$B$3:$C$69,2,FALSE)</f>
        <v>2</v>
      </c>
      <c r="H167" s="186">
        <f t="shared" ref="H167:H170" si="16">F167*G167</f>
        <v>6</v>
      </c>
      <c r="I167" s="187" t="s">
        <v>262</v>
      </c>
      <c r="J167" s="2"/>
      <c r="K167" s="2"/>
    </row>
    <row r="168" spans="2:11" x14ac:dyDescent="0.3">
      <c r="B168" s="280"/>
      <c r="C168" s="160" t="s">
        <v>260</v>
      </c>
      <c r="D168" s="186" t="s">
        <v>39</v>
      </c>
      <c r="E168" s="186" t="s">
        <v>105</v>
      </c>
      <c r="F168" s="186">
        <v>1</v>
      </c>
      <c r="G168" s="186">
        <f>VLOOKUP(E168,'Standard rooms list'!$B$3:$C$69,2,FALSE)</f>
        <v>5.5</v>
      </c>
      <c r="H168" s="186">
        <f t="shared" si="16"/>
        <v>5.5</v>
      </c>
      <c r="I168" s="187" t="s">
        <v>257</v>
      </c>
      <c r="J168" s="2"/>
      <c r="K168" s="2"/>
    </row>
    <row r="169" spans="2:11" x14ac:dyDescent="0.3">
      <c r="B169" s="280"/>
      <c r="C169" s="160" t="s">
        <v>260</v>
      </c>
      <c r="D169" s="186" t="s">
        <v>39</v>
      </c>
      <c r="E169" s="186" t="s">
        <v>109</v>
      </c>
      <c r="F169" s="186">
        <v>1</v>
      </c>
      <c r="G169" s="186">
        <f>VLOOKUP(E169,'Standard rooms list'!$B$3:$C$69,2,FALSE)</f>
        <v>2.5</v>
      </c>
      <c r="H169" s="186">
        <f t="shared" si="16"/>
        <v>2.5</v>
      </c>
      <c r="I169" s="192"/>
      <c r="J169" s="2"/>
      <c r="K169" s="2"/>
    </row>
    <row r="170" spans="2:11" x14ac:dyDescent="0.3">
      <c r="B170" s="281"/>
      <c r="C170" s="170" t="s">
        <v>260</v>
      </c>
      <c r="D170" s="189" t="s">
        <v>39</v>
      </c>
      <c r="E170" s="189" t="s">
        <v>98</v>
      </c>
      <c r="F170" s="189">
        <v>1</v>
      </c>
      <c r="G170" s="189">
        <f>VLOOKUP(E170,'Standard rooms list'!$B$3:$C$69,2,FALSE)</f>
        <v>4.5</v>
      </c>
      <c r="H170" s="189">
        <f t="shared" si="16"/>
        <v>4.5</v>
      </c>
      <c r="I170" s="193"/>
      <c r="J170" s="2"/>
      <c r="K170" s="2"/>
    </row>
    <row r="171" spans="2:11" s="27" customFormat="1" x14ac:dyDescent="0.3">
      <c r="B171" s="196"/>
      <c r="C171" s="203"/>
      <c r="D171" s="203"/>
      <c r="E171" s="203"/>
      <c r="F171" s="203"/>
      <c r="G171" s="203" t="s">
        <v>47</v>
      </c>
      <c r="H171" s="203">
        <f>SUM(H166:H170)</f>
        <v>46.5</v>
      </c>
      <c r="I171" s="204"/>
    </row>
    <row r="172" spans="2:11" x14ac:dyDescent="0.3">
      <c r="B172" s="218"/>
      <c r="C172" s="171" t="s">
        <v>254</v>
      </c>
      <c r="D172" s="169" t="s">
        <v>112</v>
      </c>
      <c r="E172" s="183" t="s">
        <v>111</v>
      </c>
      <c r="F172" s="183">
        <v>1</v>
      </c>
      <c r="G172" s="169">
        <f>VLOOKUP(E172,'Standard rooms list'!$B$3:$C$69,2,FALSE)</f>
        <v>8</v>
      </c>
      <c r="H172" s="169">
        <f>G172*F172</f>
        <v>8</v>
      </c>
      <c r="I172" s="174"/>
      <c r="J172" s="2"/>
      <c r="K172" s="2"/>
    </row>
    <row r="173" spans="2:11" x14ac:dyDescent="0.3">
      <c r="B173" s="280" t="s">
        <v>232</v>
      </c>
      <c r="C173" s="160" t="s">
        <v>254</v>
      </c>
      <c r="D173" s="169" t="s">
        <v>112</v>
      </c>
      <c r="E173" s="177" t="s">
        <v>113</v>
      </c>
      <c r="F173" s="177">
        <v>1</v>
      </c>
      <c r="G173" s="161">
        <f>VLOOKUP(E173,'Standard rooms list'!$B$3:$C$69,2,FALSE)</f>
        <v>13.5</v>
      </c>
      <c r="H173" s="161">
        <f t="shared" ref="H173:H181" si="17">G173*F173</f>
        <v>13.5</v>
      </c>
      <c r="I173" s="164" t="s">
        <v>263</v>
      </c>
      <c r="J173" s="2"/>
      <c r="K173" s="2"/>
    </row>
    <row r="174" spans="2:11" x14ac:dyDescent="0.3">
      <c r="B174" s="280"/>
      <c r="C174" s="160" t="s">
        <v>254</v>
      </c>
      <c r="D174" s="169" t="s">
        <v>112</v>
      </c>
      <c r="E174" s="177" t="s">
        <v>118</v>
      </c>
      <c r="F174" s="177">
        <v>1</v>
      </c>
      <c r="G174" s="161">
        <f>VLOOKUP(E174,'Standard rooms list'!$B$3:$C$69,2,FALSE)</f>
        <v>32.5</v>
      </c>
      <c r="H174" s="161">
        <f t="shared" si="17"/>
        <v>32.5</v>
      </c>
      <c r="I174" s="164"/>
      <c r="J174" s="2"/>
      <c r="K174" s="2"/>
    </row>
    <row r="175" spans="2:11" x14ac:dyDescent="0.3">
      <c r="B175" s="280"/>
      <c r="C175" s="160" t="s">
        <v>254</v>
      </c>
      <c r="D175" s="169" t="s">
        <v>112</v>
      </c>
      <c r="E175" s="177" t="s">
        <v>115</v>
      </c>
      <c r="F175" s="177">
        <v>1</v>
      </c>
      <c r="G175" s="161">
        <f>VLOOKUP(E175,'Standard rooms list'!$B$3:$C$69,2,FALSE)</f>
        <v>16</v>
      </c>
      <c r="H175" s="161">
        <f>G175*F175</f>
        <v>16</v>
      </c>
      <c r="I175" s="164"/>
      <c r="J175" s="2"/>
      <c r="K175" s="2"/>
    </row>
    <row r="176" spans="2:11" x14ac:dyDescent="0.3">
      <c r="B176" s="280"/>
      <c r="C176" s="160" t="s">
        <v>254</v>
      </c>
      <c r="D176" s="169" t="s">
        <v>112</v>
      </c>
      <c r="E176" s="161" t="s">
        <v>120</v>
      </c>
      <c r="F176" s="161">
        <v>1</v>
      </c>
      <c r="G176" s="161">
        <v>5</v>
      </c>
      <c r="H176" s="161">
        <f>G176*F176</f>
        <v>5</v>
      </c>
      <c r="I176" s="164" t="s">
        <v>264</v>
      </c>
      <c r="J176" s="2"/>
      <c r="K176" s="2"/>
    </row>
    <row r="177" spans="2:11" x14ac:dyDescent="0.3">
      <c r="B177" s="280"/>
      <c r="C177" s="160" t="s">
        <v>254</v>
      </c>
      <c r="D177" s="169" t="s">
        <v>112</v>
      </c>
      <c r="E177" s="161" t="s">
        <v>265</v>
      </c>
      <c r="F177" s="161">
        <v>1</v>
      </c>
      <c r="G177" s="161">
        <f>VLOOKUP(E177,'Standard rooms list'!$B$3:$C$70,2,FALSE)</f>
        <v>8</v>
      </c>
      <c r="H177" s="161">
        <f t="shared" si="17"/>
        <v>8</v>
      </c>
      <c r="I177" s="164" t="s">
        <v>266</v>
      </c>
      <c r="J177" s="2"/>
      <c r="K177" s="2"/>
    </row>
    <row r="178" spans="2:11" x14ac:dyDescent="0.3">
      <c r="B178" s="280"/>
      <c r="C178" s="160" t="s">
        <v>254</v>
      </c>
      <c r="D178" s="169" t="s">
        <v>112</v>
      </c>
      <c r="E178" s="161" t="s">
        <v>197</v>
      </c>
      <c r="F178" s="161">
        <v>1</v>
      </c>
      <c r="G178" s="161">
        <f>VLOOKUP(E178,'Standard rooms list'!$B$3:$C$70,2,FALSE)</f>
        <v>3</v>
      </c>
      <c r="H178" s="161">
        <f>G178*F178</f>
        <v>3</v>
      </c>
      <c r="I178" s="164"/>
      <c r="J178" s="2"/>
      <c r="K178" s="2"/>
    </row>
    <row r="179" spans="2:11" x14ac:dyDescent="0.3">
      <c r="B179" s="280"/>
      <c r="C179" s="160" t="s">
        <v>254</v>
      </c>
      <c r="D179" s="169" t="s">
        <v>112</v>
      </c>
      <c r="E179" s="154" t="s">
        <v>98</v>
      </c>
      <c r="F179" s="154">
        <v>1</v>
      </c>
      <c r="G179" s="161">
        <f>VLOOKUP(E179,'Standard rooms list'!$B$3:$C$69,2,FALSE)</f>
        <v>4.5</v>
      </c>
      <c r="H179" s="154">
        <f t="shared" si="17"/>
        <v>4.5</v>
      </c>
      <c r="I179" s="116" t="s">
        <v>267</v>
      </c>
      <c r="J179" s="2"/>
      <c r="K179" s="2"/>
    </row>
    <row r="180" spans="2:11" x14ac:dyDescent="0.3">
      <c r="B180" s="280"/>
      <c r="C180" s="160" t="s">
        <v>254</v>
      </c>
      <c r="D180" s="169" t="s">
        <v>112</v>
      </c>
      <c r="E180" s="161" t="s">
        <v>131</v>
      </c>
      <c r="F180" s="161">
        <v>1</v>
      </c>
      <c r="G180" s="161">
        <f>VLOOKUP(E180,'Standard rooms list'!$B$3:$C$69,2,FALSE)</f>
        <v>8</v>
      </c>
      <c r="H180" s="161">
        <f t="shared" si="17"/>
        <v>8</v>
      </c>
      <c r="I180" s="164" t="s">
        <v>268</v>
      </c>
      <c r="J180" s="2"/>
      <c r="K180" s="2"/>
    </row>
    <row r="181" spans="2:11" x14ac:dyDescent="0.3">
      <c r="B181" s="281"/>
      <c r="C181" s="170" t="s">
        <v>254</v>
      </c>
      <c r="D181" s="172" t="s">
        <v>112</v>
      </c>
      <c r="E181" s="165" t="s">
        <v>131</v>
      </c>
      <c r="F181" s="165">
        <v>1</v>
      </c>
      <c r="G181" s="165">
        <f>VLOOKUP(E181,'Standard rooms list'!$B$3:$C$69,2,FALSE)</f>
        <v>8</v>
      </c>
      <c r="H181" s="165">
        <f t="shared" si="17"/>
        <v>8</v>
      </c>
      <c r="I181" s="168" t="s">
        <v>132</v>
      </c>
      <c r="J181" s="2"/>
      <c r="K181" s="2"/>
    </row>
    <row r="182" spans="2:11" s="27" customFormat="1" x14ac:dyDescent="0.3">
      <c r="B182" s="196"/>
      <c r="C182" s="203"/>
      <c r="D182" s="203"/>
      <c r="E182" s="203"/>
      <c r="F182" s="203"/>
      <c r="G182" s="203" t="s">
        <v>47</v>
      </c>
      <c r="H182" s="203">
        <f>SUM(H172:H181)</f>
        <v>106.5</v>
      </c>
      <c r="I182" s="204"/>
    </row>
    <row r="183" spans="2:11" x14ac:dyDescent="0.3">
      <c r="B183" s="279" t="s">
        <v>232</v>
      </c>
      <c r="C183" s="171" t="s">
        <v>260</v>
      </c>
      <c r="D183" s="169" t="s">
        <v>112</v>
      </c>
      <c r="E183" s="183" t="s">
        <v>113</v>
      </c>
      <c r="F183" s="183">
        <v>1</v>
      </c>
      <c r="G183" s="169">
        <f>VLOOKUP(E183,'Standard rooms list'!$B$3:$C$69,2,FALSE)</f>
        <v>13.5</v>
      </c>
      <c r="H183" s="169">
        <f>G183*F183</f>
        <v>13.5</v>
      </c>
      <c r="I183" s="174"/>
      <c r="J183" s="2"/>
      <c r="K183" s="2"/>
    </row>
    <row r="184" spans="2:11" x14ac:dyDescent="0.3">
      <c r="B184" s="280"/>
      <c r="C184" s="160" t="s">
        <v>260</v>
      </c>
      <c r="D184" s="161" t="s">
        <v>112</v>
      </c>
      <c r="E184" s="177" t="s">
        <v>114</v>
      </c>
      <c r="F184" s="177">
        <v>1</v>
      </c>
      <c r="G184" s="161">
        <f>VLOOKUP(E184,'Standard rooms list'!$B$3:$C$69,2,FALSE)</f>
        <v>16</v>
      </c>
      <c r="H184" s="161">
        <f>G184*F184</f>
        <v>16</v>
      </c>
      <c r="I184" s="164"/>
      <c r="J184" s="2"/>
      <c r="K184" s="2"/>
    </row>
    <row r="185" spans="2:11" x14ac:dyDescent="0.3">
      <c r="B185" s="280"/>
      <c r="C185" s="160" t="s">
        <v>260</v>
      </c>
      <c r="D185" s="161" t="s">
        <v>112</v>
      </c>
      <c r="E185" s="177" t="s">
        <v>115</v>
      </c>
      <c r="F185" s="177">
        <v>4</v>
      </c>
      <c r="G185" s="161">
        <f>VLOOKUP(E185,'Standard rooms list'!$B$3:$C$69,2,FALSE)</f>
        <v>16</v>
      </c>
      <c r="H185" s="161">
        <f t="shared" ref="H185:H189" si="18">G185*F185</f>
        <v>64</v>
      </c>
      <c r="I185" s="164"/>
      <c r="J185" s="2"/>
      <c r="K185" s="2"/>
    </row>
    <row r="186" spans="2:11" x14ac:dyDescent="0.3">
      <c r="B186" s="280"/>
      <c r="C186" s="160" t="s">
        <v>260</v>
      </c>
      <c r="D186" s="161" t="s">
        <v>112</v>
      </c>
      <c r="E186" s="177" t="s">
        <v>117</v>
      </c>
      <c r="F186" s="177">
        <v>1</v>
      </c>
      <c r="G186" s="161">
        <f>VLOOKUP(E186,'Standard rooms list'!$B$3:$C$69,2,FALSE)</f>
        <v>20</v>
      </c>
      <c r="H186" s="161">
        <f t="shared" si="18"/>
        <v>20</v>
      </c>
      <c r="I186" s="164"/>
      <c r="J186" s="2"/>
      <c r="K186" s="2"/>
    </row>
    <row r="187" spans="2:11" x14ac:dyDescent="0.3">
      <c r="B187" s="280"/>
      <c r="C187" s="160" t="s">
        <v>260</v>
      </c>
      <c r="D187" s="161" t="s">
        <v>112</v>
      </c>
      <c r="E187" s="161" t="s">
        <v>269</v>
      </c>
      <c r="F187" s="161">
        <v>1</v>
      </c>
      <c r="G187" s="161">
        <f>VLOOKUP(E187,'Standard rooms list'!$B$3:$C$69,2,FALSE)</f>
        <v>16</v>
      </c>
      <c r="H187" s="161">
        <f t="shared" si="18"/>
        <v>16</v>
      </c>
      <c r="I187" s="164"/>
      <c r="J187" s="2"/>
      <c r="K187" s="2"/>
    </row>
    <row r="188" spans="2:11" x14ac:dyDescent="0.3">
      <c r="B188" s="280"/>
      <c r="C188" s="160" t="s">
        <v>260</v>
      </c>
      <c r="D188" s="161" t="s">
        <v>112</v>
      </c>
      <c r="E188" s="161" t="s">
        <v>270</v>
      </c>
      <c r="F188" s="161">
        <v>1</v>
      </c>
      <c r="G188" s="161">
        <f>VLOOKUP(E188,'Standard rooms list'!$B$3:$C$69,2,FALSE)</f>
        <v>4</v>
      </c>
      <c r="H188" s="161">
        <f t="shared" si="18"/>
        <v>4</v>
      </c>
      <c r="I188" s="164"/>
      <c r="J188" s="2"/>
      <c r="K188" s="2"/>
    </row>
    <row r="189" spans="2:11" x14ac:dyDescent="0.3">
      <c r="B189" s="280"/>
      <c r="C189" s="170" t="s">
        <v>260</v>
      </c>
      <c r="D189" s="165" t="s">
        <v>112</v>
      </c>
      <c r="E189" s="165" t="s">
        <v>271</v>
      </c>
      <c r="F189" s="165">
        <v>1</v>
      </c>
      <c r="G189" s="165">
        <f>VLOOKUP(E189,'Standard rooms list'!$B$3:$C$69,2,FALSE)</f>
        <v>4.5</v>
      </c>
      <c r="H189" s="165">
        <f t="shared" si="18"/>
        <v>4.5</v>
      </c>
      <c r="I189" s="168"/>
      <c r="J189" s="2"/>
      <c r="K189" s="2"/>
    </row>
    <row r="190" spans="2:11" x14ac:dyDescent="0.3">
      <c r="B190" s="280"/>
      <c r="C190" s="160" t="s">
        <v>260</v>
      </c>
      <c r="D190" s="161" t="s">
        <v>125</v>
      </c>
      <c r="E190" s="161" t="s">
        <v>131</v>
      </c>
      <c r="F190" s="161">
        <v>1</v>
      </c>
      <c r="G190" s="161">
        <f>VLOOKUP(E190,'Standard rooms list'!$B$3:$C$69,2,FALSE)</f>
        <v>8</v>
      </c>
      <c r="H190" s="161">
        <f>F190*G190</f>
        <v>8</v>
      </c>
      <c r="I190" s="164" t="s">
        <v>132</v>
      </c>
      <c r="J190" s="2"/>
      <c r="K190" s="2"/>
    </row>
    <row r="191" spans="2:11" x14ac:dyDescent="0.3">
      <c r="B191" s="280"/>
      <c r="C191" s="170" t="s">
        <v>260</v>
      </c>
      <c r="D191" s="165" t="s">
        <v>125</v>
      </c>
      <c r="E191" s="165" t="s">
        <v>131</v>
      </c>
      <c r="F191" s="165">
        <v>1</v>
      </c>
      <c r="G191" s="165">
        <f>VLOOKUP(E191,'Standard rooms list'!$B$3:$C$69,2,FALSE)</f>
        <v>8</v>
      </c>
      <c r="H191" s="165">
        <f>F191*G191</f>
        <v>8</v>
      </c>
      <c r="I191" s="168" t="s">
        <v>206</v>
      </c>
      <c r="J191" s="2"/>
      <c r="K191" s="2"/>
    </row>
    <row r="192" spans="2:11" s="27" customFormat="1" x14ac:dyDescent="0.3">
      <c r="B192" s="196"/>
      <c r="C192" s="203"/>
      <c r="D192" s="203"/>
      <c r="E192" s="203"/>
      <c r="F192" s="203"/>
      <c r="G192" s="203" t="s">
        <v>47</v>
      </c>
      <c r="H192" s="203">
        <f>SUM(H183:H191)</f>
        <v>154</v>
      </c>
      <c r="I192" s="204"/>
    </row>
    <row r="193" spans="2:11" ht="14.5" customHeight="1" x14ac:dyDescent="0.3">
      <c r="B193" s="279" t="s">
        <v>232</v>
      </c>
      <c r="C193" s="171" t="s">
        <v>272</v>
      </c>
      <c r="D193" s="169" t="s">
        <v>125</v>
      </c>
      <c r="E193" s="169" t="s">
        <v>130</v>
      </c>
      <c r="F193" s="169">
        <v>1</v>
      </c>
      <c r="G193" s="169">
        <f>VLOOKUP(E193,'Standard rooms list'!$B$3:$C$69,2,FALSE)</f>
        <v>2</v>
      </c>
      <c r="H193" s="169">
        <f>F193*G193</f>
        <v>2</v>
      </c>
      <c r="I193" s="174"/>
      <c r="J193" s="2"/>
      <c r="K193" s="2"/>
    </row>
    <row r="194" spans="2:11" x14ac:dyDescent="0.3">
      <c r="B194" s="280"/>
      <c r="C194" s="171" t="s">
        <v>272</v>
      </c>
      <c r="D194" s="161" t="s">
        <v>125</v>
      </c>
      <c r="E194" s="161" t="s">
        <v>273</v>
      </c>
      <c r="F194" s="161">
        <v>1</v>
      </c>
      <c r="G194" s="161">
        <f>VLOOKUP(E194,'Standard rooms list'!$B$3:$C$71,2,FALSE)</f>
        <v>3</v>
      </c>
      <c r="H194" s="161">
        <f t="shared" ref="H194:H203" si="19">F194*G194</f>
        <v>3</v>
      </c>
      <c r="I194" s="164" t="s">
        <v>274</v>
      </c>
      <c r="J194" s="2"/>
      <c r="K194" s="2"/>
    </row>
    <row r="195" spans="2:11" x14ac:dyDescent="0.3">
      <c r="B195" s="280"/>
      <c r="C195" s="171" t="s">
        <v>272</v>
      </c>
      <c r="D195" s="161" t="s">
        <v>125</v>
      </c>
      <c r="E195" s="161" t="s">
        <v>126</v>
      </c>
      <c r="F195" s="161">
        <v>2</v>
      </c>
      <c r="G195" s="161">
        <f>VLOOKUP(E195,'Standard rooms list'!$B$3:$C$69,2,FALSE)</f>
        <v>8</v>
      </c>
      <c r="H195" s="161">
        <f t="shared" si="19"/>
        <v>16</v>
      </c>
      <c r="I195" s="164" t="s">
        <v>127</v>
      </c>
      <c r="J195" s="2"/>
      <c r="K195" s="2"/>
    </row>
    <row r="196" spans="2:11" x14ac:dyDescent="0.3">
      <c r="B196" s="280"/>
      <c r="C196" s="171" t="s">
        <v>272</v>
      </c>
      <c r="D196" s="161" t="s">
        <v>125</v>
      </c>
      <c r="E196" s="161" t="s">
        <v>128</v>
      </c>
      <c r="F196" s="161">
        <v>2</v>
      </c>
      <c r="G196" s="161">
        <f>VLOOKUP(E196,'Standard rooms list'!$B$3:$C$69,2,FALSE)</f>
        <v>8</v>
      </c>
      <c r="H196" s="161">
        <f t="shared" si="19"/>
        <v>16</v>
      </c>
      <c r="I196" s="164" t="s">
        <v>127</v>
      </c>
      <c r="J196" s="2"/>
      <c r="K196" s="2"/>
    </row>
    <row r="197" spans="2:11" x14ac:dyDescent="0.3">
      <c r="B197" s="280"/>
      <c r="C197" s="171" t="s">
        <v>272</v>
      </c>
      <c r="D197" s="161" t="s">
        <v>125</v>
      </c>
      <c r="E197" s="161" t="s">
        <v>129</v>
      </c>
      <c r="F197" s="161">
        <v>1</v>
      </c>
      <c r="G197" s="161">
        <f>VLOOKUP(E197,'Standard rooms list'!$B$3:$C$69,2,FALSE)</f>
        <v>8</v>
      </c>
      <c r="H197" s="161">
        <f t="shared" si="19"/>
        <v>8</v>
      </c>
      <c r="I197" s="164"/>
      <c r="J197" s="2"/>
      <c r="K197" s="2"/>
    </row>
    <row r="198" spans="2:11" x14ac:dyDescent="0.3">
      <c r="B198" s="280"/>
      <c r="C198" s="171" t="s">
        <v>272</v>
      </c>
      <c r="D198" s="161" t="s">
        <v>125</v>
      </c>
      <c r="E198" s="161" t="s">
        <v>275</v>
      </c>
      <c r="F198" s="161">
        <v>1</v>
      </c>
      <c r="G198" s="161">
        <f>VLOOKUP(E198,'Standard rooms list'!$B$3:$C$69,2,FALSE)</f>
        <v>12</v>
      </c>
      <c r="H198" s="161">
        <f t="shared" si="19"/>
        <v>12</v>
      </c>
      <c r="I198" s="164"/>
      <c r="J198" s="2"/>
      <c r="K198" s="2"/>
    </row>
    <row r="199" spans="2:11" x14ac:dyDescent="0.3">
      <c r="B199" s="280"/>
      <c r="C199" s="171" t="s">
        <v>272</v>
      </c>
      <c r="D199" s="161" t="s">
        <v>125</v>
      </c>
      <c r="E199" s="161" t="s">
        <v>276</v>
      </c>
      <c r="F199" s="161">
        <v>1</v>
      </c>
      <c r="G199" s="161">
        <f>VLOOKUP(E199,'Standard rooms list'!$B$3:$C$69,2,FALSE)</f>
        <v>3</v>
      </c>
      <c r="H199" s="161">
        <f t="shared" si="19"/>
        <v>3</v>
      </c>
      <c r="I199" s="164"/>
      <c r="J199" s="2"/>
      <c r="K199" s="2"/>
    </row>
    <row r="200" spans="2:11" x14ac:dyDescent="0.3">
      <c r="B200" s="280"/>
      <c r="C200" s="171" t="s">
        <v>272</v>
      </c>
      <c r="D200" s="161" t="s">
        <v>125</v>
      </c>
      <c r="E200" s="161" t="s">
        <v>277</v>
      </c>
      <c r="F200" s="161">
        <v>1</v>
      </c>
      <c r="G200" s="161">
        <f>VLOOKUP(E200,'Standard rooms list'!$B$3:$C$69,2,FALSE)</f>
        <v>2</v>
      </c>
      <c r="H200" s="161">
        <f t="shared" si="19"/>
        <v>2</v>
      </c>
      <c r="I200" s="164"/>
      <c r="J200" s="2"/>
      <c r="K200" s="2"/>
    </row>
    <row r="201" spans="2:11" x14ac:dyDescent="0.3">
      <c r="B201" s="280"/>
      <c r="C201" s="171" t="s">
        <v>272</v>
      </c>
      <c r="D201" s="161" t="s">
        <v>125</v>
      </c>
      <c r="E201" s="161" t="s">
        <v>96</v>
      </c>
      <c r="F201" s="161">
        <v>1</v>
      </c>
      <c r="G201" s="161">
        <f>VLOOKUP(E201,'Standard rooms list'!$B$3:$C$69,2,FALSE)</f>
        <v>10</v>
      </c>
      <c r="H201" s="161">
        <f>F201*G201</f>
        <v>10</v>
      </c>
      <c r="I201" s="164" t="s">
        <v>278</v>
      </c>
      <c r="J201" s="2"/>
      <c r="K201" s="2"/>
    </row>
    <row r="202" spans="2:11" x14ac:dyDescent="0.3">
      <c r="B202" s="280"/>
      <c r="C202" s="171" t="s">
        <v>272</v>
      </c>
      <c r="D202" s="161" t="s">
        <v>125</v>
      </c>
      <c r="E202" s="161" t="s">
        <v>136</v>
      </c>
      <c r="F202" s="161">
        <v>1</v>
      </c>
      <c r="G202" s="161">
        <f>VLOOKUP(E202,'Standard rooms list'!$B$3:$C$69,2,FALSE)</f>
        <v>2</v>
      </c>
      <c r="H202" s="161">
        <f t="shared" si="19"/>
        <v>2</v>
      </c>
      <c r="I202" s="164"/>
      <c r="J202" s="2"/>
      <c r="K202" s="2"/>
    </row>
    <row r="203" spans="2:11" x14ac:dyDescent="0.3">
      <c r="B203" s="280"/>
      <c r="C203" s="194" t="s">
        <v>272</v>
      </c>
      <c r="D203" s="165" t="s">
        <v>125</v>
      </c>
      <c r="E203" s="165" t="s">
        <v>135</v>
      </c>
      <c r="F203" s="165">
        <v>1</v>
      </c>
      <c r="G203" s="165">
        <f>VLOOKUP(E203,'Standard rooms list'!$B$3:$C$69,2,FALSE)</f>
        <v>8</v>
      </c>
      <c r="H203" s="165">
        <f t="shared" si="19"/>
        <v>8</v>
      </c>
      <c r="I203" s="168"/>
      <c r="J203" s="2"/>
      <c r="K203" s="2"/>
    </row>
    <row r="204" spans="2:11" s="27" customFormat="1" x14ac:dyDescent="0.3">
      <c r="B204" s="217"/>
      <c r="C204" s="227"/>
      <c r="D204" s="227"/>
      <c r="E204" s="227"/>
      <c r="F204" s="227"/>
      <c r="G204" s="227" t="s">
        <v>47</v>
      </c>
      <c r="H204" s="227">
        <f>SUM(H193:H203)</f>
        <v>82</v>
      </c>
      <c r="I204" s="228"/>
    </row>
    <row r="205" spans="2:11" x14ac:dyDescent="0.3">
      <c r="B205" s="279" t="s">
        <v>232</v>
      </c>
      <c r="C205" s="171" t="s">
        <v>272</v>
      </c>
      <c r="D205" s="169" t="s">
        <v>140</v>
      </c>
      <c r="E205" s="183" t="s">
        <v>141</v>
      </c>
      <c r="F205" s="183">
        <v>2</v>
      </c>
      <c r="G205" s="169">
        <f>VLOOKUP(E205,'Standard rooms list'!$B$3:$C$69,2,FALSE)</f>
        <v>4.5999999999999996</v>
      </c>
      <c r="H205" s="169">
        <f t="shared" ref="H205:H213" si="20">G205*F205</f>
        <v>9.1999999999999993</v>
      </c>
      <c r="I205" s="174" t="s">
        <v>279</v>
      </c>
      <c r="J205" s="2"/>
      <c r="K205" s="2"/>
    </row>
    <row r="206" spans="2:11" x14ac:dyDescent="0.3">
      <c r="B206" s="280"/>
      <c r="C206" s="171" t="s">
        <v>272</v>
      </c>
      <c r="D206" s="161" t="s">
        <v>140</v>
      </c>
      <c r="E206" s="161" t="s">
        <v>143</v>
      </c>
      <c r="F206" s="161">
        <v>1</v>
      </c>
      <c r="G206" s="161">
        <f>VLOOKUP(E206,'Standard rooms list'!$B$3:$C$69,2,FALSE)</f>
        <v>8</v>
      </c>
      <c r="H206" s="161">
        <f t="shared" si="20"/>
        <v>8</v>
      </c>
      <c r="I206" s="164" t="s">
        <v>280</v>
      </c>
      <c r="J206" s="2"/>
      <c r="K206" s="2"/>
    </row>
    <row r="207" spans="2:11" x14ac:dyDescent="0.3">
      <c r="B207" s="280"/>
      <c r="C207" s="171" t="s">
        <v>272</v>
      </c>
      <c r="D207" s="161" t="s">
        <v>140</v>
      </c>
      <c r="E207" s="161" t="s">
        <v>143</v>
      </c>
      <c r="F207" s="161">
        <v>1</v>
      </c>
      <c r="G207" s="161">
        <f>VLOOKUP(E207,'Standard rooms list'!$B$3:$C$69,2,FALSE)</f>
        <v>8</v>
      </c>
      <c r="H207" s="161">
        <f t="shared" si="20"/>
        <v>8</v>
      </c>
      <c r="I207" s="164" t="s">
        <v>281</v>
      </c>
      <c r="J207" s="2"/>
      <c r="K207" s="2"/>
    </row>
    <row r="208" spans="2:11" x14ac:dyDescent="0.3">
      <c r="B208" s="280"/>
      <c r="C208" s="171" t="s">
        <v>272</v>
      </c>
      <c r="D208" s="161" t="s">
        <v>140</v>
      </c>
      <c r="E208" s="161" t="s">
        <v>145</v>
      </c>
      <c r="F208" s="195">
        <f>(SUM(F172,F173,F174,F175,F183,F185,F186,F187,F184)*0.8)</f>
        <v>9.6000000000000014</v>
      </c>
      <c r="G208" s="161">
        <f>VLOOKUP(E208,'Standard rooms list'!$B$3:$C$69,2,FALSE)</f>
        <v>5</v>
      </c>
      <c r="H208" s="161">
        <f t="shared" si="20"/>
        <v>48.000000000000007</v>
      </c>
      <c r="I208" s="164" t="s">
        <v>282</v>
      </c>
      <c r="J208" s="2"/>
      <c r="K208" s="2"/>
    </row>
    <row r="209" spans="2:11" x14ac:dyDescent="0.3">
      <c r="B209" s="280"/>
      <c r="C209" s="171" t="s">
        <v>272</v>
      </c>
      <c r="D209" s="161" t="s">
        <v>140</v>
      </c>
      <c r="E209" s="60" t="s">
        <v>147</v>
      </c>
      <c r="F209" s="195">
        <f>F208</f>
        <v>9.6000000000000014</v>
      </c>
      <c r="G209" s="161">
        <v>0.125</v>
      </c>
      <c r="H209" s="161">
        <f>G209*F209</f>
        <v>1.2000000000000002</v>
      </c>
      <c r="I209" s="164"/>
      <c r="J209" s="2"/>
      <c r="K209" s="2"/>
    </row>
    <row r="210" spans="2:11" ht="25" customHeight="1" x14ac:dyDescent="0.3">
      <c r="B210" s="280"/>
      <c r="C210" s="171" t="s">
        <v>272</v>
      </c>
      <c r="D210" s="161" t="s">
        <v>140</v>
      </c>
      <c r="E210" s="161" t="s">
        <v>148</v>
      </c>
      <c r="F210" s="161">
        <v>2</v>
      </c>
      <c r="G210" s="161">
        <f>VLOOKUP(E210,'Standard rooms list'!$B$3:$C$69,2,FALSE)</f>
        <v>2</v>
      </c>
      <c r="H210" s="161">
        <f t="shared" si="20"/>
        <v>4</v>
      </c>
      <c r="I210" s="164"/>
      <c r="J210" s="2"/>
      <c r="K210" s="2"/>
    </row>
    <row r="211" spans="2:11" x14ac:dyDescent="0.3">
      <c r="B211" s="280"/>
      <c r="C211" s="171" t="s">
        <v>272</v>
      </c>
      <c r="D211" s="161" t="s">
        <v>140</v>
      </c>
      <c r="E211" s="161" t="s">
        <v>150</v>
      </c>
      <c r="F211" s="161">
        <v>1</v>
      </c>
      <c r="G211" s="161">
        <f>VLOOKUP(E211,'Standard rooms list'!$B$3:$C$69,2,FALSE)</f>
        <v>4.5</v>
      </c>
      <c r="H211" s="161">
        <f t="shared" si="20"/>
        <v>4.5</v>
      </c>
      <c r="I211" s="164"/>
      <c r="J211" s="2"/>
      <c r="K211" s="2"/>
    </row>
    <row r="212" spans="2:11" x14ac:dyDescent="0.3">
      <c r="B212" s="280"/>
      <c r="C212" s="171" t="s">
        <v>272</v>
      </c>
      <c r="D212" s="161" t="s">
        <v>140</v>
      </c>
      <c r="E212" s="161" t="s">
        <v>151</v>
      </c>
      <c r="F212" s="161">
        <f>SUM(F172,F173,F174,F175,F183,F185,F186,F187,F184)</f>
        <v>12</v>
      </c>
      <c r="G212" s="161">
        <f>VLOOKUP(E212,'Standard rooms list'!$B$3:$C$69,2,FALSE)</f>
        <v>1.8</v>
      </c>
      <c r="H212" s="161">
        <f t="shared" si="20"/>
        <v>21.6</v>
      </c>
      <c r="I212" s="164" t="s">
        <v>283</v>
      </c>
      <c r="J212" s="2"/>
      <c r="K212" s="2"/>
    </row>
    <row r="213" spans="2:11" x14ac:dyDescent="0.3">
      <c r="B213" s="280"/>
      <c r="C213" s="171" t="s">
        <v>272</v>
      </c>
      <c r="D213" s="161" t="s">
        <v>140</v>
      </c>
      <c r="E213" s="161" t="s">
        <v>153</v>
      </c>
      <c r="F213" s="161">
        <f>F212</f>
        <v>12</v>
      </c>
      <c r="G213" s="161">
        <f>VLOOKUP(E213,'Standard rooms list'!$B$3:$C$69,2,FALSE)</f>
        <v>1.4</v>
      </c>
      <c r="H213" s="161">
        <f t="shared" si="20"/>
        <v>16.799999999999997</v>
      </c>
      <c r="I213" s="164" t="s">
        <v>284</v>
      </c>
      <c r="J213" s="2"/>
      <c r="K213" s="2"/>
    </row>
    <row r="214" spans="2:11" x14ac:dyDescent="0.3">
      <c r="B214" s="280"/>
      <c r="C214" s="171" t="s">
        <v>272</v>
      </c>
      <c r="D214" s="161" t="s">
        <v>140</v>
      </c>
      <c r="E214" s="2" t="s">
        <v>154</v>
      </c>
      <c r="F214" s="2">
        <v>1</v>
      </c>
      <c r="G214" s="2">
        <f>VLOOKUP(E214,'Standard rooms list'!$B$3:$C$150,2,FALSE)</f>
        <v>6</v>
      </c>
      <c r="H214" s="2">
        <f>G214*F214</f>
        <v>6</v>
      </c>
      <c r="I214" s="116"/>
      <c r="J214" s="2"/>
      <c r="K214" s="2"/>
    </row>
    <row r="215" spans="2:11" x14ac:dyDescent="0.3">
      <c r="B215" s="280"/>
      <c r="C215" s="171" t="s">
        <v>272</v>
      </c>
      <c r="D215" s="161" t="s">
        <v>140</v>
      </c>
      <c r="E215" s="2" t="s">
        <v>137</v>
      </c>
      <c r="F215" s="2">
        <v>1</v>
      </c>
      <c r="G215" s="2">
        <f>VLOOKUP(E215,'Standard rooms list'!$B$3:$C$150,2,FALSE)</f>
        <v>4.5</v>
      </c>
      <c r="H215" s="2">
        <f>G215*F215</f>
        <v>4.5</v>
      </c>
      <c r="I215" s="116"/>
      <c r="J215" s="2"/>
      <c r="K215" s="2"/>
    </row>
    <row r="216" spans="2:11" x14ac:dyDescent="0.3">
      <c r="B216" s="280"/>
      <c r="C216" s="194" t="s">
        <v>272</v>
      </c>
      <c r="D216" s="165" t="s">
        <v>140</v>
      </c>
      <c r="E216" s="2" t="s">
        <v>155</v>
      </c>
      <c r="F216" s="2">
        <v>5</v>
      </c>
      <c r="G216" s="2">
        <f>VLOOKUP(E216,'Standard rooms list'!$B$3:$C$150,2,FALSE)</f>
        <v>0.5</v>
      </c>
      <c r="H216" s="2">
        <f>G216*F216</f>
        <v>2.5</v>
      </c>
      <c r="I216" s="116"/>
      <c r="J216" s="2"/>
      <c r="K216" s="2"/>
    </row>
    <row r="217" spans="2:11" s="27" customFormat="1" x14ac:dyDescent="0.3">
      <c r="B217" s="197"/>
      <c r="C217" s="205"/>
      <c r="D217" s="205"/>
      <c r="E217" s="205"/>
      <c r="F217" s="205"/>
      <c r="G217" s="205" t="s">
        <v>47</v>
      </c>
      <c r="H217" s="205">
        <f>SUM(H205:H216)</f>
        <v>134.30000000000001</v>
      </c>
      <c r="I217" s="206"/>
    </row>
    <row r="218" spans="2:11" s="27" customFormat="1" ht="14.5" customHeight="1" x14ac:dyDescent="0.3">
      <c r="B218" s="198"/>
      <c r="C218" s="207"/>
      <c r="D218" s="207"/>
      <c r="E218" s="282" t="s">
        <v>285</v>
      </c>
      <c r="F218" s="282"/>
      <c r="G218" s="282"/>
      <c r="H218" s="63">
        <f>SUM(H217,H204,H192,H182,H171,H165)</f>
        <v>588.29999999999995</v>
      </c>
      <c r="I218" s="208"/>
    </row>
    <row r="219" spans="2:11" s="27" customFormat="1" x14ac:dyDescent="0.3">
      <c r="B219" s="199"/>
      <c r="C219" s="50" t="s">
        <v>58</v>
      </c>
      <c r="D219" s="137"/>
      <c r="E219" s="137"/>
      <c r="F219" s="137"/>
      <c r="G219" s="137"/>
      <c r="H219" s="137"/>
      <c r="I219" s="138"/>
    </row>
    <row r="220" spans="2:11" x14ac:dyDescent="0.3">
      <c r="B220" s="285" t="s">
        <v>232</v>
      </c>
      <c r="C220" s="80" t="s">
        <v>58</v>
      </c>
      <c r="D220" s="60" t="s">
        <v>181</v>
      </c>
      <c r="E220" s="60" t="s">
        <v>182</v>
      </c>
      <c r="F220" s="60">
        <v>1</v>
      </c>
      <c r="G220" s="60">
        <f>VLOOKUP(E220,'Standard rooms list'!$B$3:$C$68,2,FALSE)</f>
        <v>8</v>
      </c>
      <c r="H220" s="60">
        <f t="shared" ref="H220:H221" si="21">G220*F220</f>
        <v>8</v>
      </c>
      <c r="I220" s="81" t="s">
        <v>183</v>
      </c>
      <c r="J220" s="2"/>
      <c r="K220" s="2"/>
    </row>
    <row r="221" spans="2:11" x14ac:dyDescent="0.3">
      <c r="B221" s="285"/>
      <c r="C221" s="79" t="s">
        <v>58</v>
      </c>
      <c r="D221" s="60" t="s">
        <v>181</v>
      </c>
      <c r="E221" s="60" t="s">
        <v>321</v>
      </c>
      <c r="F221" s="60">
        <v>1</v>
      </c>
      <c r="G221" s="60">
        <f>VLOOKUP(E221,'Standard rooms list'!$B$3:$C$79,2,FALSE)</f>
        <v>40</v>
      </c>
      <c r="H221" s="60">
        <f t="shared" si="21"/>
        <v>40</v>
      </c>
      <c r="I221" s="81"/>
      <c r="J221" s="2"/>
      <c r="K221" s="2"/>
    </row>
    <row r="222" spans="2:11" s="27" customFormat="1" x14ac:dyDescent="0.3">
      <c r="B222" s="209"/>
      <c r="C222" s="126"/>
      <c r="D222" s="126"/>
      <c r="E222" s="126"/>
      <c r="F222" s="126"/>
      <c r="G222" s="126" t="s">
        <v>47</v>
      </c>
      <c r="H222" s="126">
        <f>SUM(H220:H221)</f>
        <v>48</v>
      </c>
      <c r="I222" s="131"/>
    </row>
    <row r="223" spans="2:11" x14ac:dyDescent="0.3">
      <c r="B223" s="59"/>
      <c r="J223" s="2"/>
      <c r="K223" s="2"/>
    </row>
    <row r="224" spans="2:11" s="27" customFormat="1" ht="12.65" customHeight="1" x14ac:dyDescent="0.3">
      <c r="B224" s="211"/>
      <c r="C224" s="212"/>
      <c r="D224" s="212"/>
      <c r="E224" s="212"/>
      <c r="F224" s="212"/>
      <c r="G224" s="23" t="s">
        <v>185</v>
      </c>
      <c r="H224" s="109">
        <f>SUM(H222,H218,H156,H75,H28)</f>
        <v>3135.85</v>
      </c>
      <c r="I224" s="213"/>
    </row>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sheetData>
  <mergeCells count="26">
    <mergeCell ref="E218:G218"/>
    <mergeCell ref="E156:G156"/>
    <mergeCell ref="B220:B221"/>
    <mergeCell ref="B117:B123"/>
    <mergeCell ref="B125:B127"/>
    <mergeCell ref="B129:B138"/>
    <mergeCell ref="B140:B154"/>
    <mergeCell ref="B158:B164"/>
    <mergeCell ref="B183:B191"/>
    <mergeCell ref="B193:B203"/>
    <mergeCell ref="B205:B216"/>
    <mergeCell ref="B166:B170"/>
    <mergeCell ref="B173:B181"/>
    <mergeCell ref="I140:I141"/>
    <mergeCell ref="B9:B22"/>
    <mergeCell ref="B24:B26"/>
    <mergeCell ref="B30:B36"/>
    <mergeCell ref="B38:B45"/>
    <mergeCell ref="B47:B55"/>
    <mergeCell ref="B57:B60"/>
    <mergeCell ref="B62:B73"/>
    <mergeCell ref="B77:B83"/>
    <mergeCell ref="B85:B90"/>
    <mergeCell ref="B92:B99"/>
    <mergeCell ref="B101:B107"/>
    <mergeCell ref="B109:B115"/>
  </mergeCells>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10">
        <x14:dataValidation type="list" allowBlank="1" showInputMessage="1" showErrorMessage="1" xr:uid="{F4194691-259B-4D33-B2A4-30E3D9F45C42}">
          <x14:formula1>
            <xm:f>'Standard rooms list'!$B$3:$B$71</xm:f>
          </x14:formula1>
          <xm:sqref>E194</xm:sqref>
        </x14:dataValidation>
        <x14:dataValidation type="list" allowBlank="1" showInputMessage="1" showErrorMessage="1" xr:uid="{44F223BA-77FF-42B4-8603-34691C322172}">
          <x14:formula1>
            <xm:f>'Standard rooms list'!$B$3:$B$70</xm:f>
          </x14:formula1>
          <xm:sqref>E177:E178</xm:sqref>
        </x14:dataValidation>
        <x14:dataValidation type="list" allowBlank="1" showInputMessage="1" showErrorMessage="1" xr:uid="{0B791CD8-ADBF-4EC6-A592-8F8C32EAB5A1}">
          <x14:formula1>
            <xm:f>'Standard rooms list'!$B$3:$B$68</xm:f>
          </x14:formula1>
          <xm:sqref>E220 E136:E138 E132:E134 E124:E130 E140:E146 E148:E151 E101:E103 E62:E65 E105:E107 E60 E67:E70 E30:E36 E38:E45 E47:E55 E58 E77:E83 E109:E116</xm:sqref>
        </x14:dataValidation>
        <x14:dataValidation type="list" allowBlank="1" showInputMessage="1" showErrorMessage="1" xr:uid="{28745F72-952D-4AA5-92FF-8A8754E88097}">
          <x14:formula1>
            <xm:f>'Standard rooms list'!$B$3:$B$69</xm:f>
          </x14:formula1>
          <xm:sqref>E18:E27 E11:E13 E210:E213 E85:E90 E92:E99 E59 E179:E185 E157:E176 E187:E193 E195:E208 E217</xm:sqref>
        </x14:dataValidation>
        <x14:dataValidation type="list" allowBlank="1" showInputMessage="1" showErrorMessage="1" xr:uid="{FDD041B2-5275-46DB-BEDB-AAA1B606450E}">
          <x14:formula1>
            <xm:f>'Standard rooms list'!$B$3:$B$72</xm:f>
          </x14:formula1>
          <xm:sqref>E117:E123</xm:sqref>
        </x14:dataValidation>
        <x14:dataValidation type="list" allowBlank="1" showInputMessage="1" showErrorMessage="1" xr:uid="{EA2A5870-8AA2-4705-9AF9-66B72C3D180F}">
          <x14:formula1>
            <xm:f>'Standard rooms list'!$B$3:$B$74</xm:f>
          </x14:formula1>
          <xm:sqref>E9:E17 E135</xm:sqref>
        </x14:dataValidation>
        <x14:dataValidation type="list" allowBlank="1" showInputMessage="1" showErrorMessage="1" xr:uid="{E9DEBD54-4393-4377-A0F9-AE1A3F767A3D}">
          <x14:formula1>
            <xm:f>'Standard rooms list'!$B$3:$B$75</xm:f>
          </x14:formula1>
          <xm:sqref>E131</xm:sqref>
        </x14:dataValidation>
        <x14:dataValidation type="list" allowBlank="1" showInputMessage="1" showErrorMessage="1" xr:uid="{4A7ECF19-0935-422B-BCC3-6141ACDADC0B}">
          <x14:formula1>
            <xm:f>'Standard rooms list'!$B$3:$B$79</xm:f>
          </x14:formula1>
          <xm:sqref>E221</xm:sqref>
        </x14:dataValidation>
        <x14:dataValidation type="list" allowBlank="1" showInputMessage="1" showErrorMessage="1" xr:uid="{EDC35F9D-51CE-4FEC-B719-0AABFB06F951}">
          <x14:formula1>
            <xm:f>'Standard rooms list'!$B$3:$B$150</xm:f>
          </x14:formula1>
          <xm:sqref>E152:E154 E54 E71:E73 E214:E216</xm:sqref>
        </x14:dataValidation>
        <x14:dataValidation type="list" allowBlank="1" showInputMessage="1" showErrorMessage="1" xr:uid="{AAFDF761-0B81-41C4-A2DB-CABEAF171A7D}">
          <x14:formula1>
            <xm:f>'Standard rooms list'!$B$3:$B$100</xm:f>
          </x14:formula1>
          <xm:sqref>E57 E104 E186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13DB8-9ACE-4A11-BE20-44EBED845B7A}">
  <sheetPr>
    <tabColor theme="7" tint="0.79998168889431442"/>
  </sheetPr>
  <dimension ref="B3:I94"/>
  <sheetViews>
    <sheetView zoomScale="70" zoomScaleNormal="70" workbookViewId="0">
      <selection activeCell="I89" sqref="I89"/>
    </sheetView>
  </sheetViews>
  <sheetFormatPr defaultColWidth="8.53515625" defaultRowHeight="12.45" x14ac:dyDescent="0.3"/>
  <cols>
    <col min="1" max="1" width="4.15234375" style="2" customWidth="1"/>
    <col min="2" max="2" width="8.53515625" style="125"/>
    <col min="3" max="3" width="31.15234375" style="2" customWidth="1"/>
    <col min="4" max="4" width="32.53515625" style="2" bestFit="1" customWidth="1"/>
    <col min="5" max="5" width="45.53515625" style="2" customWidth="1"/>
    <col min="6" max="7" width="17.53515625" style="2" customWidth="1"/>
    <col min="8" max="8" width="13.4609375" style="2" customWidth="1"/>
    <col min="9" max="9" width="97.84375" style="2" customWidth="1"/>
    <col min="10" max="16384" width="8.53515625" style="2"/>
  </cols>
  <sheetData>
    <row r="3" spans="2:9" ht="17.600000000000001" x14ac:dyDescent="0.4">
      <c r="B3" s="9" t="s">
        <v>322</v>
      </c>
    </row>
    <row r="5" spans="2:9" x14ac:dyDescent="0.3">
      <c r="B5" s="147"/>
      <c r="C5" s="2" t="s">
        <v>79</v>
      </c>
    </row>
    <row r="6" spans="2:9" x14ac:dyDescent="0.3">
      <c r="C6" s="1"/>
    </row>
    <row r="7" spans="2:9" s="27" customFormat="1" ht="13.75" x14ac:dyDescent="0.3">
      <c r="B7" s="214" t="s">
        <v>80</v>
      </c>
      <c r="C7" s="28" t="s">
        <v>30</v>
      </c>
      <c r="D7" s="23" t="s">
        <v>31</v>
      </c>
      <c r="E7" s="23" t="s">
        <v>81</v>
      </c>
      <c r="F7" s="23" t="s">
        <v>82</v>
      </c>
      <c r="G7" s="23" t="s">
        <v>83</v>
      </c>
      <c r="H7" s="23" t="s">
        <v>84</v>
      </c>
      <c r="I7" s="29" t="s">
        <v>85</v>
      </c>
    </row>
    <row r="8" spans="2:9" s="27" customFormat="1" x14ac:dyDescent="0.3">
      <c r="B8" s="215"/>
      <c r="C8" s="129" t="s">
        <v>38</v>
      </c>
      <c r="D8" s="50"/>
      <c r="E8" s="50"/>
      <c r="F8" s="50"/>
      <c r="G8" s="50"/>
      <c r="H8" s="50"/>
      <c r="I8" s="149"/>
    </row>
    <row r="9" spans="2:9" x14ac:dyDescent="0.3">
      <c r="B9" s="279" t="s">
        <v>313</v>
      </c>
      <c r="C9" s="80" t="s">
        <v>38</v>
      </c>
      <c r="D9" s="60" t="s">
        <v>39</v>
      </c>
      <c r="E9" s="60" t="s">
        <v>323</v>
      </c>
      <c r="F9" s="60">
        <v>1</v>
      </c>
      <c r="G9" s="60">
        <f>VLOOKUP(E9,'Standard rooms list'!$B$3:$C$74,2,FALSE)</f>
        <v>10</v>
      </c>
      <c r="H9" s="60">
        <f>F9*G9</f>
        <v>10</v>
      </c>
      <c r="I9" s="81"/>
    </row>
    <row r="10" spans="2:9" x14ac:dyDescent="0.3">
      <c r="B10" s="280"/>
      <c r="C10" s="80" t="s">
        <v>38</v>
      </c>
      <c r="D10" s="60" t="s">
        <v>39</v>
      </c>
      <c r="E10" s="60" t="s">
        <v>188</v>
      </c>
      <c r="F10" s="60">
        <v>0</v>
      </c>
      <c r="G10" s="60">
        <f>VLOOKUP(E10,'Standard rooms list'!$B$3:$C$74,2,FALSE)</f>
        <v>12</v>
      </c>
      <c r="H10" s="60">
        <f>F10*G10</f>
        <v>0</v>
      </c>
      <c r="I10" s="81" t="s">
        <v>234</v>
      </c>
    </row>
    <row r="11" spans="2:9" x14ac:dyDescent="0.3">
      <c r="B11" s="280"/>
      <c r="C11" s="80" t="s">
        <v>38</v>
      </c>
      <c r="D11" s="60" t="s">
        <v>39</v>
      </c>
      <c r="E11" s="60" t="s">
        <v>90</v>
      </c>
      <c r="F11" s="60">
        <v>1</v>
      </c>
      <c r="G11" s="60">
        <f>VLOOKUP(E11,'Standard rooms list'!$B$3:$C$74,2,FALSE)</f>
        <v>12</v>
      </c>
      <c r="H11" s="60">
        <f>F11*G11</f>
        <v>12</v>
      </c>
      <c r="I11" s="81"/>
    </row>
    <row r="12" spans="2:9" x14ac:dyDescent="0.3">
      <c r="B12" s="280"/>
      <c r="C12" s="80" t="s">
        <v>38</v>
      </c>
      <c r="D12" s="60" t="s">
        <v>39</v>
      </c>
      <c r="E12" s="60" t="s">
        <v>91</v>
      </c>
      <c r="F12" s="60">
        <v>1</v>
      </c>
      <c r="G12" s="60">
        <f>VLOOKUP(E12,'Standard rooms list'!$B$3:$C$74,2,FALSE)</f>
        <v>5</v>
      </c>
      <c r="H12" s="60">
        <f t="shared" ref="H12:H14" si="0">F12*G12</f>
        <v>5</v>
      </c>
      <c r="I12" s="81"/>
    </row>
    <row r="13" spans="2:9" x14ac:dyDescent="0.3">
      <c r="B13" s="280"/>
      <c r="C13" s="80" t="s">
        <v>38</v>
      </c>
      <c r="D13" s="60" t="s">
        <v>39</v>
      </c>
      <c r="E13" s="60" t="s">
        <v>92</v>
      </c>
      <c r="F13" s="60">
        <v>1</v>
      </c>
      <c r="G13" s="60">
        <f>VLOOKUP(E13,'Standard rooms list'!$B$3:$C$74,2,FALSE)</f>
        <v>5.5</v>
      </c>
      <c r="H13" s="60">
        <f t="shared" si="0"/>
        <v>5.5</v>
      </c>
      <c r="I13" s="81"/>
    </row>
    <row r="14" spans="2:9" x14ac:dyDescent="0.3">
      <c r="B14" s="280"/>
      <c r="C14" s="80" t="s">
        <v>38</v>
      </c>
      <c r="D14" s="60" t="s">
        <v>39</v>
      </c>
      <c r="E14" s="60" t="s">
        <v>93</v>
      </c>
      <c r="F14" s="60">
        <v>1</v>
      </c>
      <c r="G14" s="60">
        <f>VLOOKUP(E14,'Standard rooms list'!$B$3:$C$74,2,FALSE)</f>
        <v>8</v>
      </c>
      <c r="H14" s="60">
        <f t="shared" si="0"/>
        <v>8</v>
      </c>
      <c r="I14" s="81"/>
    </row>
    <row r="15" spans="2:9" x14ac:dyDescent="0.3">
      <c r="B15" s="280"/>
      <c r="C15" s="80" t="s">
        <v>38</v>
      </c>
      <c r="D15" s="60" t="s">
        <v>39</v>
      </c>
      <c r="E15" s="60" t="s">
        <v>101</v>
      </c>
      <c r="F15" s="60">
        <f>((SUM(F22,F32,F33,F34,F35,F36,F46)*2)+(F37*8))</f>
        <v>124</v>
      </c>
      <c r="G15" s="60">
        <f>VLOOKUP(E15,'Standard rooms list'!$B$3:$C$74,2,FALSE)</f>
        <v>2</v>
      </c>
      <c r="H15" s="60">
        <f>F15*G15</f>
        <v>248</v>
      </c>
      <c r="I15" s="81" t="s">
        <v>324</v>
      </c>
    </row>
    <row r="16" spans="2:9" x14ac:dyDescent="0.3">
      <c r="B16" s="280"/>
      <c r="C16" s="80" t="s">
        <v>38</v>
      </c>
      <c r="D16" s="60" t="s">
        <v>39</v>
      </c>
      <c r="E16" s="60" t="s">
        <v>103</v>
      </c>
      <c r="F16" s="60">
        <f>ROUNDUP(F15*0.1,0)</f>
        <v>13</v>
      </c>
      <c r="G16" s="60">
        <f>VLOOKUP(E16,'Standard rooms list'!$B$3:$C$74,2,FALSE)</f>
        <v>2</v>
      </c>
      <c r="H16" s="60">
        <f t="shared" ref="H16:H23" si="1">F16*G16</f>
        <v>26</v>
      </c>
      <c r="I16" s="81" t="s">
        <v>325</v>
      </c>
    </row>
    <row r="17" spans="2:9" x14ac:dyDescent="0.3">
      <c r="B17" s="280"/>
      <c r="C17" s="80" t="s">
        <v>38</v>
      </c>
      <c r="D17" s="60" t="s">
        <v>39</v>
      </c>
      <c r="E17" s="60" t="s">
        <v>105</v>
      </c>
      <c r="F17" s="60">
        <v>4</v>
      </c>
      <c r="G17" s="60">
        <f>VLOOKUP(E17,'Standard rooms list'!$B$3:$C$74,2,FALSE)</f>
        <v>5.5</v>
      </c>
      <c r="H17" s="60">
        <f t="shared" si="1"/>
        <v>22</v>
      </c>
      <c r="I17" s="81" t="s">
        <v>326</v>
      </c>
    </row>
    <row r="18" spans="2:9" x14ac:dyDescent="0.3">
      <c r="B18" s="280"/>
      <c r="C18" s="80" t="s">
        <v>38</v>
      </c>
      <c r="D18" s="60" t="s">
        <v>39</v>
      </c>
      <c r="E18" s="60" t="s">
        <v>107</v>
      </c>
      <c r="F18" s="60">
        <v>4</v>
      </c>
      <c r="G18" s="60">
        <f>VLOOKUP(E18,'Standard rooms list'!$B$3:$C$74,2,FALSE)</f>
        <v>2.5</v>
      </c>
      <c r="H18" s="60">
        <f t="shared" si="1"/>
        <v>10</v>
      </c>
      <c r="I18" s="81" t="s">
        <v>326</v>
      </c>
    </row>
    <row r="19" spans="2:9" x14ac:dyDescent="0.3">
      <c r="B19" s="280"/>
      <c r="C19" s="80" t="s">
        <v>38</v>
      </c>
      <c r="D19" s="60" t="s">
        <v>39</v>
      </c>
      <c r="E19" s="60" t="s">
        <v>109</v>
      </c>
      <c r="F19" s="60">
        <v>3</v>
      </c>
      <c r="G19" s="60">
        <f>VLOOKUP(E19,'Standard rooms list'!$B$3:$C$74,2,FALSE)</f>
        <v>2.5</v>
      </c>
      <c r="H19" s="60">
        <f t="shared" si="1"/>
        <v>7.5</v>
      </c>
      <c r="I19" s="81"/>
    </row>
    <row r="20" spans="2:9" ht="13" customHeight="1" x14ac:dyDescent="0.3">
      <c r="B20" s="280"/>
      <c r="C20" s="80" t="s">
        <v>38</v>
      </c>
      <c r="D20" s="60" t="s">
        <v>39</v>
      </c>
      <c r="E20" s="60" t="s">
        <v>98</v>
      </c>
      <c r="F20" s="60">
        <v>2</v>
      </c>
      <c r="G20" s="60">
        <f>VLOOKUP(E20,'Standard rooms list'!$B$3:$C$74,2,FALSE)</f>
        <v>4.5</v>
      </c>
      <c r="H20" s="60">
        <f t="shared" si="1"/>
        <v>9</v>
      </c>
      <c r="I20" s="81"/>
    </row>
    <row r="21" spans="2:9" ht="13" customHeight="1" x14ac:dyDescent="0.3">
      <c r="B21" s="280"/>
      <c r="C21" s="80" t="s">
        <v>38</v>
      </c>
      <c r="D21" s="60" t="s">
        <v>39</v>
      </c>
      <c r="E21" s="60" t="s">
        <v>95</v>
      </c>
      <c r="F21" s="60">
        <v>1</v>
      </c>
      <c r="G21" s="60">
        <f>VLOOKUP(E21,'Standard rooms list'!$B$3:$C$74,2,FALSE)</f>
        <v>16</v>
      </c>
      <c r="H21" s="60">
        <f t="shared" si="1"/>
        <v>16</v>
      </c>
      <c r="I21" s="81"/>
    </row>
    <row r="22" spans="2:9" ht="13" customHeight="1" x14ac:dyDescent="0.3">
      <c r="B22" s="280"/>
      <c r="C22" s="80" t="s">
        <v>38</v>
      </c>
      <c r="D22" s="60" t="s">
        <v>39</v>
      </c>
      <c r="E22" s="152" t="s">
        <v>111</v>
      </c>
      <c r="F22" s="152">
        <v>3</v>
      </c>
      <c r="G22" s="60">
        <f>VLOOKUP(E22,'Standard rooms list'!$B$3:$C$72,2,FALSE)</f>
        <v>8</v>
      </c>
      <c r="H22" s="60">
        <f t="shared" si="1"/>
        <v>24</v>
      </c>
      <c r="I22" s="81"/>
    </row>
    <row r="23" spans="2:9" ht="13" customHeight="1" x14ac:dyDescent="0.3">
      <c r="B23" s="280"/>
      <c r="C23" s="80" t="s">
        <v>38</v>
      </c>
      <c r="D23" s="60" t="s">
        <v>39</v>
      </c>
      <c r="E23" s="60" t="s">
        <v>300</v>
      </c>
      <c r="F23" s="60">
        <v>1</v>
      </c>
      <c r="G23" s="60">
        <v>20</v>
      </c>
      <c r="H23" s="60">
        <f t="shared" si="1"/>
        <v>20</v>
      </c>
      <c r="I23" s="81" t="s">
        <v>97</v>
      </c>
    </row>
    <row r="24" spans="2:9" ht="12" customHeight="1" x14ac:dyDescent="0.3">
      <c r="B24" s="280"/>
      <c r="C24" s="85" t="s">
        <v>38</v>
      </c>
      <c r="D24" s="90" t="s">
        <v>294</v>
      </c>
      <c r="E24" s="90" t="s">
        <v>87</v>
      </c>
      <c r="F24" s="90">
        <v>1</v>
      </c>
      <c r="G24" s="60">
        <f>VLOOKUP(E24,'Standard rooms list'!$B$3:$C$74,2,FALSE)</f>
        <v>6</v>
      </c>
      <c r="H24" s="90">
        <f>F24*G24</f>
        <v>6</v>
      </c>
      <c r="I24" s="91"/>
    </row>
    <row r="25" spans="2:9" x14ac:dyDescent="0.3">
      <c r="B25" s="280"/>
      <c r="C25" s="85" t="s">
        <v>38</v>
      </c>
      <c r="D25" s="90" t="s">
        <v>294</v>
      </c>
      <c r="E25" s="90" t="s">
        <v>101</v>
      </c>
      <c r="F25" s="90">
        <v>7</v>
      </c>
      <c r="G25" s="60">
        <f>VLOOKUP(E25,'Standard rooms list'!$B$3:$C$74,2,FALSE)</f>
        <v>2</v>
      </c>
      <c r="H25" s="90">
        <f>F25*G25</f>
        <v>14</v>
      </c>
      <c r="I25" s="91"/>
    </row>
    <row r="26" spans="2:9" x14ac:dyDescent="0.3">
      <c r="B26" s="280"/>
      <c r="C26" s="85" t="s">
        <v>38</v>
      </c>
      <c r="D26" s="90" t="s">
        <v>294</v>
      </c>
      <c r="E26" s="92" t="s">
        <v>103</v>
      </c>
      <c r="F26" s="92">
        <v>3</v>
      </c>
      <c r="G26" s="60">
        <f>VLOOKUP(E26,'Standard rooms list'!$B$3:$C$74,2,FALSE)</f>
        <v>2</v>
      </c>
      <c r="H26" s="92">
        <f t="shared" ref="H26:H30" si="2">F26*G26</f>
        <v>6</v>
      </c>
      <c r="I26" s="86"/>
    </row>
    <row r="27" spans="2:9" x14ac:dyDescent="0.3">
      <c r="B27" s="280"/>
      <c r="C27" s="85" t="s">
        <v>38</v>
      </c>
      <c r="D27" s="90" t="s">
        <v>294</v>
      </c>
      <c r="E27" s="92" t="s">
        <v>105</v>
      </c>
      <c r="F27" s="92">
        <v>1</v>
      </c>
      <c r="G27" s="60">
        <f>VLOOKUP(E27,'Standard rooms list'!$B$3:$C$74,2,FALSE)</f>
        <v>5.5</v>
      </c>
      <c r="H27" s="92">
        <f t="shared" si="2"/>
        <v>5.5</v>
      </c>
      <c r="I27" s="86"/>
    </row>
    <row r="28" spans="2:9" x14ac:dyDescent="0.3">
      <c r="B28" s="280"/>
      <c r="C28" s="85" t="s">
        <v>38</v>
      </c>
      <c r="D28" s="90" t="s">
        <v>294</v>
      </c>
      <c r="E28" s="92" t="s">
        <v>98</v>
      </c>
      <c r="F28" s="92">
        <v>1</v>
      </c>
      <c r="G28" s="60">
        <f>VLOOKUP(E28,'Standard rooms list'!$B$3:$C$74,2,FALSE)</f>
        <v>4.5</v>
      </c>
      <c r="H28" s="92">
        <f t="shared" si="2"/>
        <v>4.5</v>
      </c>
      <c r="I28" s="86" t="s">
        <v>295</v>
      </c>
    </row>
    <row r="29" spans="2:9" x14ac:dyDescent="0.3">
      <c r="B29" s="280"/>
      <c r="C29" s="85" t="s">
        <v>38</v>
      </c>
      <c r="D29" s="90" t="s">
        <v>294</v>
      </c>
      <c r="E29" s="60" t="s">
        <v>259</v>
      </c>
      <c r="F29" s="60">
        <v>1</v>
      </c>
      <c r="G29" s="60">
        <f>VLOOKUP(E29,'Standard rooms list'!$B$3:$C$74,2,FALSE)</f>
        <v>10</v>
      </c>
      <c r="H29" s="60">
        <f t="shared" si="2"/>
        <v>10</v>
      </c>
      <c r="I29" s="81"/>
    </row>
    <row r="30" spans="2:9" x14ac:dyDescent="0.3">
      <c r="B30" s="280"/>
      <c r="C30" s="80" t="s">
        <v>38</v>
      </c>
      <c r="D30" s="60" t="s">
        <v>39</v>
      </c>
      <c r="E30" s="60" t="s">
        <v>190</v>
      </c>
      <c r="F30" s="60">
        <v>0</v>
      </c>
      <c r="G30" s="60">
        <v>150</v>
      </c>
      <c r="H30" s="60">
        <f t="shared" si="2"/>
        <v>0</v>
      </c>
      <c r="I30" s="81"/>
    </row>
    <row r="31" spans="2:9" s="27" customFormat="1" x14ac:dyDescent="0.3">
      <c r="B31" s="196"/>
      <c r="C31" s="126"/>
      <c r="D31" s="126"/>
      <c r="E31" s="126"/>
      <c r="F31" s="126"/>
      <c r="G31" s="126" t="s">
        <v>47</v>
      </c>
      <c r="H31" s="126">
        <f>SUM(H9:H30)</f>
        <v>469</v>
      </c>
      <c r="I31" s="131"/>
    </row>
    <row r="32" spans="2:9" x14ac:dyDescent="0.3">
      <c r="B32" s="280" t="s">
        <v>313</v>
      </c>
      <c r="C32" s="14" t="s">
        <v>42</v>
      </c>
      <c r="D32" s="2" t="s">
        <v>112</v>
      </c>
      <c r="E32" s="146" t="s">
        <v>111</v>
      </c>
      <c r="F32" s="152">
        <v>2</v>
      </c>
      <c r="G32" s="2">
        <f>VLOOKUP(E32,'Standard rooms list'!$B$3:$C$74,2,FALSE)</f>
        <v>8</v>
      </c>
      <c r="H32" s="2">
        <f>G32*F32</f>
        <v>16</v>
      </c>
      <c r="I32" s="15"/>
    </row>
    <row r="33" spans="2:9" x14ac:dyDescent="0.3">
      <c r="B33" s="280"/>
      <c r="C33" s="14" t="s">
        <v>42</v>
      </c>
      <c r="D33" s="2" t="s">
        <v>112</v>
      </c>
      <c r="E33" s="146" t="s">
        <v>113</v>
      </c>
      <c r="F33" s="152">
        <v>13</v>
      </c>
      <c r="G33" s="2">
        <f>VLOOKUP(E33,'Standard rooms list'!$B$3:$C$74,2,FALSE)</f>
        <v>13.5</v>
      </c>
      <c r="H33" s="2">
        <f t="shared" ref="H33:H67" si="3">G33*F33</f>
        <v>175.5</v>
      </c>
      <c r="I33" s="15"/>
    </row>
    <row r="34" spans="2:9" x14ac:dyDescent="0.3">
      <c r="B34" s="280"/>
      <c r="C34" s="14" t="s">
        <v>42</v>
      </c>
      <c r="D34" s="2" t="s">
        <v>112</v>
      </c>
      <c r="E34" s="146" t="s">
        <v>114</v>
      </c>
      <c r="F34" s="152">
        <v>3</v>
      </c>
      <c r="G34" s="2">
        <f>VLOOKUP(E34,'Standard rooms list'!$B$3:$C$74,2,FALSE)</f>
        <v>16</v>
      </c>
      <c r="H34" s="2">
        <f t="shared" si="3"/>
        <v>48</v>
      </c>
      <c r="I34" s="15"/>
    </row>
    <row r="35" spans="2:9" x14ac:dyDescent="0.3">
      <c r="B35" s="280"/>
      <c r="C35" s="14" t="s">
        <v>42</v>
      </c>
      <c r="D35" s="2" t="s">
        <v>112</v>
      </c>
      <c r="E35" s="146" t="s">
        <v>115</v>
      </c>
      <c r="F35" s="152">
        <v>12</v>
      </c>
      <c r="G35" s="2">
        <f>VLOOKUP(E35,'Standard rooms list'!$B$3:$C$74,2,FALSE)</f>
        <v>16</v>
      </c>
      <c r="H35" s="2">
        <f t="shared" si="3"/>
        <v>192</v>
      </c>
      <c r="I35" s="15"/>
    </row>
    <row r="36" spans="2:9" x14ac:dyDescent="0.3">
      <c r="B36" s="280"/>
      <c r="C36" s="14" t="s">
        <v>42</v>
      </c>
      <c r="D36" s="2" t="s">
        <v>112</v>
      </c>
      <c r="E36" s="146" t="s">
        <v>117</v>
      </c>
      <c r="F36" s="152">
        <v>2</v>
      </c>
      <c r="G36" s="2">
        <f>VLOOKUP(E36,'Standard rooms list'!$B$3:$C$74,2,FALSE)</f>
        <v>20</v>
      </c>
      <c r="H36" s="2">
        <f t="shared" si="3"/>
        <v>40</v>
      </c>
      <c r="I36" s="15"/>
    </row>
    <row r="37" spans="2:9" x14ac:dyDescent="0.3">
      <c r="B37" s="280"/>
      <c r="C37" s="14" t="s">
        <v>42</v>
      </c>
      <c r="D37" s="2" t="s">
        <v>112</v>
      </c>
      <c r="E37" s="146" t="s">
        <v>118</v>
      </c>
      <c r="F37" s="152">
        <v>6</v>
      </c>
      <c r="G37" s="2">
        <f>VLOOKUP(E37,'Standard rooms list'!$B$3:$C$74,2,FALSE)</f>
        <v>32.5</v>
      </c>
      <c r="H37" s="2">
        <f t="shared" si="3"/>
        <v>195</v>
      </c>
      <c r="I37" s="15" t="s">
        <v>119</v>
      </c>
    </row>
    <row r="38" spans="2:9" x14ac:dyDescent="0.3">
      <c r="B38" s="280"/>
      <c r="C38" s="14" t="s">
        <v>42</v>
      </c>
      <c r="D38" s="2" t="s">
        <v>112</v>
      </c>
      <c r="E38" s="2" t="s">
        <v>122</v>
      </c>
      <c r="F38" s="60">
        <v>1</v>
      </c>
      <c r="G38" s="2">
        <f>VLOOKUP(E38,'Standard rooms list'!$B$3:$C$74,2,FALSE)</f>
        <v>8</v>
      </c>
      <c r="H38" s="2">
        <f t="shared" si="3"/>
        <v>8</v>
      </c>
      <c r="I38" s="15" t="s">
        <v>123</v>
      </c>
    </row>
    <row r="39" spans="2:9" x14ac:dyDescent="0.3">
      <c r="B39" s="280"/>
      <c r="C39" s="14" t="s">
        <v>42</v>
      </c>
      <c r="D39" s="2" t="s">
        <v>112</v>
      </c>
      <c r="E39" s="2" t="s">
        <v>120</v>
      </c>
      <c r="F39" s="60">
        <v>6</v>
      </c>
      <c r="G39" s="2">
        <f>VLOOKUP(E39,'Standard rooms list'!$B$3:$C$74,2,FALSE)</f>
        <v>5</v>
      </c>
      <c r="H39" s="2">
        <f t="shared" si="3"/>
        <v>30</v>
      </c>
      <c r="I39" s="15" t="s">
        <v>195</v>
      </c>
    </row>
    <row r="40" spans="2:9" x14ac:dyDescent="0.3">
      <c r="B40" s="280"/>
      <c r="C40" s="14" t="s">
        <v>42</v>
      </c>
      <c r="D40" s="2" t="s">
        <v>112</v>
      </c>
      <c r="E40" s="2" t="s">
        <v>197</v>
      </c>
      <c r="F40" s="2">
        <v>2</v>
      </c>
      <c r="G40" s="2">
        <f>VLOOKUP(E40,'Standard rooms list'!$B$3:$C$74,2,FALSE)</f>
        <v>3</v>
      </c>
      <c r="H40" s="2">
        <f>G40*F40</f>
        <v>6</v>
      </c>
      <c r="I40" s="15"/>
    </row>
    <row r="41" spans="2:9" x14ac:dyDescent="0.3">
      <c r="B41" s="280"/>
      <c r="C41" s="14" t="s">
        <v>42</v>
      </c>
      <c r="D41" s="2" t="s">
        <v>112</v>
      </c>
      <c r="E41" s="2" t="s">
        <v>265</v>
      </c>
      <c r="F41" s="60">
        <v>1</v>
      </c>
      <c r="G41" s="2">
        <f>VLOOKUP(E41,'Standard rooms list'!$B$3:$C$74,2,FALSE)</f>
        <v>8</v>
      </c>
      <c r="H41" s="2">
        <f t="shared" si="3"/>
        <v>8</v>
      </c>
      <c r="I41" s="15" t="s">
        <v>296</v>
      </c>
    </row>
    <row r="42" spans="2:9" x14ac:dyDescent="0.3">
      <c r="B42" s="280"/>
      <c r="C42" s="14" t="s">
        <v>42</v>
      </c>
      <c r="D42" s="2" t="s">
        <v>112</v>
      </c>
      <c r="E42" s="2" t="s">
        <v>124</v>
      </c>
      <c r="F42" s="60">
        <v>3</v>
      </c>
      <c r="G42" s="2">
        <f>VLOOKUP(E42,'Standard rooms list'!$B$3:$C$74,2,FALSE)</f>
        <v>4.5</v>
      </c>
      <c r="H42" s="2">
        <f t="shared" si="3"/>
        <v>13.5</v>
      </c>
      <c r="I42" s="15" t="s">
        <v>327</v>
      </c>
    </row>
    <row r="43" spans="2:9" x14ac:dyDescent="0.3">
      <c r="B43" s="280"/>
      <c r="C43" s="14" t="s">
        <v>42</v>
      </c>
      <c r="D43" s="2" t="s">
        <v>112</v>
      </c>
      <c r="E43" s="2" t="s">
        <v>166</v>
      </c>
      <c r="F43" s="60">
        <v>2</v>
      </c>
      <c r="G43" s="2">
        <f>VLOOKUP(E43,'Standard rooms list'!$B$3:$C$74,2,FALSE)</f>
        <v>4.5</v>
      </c>
      <c r="H43" s="2">
        <f t="shared" si="3"/>
        <v>9</v>
      </c>
      <c r="I43" s="15" t="s">
        <v>328</v>
      </c>
    </row>
    <row r="44" spans="2:9" x14ac:dyDescent="0.3">
      <c r="B44" s="280"/>
      <c r="C44" s="14" t="s">
        <v>42</v>
      </c>
      <c r="D44" s="2" t="s">
        <v>112</v>
      </c>
      <c r="E44" s="60" t="s">
        <v>198</v>
      </c>
      <c r="F44" s="60">
        <v>2</v>
      </c>
      <c r="G44" s="2">
        <v>3</v>
      </c>
      <c r="H44" s="2">
        <f t="shared" si="3"/>
        <v>6</v>
      </c>
      <c r="I44" s="15"/>
    </row>
    <row r="45" spans="2:9" x14ac:dyDescent="0.3">
      <c r="B45" s="280"/>
      <c r="C45" s="14" t="s">
        <v>42</v>
      </c>
      <c r="D45" s="2" t="s">
        <v>112</v>
      </c>
      <c r="E45" s="2" t="s">
        <v>168</v>
      </c>
      <c r="F45" s="60">
        <v>4</v>
      </c>
      <c r="G45" s="2">
        <f>VLOOKUP(E45,'Standard rooms list'!$B$3:$C$74,2,FALSE)</f>
        <v>4.5999999999999996</v>
      </c>
      <c r="H45" s="2">
        <f t="shared" si="3"/>
        <v>18.399999999999999</v>
      </c>
      <c r="I45" s="15" t="s">
        <v>328</v>
      </c>
    </row>
    <row r="46" spans="2:9" x14ac:dyDescent="0.3">
      <c r="B46" s="280"/>
      <c r="C46" s="14" t="s">
        <v>42</v>
      </c>
      <c r="D46" s="2" t="s">
        <v>112</v>
      </c>
      <c r="E46" s="2" t="s">
        <v>316</v>
      </c>
      <c r="F46" s="60">
        <v>3</v>
      </c>
      <c r="G46" s="2">
        <f>VLOOKUP(E46,'Standard rooms list'!$B$3:$C$74,2,FALSE)</f>
        <v>8</v>
      </c>
      <c r="H46" s="2">
        <f t="shared" si="3"/>
        <v>24</v>
      </c>
      <c r="I46" s="15"/>
    </row>
    <row r="47" spans="2:9" x14ac:dyDescent="0.3">
      <c r="B47" s="280"/>
      <c r="C47" s="14" t="s">
        <v>42</v>
      </c>
      <c r="D47" s="2" t="s">
        <v>112</v>
      </c>
      <c r="E47" s="92" t="s">
        <v>98</v>
      </c>
      <c r="F47" s="60">
        <v>1</v>
      </c>
      <c r="G47" s="60">
        <f>VLOOKUP(E47,'Standard rooms list'!$B$3:$C$74,2,FALSE)</f>
        <v>4.5</v>
      </c>
      <c r="H47" s="60">
        <f t="shared" si="3"/>
        <v>4.5</v>
      </c>
      <c r="I47" s="81" t="s">
        <v>295</v>
      </c>
    </row>
    <row r="48" spans="2:9" x14ac:dyDescent="0.3">
      <c r="B48" s="280"/>
      <c r="C48" s="14" t="s">
        <v>42</v>
      </c>
      <c r="D48" s="2" t="s">
        <v>112</v>
      </c>
      <c r="E48" s="60" t="s">
        <v>172</v>
      </c>
      <c r="F48" s="60">
        <v>4</v>
      </c>
      <c r="G48" s="60">
        <f>VLOOKUP(E48,'Standard rooms list'!$B$3:$C$75,2,FALSE)</f>
        <v>4</v>
      </c>
      <c r="H48" s="60">
        <f>G48*F48</f>
        <v>16</v>
      </c>
      <c r="I48" s="81" t="s">
        <v>200</v>
      </c>
    </row>
    <row r="49" spans="2:9" s="27" customFormat="1" x14ac:dyDescent="0.3">
      <c r="B49" s="196"/>
      <c r="C49" s="126"/>
      <c r="D49" s="126"/>
      <c r="E49" s="126"/>
      <c r="F49" s="126"/>
      <c r="G49" s="126" t="s">
        <v>47</v>
      </c>
      <c r="H49" s="126">
        <f>SUM(H32:H48)</f>
        <v>809.9</v>
      </c>
      <c r="I49" s="131"/>
    </row>
    <row r="50" spans="2:9" x14ac:dyDescent="0.3">
      <c r="B50" s="279" t="s">
        <v>313</v>
      </c>
      <c r="C50" s="14" t="s">
        <v>201</v>
      </c>
      <c r="D50" s="2" t="s">
        <v>125</v>
      </c>
      <c r="E50" s="2" t="s">
        <v>126</v>
      </c>
      <c r="F50" s="2">
        <v>4</v>
      </c>
      <c r="G50" s="2">
        <f>VLOOKUP(E50,'Standard rooms list'!$B$3:$C$74,2,FALSE)</f>
        <v>8</v>
      </c>
      <c r="H50" s="2">
        <f t="shared" si="3"/>
        <v>32</v>
      </c>
      <c r="I50" s="15" t="s">
        <v>202</v>
      </c>
    </row>
    <row r="51" spans="2:9" x14ac:dyDescent="0.3">
      <c r="B51" s="280"/>
      <c r="C51" s="14" t="s">
        <v>201</v>
      </c>
      <c r="D51" s="2" t="s">
        <v>125</v>
      </c>
      <c r="E51" s="2" t="s">
        <v>128</v>
      </c>
      <c r="F51" s="2">
        <v>4</v>
      </c>
      <c r="G51" s="2">
        <f>VLOOKUP(E51,'Standard rooms list'!$B$3:$C$74,2,FALSE)</f>
        <v>8</v>
      </c>
      <c r="H51" s="2">
        <f t="shared" si="3"/>
        <v>32</v>
      </c>
      <c r="I51" s="15" t="s">
        <v>202</v>
      </c>
    </row>
    <row r="52" spans="2:9" x14ac:dyDescent="0.3">
      <c r="B52" s="280"/>
      <c r="C52" s="14" t="s">
        <v>201</v>
      </c>
      <c r="D52" s="2" t="s">
        <v>125</v>
      </c>
      <c r="E52" s="2" t="s">
        <v>129</v>
      </c>
      <c r="F52" s="2">
        <v>1</v>
      </c>
      <c r="G52" s="2">
        <f>VLOOKUP(E52,'Standard rooms list'!$B$3:$C$74,2,FALSE)</f>
        <v>8</v>
      </c>
      <c r="H52" s="2">
        <f t="shared" si="3"/>
        <v>8</v>
      </c>
      <c r="I52" s="15"/>
    </row>
    <row r="53" spans="2:9" x14ac:dyDescent="0.3">
      <c r="B53" s="280"/>
      <c r="C53" s="14" t="s">
        <v>201</v>
      </c>
      <c r="D53" s="2" t="s">
        <v>125</v>
      </c>
      <c r="E53" s="2" t="s">
        <v>275</v>
      </c>
      <c r="F53" s="2">
        <v>1</v>
      </c>
      <c r="G53" s="2">
        <f>VLOOKUP(E53,'Standard rooms list'!$B$3:$C$74,2,FALSE)</f>
        <v>12</v>
      </c>
      <c r="H53" s="2">
        <f t="shared" si="3"/>
        <v>12</v>
      </c>
      <c r="I53" s="15"/>
    </row>
    <row r="54" spans="2:9" x14ac:dyDescent="0.3">
      <c r="B54" s="280"/>
      <c r="C54" s="14" t="s">
        <v>201</v>
      </c>
      <c r="D54" s="2" t="s">
        <v>125</v>
      </c>
      <c r="E54" s="2" t="s">
        <v>130</v>
      </c>
      <c r="F54" s="2">
        <v>3</v>
      </c>
      <c r="G54" s="2">
        <f>VLOOKUP(E54,'Standard rooms list'!$B$3:$C$74,2,FALSE)</f>
        <v>2</v>
      </c>
      <c r="H54" s="2">
        <f t="shared" si="3"/>
        <v>6</v>
      </c>
      <c r="I54" s="15"/>
    </row>
    <row r="55" spans="2:9" x14ac:dyDescent="0.3">
      <c r="B55" s="280"/>
      <c r="C55" s="14" t="s">
        <v>201</v>
      </c>
      <c r="D55" s="2" t="s">
        <v>125</v>
      </c>
      <c r="E55" s="2" t="s">
        <v>273</v>
      </c>
      <c r="F55" s="2">
        <v>3</v>
      </c>
      <c r="G55" s="2">
        <f>VLOOKUP(E55,'Standard rooms list'!$B$3:$C$74,2,FALSE)</f>
        <v>3</v>
      </c>
      <c r="H55" s="2">
        <f t="shared" si="3"/>
        <v>9</v>
      </c>
      <c r="I55" s="15"/>
    </row>
    <row r="56" spans="2:9" x14ac:dyDescent="0.3">
      <c r="B56" s="280"/>
      <c r="C56" s="14" t="s">
        <v>201</v>
      </c>
      <c r="D56" s="2" t="s">
        <v>125</v>
      </c>
      <c r="E56" s="2" t="s">
        <v>276</v>
      </c>
      <c r="F56" s="2">
        <v>3</v>
      </c>
      <c r="G56" s="2">
        <f>VLOOKUP(E56,'Standard rooms list'!$B$3:$C$74,2,FALSE)</f>
        <v>3</v>
      </c>
      <c r="H56" s="2">
        <f t="shared" si="3"/>
        <v>9</v>
      </c>
      <c r="I56" s="15"/>
    </row>
    <row r="57" spans="2:9" x14ac:dyDescent="0.3">
      <c r="B57" s="280"/>
      <c r="C57" s="14" t="s">
        <v>201</v>
      </c>
      <c r="D57" s="2" t="s">
        <v>125</v>
      </c>
      <c r="E57" s="2" t="s">
        <v>203</v>
      </c>
      <c r="F57" s="2">
        <v>3</v>
      </c>
      <c r="G57" s="2">
        <f>VLOOKUP(E57,'Standard rooms list'!$B$3:$C$74,2,FALSE)</f>
        <v>4</v>
      </c>
      <c r="H57" s="2">
        <f t="shared" si="3"/>
        <v>12</v>
      </c>
      <c r="I57" s="15"/>
    </row>
    <row r="58" spans="2:9" x14ac:dyDescent="0.3">
      <c r="B58" s="280"/>
      <c r="C58" s="14" t="s">
        <v>201</v>
      </c>
      <c r="D58" s="2" t="s">
        <v>125</v>
      </c>
      <c r="E58" s="2" t="s">
        <v>204</v>
      </c>
      <c r="F58" s="2">
        <v>2</v>
      </c>
      <c r="G58" s="2">
        <f>VLOOKUP(E58,'Standard rooms list'!$B$3:$C$74,2,FALSE)</f>
        <v>15</v>
      </c>
      <c r="H58" s="2">
        <f t="shared" si="3"/>
        <v>30</v>
      </c>
      <c r="I58" s="15" t="s">
        <v>132</v>
      </c>
    </row>
    <row r="59" spans="2:9" x14ac:dyDescent="0.3">
      <c r="B59" s="280"/>
      <c r="C59" s="14" t="s">
        <v>201</v>
      </c>
      <c r="D59" s="2" t="s">
        <v>125</v>
      </c>
      <c r="E59" s="2" t="s">
        <v>133</v>
      </c>
      <c r="F59" s="2">
        <v>3</v>
      </c>
      <c r="G59" s="2">
        <f>VLOOKUP(E59,'Standard rooms list'!$B$3:$C$74,2,FALSE)</f>
        <v>2</v>
      </c>
      <c r="H59" s="2">
        <f t="shared" si="3"/>
        <v>6</v>
      </c>
      <c r="I59" s="15"/>
    </row>
    <row r="60" spans="2:9" x14ac:dyDescent="0.3">
      <c r="B60" s="280"/>
      <c r="C60" s="14" t="s">
        <v>201</v>
      </c>
      <c r="D60" s="2" t="s">
        <v>125</v>
      </c>
      <c r="E60" s="2" t="s">
        <v>329</v>
      </c>
      <c r="F60" s="2">
        <v>1</v>
      </c>
      <c r="G60" s="2">
        <v>25</v>
      </c>
      <c r="H60" s="2">
        <f t="shared" si="3"/>
        <v>25</v>
      </c>
      <c r="I60" s="15" t="s">
        <v>205</v>
      </c>
    </row>
    <row r="61" spans="2:9" x14ac:dyDescent="0.3">
      <c r="B61" s="280"/>
      <c r="C61" s="14" t="s">
        <v>201</v>
      </c>
      <c r="D61" s="2" t="s">
        <v>125</v>
      </c>
      <c r="E61" s="2" t="s">
        <v>204</v>
      </c>
      <c r="F61" s="2">
        <v>2</v>
      </c>
      <c r="G61" s="2">
        <f>VLOOKUP(E61,'Standard rooms list'!$B$3:$C$74,2,FALSE)</f>
        <v>15</v>
      </c>
      <c r="H61" s="2">
        <f t="shared" si="3"/>
        <v>30</v>
      </c>
      <c r="I61" s="15" t="s">
        <v>206</v>
      </c>
    </row>
    <row r="62" spans="2:9" x14ac:dyDescent="0.3">
      <c r="B62" s="280"/>
      <c r="C62" s="14" t="s">
        <v>201</v>
      </c>
      <c r="D62" s="2" t="s">
        <v>125</v>
      </c>
      <c r="E62" s="2" t="s">
        <v>136</v>
      </c>
      <c r="F62" s="2">
        <v>3</v>
      </c>
      <c r="G62" s="2">
        <f>VLOOKUP(E62,'Standard rooms list'!$B$3:$C$74,2,FALSE)</f>
        <v>2</v>
      </c>
      <c r="H62" s="2">
        <f t="shared" si="3"/>
        <v>6</v>
      </c>
      <c r="I62" s="15" t="s">
        <v>301</v>
      </c>
    </row>
    <row r="63" spans="2:9" x14ac:dyDescent="0.3">
      <c r="B63" s="280"/>
      <c r="C63" s="14" t="s">
        <v>201</v>
      </c>
      <c r="D63" s="2" t="s">
        <v>125</v>
      </c>
      <c r="E63" s="2" t="s">
        <v>182</v>
      </c>
      <c r="F63" s="2">
        <v>1</v>
      </c>
      <c r="G63" s="2">
        <f>VLOOKUP(E63,'Standard rooms list'!$B$3:$C$74,2,FALSE)</f>
        <v>8</v>
      </c>
      <c r="H63" s="2">
        <f t="shared" si="3"/>
        <v>8</v>
      </c>
      <c r="I63" s="15"/>
    </row>
    <row r="64" spans="2:9" x14ac:dyDescent="0.3">
      <c r="B64" s="280"/>
      <c r="C64" s="14" t="s">
        <v>201</v>
      </c>
      <c r="D64" s="2" t="s">
        <v>125</v>
      </c>
      <c r="E64" s="2" t="s">
        <v>135</v>
      </c>
      <c r="F64" s="2">
        <v>2</v>
      </c>
      <c r="G64" s="2">
        <f>VLOOKUP(E64,'Standard rooms list'!$B$3:$C$74,2,FALSE)</f>
        <v>8</v>
      </c>
      <c r="H64" s="2">
        <f t="shared" si="3"/>
        <v>16</v>
      </c>
      <c r="I64" s="15" t="s">
        <v>301</v>
      </c>
    </row>
    <row r="65" spans="2:9" x14ac:dyDescent="0.3">
      <c r="B65" s="280"/>
      <c r="C65" s="14" t="s">
        <v>201</v>
      </c>
      <c r="D65" s="2" t="s">
        <v>125</v>
      </c>
      <c r="E65" s="26" t="s">
        <v>269</v>
      </c>
      <c r="F65" s="26">
        <v>1</v>
      </c>
      <c r="G65" s="2">
        <f>VLOOKUP(E65,'Standard rooms list'!$B$3:$C$74,2,FALSE)</f>
        <v>16</v>
      </c>
      <c r="H65" s="26">
        <f t="shared" si="3"/>
        <v>16</v>
      </c>
      <c r="I65" s="100"/>
    </row>
    <row r="66" spans="2:9" x14ac:dyDescent="0.3">
      <c r="B66" s="280"/>
      <c r="C66" s="14" t="s">
        <v>201</v>
      </c>
      <c r="D66" s="2" t="s">
        <v>125</v>
      </c>
      <c r="E66" s="26" t="s">
        <v>270</v>
      </c>
      <c r="F66" s="26">
        <v>1</v>
      </c>
      <c r="G66" s="2">
        <f>VLOOKUP(E66,'Standard rooms list'!$B$3:$C$74,2,FALSE)</f>
        <v>4</v>
      </c>
      <c r="H66" s="26">
        <f t="shared" si="3"/>
        <v>4</v>
      </c>
      <c r="I66" s="100"/>
    </row>
    <row r="67" spans="2:9" x14ac:dyDescent="0.3">
      <c r="B67" s="281"/>
      <c r="C67" s="14" t="s">
        <v>201</v>
      </c>
      <c r="D67" s="60" t="s">
        <v>125</v>
      </c>
      <c r="E67" s="60" t="s">
        <v>321</v>
      </c>
      <c r="F67" s="60">
        <v>1</v>
      </c>
      <c r="G67" s="60">
        <f>VLOOKUP(E67,'Standard rooms list'!$B$3:$C$79,2,FALSE)</f>
        <v>40</v>
      </c>
      <c r="H67" s="60">
        <f t="shared" si="3"/>
        <v>40</v>
      </c>
      <c r="I67" s="81"/>
    </row>
    <row r="68" spans="2:9" s="27" customFormat="1" x14ac:dyDescent="0.3">
      <c r="B68" s="196"/>
      <c r="C68" s="126"/>
      <c r="D68" s="126"/>
      <c r="E68" s="126"/>
      <c r="F68" s="126"/>
      <c r="G68" s="126" t="s">
        <v>47</v>
      </c>
      <c r="H68" s="126">
        <f>SUM(H50:H67)</f>
        <v>301</v>
      </c>
      <c r="I68" s="131"/>
    </row>
    <row r="69" spans="2:9" x14ac:dyDescent="0.3">
      <c r="B69" s="279" t="s">
        <v>313</v>
      </c>
      <c r="C69" s="14" t="s">
        <v>45</v>
      </c>
      <c r="D69" s="2" t="s">
        <v>45</v>
      </c>
      <c r="E69" s="2" t="s">
        <v>137</v>
      </c>
      <c r="F69" s="2">
        <v>1</v>
      </c>
      <c r="G69" s="2">
        <f>VLOOKUP(E69,'Standard rooms list'!$B$3:$C$100,2,FALSE)</f>
        <v>4.5</v>
      </c>
      <c r="H69" s="2">
        <f>F69*G69</f>
        <v>4.5</v>
      </c>
      <c r="I69" s="15"/>
    </row>
    <row r="70" spans="2:9" x14ac:dyDescent="0.3">
      <c r="B70" s="280"/>
      <c r="C70" s="14" t="s">
        <v>45</v>
      </c>
      <c r="D70" s="2" t="s">
        <v>45</v>
      </c>
      <c r="E70" s="2" t="s">
        <v>138</v>
      </c>
      <c r="F70" s="2">
        <v>1</v>
      </c>
      <c r="G70" s="2">
        <f>VLOOKUP(E70,'Standard rooms list'!$B$3:$C$74,2,FALSE)</f>
        <v>6</v>
      </c>
      <c r="H70" s="2">
        <f t="shared" ref="H70:H72" si="4">F70*G70</f>
        <v>6</v>
      </c>
      <c r="I70" s="15"/>
    </row>
    <row r="71" spans="2:9" x14ac:dyDescent="0.3">
      <c r="B71" s="280"/>
      <c r="C71" s="14" t="s">
        <v>45</v>
      </c>
      <c r="D71" s="2" t="s">
        <v>45</v>
      </c>
      <c r="E71" s="2" t="s">
        <v>139</v>
      </c>
      <c r="F71" s="2">
        <v>1</v>
      </c>
      <c r="G71" s="2">
        <f>VLOOKUP(E71,'Standard rooms list'!$B$3:$C$74,2,FALSE)</f>
        <v>4</v>
      </c>
      <c r="H71" s="2">
        <f t="shared" si="4"/>
        <v>4</v>
      </c>
      <c r="I71" s="15"/>
    </row>
    <row r="72" spans="2:9" x14ac:dyDescent="0.3">
      <c r="B72" s="281"/>
      <c r="C72" s="14" t="s">
        <v>45</v>
      </c>
      <c r="D72" s="2" t="s">
        <v>45</v>
      </c>
      <c r="E72" s="2" t="s">
        <v>101</v>
      </c>
      <c r="F72" s="2">
        <v>6</v>
      </c>
      <c r="G72" s="2">
        <f>VLOOKUP(E72,'Standard rooms list'!$B$3:$C$74,2,FALSE)</f>
        <v>2</v>
      </c>
      <c r="H72" s="2">
        <f t="shared" si="4"/>
        <v>12</v>
      </c>
      <c r="I72" s="15"/>
    </row>
    <row r="73" spans="2:9" s="27" customFormat="1" x14ac:dyDescent="0.3">
      <c r="B73" s="196"/>
      <c r="C73" s="126"/>
      <c r="D73" s="126"/>
      <c r="E73" s="126"/>
      <c r="F73" s="126"/>
      <c r="G73" s="126" t="s">
        <v>47</v>
      </c>
      <c r="H73" s="126">
        <f>SUM(H69:H72)</f>
        <v>26.5</v>
      </c>
      <c r="I73" s="131"/>
    </row>
    <row r="74" spans="2:9" x14ac:dyDescent="0.3">
      <c r="B74" s="279" t="s">
        <v>313</v>
      </c>
      <c r="C74" s="14" t="s">
        <v>140</v>
      </c>
      <c r="D74" s="60" t="s">
        <v>140</v>
      </c>
      <c r="E74" s="152" t="s">
        <v>141</v>
      </c>
      <c r="F74" s="152">
        <v>11</v>
      </c>
      <c r="G74" s="60">
        <f>VLOOKUP(E74,'Standard rooms list'!$B$3:$C$74,2,FALSE)</f>
        <v>4.5999999999999996</v>
      </c>
      <c r="H74" s="60">
        <f t="shared" ref="H74:H91" si="5">G74*F74</f>
        <v>50.599999999999994</v>
      </c>
      <c r="I74" s="81" t="s">
        <v>302</v>
      </c>
    </row>
    <row r="75" spans="2:9" x14ac:dyDescent="0.3">
      <c r="B75" s="280"/>
      <c r="C75" s="14" t="s">
        <v>140</v>
      </c>
      <c r="D75" s="60" t="s">
        <v>140</v>
      </c>
      <c r="E75" s="60" t="s">
        <v>209</v>
      </c>
      <c r="F75" s="60">
        <v>4</v>
      </c>
      <c r="G75" s="60">
        <f>VLOOKUP(E75,'Standard rooms list'!$B$3:$C$74,2,FALSE)</f>
        <v>12</v>
      </c>
      <c r="H75" s="60">
        <f t="shared" si="5"/>
        <v>48</v>
      </c>
      <c r="I75" s="81" t="s">
        <v>303</v>
      </c>
    </row>
    <row r="76" spans="2:9" x14ac:dyDescent="0.3">
      <c r="B76" s="280"/>
      <c r="C76" s="14" t="s">
        <v>140</v>
      </c>
      <c r="D76" s="60" t="s">
        <v>140</v>
      </c>
      <c r="E76" s="60" t="s">
        <v>211</v>
      </c>
      <c r="F76" s="60">
        <v>3</v>
      </c>
      <c r="G76" s="60">
        <f>VLOOKUP(E76,'Standard rooms list'!$B$3:$C$74,2,FALSE)</f>
        <v>8</v>
      </c>
      <c r="H76" s="60">
        <f t="shared" si="5"/>
        <v>24</v>
      </c>
      <c r="I76" s="81" t="s">
        <v>303</v>
      </c>
    </row>
    <row r="77" spans="2:9" x14ac:dyDescent="0.3">
      <c r="B77" s="280"/>
      <c r="C77" s="14" t="s">
        <v>140</v>
      </c>
      <c r="D77" s="60" t="s">
        <v>140</v>
      </c>
      <c r="E77" s="60" t="s">
        <v>213</v>
      </c>
      <c r="F77" s="153">
        <v>28</v>
      </c>
      <c r="G77" s="60">
        <v>8.3000000000000007</v>
      </c>
      <c r="H77" s="60">
        <f t="shared" si="5"/>
        <v>232.40000000000003</v>
      </c>
      <c r="I77" s="81" t="s">
        <v>330</v>
      </c>
    </row>
    <row r="78" spans="2:9" ht="12.9" x14ac:dyDescent="0.35">
      <c r="B78" s="280"/>
      <c r="C78" s="14" t="s">
        <v>140</v>
      </c>
      <c r="D78" s="60" t="s">
        <v>140</v>
      </c>
      <c r="E78" s="251" t="s">
        <v>147</v>
      </c>
      <c r="F78" s="256" t="s">
        <v>215</v>
      </c>
      <c r="G78" s="60">
        <v>0.125</v>
      </c>
      <c r="H78" s="60"/>
      <c r="I78" s="254" t="s">
        <v>331</v>
      </c>
    </row>
    <row r="79" spans="2:9" ht="12.9" x14ac:dyDescent="0.35">
      <c r="B79" s="280"/>
      <c r="C79" s="14" t="s">
        <v>140</v>
      </c>
      <c r="D79" s="60" t="s">
        <v>140</v>
      </c>
      <c r="E79" s="251" t="s">
        <v>217</v>
      </c>
      <c r="F79" s="256" t="s">
        <v>215</v>
      </c>
      <c r="G79" s="60">
        <v>6</v>
      </c>
      <c r="H79" s="253"/>
      <c r="I79" s="254" t="s">
        <v>218</v>
      </c>
    </row>
    <row r="80" spans="2:9" ht="12.9" x14ac:dyDescent="0.35">
      <c r="B80" s="280"/>
      <c r="C80" s="14" t="s">
        <v>140</v>
      </c>
      <c r="D80" s="60" t="s">
        <v>140</v>
      </c>
      <c r="E80" s="251" t="s">
        <v>111</v>
      </c>
      <c r="F80" s="251" t="s">
        <v>215</v>
      </c>
      <c r="G80" s="60">
        <f>VLOOKUP(E80,'Standard rooms list'!$B$3:$C$74,2,FALSE)</f>
        <v>8</v>
      </c>
      <c r="H80" s="60"/>
      <c r="I80" s="254" t="s">
        <v>307</v>
      </c>
    </row>
    <row r="81" spans="2:9" ht="12.9" x14ac:dyDescent="0.35">
      <c r="B81" s="280"/>
      <c r="C81" s="14" t="s">
        <v>140</v>
      </c>
      <c r="D81" s="60" t="s">
        <v>140</v>
      </c>
      <c r="E81" s="251" t="s">
        <v>220</v>
      </c>
      <c r="F81" s="251" t="s">
        <v>215</v>
      </c>
      <c r="G81" s="60">
        <v>6</v>
      </c>
      <c r="H81" s="60"/>
      <c r="I81" s="254" t="s">
        <v>332</v>
      </c>
    </row>
    <row r="82" spans="2:9" ht="12.9" x14ac:dyDescent="0.35">
      <c r="B82" s="280"/>
      <c r="C82" s="14" t="s">
        <v>140</v>
      </c>
      <c r="D82" s="60" t="s">
        <v>140</v>
      </c>
      <c r="E82" s="251" t="s">
        <v>221</v>
      </c>
      <c r="F82" s="256" t="s">
        <v>215</v>
      </c>
      <c r="G82" s="60">
        <v>0.75</v>
      </c>
      <c r="H82" s="60"/>
      <c r="I82" s="254" t="s">
        <v>331</v>
      </c>
    </row>
    <row r="83" spans="2:9" x14ac:dyDescent="0.3">
      <c r="B83" s="280"/>
      <c r="C83" s="14" t="s">
        <v>140</v>
      </c>
      <c r="D83" s="60" t="s">
        <v>140</v>
      </c>
      <c r="E83" s="60" t="s">
        <v>222</v>
      </c>
      <c r="F83" s="153">
        <v>9</v>
      </c>
      <c r="G83" s="60">
        <f>VLOOKUP(E83,'Standard rooms list'!$B$3:$C$74,2,FALSE)</f>
        <v>3</v>
      </c>
      <c r="H83" s="60">
        <f>G83*F83</f>
        <v>27</v>
      </c>
      <c r="I83" s="81" t="s">
        <v>223</v>
      </c>
    </row>
    <row r="84" spans="2:9" x14ac:dyDescent="0.3">
      <c r="B84" s="280"/>
      <c r="C84" s="14" t="s">
        <v>140</v>
      </c>
      <c r="D84" s="60" t="s">
        <v>140</v>
      </c>
      <c r="E84" s="60" t="s">
        <v>148</v>
      </c>
      <c r="F84" s="60">
        <v>9</v>
      </c>
      <c r="G84" s="60">
        <f>VLOOKUP(E84,'Standard rooms list'!$B$3:$C$74,2,FALSE)</f>
        <v>2</v>
      </c>
      <c r="H84" s="60">
        <f t="shared" si="5"/>
        <v>18</v>
      </c>
      <c r="I84" s="81" t="s">
        <v>333</v>
      </c>
    </row>
    <row r="85" spans="2:9" x14ac:dyDescent="0.3">
      <c r="B85" s="280"/>
      <c r="C85" s="14" t="s">
        <v>140</v>
      </c>
      <c r="D85" s="60" t="s">
        <v>140</v>
      </c>
      <c r="E85" s="60" t="s">
        <v>150</v>
      </c>
      <c r="F85" s="60">
        <v>2</v>
      </c>
      <c r="G85" s="60">
        <f>VLOOKUP(E85,'Standard rooms list'!$B$3:$C$74,2,FALSE)</f>
        <v>4.5</v>
      </c>
      <c r="H85" s="60">
        <f t="shared" si="5"/>
        <v>9</v>
      </c>
      <c r="I85" s="81"/>
    </row>
    <row r="86" spans="2:9" x14ac:dyDescent="0.3">
      <c r="B86" s="280"/>
      <c r="C86" s="14" t="s">
        <v>140</v>
      </c>
      <c r="D86" s="60" t="s">
        <v>140</v>
      </c>
      <c r="E86" s="60" t="s">
        <v>225</v>
      </c>
      <c r="F86" s="60">
        <v>39</v>
      </c>
      <c r="G86" s="60">
        <v>1.5</v>
      </c>
      <c r="H86" s="60">
        <f t="shared" si="5"/>
        <v>58.5</v>
      </c>
      <c r="I86" s="81" t="s">
        <v>334</v>
      </c>
    </row>
    <row r="87" spans="2:9" x14ac:dyDescent="0.3">
      <c r="B87" s="280"/>
      <c r="C87" s="14" t="s">
        <v>140</v>
      </c>
      <c r="D87" s="60" t="s">
        <v>140</v>
      </c>
      <c r="E87" s="60" t="s">
        <v>227</v>
      </c>
      <c r="F87" s="60">
        <v>5</v>
      </c>
      <c r="G87" s="60">
        <v>3</v>
      </c>
      <c r="H87" s="60">
        <f t="shared" si="5"/>
        <v>15</v>
      </c>
      <c r="I87" s="81"/>
    </row>
    <row r="88" spans="2:9" x14ac:dyDescent="0.3">
      <c r="B88" s="280"/>
      <c r="C88" s="14" t="s">
        <v>140</v>
      </c>
      <c r="D88" s="60" t="s">
        <v>140</v>
      </c>
      <c r="E88" s="60" t="s">
        <v>228</v>
      </c>
      <c r="F88" s="60">
        <v>1</v>
      </c>
      <c r="G88" s="60">
        <v>12</v>
      </c>
      <c r="H88" s="60">
        <f t="shared" si="5"/>
        <v>12</v>
      </c>
      <c r="I88" s="81"/>
    </row>
    <row r="89" spans="2:9" x14ac:dyDescent="0.3">
      <c r="B89" s="280"/>
      <c r="C89" s="14" t="s">
        <v>140</v>
      </c>
      <c r="D89" s="60" t="s">
        <v>140</v>
      </c>
      <c r="E89" s="84" t="s">
        <v>155</v>
      </c>
      <c r="F89" s="60">
        <v>11</v>
      </c>
      <c r="G89" s="60">
        <v>1.4</v>
      </c>
      <c r="H89" s="60">
        <f t="shared" si="5"/>
        <v>15.399999999999999</v>
      </c>
      <c r="I89" s="81" t="s">
        <v>335</v>
      </c>
    </row>
    <row r="90" spans="2:9" x14ac:dyDescent="0.3">
      <c r="B90" s="280"/>
      <c r="C90" s="14" t="s">
        <v>140</v>
      </c>
      <c r="D90" s="60" t="s">
        <v>140</v>
      </c>
      <c r="E90" s="84" t="s">
        <v>137</v>
      </c>
      <c r="F90" s="60">
        <v>1</v>
      </c>
      <c r="G90" s="60">
        <v>4.5</v>
      </c>
      <c r="H90" s="60">
        <f t="shared" si="5"/>
        <v>4.5</v>
      </c>
      <c r="I90" s="81"/>
    </row>
    <row r="91" spans="2:9" x14ac:dyDescent="0.3">
      <c r="B91" s="281"/>
      <c r="C91" s="14" t="s">
        <v>140</v>
      </c>
      <c r="D91" s="60" t="s">
        <v>140</v>
      </c>
      <c r="E91" s="60" t="s">
        <v>153</v>
      </c>
      <c r="F91" s="60">
        <v>44</v>
      </c>
      <c r="G91" s="60">
        <f>VLOOKUP(E91,'Standard rooms list'!$B$3:$C$74,2,FALSE)</f>
        <v>1.4</v>
      </c>
      <c r="H91" s="60">
        <f t="shared" si="5"/>
        <v>61.599999999999994</v>
      </c>
      <c r="I91" s="81" t="s">
        <v>336</v>
      </c>
    </row>
    <row r="92" spans="2:9" s="27" customFormat="1" x14ac:dyDescent="0.3">
      <c r="B92" s="196"/>
      <c r="C92" s="126"/>
      <c r="D92" s="126"/>
      <c r="E92" s="126"/>
      <c r="F92" s="126"/>
      <c r="G92" s="126" t="s">
        <v>47</v>
      </c>
      <c r="H92" s="126">
        <f>SUM(H74:H91)</f>
        <v>576</v>
      </c>
      <c r="I92" s="131"/>
    </row>
    <row r="94" spans="2:9" s="27" customFormat="1" x14ac:dyDescent="0.3">
      <c r="B94" s="216"/>
      <c r="C94" s="212"/>
      <c r="D94" s="212"/>
      <c r="E94" s="212"/>
      <c r="F94" s="212"/>
      <c r="G94" s="23" t="s">
        <v>185</v>
      </c>
      <c r="H94" s="23">
        <f>SUM(H92,H73,H68,H49,H31)</f>
        <v>2182.4</v>
      </c>
      <c r="I94" s="213"/>
    </row>
  </sheetData>
  <mergeCells count="5">
    <mergeCell ref="B9:B30"/>
    <mergeCell ref="B32:B48"/>
    <mergeCell ref="B50:B67"/>
    <mergeCell ref="B69:B72"/>
    <mergeCell ref="B74:B91"/>
  </mergeCells>
  <phoneticPr fontId="26" type="noConversion"/>
  <pageMargins left="0.7" right="0.7" top="0.75" bottom="0.75" header="0.3" footer="0.3"/>
  <headerFooter>
    <oddFooter>&amp;C_x000D_&amp;1#&amp;"Aptos"&amp;10&amp;K000000 Mott MacDonald Restricted</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5439C2EA-5119-4BCF-B67E-9CD898DE8B80}">
          <x14:formula1>
            <xm:f>'Standard rooms list'!$B$3:$B$74</xm:f>
          </x14:formula1>
          <xm:sqref>E9</xm:sqref>
        </x14:dataValidation>
        <x14:dataValidation type="list" allowBlank="1" showInputMessage="1" showErrorMessage="1" xr:uid="{BE409324-AF63-4E32-AFBD-69F8106B1BB0}">
          <x14:formula1>
            <xm:f>'Standard rooms list'!$B$3:$B$73</xm:f>
          </x14:formula1>
          <xm:sqref>E10:E21 E68 E62:E66 E45:E47 E24:E29 E49:E59 E31:E43 E83:E85 E80 E70:E76</xm:sqref>
        </x14:dataValidation>
        <x14:dataValidation type="list" allowBlank="1" showInputMessage="1" showErrorMessage="1" xr:uid="{873234C1-92EC-4F2D-ABA4-B27343759DCD}">
          <x14:formula1>
            <xm:f>'Standard rooms list'!$B$3:$B$76</xm:f>
          </x14:formula1>
          <xm:sqref>E48</xm:sqref>
        </x14:dataValidation>
        <x14:dataValidation type="list" allowBlank="1" showInputMessage="1" showErrorMessage="1" xr:uid="{8726DA73-35A8-4D51-BB06-F0CBE0D0B1C3}">
          <x14:formula1>
            <xm:f>'Standard rooms list'!$B$3:$B$72</xm:f>
          </x14:formula1>
          <xm:sqref>E22</xm:sqref>
        </x14:dataValidation>
        <x14:dataValidation type="list" allowBlank="1" showInputMessage="1" showErrorMessage="1" xr:uid="{F52DDD77-E360-479A-8D75-1803F57494EB}">
          <x14:formula1>
            <xm:f>'Standard rooms list'!$B$3:$B$79</xm:f>
          </x14:formula1>
          <xm:sqref>E67</xm:sqref>
        </x14:dataValidation>
        <x14:dataValidation type="list" allowBlank="1" showInputMessage="1" showErrorMessage="1" xr:uid="{7E57DBD1-5BD1-4F1F-BD78-77F2A17F5C1D}">
          <x14:formula1>
            <xm:f>'Standard rooms list'!$B$3:$B$100</xm:f>
          </x14:formula1>
          <xm:sqref>E69 E61 E89:E91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9E9DFF688570478D6EB42EA3B2DBC3" ma:contentTypeVersion="22" ma:contentTypeDescription="Create a new document." ma:contentTypeScope="" ma:versionID="5baae63c3a0a55f66f993d456427f7ac">
  <xsd:schema xmlns:xsd="http://www.w3.org/2001/XMLSchema" xmlns:xs="http://www.w3.org/2001/XMLSchema" xmlns:p="http://schemas.microsoft.com/office/2006/metadata/properties" xmlns:ns2="b868c89d-c42d-418a-817e-a30b26a6b95c" xmlns:ns3="6ad2f829-d27b-4b66-86f0-7328853a73db" targetNamespace="http://schemas.microsoft.com/office/2006/metadata/properties" ma:root="true" ma:fieldsID="2df3e9265925cebb8932e1bcc336ce90" ns2:_="" ns3:_="">
    <xsd:import namespace="b868c89d-c42d-418a-817e-a30b26a6b95c"/>
    <xsd:import namespace="6ad2f829-d27b-4b66-86f0-7328853a73db"/>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8c89d-c42d-418a-817e-a30b26a6b95c"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2" nillable="true" ma:displayName="Unified Compliance Policy Properties" ma:internalName="_ip_UnifiedCompliancePolicyProperties" ma:readOnly="false">
      <xsd:simpleType>
        <xsd:restriction base="dms:Note"/>
      </xsd:simpleType>
    </xsd:element>
    <xsd:element name="_ip_UnifiedCompliancePolicyUIAction" ma:index="2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68c89d-c42d-418a-817e-a30b26a6b95c">
      <Terms xmlns="http://schemas.microsoft.com/office/infopath/2007/PartnerControls"/>
    </lcf76f155ced4ddcb4097134ff3c332f>
    <TaxCatchAll xmlns="6ad2f829-d27b-4b66-86f0-7328853a73db" xsi:nil="true"/>
    <_ip_UnifiedCompliancePolicyProperties xmlns="6ad2f829-d27b-4b66-86f0-7328853a73db" xsi:nil="true"/>
    <_ip_UnifiedCompliancePolicyUIAction xmlns="6ad2f829-d27b-4b66-86f0-7328853a73db" xsi:nil="true"/>
    <Review_x0020_Date xmlns="b868c89d-c42d-418a-817e-a30b26a6b95c" xsi:nil="true"/>
  </documentManagement>
</p:properties>
</file>

<file path=customXml/itemProps1.xml><?xml version="1.0" encoding="utf-8"?>
<ds:datastoreItem xmlns:ds="http://schemas.openxmlformats.org/officeDocument/2006/customXml" ds:itemID="{E9CEAA1A-ACA0-480C-B4CA-3930A890221D}">
  <ds:schemaRefs>
    <ds:schemaRef ds:uri="http://schemas.microsoft.com/sharepoint/v3/contenttype/forms"/>
  </ds:schemaRefs>
</ds:datastoreItem>
</file>

<file path=customXml/itemProps2.xml><?xml version="1.0" encoding="utf-8"?>
<ds:datastoreItem xmlns:ds="http://schemas.openxmlformats.org/officeDocument/2006/customXml" ds:itemID="{D8CCA91E-5B8B-465B-BE06-8C1086952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8c89d-c42d-418a-817e-a30b26a6b95c"/>
    <ds:schemaRef ds:uri="6ad2f829-d27b-4b66-86f0-7328853a7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C35432-E713-4229-A765-9E756BE5B849}">
  <ds:schemaRefs>
    <ds:schemaRef ds:uri="http://schemas.microsoft.com/office/2006/metadata/properties"/>
    <ds:schemaRef ds:uri="http://schemas.microsoft.com/office/infopath/2007/PartnerControls"/>
    <ds:schemaRef ds:uri="d723db78-891f-4c0f-952c-9a10030e57d4"/>
    <ds:schemaRef ds:uri="980b2c76-4eb4-4926-991a-bb246786b55e"/>
    <ds:schemaRef ds:uri="b868c89d-c42d-418a-817e-a30b26a6b95c"/>
    <ds:schemaRef ds:uri="6ad2f829-d27b-4b66-86f0-7328853a73d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Assumptions</vt:lpstr>
      <vt:lpstr>Summary Sheet</vt:lpstr>
      <vt:lpstr>1a) Unintegrated - Core</vt:lpstr>
      <vt:lpstr>2a) Integrated - Core</vt:lpstr>
      <vt:lpstr>1b) Unintegrated - Core +</vt:lpstr>
      <vt:lpstr>2b) Integrated - Core +</vt:lpstr>
      <vt:lpstr>1c) Unintegrated - Core ++</vt:lpstr>
      <vt:lpstr>2c) Integrated - Core ++</vt:lpstr>
      <vt:lpstr>Standard rooms list</vt:lpstr>
      <vt:lpstr>WC provision - WIP</vt:lpstr>
      <vt:lpstr>BREEAM TRA03 - 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Bunt</dc:creator>
  <cp:keywords/>
  <dc:description/>
  <cp:lastModifiedBy>DALY, Fiona (NHS ENGLAND)</cp:lastModifiedBy>
  <cp:revision/>
  <dcterms:created xsi:type="dcterms:W3CDTF">2026-02-05T14:48:20Z</dcterms:created>
  <dcterms:modified xsi:type="dcterms:W3CDTF">2026-04-13T16:40:20Z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2026-02-05T14:51:12Z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0abd89b9-d318-4080-bc02-e27bc279f655</vt:lpwstr>
  </property>
  <property fmtid="{D5CDD505-2E9C-101B-9397-08002B2CF9AE}" pid="8" name="MSIP_Label_f49efa9f-42fe-4312-9503-c89a219c0830_ContentBits">
    <vt:lpwstr>2</vt:lpwstr>
  </property>
  <property fmtid="{D5CDD505-2E9C-101B-9397-08002B2CF9AE}" pid="9" name="MSIP_Label_f49efa9f-42fe-4312-9503-c89a219c0830_Tag">
    <vt:lpwstr>10, 3, 0, 1</vt:lpwstr>
  </property>
  <property fmtid="{D5CDD505-2E9C-101B-9397-08002B2CF9AE}" pid="10" name="ContentTypeId">
    <vt:lpwstr>0x0101002E9E9DFF688570478D6EB42EA3B2DBC3</vt:lpwstr>
  </property>
  <property fmtid="{D5CDD505-2E9C-101B-9397-08002B2CF9AE}" pid="11" name="_dlc_DocIdItemGuid">
    <vt:lpwstr>24451fd1-63c6-47de-a426-e15871a204f5</vt:lpwstr>
  </property>
  <property fmtid="{D5CDD505-2E9C-101B-9397-08002B2CF9AE}" pid="12" name="MediaServiceImageTags">
    <vt:lpwstr/>
  </property>
</Properties>
</file>